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activeTab="1"/>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With Photo" sheetId="4" r:id="rId11"/>
    <sheet name="Simple Marksheet" sheetId="19" r:id="rId12"/>
    <sheet name="Marksheet After Supp. Result" sheetId="18" r:id="rId13"/>
  </sheets>
  <externalReferences>
    <externalReference r:id="rId14"/>
  </externalReferences>
  <definedNames>
    <definedName name="MKPIC">INDEX('Student DATA Entry'!$O$4:$O$203,MATCH('Marksheet With Photo'!$O$6,'Student DATA Entry'!$B$4:$B$203,0))</definedName>
    <definedName name="PIC">INDEX('Student DATA Entry'!$O$4:$O$203,MATCH('Marksheet After Supp. Result'!$O$6,'Student DATA Entry'!$B$4:$B$203,0))</definedName>
    <definedName name="Picture">INDEX('School Profile'!$L$24,MATCH('School Profile'!$K$23,'School Profile'!$K$24,0))</definedName>
    <definedName name="_xlnm.Print_Area" localSheetId="5">'Green Sheet'!$A$1:$W$220</definedName>
    <definedName name="_xlnm.Print_Area" localSheetId="12">'Marksheet After Supp. Result'!$B$1:$V$30</definedName>
    <definedName name="_xlnm.Print_Area" localSheetId="10">'Marksheet With Photo'!$B$1:$U$30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G28" i="18"/>
  <c r="B28"/>
  <c r="HR217" i="9"/>
  <c r="S214" i="15"/>
  <c r="J38" i="6"/>
  <c r="J17"/>
  <c r="P205" i="11"/>
  <c r="V214" i="12"/>
  <c r="O29" i="18"/>
  <c r="O29" i="4"/>
  <c r="N2" i="11"/>
  <c r="I3" i="8"/>
  <c r="G21" i="7" l="1"/>
  <c r="G20"/>
  <c r="G18"/>
  <c r="AH7" i="19"/>
  <c r="C245"/>
  <c r="S275"/>
  <c r="C275"/>
  <c r="S245"/>
  <c r="S215"/>
  <c r="C215"/>
  <c r="S185"/>
  <c r="C185"/>
  <c r="S155"/>
  <c r="C155"/>
  <c r="S125"/>
  <c r="C125"/>
  <c r="S95"/>
  <c r="C95"/>
  <c r="S65"/>
  <c r="C65"/>
  <c r="S35"/>
  <c r="C35"/>
  <c r="P5" i="4"/>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I207"/>
  <c r="H207"/>
  <c r="G207"/>
  <c r="F207"/>
  <c r="E207"/>
  <c r="D207"/>
  <c r="C207"/>
  <c r="B207"/>
  <c r="S207" s="1"/>
  <c r="I206"/>
  <c r="H206"/>
  <c r="G206"/>
  <c r="F206"/>
  <c r="E206"/>
  <c r="D206"/>
  <c r="C206"/>
  <c r="B206"/>
  <c r="S206" s="1"/>
  <c r="I205"/>
  <c r="H205"/>
  <c r="G205"/>
  <c r="F205"/>
  <c r="E205"/>
  <c r="D205"/>
  <c r="C205"/>
  <c r="B205"/>
  <c r="S205" s="1"/>
  <c r="I204"/>
  <c r="H204"/>
  <c r="G204"/>
  <c r="F204"/>
  <c r="E204"/>
  <c r="D204"/>
  <c r="C204"/>
  <c r="B204"/>
  <c r="S204" s="1"/>
  <c r="I203"/>
  <c r="H203"/>
  <c r="G203"/>
  <c r="F203"/>
  <c r="E203"/>
  <c r="D203"/>
  <c r="C203"/>
  <c r="B203"/>
  <c r="S203" s="1"/>
  <c r="I202"/>
  <c r="H202"/>
  <c r="G202"/>
  <c r="F202"/>
  <c r="E202"/>
  <c r="D202"/>
  <c r="C202"/>
  <c r="B202"/>
  <c r="S202" s="1"/>
  <c r="I201"/>
  <c r="H201"/>
  <c r="G201"/>
  <c r="F201"/>
  <c r="E201"/>
  <c r="D201"/>
  <c r="C201"/>
  <c r="B201"/>
  <c r="S201" s="1"/>
  <c r="I200"/>
  <c r="H200"/>
  <c r="G200"/>
  <c r="F200"/>
  <c r="E200"/>
  <c r="D200"/>
  <c r="C200"/>
  <c r="B200"/>
  <c r="S200" s="1"/>
  <c r="I199"/>
  <c r="H199"/>
  <c r="G199"/>
  <c r="F199"/>
  <c r="E199"/>
  <c r="D199"/>
  <c r="C199"/>
  <c r="B199"/>
  <c r="S199" s="1"/>
  <c r="I198"/>
  <c r="H198"/>
  <c r="G198"/>
  <c r="F198"/>
  <c r="E198"/>
  <c r="D198"/>
  <c r="C198"/>
  <c r="B198"/>
  <c r="S198" s="1"/>
  <c r="I197"/>
  <c r="H197"/>
  <c r="G197"/>
  <c r="F197"/>
  <c r="E197"/>
  <c r="D197"/>
  <c r="C197"/>
  <c r="B197"/>
  <c r="S197" s="1"/>
  <c r="I196"/>
  <c r="H196"/>
  <c r="G196"/>
  <c r="F196"/>
  <c r="E196"/>
  <c r="D196"/>
  <c r="C196"/>
  <c r="B196"/>
  <c r="S196" s="1"/>
  <c r="I195"/>
  <c r="H195"/>
  <c r="G195"/>
  <c r="F195"/>
  <c r="E195"/>
  <c r="D195"/>
  <c r="C195"/>
  <c r="B195"/>
  <c r="S195" s="1"/>
  <c r="I194"/>
  <c r="H194"/>
  <c r="G194"/>
  <c r="F194"/>
  <c r="E194"/>
  <c r="D194"/>
  <c r="C194"/>
  <c r="B194"/>
  <c r="S194" s="1"/>
  <c r="I193"/>
  <c r="H193"/>
  <c r="G193"/>
  <c r="F193"/>
  <c r="E193"/>
  <c r="D193"/>
  <c r="C193"/>
  <c r="B193"/>
  <c r="S193" s="1"/>
  <c r="I192"/>
  <c r="H192"/>
  <c r="G192"/>
  <c r="F192"/>
  <c r="E192"/>
  <c r="D192"/>
  <c r="C192"/>
  <c r="B192"/>
  <c r="S192" s="1"/>
  <c r="I191"/>
  <c r="H191"/>
  <c r="G191"/>
  <c r="F191"/>
  <c r="E191"/>
  <c r="D191"/>
  <c r="C191"/>
  <c r="B191"/>
  <c r="S191" s="1"/>
  <c r="I190"/>
  <c r="H190"/>
  <c r="G190"/>
  <c r="F190"/>
  <c r="E190"/>
  <c r="D190"/>
  <c r="C190"/>
  <c r="B190"/>
  <c r="S190" s="1"/>
  <c r="I189"/>
  <c r="H189"/>
  <c r="G189"/>
  <c r="F189"/>
  <c r="E189"/>
  <c r="D189"/>
  <c r="C189"/>
  <c r="B189"/>
  <c r="S189" s="1"/>
  <c r="I188"/>
  <c r="H188"/>
  <c r="G188"/>
  <c r="F188"/>
  <c r="E188"/>
  <c r="D188"/>
  <c r="C188"/>
  <c r="B188"/>
  <c r="S188" s="1"/>
  <c r="I187"/>
  <c r="H187"/>
  <c r="G187"/>
  <c r="F187"/>
  <c r="E187"/>
  <c r="D187"/>
  <c r="C187"/>
  <c r="B187"/>
  <c r="S187" s="1"/>
  <c r="I186"/>
  <c r="H186"/>
  <c r="G186"/>
  <c r="F186"/>
  <c r="E186"/>
  <c r="D186"/>
  <c r="C186"/>
  <c r="B186"/>
  <c r="S186" s="1"/>
  <c r="I185"/>
  <c r="H185"/>
  <c r="G185"/>
  <c r="F185"/>
  <c r="E185"/>
  <c r="D185"/>
  <c r="C185"/>
  <c r="B185"/>
  <c r="S185" s="1"/>
  <c r="I184"/>
  <c r="H184"/>
  <c r="G184"/>
  <c r="F184"/>
  <c r="E184"/>
  <c r="D184"/>
  <c r="C184"/>
  <c r="B184"/>
  <c r="S184" s="1"/>
  <c r="I183"/>
  <c r="H183"/>
  <c r="G183"/>
  <c r="F183"/>
  <c r="E183"/>
  <c r="D183"/>
  <c r="C183"/>
  <c r="B183"/>
  <c r="S183" s="1"/>
  <c r="I182"/>
  <c r="H182"/>
  <c r="G182"/>
  <c r="F182"/>
  <c r="E182"/>
  <c r="D182"/>
  <c r="C182"/>
  <c r="B182"/>
  <c r="S182" s="1"/>
  <c r="I181"/>
  <c r="H181"/>
  <c r="G181"/>
  <c r="F181"/>
  <c r="E181"/>
  <c r="D181"/>
  <c r="C181"/>
  <c r="B181"/>
  <c r="S181" s="1"/>
  <c r="I180"/>
  <c r="H180"/>
  <c r="G180"/>
  <c r="F180"/>
  <c r="E180"/>
  <c r="D180"/>
  <c r="C180"/>
  <c r="B180"/>
  <c r="S180" s="1"/>
  <c r="I179"/>
  <c r="H179"/>
  <c r="G179"/>
  <c r="F179"/>
  <c r="E179"/>
  <c r="D179"/>
  <c r="C179"/>
  <c r="B179"/>
  <c r="S179" s="1"/>
  <c r="I178"/>
  <c r="H178"/>
  <c r="G178"/>
  <c r="F178"/>
  <c r="E178"/>
  <c r="D178"/>
  <c r="C178"/>
  <c r="B178"/>
  <c r="S178" s="1"/>
  <c r="I177"/>
  <c r="H177"/>
  <c r="G177"/>
  <c r="F177"/>
  <c r="E177"/>
  <c r="D177"/>
  <c r="C177"/>
  <c r="B177"/>
  <c r="S177" s="1"/>
  <c r="I176"/>
  <c r="H176"/>
  <c r="G176"/>
  <c r="F176"/>
  <c r="E176"/>
  <c r="D176"/>
  <c r="C176"/>
  <c r="B176"/>
  <c r="S176" s="1"/>
  <c r="I175"/>
  <c r="H175"/>
  <c r="G175"/>
  <c r="F175"/>
  <c r="E175"/>
  <c r="D175"/>
  <c r="C175"/>
  <c r="B175"/>
  <c r="S175" s="1"/>
  <c r="I174"/>
  <c r="H174"/>
  <c r="G174"/>
  <c r="F174"/>
  <c r="E174"/>
  <c r="D174"/>
  <c r="C174"/>
  <c r="B174"/>
  <c r="S174" s="1"/>
  <c r="I173"/>
  <c r="H173"/>
  <c r="G173"/>
  <c r="F173"/>
  <c r="E173"/>
  <c r="D173"/>
  <c r="C173"/>
  <c r="B173"/>
  <c r="S173" s="1"/>
  <c r="I172"/>
  <c r="H172"/>
  <c r="G172"/>
  <c r="F172"/>
  <c r="E172"/>
  <c r="D172"/>
  <c r="C172"/>
  <c r="B172"/>
  <c r="S172" s="1"/>
  <c r="I171"/>
  <c r="H171"/>
  <c r="G171"/>
  <c r="F171"/>
  <c r="E171"/>
  <c r="D171"/>
  <c r="C171"/>
  <c r="B171"/>
  <c r="S171" s="1"/>
  <c r="I170"/>
  <c r="H170"/>
  <c r="G170"/>
  <c r="F170"/>
  <c r="E170"/>
  <c r="D170"/>
  <c r="C170"/>
  <c r="B170"/>
  <c r="S170" s="1"/>
  <c r="I169"/>
  <c r="H169"/>
  <c r="G169"/>
  <c r="F169"/>
  <c r="E169"/>
  <c r="D169"/>
  <c r="C169"/>
  <c r="B169"/>
  <c r="S169" s="1"/>
  <c r="I168"/>
  <c r="H168"/>
  <c r="G168"/>
  <c r="F168"/>
  <c r="E168"/>
  <c r="D168"/>
  <c r="C168"/>
  <c r="B168"/>
  <c r="S168" s="1"/>
  <c r="I167"/>
  <c r="H167"/>
  <c r="G167"/>
  <c r="F167"/>
  <c r="E167"/>
  <c r="D167"/>
  <c r="C167"/>
  <c r="B167"/>
  <c r="S167" s="1"/>
  <c r="I166"/>
  <c r="H166"/>
  <c r="G166"/>
  <c r="F166"/>
  <c r="E166"/>
  <c r="D166"/>
  <c r="C166"/>
  <c r="B166"/>
  <c r="S166" s="1"/>
  <c r="I165"/>
  <c r="H165"/>
  <c r="G165"/>
  <c r="F165"/>
  <c r="E165"/>
  <c r="D165"/>
  <c r="C165"/>
  <c r="B165"/>
  <c r="S165" s="1"/>
  <c r="I164"/>
  <c r="H164"/>
  <c r="G164"/>
  <c r="F164"/>
  <c r="E164"/>
  <c r="D164"/>
  <c r="C164"/>
  <c r="B164"/>
  <c r="S164" s="1"/>
  <c r="I163"/>
  <c r="H163"/>
  <c r="G163"/>
  <c r="F163"/>
  <c r="E163"/>
  <c r="D163"/>
  <c r="C163"/>
  <c r="B163"/>
  <c r="S163" s="1"/>
  <c r="I162"/>
  <c r="H162"/>
  <c r="G162"/>
  <c r="F162"/>
  <c r="E162"/>
  <c r="D162"/>
  <c r="C162"/>
  <c r="B162"/>
  <c r="S162" s="1"/>
  <c r="I161"/>
  <c r="H161"/>
  <c r="G161"/>
  <c r="F161"/>
  <c r="E161"/>
  <c r="D161"/>
  <c r="C161"/>
  <c r="B161"/>
  <c r="S161" s="1"/>
  <c r="I160"/>
  <c r="H160"/>
  <c r="G160"/>
  <c r="F160"/>
  <c r="E160"/>
  <c r="D160"/>
  <c r="C160"/>
  <c r="B160"/>
  <c r="S160" s="1"/>
  <c r="I159"/>
  <c r="H159"/>
  <c r="G159"/>
  <c r="F159"/>
  <c r="E159"/>
  <c r="D159"/>
  <c r="C159"/>
  <c r="B159"/>
  <c r="S159" s="1"/>
  <c r="I158"/>
  <c r="H158"/>
  <c r="G158"/>
  <c r="F158"/>
  <c r="E158"/>
  <c r="D158"/>
  <c r="C158"/>
  <c r="B158"/>
  <c r="S158" s="1"/>
  <c r="I157"/>
  <c r="H157"/>
  <c r="G157"/>
  <c r="F157"/>
  <c r="E157"/>
  <c r="D157"/>
  <c r="C157"/>
  <c r="B157"/>
  <c r="S157" s="1"/>
  <c r="I156"/>
  <c r="H156"/>
  <c r="G156"/>
  <c r="F156"/>
  <c r="E156"/>
  <c r="D156"/>
  <c r="C156"/>
  <c r="B156"/>
  <c r="S156" s="1"/>
  <c r="I155"/>
  <c r="H155"/>
  <c r="G155"/>
  <c r="F155"/>
  <c r="E155"/>
  <c r="D155"/>
  <c r="C155"/>
  <c r="B155"/>
  <c r="S155" s="1"/>
  <c r="I154"/>
  <c r="H154"/>
  <c r="G154"/>
  <c r="F154"/>
  <c r="E154"/>
  <c r="D154"/>
  <c r="C154"/>
  <c r="B154"/>
  <c r="S154" s="1"/>
  <c r="I153"/>
  <c r="H153"/>
  <c r="G153"/>
  <c r="F153"/>
  <c r="E153"/>
  <c r="D153"/>
  <c r="C153"/>
  <c r="B153"/>
  <c r="S153" s="1"/>
  <c r="I152"/>
  <c r="H152"/>
  <c r="G152"/>
  <c r="F152"/>
  <c r="E152"/>
  <c r="D152"/>
  <c r="C152"/>
  <c r="B152"/>
  <c r="S152" s="1"/>
  <c r="I151"/>
  <c r="H151"/>
  <c r="G151"/>
  <c r="F151"/>
  <c r="E151"/>
  <c r="D151"/>
  <c r="C151"/>
  <c r="B151"/>
  <c r="S151" s="1"/>
  <c r="I150"/>
  <c r="H150"/>
  <c r="G150"/>
  <c r="F150"/>
  <c r="E150"/>
  <c r="D150"/>
  <c r="C150"/>
  <c r="B150"/>
  <c r="S150" s="1"/>
  <c r="I149"/>
  <c r="H149"/>
  <c r="G149"/>
  <c r="F149"/>
  <c r="E149"/>
  <c r="D149"/>
  <c r="C149"/>
  <c r="B149"/>
  <c r="S149" s="1"/>
  <c r="I148"/>
  <c r="H148"/>
  <c r="G148"/>
  <c r="F148"/>
  <c r="E148"/>
  <c r="D148"/>
  <c r="C148"/>
  <c r="B148"/>
  <c r="S148" s="1"/>
  <c r="I147"/>
  <c r="H147"/>
  <c r="G147"/>
  <c r="F147"/>
  <c r="E147"/>
  <c r="D147"/>
  <c r="C147"/>
  <c r="B147"/>
  <c r="S147" s="1"/>
  <c r="I146"/>
  <c r="H146"/>
  <c r="G146"/>
  <c r="F146"/>
  <c r="E146"/>
  <c r="D146"/>
  <c r="C146"/>
  <c r="B146"/>
  <c r="S146" s="1"/>
  <c r="I145"/>
  <c r="H145"/>
  <c r="G145"/>
  <c r="F145"/>
  <c r="E145"/>
  <c r="D145"/>
  <c r="C145"/>
  <c r="B145"/>
  <c r="S145" s="1"/>
  <c r="I144"/>
  <c r="H144"/>
  <c r="G144"/>
  <c r="F144"/>
  <c r="E144"/>
  <c r="D144"/>
  <c r="C144"/>
  <c r="B144"/>
  <c r="S144" s="1"/>
  <c r="I143"/>
  <c r="H143"/>
  <c r="G143"/>
  <c r="F143"/>
  <c r="E143"/>
  <c r="D143"/>
  <c r="C143"/>
  <c r="B143"/>
  <c r="S143" s="1"/>
  <c r="I142"/>
  <c r="H142"/>
  <c r="G142"/>
  <c r="F142"/>
  <c r="E142"/>
  <c r="D142"/>
  <c r="C142"/>
  <c r="B142"/>
  <c r="S142" s="1"/>
  <c r="I141"/>
  <c r="H141"/>
  <c r="G141"/>
  <c r="F141"/>
  <c r="E141"/>
  <c r="D141"/>
  <c r="C141"/>
  <c r="B141"/>
  <c r="S141" s="1"/>
  <c r="I140"/>
  <c r="H140"/>
  <c r="G140"/>
  <c r="F140"/>
  <c r="E140"/>
  <c r="D140"/>
  <c r="C140"/>
  <c r="B140"/>
  <c r="S140" s="1"/>
  <c r="I139"/>
  <c r="H139"/>
  <c r="G139"/>
  <c r="F139"/>
  <c r="E139"/>
  <c r="D139"/>
  <c r="C139"/>
  <c r="B139"/>
  <c r="S139" s="1"/>
  <c r="I138"/>
  <c r="H138"/>
  <c r="G138"/>
  <c r="F138"/>
  <c r="E138"/>
  <c r="D138"/>
  <c r="C138"/>
  <c r="B138"/>
  <c r="S138" s="1"/>
  <c r="I137"/>
  <c r="H137"/>
  <c r="G137"/>
  <c r="F137"/>
  <c r="E137"/>
  <c r="D137"/>
  <c r="C137"/>
  <c r="B137"/>
  <c r="S137" s="1"/>
  <c r="I136"/>
  <c r="H136"/>
  <c r="G136"/>
  <c r="F136"/>
  <c r="E136"/>
  <c r="D136"/>
  <c r="C136"/>
  <c r="B136"/>
  <c r="S136" s="1"/>
  <c r="I135"/>
  <c r="H135"/>
  <c r="G135"/>
  <c r="F135"/>
  <c r="E135"/>
  <c r="D135"/>
  <c r="C135"/>
  <c r="B135"/>
  <c r="S135" s="1"/>
  <c r="I134"/>
  <c r="H134"/>
  <c r="G134"/>
  <c r="F134"/>
  <c r="E134"/>
  <c r="D134"/>
  <c r="C134"/>
  <c r="B134"/>
  <c r="S134" s="1"/>
  <c r="I133"/>
  <c r="H133"/>
  <c r="G133"/>
  <c r="F133"/>
  <c r="E133"/>
  <c r="D133"/>
  <c r="C133"/>
  <c r="B133"/>
  <c r="S133" s="1"/>
  <c r="I132"/>
  <c r="H132"/>
  <c r="G132"/>
  <c r="F132"/>
  <c r="E132"/>
  <c r="D132"/>
  <c r="C132"/>
  <c r="B132"/>
  <c r="S132" s="1"/>
  <c r="I131"/>
  <c r="H131"/>
  <c r="G131"/>
  <c r="F131"/>
  <c r="E131"/>
  <c r="D131"/>
  <c r="C131"/>
  <c r="B131"/>
  <c r="S131" s="1"/>
  <c r="I130"/>
  <c r="H130"/>
  <c r="G130"/>
  <c r="F130"/>
  <c r="E130"/>
  <c r="D130"/>
  <c r="C130"/>
  <c r="B130"/>
  <c r="S130" s="1"/>
  <c r="I129"/>
  <c r="H129"/>
  <c r="G129"/>
  <c r="F129"/>
  <c r="E129"/>
  <c r="D129"/>
  <c r="C129"/>
  <c r="B129"/>
  <c r="S129" s="1"/>
  <c r="I128"/>
  <c r="H128"/>
  <c r="G128"/>
  <c r="F128"/>
  <c r="E128"/>
  <c r="D128"/>
  <c r="C128"/>
  <c r="B128"/>
  <c r="S128" s="1"/>
  <c r="I127"/>
  <c r="H127"/>
  <c r="G127"/>
  <c r="F127"/>
  <c r="E127"/>
  <c r="D127"/>
  <c r="C127"/>
  <c r="B127"/>
  <c r="S127" s="1"/>
  <c r="I126"/>
  <c r="H126"/>
  <c r="G126"/>
  <c r="F126"/>
  <c r="E126"/>
  <c r="D126"/>
  <c r="C126"/>
  <c r="B126"/>
  <c r="S126" s="1"/>
  <c r="I125"/>
  <c r="H125"/>
  <c r="G125"/>
  <c r="F125"/>
  <c r="E125"/>
  <c r="D125"/>
  <c r="C125"/>
  <c r="B125"/>
  <c r="I124"/>
  <c r="H124"/>
  <c r="G124"/>
  <c r="F124"/>
  <c r="E124"/>
  <c r="D124"/>
  <c r="C124"/>
  <c r="B124"/>
  <c r="S124" s="1"/>
  <c r="I123"/>
  <c r="H123"/>
  <c r="G123"/>
  <c r="F123"/>
  <c r="E123"/>
  <c r="D123"/>
  <c r="C123"/>
  <c r="B123"/>
  <c r="S123" s="1"/>
  <c r="I122"/>
  <c r="H122"/>
  <c r="G122"/>
  <c r="F122"/>
  <c r="E122"/>
  <c r="D122"/>
  <c r="C122"/>
  <c r="B122"/>
  <c r="S122" s="1"/>
  <c r="I121"/>
  <c r="H121"/>
  <c r="G121"/>
  <c r="F121"/>
  <c r="E121"/>
  <c r="D121"/>
  <c r="C121"/>
  <c r="B121"/>
  <c r="S121" s="1"/>
  <c r="I120"/>
  <c r="H120"/>
  <c r="G120"/>
  <c r="F120"/>
  <c r="E120"/>
  <c r="D120"/>
  <c r="C120"/>
  <c r="B120"/>
  <c r="S120" s="1"/>
  <c r="I119"/>
  <c r="H119"/>
  <c r="G119"/>
  <c r="F119"/>
  <c r="E119"/>
  <c r="D119"/>
  <c r="C119"/>
  <c r="B119"/>
  <c r="S119" s="1"/>
  <c r="I118"/>
  <c r="H118"/>
  <c r="G118"/>
  <c r="F118"/>
  <c r="E118"/>
  <c r="D118"/>
  <c r="C118"/>
  <c r="B118"/>
  <c r="S118" s="1"/>
  <c r="I117"/>
  <c r="H117"/>
  <c r="G117"/>
  <c r="F117"/>
  <c r="E117"/>
  <c r="D117"/>
  <c r="C117"/>
  <c r="B117"/>
  <c r="S117" s="1"/>
  <c r="I116"/>
  <c r="H116"/>
  <c r="G116"/>
  <c r="F116"/>
  <c r="E116"/>
  <c r="D116"/>
  <c r="C116"/>
  <c r="B116"/>
  <c r="S116" s="1"/>
  <c r="I115"/>
  <c r="H115"/>
  <c r="G115"/>
  <c r="F115"/>
  <c r="E115"/>
  <c r="D115"/>
  <c r="C115"/>
  <c r="B115"/>
  <c r="S115" s="1"/>
  <c r="I114"/>
  <c r="H114"/>
  <c r="G114"/>
  <c r="F114"/>
  <c r="E114"/>
  <c r="D114"/>
  <c r="C114"/>
  <c r="B114"/>
  <c r="S114" s="1"/>
  <c r="I113"/>
  <c r="H113"/>
  <c r="G113"/>
  <c r="F113"/>
  <c r="E113"/>
  <c r="D113"/>
  <c r="C113"/>
  <c r="B113"/>
  <c r="S113" s="1"/>
  <c r="I112"/>
  <c r="H112"/>
  <c r="G112"/>
  <c r="F112"/>
  <c r="E112"/>
  <c r="D112"/>
  <c r="C112"/>
  <c r="B112"/>
  <c r="S112" s="1"/>
  <c r="I111"/>
  <c r="H111"/>
  <c r="G111"/>
  <c r="F111"/>
  <c r="E111"/>
  <c r="D111"/>
  <c r="C111"/>
  <c r="B111"/>
  <c r="S111" s="1"/>
  <c r="I110"/>
  <c r="H110"/>
  <c r="G110"/>
  <c r="F110"/>
  <c r="E110"/>
  <c r="D110"/>
  <c r="C110"/>
  <c r="B110"/>
  <c r="S110" s="1"/>
  <c r="I109"/>
  <c r="H109"/>
  <c r="G109"/>
  <c r="F109"/>
  <c r="E109"/>
  <c r="D109"/>
  <c r="C109"/>
  <c r="B109"/>
  <c r="S109" s="1"/>
  <c r="I108"/>
  <c r="H108"/>
  <c r="G108"/>
  <c r="F108"/>
  <c r="E108"/>
  <c r="D108"/>
  <c r="C108"/>
  <c r="B108"/>
  <c r="S108" s="1"/>
  <c r="I107"/>
  <c r="H107"/>
  <c r="G107"/>
  <c r="F107"/>
  <c r="E107"/>
  <c r="D107"/>
  <c r="C107"/>
  <c r="B107"/>
  <c r="S107" s="1"/>
  <c r="I106"/>
  <c r="H106"/>
  <c r="G106"/>
  <c r="F106"/>
  <c r="E106"/>
  <c r="D106"/>
  <c r="C106"/>
  <c r="B106"/>
  <c r="S106" s="1"/>
  <c r="I105"/>
  <c r="H105"/>
  <c r="G105"/>
  <c r="F105"/>
  <c r="E105"/>
  <c r="D105"/>
  <c r="C105"/>
  <c r="B105"/>
  <c r="S105" s="1"/>
  <c r="I104"/>
  <c r="H104"/>
  <c r="G104"/>
  <c r="F104"/>
  <c r="E104"/>
  <c r="D104"/>
  <c r="C104"/>
  <c r="B104"/>
  <c r="S104" s="1"/>
  <c r="I103"/>
  <c r="H103"/>
  <c r="G103"/>
  <c r="F103"/>
  <c r="E103"/>
  <c r="D103"/>
  <c r="C103"/>
  <c r="B103"/>
  <c r="S103" s="1"/>
  <c r="I102"/>
  <c r="H102"/>
  <c r="G102"/>
  <c r="F102"/>
  <c r="E102"/>
  <c r="D102"/>
  <c r="C102"/>
  <c r="B102"/>
  <c r="S102" s="1"/>
  <c r="I101"/>
  <c r="H101"/>
  <c r="G101"/>
  <c r="F101"/>
  <c r="E101"/>
  <c r="D101"/>
  <c r="C101"/>
  <c r="B101"/>
  <c r="S101" s="1"/>
  <c r="I100"/>
  <c r="H100"/>
  <c r="G100"/>
  <c r="F100"/>
  <c r="E100"/>
  <c r="D100"/>
  <c r="C100"/>
  <c r="B100"/>
  <c r="S100" s="1"/>
  <c r="I99"/>
  <c r="H99"/>
  <c r="G99"/>
  <c r="F99"/>
  <c r="E99"/>
  <c r="D99"/>
  <c r="C99"/>
  <c r="B99"/>
  <c r="S99" s="1"/>
  <c r="I98"/>
  <c r="H98"/>
  <c r="G98"/>
  <c r="F98"/>
  <c r="E98"/>
  <c r="D98"/>
  <c r="C98"/>
  <c r="B98"/>
  <c r="S98" s="1"/>
  <c r="I97"/>
  <c r="H97"/>
  <c r="G97"/>
  <c r="F97"/>
  <c r="E97"/>
  <c r="D97"/>
  <c r="C97"/>
  <c r="B97"/>
  <c r="S97" s="1"/>
  <c r="I96"/>
  <c r="H96"/>
  <c r="G96"/>
  <c r="F96"/>
  <c r="E96"/>
  <c r="D96"/>
  <c r="C96"/>
  <c r="B96"/>
  <c r="S96" s="1"/>
  <c r="I95"/>
  <c r="H95"/>
  <c r="G95"/>
  <c r="F95"/>
  <c r="E95"/>
  <c r="D95"/>
  <c r="C95"/>
  <c r="B95"/>
  <c r="S95" s="1"/>
  <c r="I94"/>
  <c r="H94"/>
  <c r="G94"/>
  <c r="F94"/>
  <c r="E94"/>
  <c r="D94"/>
  <c r="C94"/>
  <c r="B94"/>
  <c r="S94" s="1"/>
  <c r="I93"/>
  <c r="H93"/>
  <c r="G93"/>
  <c r="F93"/>
  <c r="E93"/>
  <c r="D93"/>
  <c r="C93"/>
  <c r="B93"/>
  <c r="S93" s="1"/>
  <c r="I92"/>
  <c r="H92"/>
  <c r="G92"/>
  <c r="F92"/>
  <c r="E92"/>
  <c r="D92"/>
  <c r="C92"/>
  <c r="B92"/>
  <c r="S92" s="1"/>
  <c r="I91"/>
  <c r="H91"/>
  <c r="G91"/>
  <c r="F91"/>
  <c r="E91"/>
  <c r="D91"/>
  <c r="C91"/>
  <c r="B91"/>
  <c r="S91" s="1"/>
  <c r="I90"/>
  <c r="H90"/>
  <c r="G90"/>
  <c r="F90"/>
  <c r="E90"/>
  <c r="D90"/>
  <c r="C90"/>
  <c r="B90"/>
  <c r="S90" s="1"/>
  <c r="I89"/>
  <c r="H89"/>
  <c r="G89"/>
  <c r="F89"/>
  <c r="E89"/>
  <c r="D89"/>
  <c r="C89"/>
  <c r="B89"/>
  <c r="S89" s="1"/>
  <c r="I88"/>
  <c r="H88"/>
  <c r="G88"/>
  <c r="F88"/>
  <c r="E88"/>
  <c r="D88"/>
  <c r="C88"/>
  <c r="B88"/>
  <c r="S88" s="1"/>
  <c r="I87"/>
  <c r="H87"/>
  <c r="G87"/>
  <c r="F87"/>
  <c r="E87"/>
  <c r="D87"/>
  <c r="C87"/>
  <c r="B87"/>
  <c r="S87" s="1"/>
  <c r="I86"/>
  <c r="H86"/>
  <c r="G86"/>
  <c r="F86"/>
  <c r="E86"/>
  <c r="D86"/>
  <c r="C86"/>
  <c r="B86"/>
  <c r="S86" s="1"/>
  <c r="I85"/>
  <c r="H85"/>
  <c r="G85"/>
  <c r="F85"/>
  <c r="E85"/>
  <c r="D85"/>
  <c r="C85"/>
  <c r="B85"/>
  <c r="I84"/>
  <c r="H84"/>
  <c r="G84"/>
  <c r="F84"/>
  <c r="E84"/>
  <c r="D84"/>
  <c r="C84"/>
  <c r="B84"/>
  <c r="S84" s="1"/>
  <c r="I83"/>
  <c r="H83"/>
  <c r="G83"/>
  <c r="F83"/>
  <c r="E83"/>
  <c r="D83"/>
  <c r="C83"/>
  <c r="B83"/>
  <c r="S83" s="1"/>
  <c r="I82"/>
  <c r="H82"/>
  <c r="G82"/>
  <c r="F82"/>
  <c r="E82"/>
  <c r="D82"/>
  <c r="C82"/>
  <c r="B82"/>
  <c r="S82" s="1"/>
  <c r="I81"/>
  <c r="H81"/>
  <c r="G81"/>
  <c r="F81"/>
  <c r="E81"/>
  <c r="D81"/>
  <c r="C81"/>
  <c r="B81"/>
  <c r="S81" s="1"/>
  <c r="I80"/>
  <c r="H80"/>
  <c r="G80"/>
  <c r="F80"/>
  <c r="E80"/>
  <c r="D80"/>
  <c r="C80"/>
  <c r="B80"/>
  <c r="S80" s="1"/>
  <c r="I79"/>
  <c r="H79"/>
  <c r="G79"/>
  <c r="F79"/>
  <c r="E79"/>
  <c r="D79"/>
  <c r="C79"/>
  <c r="B79"/>
  <c r="S79" s="1"/>
  <c r="I78"/>
  <c r="H78"/>
  <c r="G78"/>
  <c r="F78"/>
  <c r="E78"/>
  <c r="D78"/>
  <c r="C78"/>
  <c r="B78"/>
  <c r="S78" s="1"/>
  <c r="I77"/>
  <c r="H77"/>
  <c r="G77"/>
  <c r="F77"/>
  <c r="E77"/>
  <c r="D77"/>
  <c r="C77"/>
  <c r="B77"/>
  <c r="I76"/>
  <c r="H76"/>
  <c r="G76"/>
  <c r="F76"/>
  <c r="E76"/>
  <c r="D76"/>
  <c r="C76"/>
  <c r="B76"/>
  <c r="S76" s="1"/>
  <c r="I75"/>
  <c r="H75"/>
  <c r="G75"/>
  <c r="F75"/>
  <c r="E75"/>
  <c r="D75"/>
  <c r="C75"/>
  <c r="B75"/>
  <c r="S75" s="1"/>
  <c r="I74"/>
  <c r="H74"/>
  <c r="G74"/>
  <c r="F74"/>
  <c r="E74"/>
  <c r="D74"/>
  <c r="C74"/>
  <c r="B74"/>
  <c r="S74" s="1"/>
  <c r="I73"/>
  <c r="H73"/>
  <c r="G73"/>
  <c r="F73"/>
  <c r="E73"/>
  <c r="D73"/>
  <c r="C73"/>
  <c r="B73"/>
  <c r="S73" s="1"/>
  <c r="I72"/>
  <c r="H72"/>
  <c r="G72"/>
  <c r="F72"/>
  <c r="E72"/>
  <c r="D72"/>
  <c r="C72"/>
  <c r="B72"/>
  <c r="S72" s="1"/>
  <c r="I71"/>
  <c r="H71"/>
  <c r="G71"/>
  <c r="F71"/>
  <c r="E71"/>
  <c r="D71"/>
  <c r="C71"/>
  <c r="B71"/>
  <c r="S71" s="1"/>
  <c r="I70"/>
  <c r="H70"/>
  <c r="G70"/>
  <c r="F70"/>
  <c r="E70"/>
  <c r="D70"/>
  <c r="C70"/>
  <c r="B70"/>
  <c r="S70" s="1"/>
  <c r="I69"/>
  <c r="H69"/>
  <c r="G69"/>
  <c r="F69"/>
  <c r="E69"/>
  <c r="D69"/>
  <c r="C69"/>
  <c r="B69"/>
  <c r="S69" s="1"/>
  <c r="I68"/>
  <c r="H68"/>
  <c r="G68"/>
  <c r="F68"/>
  <c r="E68"/>
  <c r="D68"/>
  <c r="C68"/>
  <c r="B68"/>
  <c r="S68" s="1"/>
  <c r="I67"/>
  <c r="H67"/>
  <c r="G67"/>
  <c r="F67"/>
  <c r="E67"/>
  <c r="D67"/>
  <c r="C67"/>
  <c r="B67"/>
  <c r="S67" s="1"/>
  <c r="I66"/>
  <c r="H66"/>
  <c r="G66"/>
  <c r="F66"/>
  <c r="E66"/>
  <c r="D66"/>
  <c r="C66"/>
  <c r="B66"/>
  <c r="S66" s="1"/>
  <c r="I65"/>
  <c r="H65"/>
  <c r="G65"/>
  <c r="F65"/>
  <c r="E65"/>
  <c r="D65"/>
  <c r="C65"/>
  <c r="B65"/>
  <c r="S65" s="1"/>
  <c r="I64"/>
  <c r="H64"/>
  <c r="G64"/>
  <c r="F64"/>
  <c r="E64"/>
  <c r="D64"/>
  <c r="C64"/>
  <c r="B64"/>
  <c r="S64" s="1"/>
  <c r="I63"/>
  <c r="H63"/>
  <c r="G63"/>
  <c r="F63"/>
  <c r="E63"/>
  <c r="D63"/>
  <c r="C63"/>
  <c r="B63"/>
  <c r="S63" s="1"/>
  <c r="I62"/>
  <c r="H62"/>
  <c r="G62"/>
  <c r="F62"/>
  <c r="E62"/>
  <c r="D62"/>
  <c r="C62"/>
  <c r="B62"/>
  <c r="S62" s="1"/>
  <c r="I61"/>
  <c r="H61"/>
  <c r="G61"/>
  <c r="F61"/>
  <c r="E61"/>
  <c r="D61"/>
  <c r="C61"/>
  <c r="B61"/>
  <c r="S61" s="1"/>
  <c r="I60"/>
  <c r="H60"/>
  <c r="G60"/>
  <c r="F60"/>
  <c r="E60"/>
  <c r="D60"/>
  <c r="C60"/>
  <c r="B60"/>
  <c r="S60" s="1"/>
  <c r="I59"/>
  <c r="H59"/>
  <c r="G59"/>
  <c r="F59"/>
  <c r="E59"/>
  <c r="D59"/>
  <c r="C59"/>
  <c r="B59"/>
  <c r="S59" s="1"/>
  <c r="I58"/>
  <c r="H58"/>
  <c r="G58"/>
  <c r="F58"/>
  <c r="E58"/>
  <c r="D58"/>
  <c r="C58"/>
  <c r="B58"/>
  <c r="S58" s="1"/>
  <c r="I57"/>
  <c r="H57"/>
  <c r="G57"/>
  <c r="F57"/>
  <c r="E57"/>
  <c r="D57"/>
  <c r="C57"/>
  <c r="B57"/>
  <c r="S57" s="1"/>
  <c r="I56"/>
  <c r="H56"/>
  <c r="G56"/>
  <c r="F56"/>
  <c r="E56"/>
  <c r="D56"/>
  <c r="C56"/>
  <c r="B56"/>
  <c r="S56" s="1"/>
  <c r="I55"/>
  <c r="H55"/>
  <c r="G55"/>
  <c r="F55"/>
  <c r="E55"/>
  <c r="D55"/>
  <c r="C55"/>
  <c r="B55"/>
  <c r="S55" s="1"/>
  <c r="I54"/>
  <c r="H54"/>
  <c r="G54"/>
  <c r="F54"/>
  <c r="E54"/>
  <c r="D54"/>
  <c r="C54"/>
  <c r="B54"/>
  <c r="S54" s="1"/>
  <c r="I53"/>
  <c r="H53"/>
  <c r="G53"/>
  <c r="F53"/>
  <c r="E53"/>
  <c r="D53"/>
  <c r="C53"/>
  <c r="B53"/>
  <c r="S53" s="1"/>
  <c r="I52"/>
  <c r="H52"/>
  <c r="G52"/>
  <c r="F52"/>
  <c r="E52"/>
  <c r="D52"/>
  <c r="C52"/>
  <c r="B52"/>
  <c r="S52" s="1"/>
  <c r="I51"/>
  <c r="H51"/>
  <c r="G51"/>
  <c r="F51"/>
  <c r="E51"/>
  <c r="D51"/>
  <c r="C51"/>
  <c r="B51"/>
  <c r="S51" s="1"/>
  <c r="I50"/>
  <c r="H50"/>
  <c r="G50"/>
  <c r="F50"/>
  <c r="E50"/>
  <c r="D50"/>
  <c r="C50"/>
  <c r="B50"/>
  <c r="S50" s="1"/>
  <c r="I49"/>
  <c r="H49"/>
  <c r="G49"/>
  <c r="F49"/>
  <c r="E49"/>
  <c r="D49"/>
  <c r="C49"/>
  <c r="B49"/>
  <c r="S49" s="1"/>
  <c r="I48"/>
  <c r="H48"/>
  <c r="G48"/>
  <c r="F48"/>
  <c r="E48"/>
  <c r="D48"/>
  <c r="C48"/>
  <c r="B48"/>
  <c r="S48" s="1"/>
  <c r="I47"/>
  <c r="H47"/>
  <c r="G47"/>
  <c r="F47"/>
  <c r="E47"/>
  <c r="D47"/>
  <c r="C47"/>
  <c r="B47"/>
  <c r="S47" s="1"/>
  <c r="I46"/>
  <c r="H46"/>
  <c r="G46"/>
  <c r="F46"/>
  <c r="E46"/>
  <c r="D46"/>
  <c r="C46"/>
  <c r="B46"/>
  <c r="S46" s="1"/>
  <c r="I45"/>
  <c r="H45"/>
  <c r="G45"/>
  <c r="F45"/>
  <c r="E45"/>
  <c r="D45"/>
  <c r="C45"/>
  <c r="B45"/>
  <c r="S45" s="1"/>
  <c r="I44"/>
  <c r="H44"/>
  <c r="G44"/>
  <c r="F44"/>
  <c r="E44"/>
  <c r="D44"/>
  <c r="C44"/>
  <c r="B44"/>
  <c r="S44" s="1"/>
  <c r="I43"/>
  <c r="H43"/>
  <c r="G43"/>
  <c r="F43"/>
  <c r="E43"/>
  <c r="D43"/>
  <c r="C43"/>
  <c r="B43"/>
  <c r="S43" s="1"/>
  <c r="I42"/>
  <c r="H42"/>
  <c r="G42"/>
  <c r="F42"/>
  <c r="E42"/>
  <c r="D42"/>
  <c r="C42"/>
  <c r="B42"/>
  <c r="S42" s="1"/>
  <c r="I41"/>
  <c r="H41"/>
  <c r="G41"/>
  <c r="F41"/>
  <c r="E41"/>
  <c r="D41"/>
  <c r="C41"/>
  <c r="B41"/>
  <c r="S41" s="1"/>
  <c r="I40"/>
  <c r="H40"/>
  <c r="G40"/>
  <c r="F40"/>
  <c r="E40"/>
  <c r="D40"/>
  <c r="C40"/>
  <c r="B40"/>
  <c r="S40" s="1"/>
  <c r="I39"/>
  <c r="H39"/>
  <c r="G39"/>
  <c r="F39"/>
  <c r="E39"/>
  <c r="D39"/>
  <c r="C39"/>
  <c r="B39"/>
  <c r="S39" s="1"/>
  <c r="I38"/>
  <c r="H38"/>
  <c r="G38"/>
  <c r="F38"/>
  <c r="E38"/>
  <c r="D38"/>
  <c r="C38"/>
  <c r="B38"/>
  <c r="I37"/>
  <c r="H37"/>
  <c r="G37"/>
  <c r="F37"/>
  <c r="E37"/>
  <c r="D37"/>
  <c r="C37"/>
  <c r="B37"/>
  <c r="I36"/>
  <c r="H36"/>
  <c r="G36"/>
  <c r="F36"/>
  <c r="E36"/>
  <c r="D36"/>
  <c r="C36"/>
  <c r="B36"/>
  <c r="I35"/>
  <c r="H35"/>
  <c r="G35"/>
  <c r="F35"/>
  <c r="E35"/>
  <c r="D35"/>
  <c r="C35"/>
  <c r="B35"/>
  <c r="I34"/>
  <c r="H34"/>
  <c r="G34"/>
  <c r="F34"/>
  <c r="E34"/>
  <c r="D34"/>
  <c r="C34"/>
  <c r="B34"/>
  <c r="I33"/>
  <c r="H33"/>
  <c r="G33"/>
  <c r="F33"/>
  <c r="E33"/>
  <c r="D33"/>
  <c r="C33"/>
  <c r="B33"/>
  <c r="I32"/>
  <c r="H32"/>
  <c r="G32"/>
  <c r="F32"/>
  <c r="E32"/>
  <c r="D32"/>
  <c r="C32"/>
  <c r="B32"/>
  <c r="I31"/>
  <c r="H31"/>
  <c r="G31"/>
  <c r="F31"/>
  <c r="E31"/>
  <c r="D31"/>
  <c r="C31"/>
  <c r="B31"/>
  <c r="I30"/>
  <c r="H30"/>
  <c r="G30"/>
  <c r="F30"/>
  <c r="E30"/>
  <c r="D30"/>
  <c r="C30"/>
  <c r="B30"/>
  <c r="I29"/>
  <c r="H29"/>
  <c r="G29"/>
  <c r="F29"/>
  <c r="E29"/>
  <c r="D29"/>
  <c r="C29"/>
  <c r="B29"/>
  <c r="I28"/>
  <c r="H28"/>
  <c r="G28"/>
  <c r="F28"/>
  <c r="E28"/>
  <c r="D28"/>
  <c r="C28"/>
  <c r="B28"/>
  <c r="I27"/>
  <c r="H27"/>
  <c r="G27"/>
  <c r="F27"/>
  <c r="E27"/>
  <c r="D27"/>
  <c r="C27"/>
  <c r="B27"/>
  <c r="I26"/>
  <c r="H26"/>
  <c r="G26"/>
  <c r="F26"/>
  <c r="E26"/>
  <c r="D26"/>
  <c r="C26"/>
  <c r="B26"/>
  <c r="I25"/>
  <c r="H25"/>
  <c r="G25"/>
  <c r="F25"/>
  <c r="E25"/>
  <c r="D25"/>
  <c r="C25"/>
  <c r="B25"/>
  <c r="I24"/>
  <c r="H24"/>
  <c r="G24"/>
  <c r="F24"/>
  <c r="E24"/>
  <c r="D24"/>
  <c r="C24"/>
  <c r="B24"/>
  <c r="I23"/>
  <c r="H23"/>
  <c r="G23"/>
  <c r="F23"/>
  <c r="E23"/>
  <c r="D23"/>
  <c r="C23"/>
  <c r="B23"/>
  <c r="I22"/>
  <c r="H22"/>
  <c r="G22"/>
  <c r="F22"/>
  <c r="E22"/>
  <c r="D22"/>
  <c r="C22"/>
  <c r="B22"/>
  <c r="I21"/>
  <c r="H21"/>
  <c r="G21"/>
  <c r="F21"/>
  <c r="E21"/>
  <c r="D21"/>
  <c r="C21"/>
  <c r="B21"/>
  <c r="I20"/>
  <c r="H20"/>
  <c r="G20"/>
  <c r="F20"/>
  <c r="E20"/>
  <c r="D20"/>
  <c r="C20"/>
  <c r="B20"/>
  <c r="I19"/>
  <c r="H19"/>
  <c r="G19"/>
  <c r="F19"/>
  <c r="E19"/>
  <c r="D19"/>
  <c r="C19"/>
  <c r="B19"/>
  <c r="I18"/>
  <c r="H18"/>
  <c r="G18"/>
  <c r="F18"/>
  <c r="E18"/>
  <c r="D18"/>
  <c r="C18"/>
  <c r="B18"/>
  <c r="I17"/>
  <c r="H17"/>
  <c r="G17"/>
  <c r="F17"/>
  <c r="E17"/>
  <c r="D17"/>
  <c r="C17"/>
  <c r="B17"/>
  <c r="I16"/>
  <c r="H16"/>
  <c r="G16"/>
  <c r="F16"/>
  <c r="E16"/>
  <c r="D16"/>
  <c r="C16"/>
  <c r="B16"/>
  <c r="I15"/>
  <c r="H15"/>
  <c r="G15"/>
  <c r="F15"/>
  <c r="E15"/>
  <c r="D15"/>
  <c r="C15"/>
  <c r="B15"/>
  <c r="I14"/>
  <c r="H14"/>
  <c r="G14"/>
  <c r="F14"/>
  <c r="E14"/>
  <c r="D14"/>
  <c r="C14"/>
  <c r="B14"/>
  <c r="I13"/>
  <c r="H13"/>
  <c r="G13"/>
  <c r="F13"/>
  <c r="E13"/>
  <c r="D13"/>
  <c r="C13"/>
  <c r="B13"/>
  <c r="I12"/>
  <c r="H12"/>
  <c r="G12"/>
  <c r="F12"/>
  <c r="E12"/>
  <c r="D12"/>
  <c r="C12"/>
  <c r="B12"/>
  <c r="I11"/>
  <c r="H11"/>
  <c r="G11"/>
  <c r="F11"/>
  <c r="E11"/>
  <c r="D11"/>
  <c r="C11"/>
  <c r="B11"/>
  <c r="I10"/>
  <c r="H10"/>
  <c r="G10"/>
  <c r="F10"/>
  <c r="E10"/>
  <c r="D10"/>
  <c r="C10"/>
  <c r="B10"/>
  <c r="I9"/>
  <c r="H9"/>
  <c r="G9"/>
  <c r="F9"/>
  <c r="E9"/>
  <c r="D9"/>
  <c r="C9"/>
  <c r="B9"/>
  <c r="I8"/>
  <c r="H8"/>
  <c r="G8"/>
  <c r="F8"/>
  <c r="E8"/>
  <c r="D8"/>
  <c r="C8"/>
  <c r="B8"/>
  <c r="F218"/>
  <c r="F217"/>
  <c r="F216"/>
  <c r="F215"/>
  <c r="F214"/>
  <c r="F213"/>
  <c r="F212"/>
  <c r="F211"/>
  <c r="F210"/>
  <c r="F209"/>
  <c r="X7" i="9"/>
  <c r="W8"/>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W7"/>
  <c r="V7"/>
  <c r="U7"/>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U205" l="1"/>
  <c r="U201"/>
  <c r="V201" s="1"/>
  <c r="U197"/>
  <c r="U193"/>
  <c r="U189"/>
  <c r="U185"/>
  <c r="V185" s="1"/>
  <c r="U181"/>
  <c r="U177"/>
  <c r="U173"/>
  <c r="U169"/>
  <c r="V169" s="1"/>
  <c r="U165"/>
  <c r="U161"/>
  <c r="U157"/>
  <c r="U153"/>
  <c r="U149"/>
  <c r="U145"/>
  <c r="U141"/>
  <c r="U137"/>
  <c r="U133"/>
  <c r="U129"/>
  <c r="U125"/>
  <c r="U121"/>
  <c r="V121" s="1"/>
  <c r="U117"/>
  <c r="U113"/>
  <c r="U109"/>
  <c r="V109" s="1"/>
  <c r="U105"/>
  <c r="U101"/>
  <c r="U97"/>
  <c r="U93"/>
  <c r="U89"/>
  <c r="V89" s="1"/>
  <c r="U85"/>
  <c r="U81"/>
  <c r="U77"/>
  <c r="V77" s="1"/>
  <c r="U73"/>
  <c r="U69"/>
  <c r="U65"/>
  <c r="U61"/>
  <c r="V61" s="1"/>
  <c r="U57"/>
  <c r="V57" s="1"/>
  <c r="U53"/>
  <c r="U49"/>
  <c r="U45"/>
  <c r="V45" s="1"/>
  <c r="U41"/>
  <c r="S125"/>
  <c r="S85"/>
  <c r="S77"/>
  <c r="U206"/>
  <c r="U202"/>
  <c r="U198"/>
  <c r="U194"/>
  <c r="V194" s="1"/>
  <c r="U190"/>
  <c r="U186"/>
  <c r="U182"/>
  <c r="U178"/>
  <c r="V178" s="1"/>
  <c r="U174"/>
  <c r="U170"/>
  <c r="U166"/>
  <c r="U162"/>
  <c r="V162" s="1"/>
  <c r="U158"/>
  <c r="V158" s="1"/>
  <c r="U154"/>
  <c r="U150"/>
  <c r="U146"/>
  <c r="V146" s="1"/>
  <c r="U142"/>
  <c r="V142" s="1"/>
  <c r="U138"/>
  <c r="U134"/>
  <c r="U130"/>
  <c r="V130" s="1"/>
  <c r="U126"/>
  <c r="V126" s="1"/>
  <c r="U122"/>
  <c r="U118"/>
  <c r="V118" s="1"/>
  <c r="U114"/>
  <c r="U110"/>
  <c r="V110" s="1"/>
  <c r="U106"/>
  <c r="U102"/>
  <c r="V102" s="1"/>
  <c r="U98"/>
  <c r="V98" s="1"/>
  <c r="U94"/>
  <c r="V94" s="1"/>
  <c r="U90"/>
  <c r="V90" s="1"/>
  <c r="U86"/>
  <c r="U82"/>
  <c r="U78"/>
  <c r="U74"/>
  <c r="U70"/>
  <c r="U66"/>
  <c r="U62"/>
  <c r="U58"/>
  <c r="U54"/>
  <c r="U50"/>
  <c r="U46"/>
  <c r="U42"/>
  <c r="V53"/>
  <c r="V69"/>
  <c r="V93"/>
  <c r="V97"/>
  <c r="V101"/>
  <c r="V105"/>
  <c r="V106"/>
  <c r="V113"/>
  <c r="V114"/>
  <c r="V117"/>
  <c r="V122"/>
  <c r="V165"/>
  <c r="V166"/>
  <c r="V170"/>
  <c r="V173"/>
  <c r="V174"/>
  <c r="V177"/>
  <c r="V181"/>
  <c r="V182"/>
  <c r="V186"/>
  <c r="V189"/>
  <c r="V190"/>
  <c r="V193"/>
  <c r="V197"/>
  <c r="V198"/>
  <c r="V202"/>
  <c r="V205"/>
  <c r="V206"/>
  <c r="U207"/>
  <c r="U203"/>
  <c r="U199"/>
  <c r="V199" s="1"/>
  <c r="U195"/>
  <c r="V195" s="1"/>
  <c r="U191"/>
  <c r="U187"/>
  <c r="U183"/>
  <c r="V183" s="1"/>
  <c r="U179"/>
  <c r="V179" s="1"/>
  <c r="U175"/>
  <c r="U171"/>
  <c r="U167"/>
  <c r="V167" s="1"/>
  <c r="U163"/>
  <c r="V163" s="1"/>
  <c r="U159"/>
  <c r="U155"/>
  <c r="U151"/>
  <c r="V151" s="1"/>
  <c r="U147"/>
  <c r="V147" s="1"/>
  <c r="U143"/>
  <c r="U139"/>
  <c r="U135"/>
  <c r="V135" s="1"/>
  <c r="U131"/>
  <c r="V131" s="1"/>
  <c r="U127"/>
  <c r="U123"/>
  <c r="U119"/>
  <c r="V119" s="1"/>
  <c r="U115"/>
  <c r="V115" s="1"/>
  <c r="U111"/>
  <c r="U107"/>
  <c r="U103"/>
  <c r="V103" s="1"/>
  <c r="U99"/>
  <c r="V99" s="1"/>
  <c r="U95"/>
  <c r="U91"/>
  <c r="U87"/>
  <c r="V87" s="1"/>
  <c r="U83"/>
  <c r="V83" s="1"/>
  <c r="U79"/>
  <c r="U75"/>
  <c r="U71"/>
  <c r="V71" s="1"/>
  <c r="U67"/>
  <c r="V67" s="1"/>
  <c r="U63"/>
  <c r="U59"/>
  <c r="U55"/>
  <c r="V55" s="1"/>
  <c r="U51"/>
  <c r="V51" s="1"/>
  <c r="U47"/>
  <c r="U43"/>
  <c r="U39"/>
  <c r="V39" s="1"/>
  <c r="U204"/>
  <c r="V204" s="1"/>
  <c r="U200"/>
  <c r="U196"/>
  <c r="U192"/>
  <c r="V192" s="1"/>
  <c r="U188"/>
  <c r="V188" s="1"/>
  <c r="U184"/>
  <c r="U180"/>
  <c r="U176"/>
  <c r="V176" s="1"/>
  <c r="U172"/>
  <c r="V172" s="1"/>
  <c r="U168"/>
  <c r="U164"/>
  <c r="U160"/>
  <c r="V160" s="1"/>
  <c r="U156"/>
  <c r="V156" s="1"/>
  <c r="U152"/>
  <c r="U148"/>
  <c r="U144"/>
  <c r="V144" s="1"/>
  <c r="U140"/>
  <c r="V140" s="1"/>
  <c r="U136"/>
  <c r="U132"/>
  <c r="U128"/>
  <c r="V128" s="1"/>
  <c r="U124"/>
  <c r="V124" s="1"/>
  <c r="U120"/>
  <c r="U116"/>
  <c r="U112"/>
  <c r="V112" s="1"/>
  <c r="U108"/>
  <c r="V108" s="1"/>
  <c r="U104"/>
  <c r="U100"/>
  <c r="U96"/>
  <c r="V96" s="1"/>
  <c r="U92"/>
  <c r="V92" s="1"/>
  <c r="U88"/>
  <c r="U84"/>
  <c r="U80"/>
  <c r="V80" s="1"/>
  <c r="U76"/>
  <c r="V76" s="1"/>
  <c r="U72"/>
  <c r="U68"/>
  <c r="U64"/>
  <c r="V64" s="1"/>
  <c r="U60"/>
  <c r="V60" s="1"/>
  <c r="U56"/>
  <c r="U52"/>
  <c r="U48"/>
  <c r="V48" s="1"/>
  <c r="U44"/>
  <c r="V44" s="1"/>
  <c r="U40"/>
  <c r="V161"/>
  <c r="V157"/>
  <c r="V153"/>
  <c r="V149"/>
  <c r="V145"/>
  <c r="V141"/>
  <c r="V137"/>
  <c r="V133"/>
  <c r="V129"/>
  <c r="V125"/>
  <c r="V85"/>
  <c r="V81"/>
  <c r="V73"/>
  <c r="V65"/>
  <c r="V49"/>
  <c r="V41"/>
  <c r="V154"/>
  <c r="V150"/>
  <c r="V138"/>
  <c r="V134"/>
  <c r="V86"/>
  <c r="V82"/>
  <c r="V78"/>
  <c r="V74"/>
  <c r="V70"/>
  <c r="V66"/>
  <c r="V62"/>
  <c r="V58"/>
  <c r="V54"/>
  <c r="V50"/>
  <c r="V46"/>
  <c r="V42"/>
  <c r="V207"/>
  <c r="V203"/>
  <c r="V191"/>
  <c r="V187"/>
  <c r="V175"/>
  <c r="V171"/>
  <c r="V159"/>
  <c r="V155"/>
  <c r="V143"/>
  <c r="V139"/>
  <c r="V127"/>
  <c r="V123"/>
  <c r="V111"/>
  <c r="V107"/>
  <c r="V95"/>
  <c r="V91"/>
  <c r="V79"/>
  <c r="V75"/>
  <c r="V63"/>
  <c r="V59"/>
  <c r="V47"/>
  <c r="V43"/>
  <c r="V200"/>
  <c r="V196"/>
  <c r="V184"/>
  <c r="V180"/>
  <c r="V168"/>
  <c r="V164"/>
  <c r="V152"/>
  <c r="V148"/>
  <c r="V136"/>
  <c r="V132"/>
  <c r="V120"/>
  <c r="V116"/>
  <c r="V104"/>
  <c r="V100"/>
  <c r="V88"/>
  <c r="V84"/>
  <c r="V72"/>
  <c r="V68"/>
  <c r="V56"/>
  <c r="V52"/>
  <c r="V40"/>
  <c r="AB296" i="19" l="1"/>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AN10" i="19"/>
  <c r="L8" s="1"/>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K28" i="19" l="1"/>
  <c r="E5"/>
  <c r="AB8"/>
  <c r="AI108" i="18"/>
  <c r="AI106"/>
  <c r="AI240"/>
  <c r="AI238"/>
  <c r="AI141"/>
  <c r="AI139"/>
  <c r="AI273"/>
  <c r="AI271"/>
  <c r="AI42"/>
  <c r="AH43" s="1"/>
  <c r="AI40"/>
  <c r="AI174"/>
  <c r="AH175" s="1"/>
  <c r="AI172"/>
  <c r="AI306"/>
  <c r="AH307" s="1"/>
  <c r="AI304"/>
  <c r="AH109"/>
  <c r="AH241"/>
  <c r="AI75"/>
  <c r="AH76" s="1"/>
  <c r="AI73"/>
  <c r="AI207"/>
  <c r="AH208" s="1"/>
  <c r="AI205"/>
  <c r="AH142"/>
  <c r="AH274"/>
  <c r="AH40"/>
  <c r="AH73"/>
  <c r="AH106"/>
  <c r="AH139"/>
  <c r="AH172"/>
  <c r="AH205"/>
  <c r="AH238"/>
  <c r="AH271"/>
  <c r="AH304"/>
  <c r="AG40"/>
  <c r="AG73"/>
  <c r="AG106"/>
  <c r="AG139"/>
  <c r="AG172"/>
  <c r="AG205"/>
  <c r="AG238"/>
  <c r="AG271"/>
  <c r="AG304"/>
  <c r="AA28" i="19" l="1"/>
  <c r="U5"/>
  <c r="L38"/>
  <c r="AH74" i="18"/>
  <c r="AH305"/>
  <c r="AH41"/>
  <c r="AH272"/>
  <c r="AH107"/>
  <c r="AH206"/>
  <c r="AH173"/>
  <c r="AH140"/>
  <c r="AH239"/>
  <c r="K58" i="19" l="1"/>
  <c r="E35"/>
  <c r="AB38"/>
  <c r="B6" i="15"/>
  <c r="C6"/>
  <c r="D6"/>
  <c r="E6"/>
  <c r="F6"/>
  <c r="G6"/>
  <c r="B7"/>
  <c r="C7"/>
  <c r="D7"/>
  <c r="E7"/>
  <c r="F7"/>
  <c r="G7"/>
  <c r="B8"/>
  <c r="C8"/>
  <c r="D8"/>
  <c r="E8"/>
  <c r="F8"/>
  <c r="G8"/>
  <c r="B9"/>
  <c r="C9"/>
  <c r="D9"/>
  <c r="E9"/>
  <c r="F9"/>
  <c r="G9"/>
  <c r="B10"/>
  <c r="C10"/>
  <c r="D10"/>
  <c r="E10"/>
  <c r="F10"/>
  <c r="G10"/>
  <c r="B11"/>
  <c r="C11"/>
  <c r="D11"/>
  <c r="E11"/>
  <c r="F11"/>
  <c r="G11"/>
  <c r="B12"/>
  <c r="C12"/>
  <c r="D12"/>
  <c r="E12"/>
  <c r="F12"/>
  <c r="G12"/>
  <c r="B13"/>
  <c r="C13"/>
  <c r="D13"/>
  <c r="E13"/>
  <c r="F13"/>
  <c r="G13"/>
  <c r="B14"/>
  <c r="C14"/>
  <c r="D14"/>
  <c r="E14"/>
  <c r="F14"/>
  <c r="G14"/>
  <c r="B15"/>
  <c r="C15"/>
  <c r="D15"/>
  <c r="E15"/>
  <c r="F15"/>
  <c r="G15"/>
  <c r="B16"/>
  <c r="C16"/>
  <c r="D16"/>
  <c r="E16"/>
  <c r="F16"/>
  <c r="G16"/>
  <c r="B17"/>
  <c r="C17"/>
  <c r="D17"/>
  <c r="E17"/>
  <c r="F17"/>
  <c r="G17"/>
  <c r="B18"/>
  <c r="C18"/>
  <c r="D18"/>
  <c r="E18"/>
  <c r="F18"/>
  <c r="G18"/>
  <c r="B19"/>
  <c r="C19"/>
  <c r="D19"/>
  <c r="E19"/>
  <c r="F19"/>
  <c r="G19"/>
  <c r="B20"/>
  <c r="C20"/>
  <c r="D20"/>
  <c r="E20"/>
  <c r="F20"/>
  <c r="G20"/>
  <c r="B21"/>
  <c r="C21"/>
  <c r="D21"/>
  <c r="E21"/>
  <c r="F21"/>
  <c r="G21"/>
  <c r="B22"/>
  <c r="C22"/>
  <c r="D22"/>
  <c r="E22"/>
  <c r="F22"/>
  <c r="G22"/>
  <c r="B23"/>
  <c r="C23"/>
  <c r="D23"/>
  <c r="E23"/>
  <c r="F23"/>
  <c r="G23"/>
  <c r="B24"/>
  <c r="C24"/>
  <c r="D24"/>
  <c r="E24"/>
  <c r="F24"/>
  <c r="G24"/>
  <c r="B25"/>
  <c r="C25"/>
  <c r="D25"/>
  <c r="E25"/>
  <c r="F25"/>
  <c r="G25"/>
  <c r="B26"/>
  <c r="C26"/>
  <c r="D26"/>
  <c r="E26"/>
  <c r="F26"/>
  <c r="G26"/>
  <c r="B27"/>
  <c r="C27"/>
  <c r="D27"/>
  <c r="E27"/>
  <c r="F27"/>
  <c r="G27"/>
  <c r="B28"/>
  <c r="C28"/>
  <c r="D28"/>
  <c r="E28"/>
  <c r="F28"/>
  <c r="G28"/>
  <c r="B29"/>
  <c r="C29"/>
  <c r="D29"/>
  <c r="E29"/>
  <c r="F29"/>
  <c r="G29"/>
  <c r="B30"/>
  <c r="C30"/>
  <c r="D30"/>
  <c r="E30"/>
  <c r="F30"/>
  <c r="G30"/>
  <c r="B31"/>
  <c r="C31"/>
  <c r="D31"/>
  <c r="E31"/>
  <c r="F31"/>
  <c r="G31"/>
  <c r="B32"/>
  <c r="C32"/>
  <c r="D32"/>
  <c r="E32"/>
  <c r="F32"/>
  <c r="G32"/>
  <c r="B33"/>
  <c r="C33"/>
  <c r="D33"/>
  <c r="E33"/>
  <c r="F33"/>
  <c r="G33"/>
  <c r="B34"/>
  <c r="C34"/>
  <c r="D34"/>
  <c r="E34"/>
  <c r="F34"/>
  <c r="G34"/>
  <c r="B35"/>
  <c r="C35"/>
  <c r="D35"/>
  <c r="E35"/>
  <c r="F35"/>
  <c r="G35"/>
  <c r="B36"/>
  <c r="C36"/>
  <c r="D36"/>
  <c r="E36"/>
  <c r="F36"/>
  <c r="G36"/>
  <c r="B37"/>
  <c r="C37"/>
  <c r="D37"/>
  <c r="E37"/>
  <c r="F37"/>
  <c r="G37"/>
  <c r="B38"/>
  <c r="C38"/>
  <c r="D38"/>
  <c r="E38"/>
  <c r="F38"/>
  <c r="G38"/>
  <c r="B39"/>
  <c r="C39"/>
  <c r="D39"/>
  <c r="E39"/>
  <c r="F39"/>
  <c r="G39"/>
  <c r="B40"/>
  <c r="C40"/>
  <c r="D40"/>
  <c r="E40"/>
  <c r="F40"/>
  <c r="G40"/>
  <c r="B41"/>
  <c r="C41"/>
  <c r="D41"/>
  <c r="E41"/>
  <c r="F41"/>
  <c r="G41"/>
  <c r="B42"/>
  <c r="C42"/>
  <c r="D42"/>
  <c r="E42"/>
  <c r="F42"/>
  <c r="G42"/>
  <c r="B43"/>
  <c r="C43"/>
  <c r="D43"/>
  <c r="E43"/>
  <c r="F43"/>
  <c r="G43"/>
  <c r="B44"/>
  <c r="C44"/>
  <c r="D44"/>
  <c r="E44"/>
  <c r="F44"/>
  <c r="G44"/>
  <c r="B45"/>
  <c r="C45"/>
  <c r="D45"/>
  <c r="E45"/>
  <c r="F45"/>
  <c r="G45"/>
  <c r="B46"/>
  <c r="C46"/>
  <c r="D46"/>
  <c r="E46"/>
  <c r="F46"/>
  <c r="G46"/>
  <c r="B47"/>
  <c r="C47"/>
  <c r="D47"/>
  <c r="E47"/>
  <c r="F47"/>
  <c r="G47"/>
  <c r="B48"/>
  <c r="C48"/>
  <c r="D48"/>
  <c r="E48"/>
  <c r="F48"/>
  <c r="G48"/>
  <c r="B49"/>
  <c r="C49"/>
  <c r="D49"/>
  <c r="E49"/>
  <c r="F49"/>
  <c r="G49"/>
  <c r="B50"/>
  <c r="C50"/>
  <c r="D50"/>
  <c r="E50"/>
  <c r="F50"/>
  <c r="G50"/>
  <c r="B51"/>
  <c r="C51"/>
  <c r="D51"/>
  <c r="E51"/>
  <c r="F51"/>
  <c r="G51"/>
  <c r="B52"/>
  <c r="C52"/>
  <c r="D52"/>
  <c r="E52"/>
  <c r="F52"/>
  <c r="G52"/>
  <c r="B53"/>
  <c r="C53"/>
  <c r="D53"/>
  <c r="E53"/>
  <c r="F53"/>
  <c r="G53"/>
  <c r="B54"/>
  <c r="C54"/>
  <c r="D54"/>
  <c r="E54"/>
  <c r="F54"/>
  <c r="G54"/>
  <c r="B55"/>
  <c r="C55"/>
  <c r="D55"/>
  <c r="E55"/>
  <c r="F55"/>
  <c r="G55"/>
  <c r="B56"/>
  <c r="C56"/>
  <c r="D56"/>
  <c r="E56"/>
  <c r="F56"/>
  <c r="G56"/>
  <c r="B57"/>
  <c r="C57"/>
  <c r="D57"/>
  <c r="E57"/>
  <c r="F57"/>
  <c r="G57"/>
  <c r="B58"/>
  <c r="C58"/>
  <c r="D58"/>
  <c r="E58"/>
  <c r="F58"/>
  <c r="G58"/>
  <c r="B59"/>
  <c r="C59"/>
  <c r="D59"/>
  <c r="E59"/>
  <c r="F59"/>
  <c r="G59"/>
  <c r="B60"/>
  <c r="C60"/>
  <c r="D60"/>
  <c r="E60"/>
  <c r="F60"/>
  <c r="G60"/>
  <c r="B61"/>
  <c r="C61"/>
  <c r="D61"/>
  <c r="E61"/>
  <c r="F61"/>
  <c r="G61"/>
  <c r="B62"/>
  <c r="C62"/>
  <c r="D62"/>
  <c r="E62"/>
  <c r="F62"/>
  <c r="G62"/>
  <c r="B63"/>
  <c r="C63"/>
  <c r="D63"/>
  <c r="E63"/>
  <c r="F63"/>
  <c r="G63"/>
  <c r="B64"/>
  <c r="C64"/>
  <c r="D64"/>
  <c r="E64"/>
  <c r="F64"/>
  <c r="G64"/>
  <c r="B65"/>
  <c r="C65"/>
  <c r="D65"/>
  <c r="E65"/>
  <c r="F65"/>
  <c r="G65"/>
  <c r="B66"/>
  <c r="C66"/>
  <c r="D66"/>
  <c r="E66"/>
  <c r="F66"/>
  <c r="G66"/>
  <c r="B67"/>
  <c r="C67"/>
  <c r="D67"/>
  <c r="E67"/>
  <c r="F67"/>
  <c r="G67"/>
  <c r="B68"/>
  <c r="C68"/>
  <c r="D68"/>
  <c r="E68"/>
  <c r="F68"/>
  <c r="G68"/>
  <c r="B69"/>
  <c r="C69"/>
  <c r="D69"/>
  <c r="E69"/>
  <c r="F69"/>
  <c r="G69"/>
  <c r="B70"/>
  <c r="C70"/>
  <c r="D70"/>
  <c r="E70"/>
  <c r="F70"/>
  <c r="G70"/>
  <c r="B71"/>
  <c r="C71"/>
  <c r="D71"/>
  <c r="E71"/>
  <c r="F71"/>
  <c r="G71"/>
  <c r="B72"/>
  <c r="C72"/>
  <c r="D72"/>
  <c r="E72"/>
  <c r="F72"/>
  <c r="G72"/>
  <c r="B73"/>
  <c r="C73"/>
  <c r="D73"/>
  <c r="E73"/>
  <c r="F73"/>
  <c r="G73"/>
  <c r="B74"/>
  <c r="C74"/>
  <c r="D74"/>
  <c r="E74"/>
  <c r="F74"/>
  <c r="G74"/>
  <c r="B75"/>
  <c r="C75"/>
  <c r="D75"/>
  <c r="E75"/>
  <c r="F75"/>
  <c r="G75"/>
  <c r="B76"/>
  <c r="C76"/>
  <c r="D76"/>
  <c r="E76"/>
  <c r="F76"/>
  <c r="G76"/>
  <c r="B77"/>
  <c r="C77"/>
  <c r="D77"/>
  <c r="E77"/>
  <c r="F77"/>
  <c r="G77"/>
  <c r="B78"/>
  <c r="C78"/>
  <c r="D78"/>
  <c r="E78"/>
  <c r="F78"/>
  <c r="G78"/>
  <c r="B79"/>
  <c r="C79"/>
  <c r="D79"/>
  <c r="E79"/>
  <c r="F79"/>
  <c r="G79"/>
  <c r="B80"/>
  <c r="C80"/>
  <c r="D80"/>
  <c r="E80"/>
  <c r="F80"/>
  <c r="G80"/>
  <c r="B81"/>
  <c r="C81"/>
  <c r="D81"/>
  <c r="E81"/>
  <c r="F81"/>
  <c r="G81"/>
  <c r="B82"/>
  <c r="C82"/>
  <c r="D82"/>
  <c r="E82"/>
  <c r="F82"/>
  <c r="G82"/>
  <c r="B83"/>
  <c r="C83"/>
  <c r="D83"/>
  <c r="E83"/>
  <c r="F83"/>
  <c r="G83"/>
  <c r="B84"/>
  <c r="C84"/>
  <c r="D84"/>
  <c r="E84"/>
  <c r="F84"/>
  <c r="G84"/>
  <c r="B85"/>
  <c r="C85"/>
  <c r="D85"/>
  <c r="E85"/>
  <c r="F85"/>
  <c r="G85"/>
  <c r="B86"/>
  <c r="C86"/>
  <c r="D86"/>
  <c r="E86"/>
  <c r="F86"/>
  <c r="G86"/>
  <c r="B87"/>
  <c r="C87"/>
  <c r="D87"/>
  <c r="E87"/>
  <c r="F87"/>
  <c r="G87"/>
  <c r="B88"/>
  <c r="C88"/>
  <c r="D88"/>
  <c r="E88"/>
  <c r="F88"/>
  <c r="G88"/>
  <c r="B89"/>
  <c r="C89"/>
  <c r="D89"/>
  <c r="E89"/>
  <c r="F89"/>
  <c r="G89"/>
  <c r="B90"/>
  <c r="C90"/>
  <c r="D90"/>
  <c r="E90"/>
  <c r="F90"/>
  <c r="G90"/>
  <c r="B91"/>
  <c r="C91"/>
  <c r="D91"/>
  <c r="E91"/>
  <c r="F91"/>
  <c r="G91"/>
  <c r="B92"/>
  <c r="C92"/>
  <c r="D92"/>
  <c r="E92"/>
  <c r="F92"/>
  <c r="G92"/>
  <c r="B93"/>
  <c r="C93"/>
  <c r="D93"/>
  <c r="E93"/>
  <c r="F93"/>
  <c r="G93"/>
  <c r="B94"/>
  <c r="C94"/>
  <c r="D94"/>
  <c r="E94"/>
  <c r="F94"/>
  <c r="G94"/>
  <c r="B95"/>
  <c r="C95"/>
  <c r="D95"/>
  <c r="E95"/>
  <c r="F95"/>
  <c r="G95"/>
  <c r="B96"/>
  <c r="C96"/>
  <c r="D96"/>
  <c r="E96"/>
  <c r="F96"/>
  <c r="G96"/>
  <c r="B97"/>
  <c r="C97"/>
  <c r="D97"/>
  <c r="E97"/>
  <c r="F97"/>
  <c r="G97"/>
  <c r="B98"/>
  <c r="C98"/>
  <c r="D98"/>
  <c r="E98"/>
  <c r="F98"/>
  <c r="G98"/>
  <c r="B99"/>
  <c r="C99"/>
  <c r="D99"/>
  <c r="E99"/>
  <c r="F99"/>
  <c r="G99"/>
  <c r="B100"/>
  <c r="C100"/>
  <c r="D100"/>
  <c r="E100"/>
  <c r="F100"/>
  <c r="G100"/>
  <c r="B101"/>
  <c r="C101"/>
  <c r="D101"/>
  <c r="E101"/>
  <c r="F101"/>
  <c r="G101"/>
  <c r="B102"/>
  <c r="C102"/>
  <c r="D102"/>
  <c r="E102"/>
  <c r="F102"/>
  <c r="G102"/>
  <c r="B103"/>
  <c r="C103"/>
  <c r="D103"/>
  <c r="E103"/>
  <c r="F103"/>
  <c r="G103"/>
  <c r="B104"/>
  <c r="C104"/>
  <c r="D104"/>
  <c r="E104"/>
  <c r="F104"/>
  <c r="G104"/>
  <c r="B105"/>
  <c r="C105"/>
  <c r="D105"/>
  <c r="E105"/>
  <c r="F105"/>
  <c r="G105"/>
  <c r="B106"/>
  <c r="C106"/>
  <c r="D106"/>
  <c r="E106"/>
  <c r="F106"/>
  <c r="G106"/>
  <c r="B107"/>
  <c r="C107"/>
  <c r="D107"/>
  <c r="E107"/>
  <c r="F107"/>
  <c r="G107"/>
  <c r="B108"/>
  <c r="C108"/>
  <c r="D108"/>
  <c r="E108"/>
  <c r="F108"/>
  <c r="G108"/>
  <c r="B109"/>
  <c r="C109"/>
  <c r="D109"/>
  <c r="E109"/>
  <c r="F109"/>
  <c r="G109"/>
  <c r="B110"/>
  <c r="C110"/>
  <c r="D110"/>
  <c r="E110"/>
  <c r="F110"/>
  <c r="G110"/>
  <c r="B111"/>
  <c r="C111"/>
  <c r="D111"/>
  <c r="E111"/>
  <c r="F111"/>
  <c r="G111"/>
  <c r="B112"/>
  <c r="C112"/>
  <c r="D112"/>
  <c r="E112"/>
  <c r="F112"/>
  <c r="G112"/>
  <c r="B113"/>
  <c r="C113"/>
  <c r="D113"/>
  <c r="E113"/>
  <c r="F113"/>
  <c r="G113"/>
  <c r="B114"/>
  <c r="C114"/>
  <c r="D114"/>
  <c r="E114"/>
  <c r="F114"/>
  <c r="G114"/>
  <c r="B115"/>
  <c r="C115"/>
  <c r="D115"/>
  <c r="E115"/>
  <c r="F115"/>
  <c r="G115"/>
  <c r="B116"/>
  <c r="C116"/>
  <c r="D116"/>
  <c r="E116"/>
  <c r="F116"/>
  <c r="G116"/>
  <c r="B117"/>
  <c r="C117"/>
  <c r="D117"/>
  <c r="E117"/>
  <c r="F117"/>
  <c r="G117"/>
  <c r="B118"/>
  <c r="C118"/>
  <c r="D118"/>
  <c r="E118"/>
  <c r="F118"/>
  <c r="G118"/>
  <c r="B119"/>
  <c r="C119"/>
  <c r="D119"/>
  <c r="E119"/>
  <c r="F119"/>
  <c r="G119"/>
  <c r="B120"/>
  <c r="C120"/>
  <c r="D120"/>
  <c r="E120"/>
  <c r="F120"/>
  <c r="G120"/>
  <c r="B121"/>
  <c r="C121"/>
  <c r="D121"/>
  <c r="E121"/>
  <c r="F121"/>
  <c r="G121"/>
  <c r="B122"/>
  <c r="C122"/>
  <c r="D122"/>
  <c r="E122"/>
  <c r="F122"/>
  <c r="G122"/>
  <c r="B123"/>
  <c r="C123"/>
  <c r="D123"/>
  <c r="E123"/>
  <c r="F123"/>
  <c r="G123"/>
  <c r="B124"/>
  <c r="C124"/>
  <c r="D124"/>
  <c r="E124"/>
  <c r="F124"/>
  <c r="G124"/>
  <c r="B125"/>
  <c r="C125"/>
  <c r="D125"/>
  <c r="E125"/>
  <c r="F125"/>
  <c r="G125"/>
  <c r="B126"/>
  <c r="C126"/>
  <c r="D126"/>
  <c r="E126"/>
  <c r="F126"/>
  <c r="G126"/>
  <c r="B127"/>
  <c r="C127"/>
  <c r="D127"/>
  <c r="E127"/>
  <c r="F127"/>
  <c r="G127"/>
  <c r="B128"/>
  <c r="C128"/>
  <c r="D128"/>
  <c r="E128"/>
  <c r="F128"/>
  <c r="G128"/>
  <c r="B129"/>
  <c r="C129"/>
  <c r="D129"/>
  <c r="E129"/>
  <c r="F129"/>
  <c r="G129"/>
  <c r="B130"/>
  <c r="C130"/>
  <c r="D130"/>
  <c r="E130"/>
  <c r="F130"/>
  <c r="G130"/>
  <c r="B131"/>
  <c r="C131"/>
  <c r="D131"/>
  <c r="E131"/>
  <c r="F131"/>
  <c r="G131"/>
  <c r="B132"/>
  <c r="C132"/>
  <c r="D132"/>
  <c r="E132"/>
  <c r="F132"/>
  <c r="G132"/>
  <c r="B133"/>
  <c r="C133"/>
  <c r="D133"/>
  <c r="E133"/>
  <c r="F133"/>
  <c r="G133"/>
  <c r="B134"/>
  <c r="C134"/>
  <c r="D134"/>
  <c r="E134"/>
  <c r="F134"/>
  <c r="G134"/>
  <c r="B135"/>
  <c r="C135"/>
  <c r="D135"/>
  <c r="E135"/>
  <c r="F135"/>
  <c r="G135"/>
  <c r="B136"/>
  <c r="C136"/>
  <c r="D136"/>
  <c r="E136"/>
  <c r="F136"/>
  <c r="G136"/>
  <c r="B137"/>
  <c r="C137"/>
  <c r="D137"/>
  <c r="E137"/>
  <c r="F137"/>
  <c r="G137"/>
  <c r="B138"/>
  <c r="C138"/>
  <c r="D138"/>
  <c r="E138"/>
  <c r="F138"/>
  <c r="G138"/>
  <c r="B139"/>
  <c r="C139"/>
  <c r="D139"/>
  <c r="E139"/>
  <c r="F139"/>
  <c r="G139"/>
  <c r="B140"/>
  <c r="C140"/>
  <c r="D140"/>
  <c r="E140"/>
  <c r="F140"/>
  <c r="G140"/>
  <c r="B141"/>
  <c r="C141"/>
  <c r="D141"/>
  <c r="E141"/>
  <c r="F141"/>
  <c r="G141"/>
  <c r="B142"/>
  <c r="C142"/>
  <c r="D142"/>
  <c r="E142"/>
  <c r="F142"/>
  <c r="G142"/>
  <c r="B143"/>
  <c r="C143"/>
  <c r="D143"/>
  <c r="E143"/>
  <c r="F143"/>
  <c r="G143"/>
  <c r="B144"/>
  <c r="C144"/>
  <c r="D144"/>
  <c r="E144"/>
  <c r="F144"/>
  <c r="G144"/>
  <c r="B145"/>
  <c r="C145"/>
  <c r="D145"/>
  <c r="E145"/>
  <c r="F145"/>
  <c r="G145"/>
  <c r="B146"/>
  <c r="C146"/>
  <c r="D146"/>
  <c r="E146"/>
  <c r="F146"/>
  <c r="G146"/>
  <c r="B147"/>
  <c r="C147"/>
  <c r="D147"/>
  <c r="E147"/>
  <c r="F147"/>
  <c r="G147"/>
  <c r="B148"/>
  <c r="C148"/>
  <c r="D148"/>
  <c r="E148"/>
  <c r="F148"/>
  <c r="G148"/>
  <c r="B149"/>
  <c r="C149"/>
  <c r="D149"/>
  <c r="E149"/>
  <c r="F149"/>
  <c r="G149"/>
  <c r="B150"/>
  <c r="C150"/>
  <c r="D150"/>
  <c r="E150"/>
  <c r="F150"/>
  <c r="G150"/>
  <c r="B151"/>
  <c r="C151"/>
  <c r="D151"/>
  <c r="E151"/>
  <c r="F151"/>
  <c r="G151"/>
  <c r="B152"/>
  <c r="C152"/>
  <c r="D152"/>
  <c r="E152"/>
  <c r="F152"/>
  <c r="G152"/>
  <c r="B153"/>
  <c r="C153"/>
  <c r="D153"/>
  <c r="E153"/>
  <c r="F153"/>
  <c r="G153"/>
  <c r="B154"/>
  <c r="C154"/>
  <c r="D154"/>
  <c r="E154"/>
  <c r="F154"/>
  <c r="G154"/>
  <c r="B155"/>
  <c r="C155"/>
  <c r="D155"/>
  <c r="E155"/>
  <c r="F155"/>
  <c r="G155"/>
  <c r="B156"/>
  <c r="C156"/>
  <c r="D156"/>
  <c r="E156"/>
  <c r="F156"/>
  <c r="G156"/>
  <c r="B157"/>
  <c r="C157"/>
  <c r="D157"/>
  <c r="E157"/>
  <c r="F157"/>
  <c r="G157"/>
  <c r="B158"/>
  <c r="C158"/>
  <c r="D158"/>
  <c r="E158"/>
  <c r="F158"/>
  <c r="G158"/>
  <c r="B159"/>
  <c r="C159"/>
  <c r="D159"/>
  <c r="E159"/>
  <c r="F159"/>
  <c r="G159"/>
  <c r="B160"/>
  <c r="C160"/>
  <c r="D160"/>
  <c r="E160"/>
  <c r="F160"/>
  <c r="G160"/>
  <c r="B161"/>
  <c r="C161"/>
  <c r="D161"/>
  <c r="E161"/>
  <c r="F161"/>
  <c r="G161"/>
  <c r="B162"/>
  <c r="C162"/>
  <c r="D162"/>
  <c r="E162"/>
  <c r="F162"/>
  <c r="G162"/>
  <c r="B163"/>
  <c r="C163"/>
  <c r="D163"/>
  <c r="E163"/>
  <c r="F163"/>
  <c r="G163"/>
  <c r="B164"/>
  <c r="C164"/>
  <c r="D164"/>
  <c r="E164"/>
  <c r="F164"/>
  <c r="G164"/>
  <c r="B165"/>
  <c r="C165"/>
  <c r="D165"/>
  <c r="E165"/>
  <c r="F165"/>
  <c r="G165"/>
  <c r="B166"/>
  <c r="C166"/>
  <c r="D166"/>
  <c r="E166"/>
  <c r="F166"/>
  <c r="G166"/>
  <c r="B167"/>
  <c r="C167"/>
  <c r="D167"/>
  <c r="E167"/>
  <c r="F167"/>
  <c r="G167"/>
  <c r="B168"/>
  <c r="C168"/>
  <c r="D168"/>
  <c r="E168"/>
  <c r="F168"/>
  <c r="G168"/>
  <c r="B169"/>
  <c r="C169"/>
  <c r="D169"/>
  <c r="E169"/>
  <c r="F169"/>
  <c r="G169"/>
  <c r="B170"/>
  <c r="C170"/>
  <c r="D170"/>
  <c r="E170"/>
  <c r="F170"/>
  <c r="G170"/>
  <c r="B171"/>
  <c r="C171"/>
  <c r="D171"/>
  <c r="E171"/>
  <c r="F171"/>
  <c r="G171"/>
  <c r="B172"/>
  <c r="C172"/>
  <c r="D172"/>
  <c r="E172"/>
  <c r="F172"/>
  <c r="G172"/>
  <c r="B173"/>
  <c r="C173"/>
  <c r="D173"/>
  <c r="E173"/>
  <c r="F173"/>
  <c r="G173"/>
  <c r="B174"/>
  <c r="C174"/>
  <c r="D174"/>
  <c r="E174"/>
  <c r="F174"/>
  <c r="G174"/>
  <c r="B175"/>
  <c r="C175"/>
  <c r="D175"/>
  <c r="E175"/>
  <c r="F175"/>
  <c r="G175"/>
  <c r="B176"/>
  <c r="C176"/>
  <c r="D176"/>
  <c r="E176"/>
  <c r="F176"/>
  <c r="G176"/>
  <c r="B177"/>
  <c r="C177"/>
  <c r="D177"/>
  <c r="E177"/>
  <c r="F177"/>
  <c r="G177"/>
  <c r="B178"/>
  <c r="C178"/>
  <c r="D178"/>
  <c r="E178"/>
  <c r="F178"/>
  <c r="G178"/>
  <c r="B179"/>
  <c r="C179"/>
  <c r="D179"/>
  <c r="E179"/>
  <c r="F179"/>
  <c r="G179"/>
  <c r="B180"/>
  <c r="C180"/>
  <c r="D180"/>
  <c r="E180"/>
  <c r="F180"/>
  <c r="G180"/>
  <c r="B181"/>
  <c r="C181"/>
  <c r="D181"/>
  <c r="E181"/>
  <c r="F181"/>
  <c r="G181"/>
  <c r="B182"/>
  <c r="C182"/>
  <c r="D182"/>
  <c r="E182"/>
  <c r="F182"/>
  <c r="G182"/>
  <c r="B183"/>
  <c r="C183"/>
  <c r="D183"/>
  <c r="E183"/>
  <c r="F183"/>
  <c r="G183"/>
  <c r="B184"/>
  <c r="C184"/>
  <c r="D184"/>
  <c r="E184"/>
  <c r="F184"/>
  <c r="G184"/>
  <c r="B185"/>
  <c r="C185"/>
  <c r="D185"/>
  <c r="E185"/>
  <c r="F185"/>
  <c r="G185"/>
  <c r="B186"/>
  <c r="C186"/>
  <c r="D186"/>
  <c r="E186"/>
  <c r="F186"/>
  <c r="G186"/>
  <c r="B187"/>
  <c r="C187"/>
  <c r="D187"/>
  <c r="E187"/>
  <c r="F187"/>
  <c r="G187"/>
  <c r="B188"/>
  <c r="C188"/>
  <c r="D188"/>
  <c r="E188"/>
  <c r="F188"/>
  <c r="G188"/>
  <c r="B189"/>
  <c r="C189"/>
  <c r="D189"/>
  <c r="E189"/>
  <c r="F189"/>
  <c r="G189"/>
  <c r="B190"/>
  <c r="C190"/>
  <c r="D190"/>
  <c r="E190"/>
  <c r="F190"/>
  <c r="G190"/>
  <c r="B191"/>
  <c r="C191"/>
  <c r="D191"/>
  <c r="E191"/>
  <c r="F191"/>
  <c r="G191"/>
  <c r="B192"/>
  <c r="C192"/>
  <c r="D192"/>
  <c r="E192"/>
  <c r="F192"/>
  <c r="G192"/>
  <c r="B193"/>
  <c r="C193"/>
  <c r="D193"/>
  <c r="E193"/>
  <c r="F193"/>
  <c r="G193"/>
  <c r="B194"/>
  <c r="C194"/>
  <c r="D194"/>
  <c r="E194"/>
  <c r="F194"/>
  <c r="G194"/>
  <c r="B195"/>
  <c r="C195"/>
  <c r="D195"/>
  <c r="E195"/>
  <c r="F195"/>
  <c r="G195"/>
  <c r="B196"/>
  <c r="C196"/>
  <c r="D196"/>
  <c r="E196"/>
  <c r="F196"/>
  <c r="G196"/>
  <c r="B197"/>
  <c r="C197"/>
  <c r="D197"/>
  <c r="E197"/>
  <c r="F197"/>
  <c r="G197"/>
  <c r="B198"/>
  <c r="C198"/>
  <c r="D198"/>
  <c r="E198"/>
  <c r="F198"/>
  <c r="G198"/>
  <c r="B199"/>
  <c r="C199"/>
  <c r="D199"/>
  <c r="E199"/>
  <c r="F199"/>
  <c r="G199"/>
  <c r="B200"/>
  <c r="C200"/>
  <c r="D200"/>
  <c r="E200"/>
  <c r="F200"/>
  <c r="G200"/>
  <c r="B201"/>
  <c r="C201"/>
  <c r="D201"/>
  <c r="E201"/>
  <c r="F201"/>
  <c r="G201"/>
  <c r="B202"/>
  <c r="C202"/>
  <c r="D202"/>
  <c r="E202"/>
  <c r="F202"/>
  <c r="G202"/>
  <c r="B203"/>
  <c r="C203"/>
  <c r="D203"/>
  <c r="E203"/>
  <c r="F203"/>
  <c r="G203"/>
  <c r="B204"/>
  <c r="C204"/>
  <c r="D204"/>
  <c r="E204"/>
  <c r="F204"/>
  <c r="G204"/>
  <c r="B8" i="9"/>
  <c r="C8"/>
  <c r="D8"/>
  <c r="E8"/>
  <c r="F8"/>
  <c r="G8"/>
  <c r="H8"/>
  <c r="I8"/>
  <c r="J8"/>
  <c r="B9"/>
  <c r="C9"/>
  <c r="D9"/>
  <c r="E9"/>
  <c r="F9"/>
  <c r="G9"/>
  <c r="H9"/>
  <c r="I9"/>
  <c r="J9"/>
  <c r="B10"/>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V12" i="18"/>
  <c r="R11"/>
  <c r="U12"/>
  <c r="Y3" i="15"/>
  <c r="T12" i="18"/>
  <c r="W3" i="15"/>
  <c r="X3"/>
  <c r="R12" i="18"/>
  <c r="T11" i="4"/>
  <c r="S28" i="18"/>
  <c r="S28" i="4"/>
  <c r="Q22" i="18"/>
  <c r="Q2" i="11"/>
  <c r="Q22" i="4"/>
  <c r="P2" i="11"/>
  <c r="Q11" i="18"/>
  <c r="Q28"/>
  <c r="Q28" i="4"/>
  <c r="N28" i="18"/>
  <c r="N28" i="4"/>
  <c r="I28" i="18"/>
  <c r="I28" i="4"/>
  <c r="B28"/>
  <c r="O30" i="18"/>
  <c r="O30" i="4"/>
  <c r="H30" i="18"/>
  <c r="H29"/>
  <c r="B30"/>
  <c r="B29"/>
  <c r="U27"/>
  <c r="V26"/>
  <c r="R26"/>
  <c r="U26"/>
  <c r="Q27"/>
  <c r="M27"/>
  <c r="I27"/>
  <c r="D27"/>
  <c r="S26"/>
  <c r="Q26"/>
  <c r="O26"/>
  <c r="N26"/>
  <c r="M26"/>
  <c r="K26"/>
  <c r="J26"/>
  <c r="I26"/>
  <c r="G26"/>
  <c r="F26"/>
  <c r="D26"/>
  <c r="B26"/>
  <c r="T27" i="4"/>
  <c r="Q27"/>
  <c r="M27"/>
  <c r="I27"/>
  <c r="D27"/>
  <c r="M19"/>
  <c r="O19" s="1"/>
  <c r="U26"/>
  <c r="R26"/>
  <c r="T26"/>
  <c r="Q26"/>
  <c r="S26"/>
  <c r="O26"/>
  <c r="N26"/>
  <c r="M26"/>
  <c r="K26"/>
  <c r="J26"/>
  <c r="F26"/>
  <c r="I26"/>
  <c r="D26"/>
  <c r="G26"/>
  <c r="B26"/>
  <c r="GG4" i="9"/>
  <c r="B22" i="4"/>
  <c r="B23"/>
  <c r="B23" i="18"/>
  <c r="B24"/>
  <c r="B24" i="4"/>
  <c r="L2" i="11"/>
  <c r="B22" i="18"/>
  <c r="K2" i="11"/>
  <c r="B20" i="18"/>
  <c r="P14"/>
  <c r="F14"/>
  <c r="E14"/>
  <c r="P19"/>
  <c r="M19"/>
  <c r="O19" s="1"/>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M14"/>
  <c r="I14"/>
  <c r="H14"/>
  <c r="G14"/>
  <c r="O7"/>
  <c r="F8"/>
  <c r="F7"/>
  <c r="F6"/>
  <c r="AN11" i="19"/>
  <c r="AA29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M8" i="18"/>
  <c r="M7"/>
  <c r="M6"/>
  <c r="M5"/>
  <c r="O12"/>
  <c r="N12"/>
  <c r="M12"/>
  <c r="K12"/>
  <c r="J12"/>
  <c r="I12"/>
  <c r="H12"/>
  <c r="G12"/>
  <c r="F12"/>
  <c r="E12"/>
  <c r="P11"/>
  <c r="M11"/>
  <c r="L11"/>
  <c r="I11"/>
  <c r="E11"/>
  <c r="B11"/>
  <c r="O8"/>
  <c r="AH5" s="1"/>
  <c r="O8" i="4"/>
  <c r="AH5" s="1"/>
  <c r="O5" i="18"/>
  <c r="P5"/>
  <c r="L9"/>
  <c r="F7" i="4"/>
  <c r="F5" i="18"/>
  <c r="B8"/>
  <c r="B7"/>
  <c r="B6"/>
  <c r="B5"/>
  <c r="I4"/>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F28" i="4"/>
  <c r="I24" i="19"/>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I8"/>
  <c r="R8"/>
  <c r="S5"/>
  <c r="C5"/>
  <c r="Y7"/>
  <c r="R7"/>
  <c r="Y6"/>
  <c r="R6"/>
  <c r="Y5"/>
  <c r="R5"/>
  <c r="F6" i="4"/>
  <c r="M6"/>
  <c r="F5"/>
  <c r="I7" i="19"/>
  <c r="L9" i="4"/>
  <c r="I6" i="19"/>
  <c r="M8" i="4"/>
  <c r="I5" i="19"/>
  <c r="M7" i="4"/>
  <c r="B5" i="19"/>
  <c r="M5" i="4"/>
  <c r="B8" i="19"/>
  <c r="B8" i="4"/>
  <c r="B7" i="19"/>
  <c r="B7" i="4"/>
  <c r="B6" i="19"/>
  <c r="B6" i="4"/>
  <c r="K2" i="12"/>
  <c r="P211" i="11"/>
  <c r="H30" i="4"/>
  <c r="J211" i="11"/>
  <c r="H29" i="4"/>
  <c r="J207" i="11"/>
  <c r="HX4" i="9"/>
  <c r="I4" i="12"/>
  <c r="GL4" i="9"/>
  <c r="GK4"/>
  <c r="U3" i="12"/>
  <c r="B215"/>
  <c r="P19" i="4"/>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P14"/>
  <c r="M14"/>
  <c r="I14"/>
  <c r="H14"/>
  <c r="G14"/>
  <c r="F8"/>
  <c r="O7"/>
  <c r="F14"/>
  <c r="E14"/>
  <c r="R11"/>
  <c r="Q11"/>
  <c r="P11"/>
  <c r="O12"/>
  <c r="N12"/>
  <c r="M12"/>
  <c r="M11"/>
  <c r="L11"/>
  <c r="I11"/>
  <c r="E11"/>
  <c r="K12"/>
  <c r="J12"/>
  <c r="I12"/>
  <c r="H12"/>
  <c r="G12"/>
  <c r="F12"/>
  <c r="E12"/>
  <c r="O5"/>
  <c r="B5"/>
  <c r="G2" i="12"/>
  <c r="G4" i="8"/>
  <c r="H4" i="4"/>
  <c r="T2" i="19"/>
  <c r="D2"/>
  <c r="E2" i="4"/>
  <c r="R3" i="19"/>
  <c r="T1"/>
  <c r="D1"/>
  <c r="I1" i="4"/>
  <c r="A1" i="12"/>
  <c r="AA58" i="19" l="1"/>
  <c r="U35"/>
  <c r="O14" i="18"/>
  <c r="O14" i="4"/>
  <c r="O23" s="1"/>
  <c r="K14" i="18"/>
  <c r="K14" i="4"/>
  <c r="K23" s="1"/>
  <c r="AG6" i="18"/>
  <c r="AH6"/>
  <c r="AI6"/>
  <c r="H23" i="4"/>
  <c r="AG6"/>
  <c r="AH6"/>
  <c r="AI6"/>
  <c r="G23" i="18"/>
  <c r="O23"/>
  <c r="H23"/>
  <c r="F23"/>
  <c r="E23"/>
  <c r="K23"/>
  <c r="P23"/>
  <c r="L16"/>
  <c r="L14"/>
  <c r="L15"/>
  <c r="L17"/>
  <c r="L19"/>
  <c r="L18"/>
  <c r="O45" i="19"/>
  <c r="E23" i="4"/>
  <c r="P23"/>
  <c r="G23"/>
  <c r="F23"/>
  <c r="L17"/>
  <c r="L18"/>
  <c r="L15"/>
  <c r="L16"/>
  <c r="L19"/>
  <c r="L14" l="1"/>
  <c r="L23" s="1"/>
  <c r="G44" i="19"/>
  <c r="D44"/>
  <c r="F44"/>
  <c r="AG9" i="18"/>
  <c r="AG7"/>
  <c r="AH9"/>
  <c r="AH7"/>
  <c r="AI7"/>
  <c r="AI9"/>
  <c r="H46" i="19"/>
  <c r="J46" s="1"/>
  <c r="AH7" i="4"/>
  <c r="AH9"/>
  <c r="AI7"/>
  <c r="AI9"/>
  <c r="AG7"/>
  <c r="AG9"/>
  <c r="O44" i="19"/>
  <c r="D47"/>
  <c r="C37"/>
  <c r="L44"/>
  <c r="N44" s="1"/>
  <c r="G47"/>
  <c r="H43"/>
  <c r="J43" s="1"/>
  <c r="E46"/>
  <c r="G48"/>
  <c r="G43"/>
  <c r="D46"/>
  <c r="E48"/>
  <c r="M54"/>
  <c r="D43"/>
  <c r="F45"/>
  <c r="H47"/>
  <c r="J47" s="1"/>
  <c r="C38"/>
  <c r="E45"/>
  <c r="E44"/>
  <c r="L47"/>
  <c r="N47" s="1"/>
  <c r="L23" i="18"/>
  <c r="F53" i="19"/>
  <c r="C36"/>
  <c r="O43"/>
  <c r="L45"/>
  <c r="N45" s="1"/>
  <c r="O48"/>
  <c r="G46"/>
  <c r="K46" s="1"/>
  <c r="L35"/>
  <c r="F48"/>
  <c r="H45"/>
  <c r="J45" s="1"/>
  <c r="F54"/>
  <c r="F34"/>
  <c r="L43"/>
  <c r="N43" s="1"/>
  <c r="G45"/>
  <c r="E47"/>
  <c r="B58"/>
  <c r="O47"/>
  <c r="F43"/>
  <c r="D45"/>
  <c r="F47"/>
  <c r="E43"/>
  <c r="L46"/>
  <c r="N46" s="1"/>
  <c r="H48"/>
  <c r="J48" s="1"/>
  <c r="N52"/>
  <c r="N53"/>
  <c r="O46"/>
  <c r="L48"/>
  <c r="N48" s="1"/>
  <c r="F52"/>
  <c r="G58"/>
  <c r="L36"/>
  <c r="AW35" s="1"/>
  <c r="H44"/>
  <c r="J44" s="1"/>
  <c r="F46"/>
  <c r="D48"/>
  <c r="V54"/>
  <c r="V52"/>
  <c r="AB48"/>
  <c r="AD48" s="1"/>
  <c r="U48"/>
  <c r="AB47"/>
  <c r="AD47" s="1"/>
  <c r="AB46"/>
  <c r="AD46" s="1"/>
  <c r="U46"/>
  <c r="AB45"/>
  <c r="AD45" s="1"/>
  <c r="AB44"/>
  <c r="AD44" s="1"/>
  <c r="U44"/>
  <c r="AB43"/>
  <c r="AD43" s="1"/>
  <c r="S38"/>
  <c r="S37"/>
  <c r="S36"/>
  <c r="AD53"/>
  <c r="V48"/>
  <c r="AE47"/>
  <c r="V47"/>
  <c r="V46"/>
  <c r="AE45"/>
  <c r="V45"/>
  <c r="V44"/>
  <c r="AE43"/>
  <c r="V43"/>
  <c r="R58"/>
  <c r="V53"/>
  <c r="W47"/>
  <c r="W46"/>
  <c r="W45"/>
  <c r="W44"/>
  <c r="W43"/>
  <c r="AB36"/>
  <c r="BB35" s="1"/>
  <c r="V34"/>
  <c r="W58"/>
  <c r="AC54"/>
  <c r="AD52"/>
  <c r="X48"/>
  <c r="Z48" s="1"/>
  <c r="X47"/>
  <c r="Z47" s="1"/>
  <c r="T47"/>
  <c r="X46"/>
  <c r="Z46" s="1"/>
  <c r="X45"/>
  <c r="Z45" s="1"/>
  <c r="T45"/>
  <c r="X44"/>
  <c r="Z44" s="1"/>
  <c r="X43"/>
  <c r="Z43" s="1"/>
  <c r="T43"/>
  <c r="N23"/>
  <c r="N22"/>
  <c r="L18"/>
  <c r="N18" s="1"/>
  <c r="G18"/>
  <c r="O17"/>
  <c r="E17"/>
  <c r="L16"/>
  <c r="N16" s="1"/>
  <c r="G16"/>
  <c r="O15"/>
  <c r="E15"/>
  <c r="L14"/>
  <c r="N14" s="1"/>
  <c r="G14"/>
  <c r="O13"/>
  <c r="E13"/>
  <c r="H18"/>
  <c r="J18" s="1"/>
  <c r="D18"/>
  <c r="F17"/>
  <c r="H16"/>
  <c r="J16" s="1"/>
  <c r="D16"/>
  <c r="F15"/>
  <c r="H14"/>
  <c r="J14" s="1"/>
  <c r="D14"/>
  <c r="F13"/>
  <c r="D25"/>
  <c r="F24"/>
  <c r="F23"/>
  <c r="F22"/>
  <c r="O18"/>
  <c r="E18"/>
  <c r="L17"/>
  <c r="N17" s="1"/>
  <c r="G17"/>
  <c r="O16"/>
  <c r="E16"/>
  <c r="L15"/>
  <c r="N15" s="1"/>
  <c r="G15"/>
  <c r="O14"/>
  <c r="E14"/>
  <c r="L13"/>
  <c r="N13" s="1"/>
  <c r="G13"/>
  <c r="H25"/>
  <c r="M24"/>
  <c r="F18"/>
  <c r="H17"/>
  <c r="J17" s="1"/>
  <c r="D17"/>
  <c r="F16"/>
  <c r="H15"/>
  <c r="J15" s="1"/>
  <c r="D15"/>
  <c r="F14"/>
  <c r="H13"/>
  <c r="J13" s="1"/>
  <c r="D13"/>
  <c r="L6"/>
  <c r="AW5" s="1"/>
  <c r="C8"/>
  <c r="C7"/>
  <c r="F4"/>
  <c r="C6"/>
  <c r="L5"/>
  <c r="G28"/>
  <c r="B28"/>
  <c r="H205" i="12"/>
  <c r="K1"/>
  <c r="B205"/>
  <c r="B206"/>
  <c r="V216"/>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B6"/>
  <c r="C6"/>
  <c r="D6"/>
  <c r="E6"/>
  <c r="F6"/>
  <c r="G6"/>
  <c r="A7"/>
  <c r="B7"/>
  <c r="C7"/>
  <c r="D7"/>
  <c r="E7"/>
  <c r="G7"/>
  <c r="A8"/>
  <c r="B8"/>
  <c r="C8"/>
  <c r="D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C198"/>
  <c r="D198"/>
  <c r="E198"/>
  <c r="F198"/>
  <c r="G198"/>
  <c r="A199"/>
  <c r="B199"/>
  <c r="C199"/>
  <c r="D199"/>
  <c r="E199"/>
  <c r="F199"/>
  <c r="G199"/>
  <c r="A200"/>
  <c r="B200"/>
  <c r="C200"/>
  <c r="D200"/>
  <c r="E200"/>
  <c r="F200"/>
  <c r="G200"/>
  <c r="A201"/>
  <c r="B201"/>
  <c r="C201"/>
  <c r="D201"/>
  <c r="E201"/>
  <c r="F201"/>
  <c r="G201"/>
  <c r="A202"/>
  <c r="B202"/>
  <c r="C202"/>
  <c r="D202"/>
  <c r="E202"/>
  <c r="F202"/>
  <c r="G202"/>
  <c r="A203"/>
  <c r="B203"/>
  <c r="C203"/>
  <c r="D203"/>
  <c r="E203"/>
  <c r="F203"/>
  <c r="G203"/>
  <c r="A204"/>
  <c r="B204"/>
  <c r="C204"/>
  <c r="D204"/>
  <c r="E204"/>
  <c r="F204"/>
  <c r="G204"/>
  <c r="Q3" i="15"/>
  <c r="V2" i="12"/>
  <c r="HS4" i="9"/>
  <c r="R2" i="15"/>
  <c r="J4" i="12"/>
  <c r="M2" i="11"/>
  <c r="H4" i="12"/>
  <c r="J3" i="11"/>
  <c r="H2"/>
  <c r="C2" i="12"/>
  <c r="B2" i="11"/>
  <c r="A2" i="12"/>
  <c r="A2" i="11"/>
  <c r="E206" i="15"/>
  <c r="O1" i="11"/>
  <c r="A1"/>
  <c r="J205"/>
  <c r="BM216"/>
  <c r="BM215"/>
  <c r="A35" i="6" s="1"/>
  <c r="BM214" i="11"/>
  <c r="A34" i="6" s="1"/>
  <c r="BM213" i="11"/>
  <c r="A33" i="6" s="1"/>
  <c r="BM212" i="11"/>
  <c r="A32" i="6" s="1"/>
  <c r="BM211" i="11"/>
  <c r="A31" i="6" s="1"/>
  <c r="BM210" i="11"/>
  <c r="A30" i="6" s="1"/>
  <c r="BM209" i="11"/>
  <c r="A29" i="6" s="1"/>
  <c r="BM208" i="11"/>
  <c r="A28" i="6" s="1"/>
  <c r="BM207" i="11"/>
  <c r="A27" i="6" s="1"/>
  <c r="I213" i="15"/>
  <c r="I214"/>
  <c r="J39" i="6"/>
  <c r="M211" i="11"/>
  <c r="M209"/>
  <c r="M207"/>
  <c r="M205"/>
  <c r="HR209" i="9"/>
  <c r="HP209"/>
  <c r="D212" i="11"/>
  <c r="D211"/>
  <c r="D210"/>
  <c r="D209"/>
  <c r="D208"/>
  <c r="D207"/>
  <c r="D206"/>
  <c r="AH8" i="18" l="1"/>
  <c r="K44" i="19"/>
  <c r="AV6"/>
  <c r="AX6"/>
  <c r="AW6"/>
  <c r="BA36"/>
  <c r="BB36"/>
  <c r="BC36"/>
  <c r="AX36"/>
  <c r="AV36"/>
  <c r="AW36"/>
  <c r="K47"/>
  <c r="AH10" i="18"/>
  <c r="O9" s="1"/>
  <c r="K43" i="19"/>
  <c r="AH10" i="4"/>
  <c r="K48" i="19"/>
  <c r="AH8" i="4"/>
  <c r="O9" s="1"/>
  <c r="K18" i="19"/>
  <c r="K16"/>
  <c r="K45"/>
  <c r="K14"/>
  <c r="T44"/>
  <c r="T46"/>
  <c r="T48"/>
  <c r="AB35"/>
  <c r="W48"/>
  <c r="AA48" s="1"/>
  <c r="L68"/>
  <c r="AE44"/>
  <c r="AE46"/>
  <c r="AE48"/>
  <c r="U43"/>
  <c r="U45"/>
  <c r="U47"/>
  <c r="AA44"/>
  <c r="AA47"/>
  <c r="AA43"/>
  <c r="AA46"/>
  <c r="AA45"/>
  <c r="F84"/>
  <c r="F83"/>
  <c r="F82"/>
  <c r="O78"/>
  <c r="F78"/>
  <c r="H77"/>
  <c r="J77" s="1"/>
  <c r="D77"/>
  <c r="O76"/>
  <c r="F76"/>
  <c r="L75"/>
  <c r="N75" s="1"/>
  <c r="E75"/>
  <c r="G74"/>
  <c r="H73"/>
  <c r="J73" s="1"/>
  <c r="D73"/>
  <c r="C68"/>
  <c r="L66"/>
  <c r="AW65" s="1"/>
  <c r="L6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B88"/>
  <c r="G78"/>
  <c r="L77"/>
  <c r="N77" s="1"/>
  <c r="E77"/>
  <c r="G76"/>
  <c r="O75"/>
  <c r="F75"/>
  <c r="H74"/>
  <c r="J74" s="1"/>
  <c r="D74"/>
  <c r="L73"/>
  <c r="N73" s="1"/>
  <c r="E73"/>
  <c r="G88"/>
  <c r="H78"/>
  <c r="J78" s="1"/>
  <c r="D78"/>
  <c r="O77"/>
  <c r="F77"/>
  <c r="H76"/>
  <c r="J76" s="1"/>
  <c r="D76"/>
  <c r="G75"/>
  <c r="L74"/>
  <c r="N74" s="1"/>
  <c r="E74"/>
  <c r="O73"/>
  <c r="F73"/>
  <c r="C67"/>
  <c r="C66"/>
  <c r="AB68"/>
  <c r="M84"/>
  <c r="N83"/>
  <c r="N82"/>
  <c r="L78"/>
  <c r="N78" s="1"/>
  <c r="E78"/>
  <c r="G77"/>
  <c r="L76"/>
  <c r="N76" s="1"/>
  <c r="E76"/>
  <c r="H75"/>
  <c r="J75" s="1"/>
  <c r="D75"/>
  <c r="O74"/>
  <c r="F74"/>
  <c r="G73"/>
  <c r="F64"/>
  <c r="K15"/>
  <c r="K13"/>
  <c r="K17"/>
  <c r="R28"/>
  <c r="W28"/>
  <c r="AD23"/>
  <c r="U18"/>
  <c r="AB17"/>
  <c r="AD17" s="1"/>
  <c r="U17"/>
  <c r="X16"/>
  <c r="Z16" s="1"/>
  <c r="T16"/>
  <c r="W15"/>
  <c r="AE14"/>
  <c r="W14"/>
  <c r="AE13"/>
  <c r="W13"/>
  <c r="V23"/>
  <c r="AB18"/>
  <c r="AD18" s="1"/>
  <c r="V18"/>
  <c r="V17"/>
  <c r="AB16"/>
  <c r="AD16" s="1"/>
  <c r="U16"/>
  <c r="X15"/>
  <c r="Z15" s="1"/>
  <c r="T15"/>
  <c r="X14"/>
  <c r="Z14" s="1"/>
  <c r="T14"/>
  <c r="X13"/>
  <c r="Z13" s="1"/>
  <c r="T13"/>
  <c r="AC24"/>
  <c r="AD22"/>
  <c r="AE18"/>
  <c r="W18"/>
  <c r="AE17"/>
  <c r="W17"/>
  <c r="AE16"/>
  <c r="V16"/>
  <c r="AB15"/>
  <c r="AD15" s="1"/>
  <c r="U15"/>
  <c r="U14"/>
  <c r="AB13"/>
  <c r="AD13" s="1"/>
  <c r="U13"/>
  <c r="V24"/>
  <c r="V22"/>
  <c r="X18"/>
  <c r="Z18" s="1"/>
  <c r="T18"/>
  <c r="X17"/>
  <c r="Z17" s="1"/>
  <c r="T17"/>
  <c r="W16"/>
  <c r="AE15"/>
  <c r="V15"/>
  <c r="AB14"/>
  <c r="AD14" s="1"/>
  <c r="V14"/>
  <c r="V13"/>
  <c r="S6"/>
  <c r="S7"/>
  <c r="S8"/>
  <c r="AB6"/>
  <c r="BB5" s="1"/>
  <c r="V4"/>
  <c r="AB5"/>
  <c r="A5" i="11"/>
  <c r="B5"/>
  <c r="C5"/>
  <c r="D5"/>
  <c r="E5"/>
  <c r="F5"/>
  <c r="G5"/>
  <c r="H5"/>
  <c r="I5"/>
  <c r="A6"/>
  <c r="B6"/>
  <c r="C6"/>
  <c r="D6"/>
  <c r="E6"/>
  <c r="G6"/>
  <c r="H6"/>
  <c r="I6"/>
  <c r="A7"/>
  <c r="B7"/>
  <c r="C7"/>
  <c r="D7"/>
  <c r="E7"/>
  <c r="F7"/>
  <c r="G7"/>
  <c r="H7"/>
  <c r="I7"/>
  <c r="A8"/>
  <c r="B8"/>
  <c r="C8"/>
  <c r="D8"/>
  <c r="E8"/>
  <c r="F8"/>
  <c r="G8"/>
  <c r="H8"/>
  <c r="I8"/>
  <c r="A9"/>
  <c r="B9"/>
  <c r="C9"/>
  <c r="D9"/>
  <c r="E9"/>
  <c r="F9"/>
  <c r="G9"/>
  <c r="H9"/>
  <c r="I9"/>
  <c r="A10"/>
  <c r="B10"/>
  <c r="C10"/>
  <c r="D10"/>
  <c r="E10"/>
  <c r="F10"/>
  <c r="G10"/>
  <c r="H10"/>
  <c r="I10"/>
  <c r="A11"/>
  <c r="B11"/>
  <c r="C11"/>
  <c r="D11"/>
  <c r="E11"/>
  <c r="F11"/>
  <c r="G11"/>
  <c r="H11"/>
  <c r="I11"/>
  <c r="A12"/>
  <c r="B12"/>
  <c r="C12"/>
  <c r="D12"/>
  <c r="E12"/>
  <c r="F12"/>
  <c r="G12"/>
  <c r="H12"/>
  <c r="I12"/>
  <c r="A13"/>
  <c r="B13"/>
  <c r="C13"/>
  <c r="D13"/>
  <c r="E13"/>
  <c r="F13"/>
  <c r="G13"/>
  <c r="H13"/>
  <c r="I13"/>
  <c r="A14"/>
  <c r="B14"/>
  <c r="C14"/>
  <c r="D14"/>
  <c r="E14"/>
  <c r="F14"/>
  <c r="G14"/>
  <c r="H14"/>
  <c r="I14"/>
  <c r="A15"/>
  <c r="B15"/>
  <c r="C15"/>
  <c r="D15"/>
  <c r="E15"/>
  <c r="F15"/>
  <c r="G15"/>
  <c r="H15"/>
  <c r="I15"/>
  <c r="A16"/>
  <c r="B16"/>
  <c r="C16"/>
  <c r="D16"/>
  <c r="E16"/>
  <c r="F16"/>
  <c r="G16"/>
  <c r="H16"/>
  <c r="I16"/>
  <c r="A17"/>
  <c r="B17"/>
  <c r="C17"/>
  <c r="D17"/>
  <c r="E17"/>
  <c r="F17"/>
  <c r="G17"/>
  <c r="H17"/>
  <c r="I17"/>
  <c r="A18"/>
  <c r="B18"/>
  <c r="C18"/>
  <c r="D18"/>
  <c r="E18"/>
  <c r="F18"/>
  <c r="G18"/>
  <c r="H18"/>
  <c r="I18"/>
  <c r="A19"/>
  <c r="B19"/>
  <c r="C19"/>
  <c r="D19"/>
  <c r="E19"/>
  <c r="F19"/>
  <c r="G19"/>
  <c r="H19"/>
  <c r="I19"/>
  <c r="A20"/>
  <c r="B20"/>
  <c r="C20"/>
  <c r="D20"/>
  <c r="E20"/>
  <c r="F20"/>
  <c r="G20"/>
  <c r="H20"/>
  <c r="I20"/>
  <c r="A21"/>
  <c r="B21"/>
  <c r="C21"/>
  <c r="D21"/>
  <c r="E21"/>
  <c r="F21"/>
  <c r="G21"/>
  <c r="H21"/>
  <c r="I21"/>
  <c r="A22"/>
  <c r="B22"/>
  <c r="C22"/>
  <c r="D22"/>
  <c r="E22"/>
  <c r="F22"/>
  <c r="G22"/>
  <c r="H22"/>
  <c r="I22"/>
  <c r="A23"/>
  <c r="B23"/>
  <c r="C23"/>
  <c r="D23"/>
  <c r="E23"/>
  <c r="F23"/>
  <c r="G23"/>
  <c r="H23"/>
  <c r="I23"/>
  <c r="A24"/>
  <c r="B24"/>
  <c r="C24"/>
  <c r="D24"/>
  <c r="E24"/>
  <c r="F24"/>
  <c r="G24"/>
  <c r="H24"/>
  <c r="I24"/>
  <c r="A25"/>
  <c r="B25"/>
  <c r="C25"/>
  <c r="D25"/>
  <c r="E25"/>
  <c r="F25"/>
  <c r="G25"/>
  <c r="H25"/>
  <c r="I25"/>
  <c r="A26"/>
  <c r="B26"/>
  <c r="C26"/>
  <c r="D26"/>
  <c r="E26"/>
  <c r="F26"/>
  <c r="G26"/>
  <c r="H26"/>
  <c r="I26"/>
  <c r="A27"/>
  <c r="B27"/>
  <c r="C27"/>
  <c r="D27"/>
  <c r="E27"/>
  <c r="F27"/>
  <c r="G27"/>
  <c r="H27"/>
  <c r="I27"/>
  <c r="A28"/>
  <c r="B28"/>
  <c r="C28"/>
  <c r="D28"/>
  <c r="E28"/>
  <c r="F28"/>
  <c r="G28"/>
  <c r="H28"/>
  <c r="I28"/>
  <c r="A29"/>
  <c r="B29"/>
  <c r="C29"/>
  <c r="D29"/>
  <c r="E29"/>
  <c r="F29"/>
  <c r="G29"/>
  <c r="H29"/>
  <c r="I29"/>
  <c r="A30"/>
  <c r="B30"/>
  <c r="C30"/>
  <c r="D30"/>
  <c r="E30"/>
  <c r="F30"/>
  <c r="G30"/>
  <c r="H30"/>
  <c r="I30"/>
  <c r="A31"/>
  <c r="B31"/>
  <c r="C31"/>
  <c r="D31"/>
  <c r="E31"/>
  <c r="F31"/>
  <c r="G31"/>
  <c r="H31"/>
  <c r="I31"/>
  <c r="A32"/>
  <c r="B32"/>
  <c r="C32"/>
  <c r="D32"/>
  <c r="E32"/>
  <c r="F32"/>
  <c r="G32"/>
  <c r="H32"/>
  <c r="I32"/>
  <c r="A33"/>
  <c r="B33"/>
  <c r="C33"/>
  <c r="D33"/>
  <c r="E33"/>
  <c r="F33"/>
  <c r="G33"/>
  <c r="H33"/>
  <c r="I33"/>
  <c r="A34"/>
  <c r="B34"/>
  <c r="C34"/>
  <c r="D34"/>
  <c r="E34"/>
  <c r="F34"/>
  <c r="G34"/>
  <c r="H34"/>
  <c r="I34"/>
  <c r="A35"/>
  <c r="B35"/>
  <c r="C35"/>
  <c r="D35"/>
  <c r="E35"/>
  <c r="F35"/>
  <c r="G35"/>
  <c r="H35"/>
  <c r="I35"/>
  <c r="A36"/>
  <c r="B36"/>
  <c r="C36"/>
  <c r="D36"/>
  <c r="E36"/>
  <c r="F36"/>
  <c r="G36"/>
  <c r="H36"/>
  <c r="I36"/>
  <c r="A37"/>
  <c r="B37"/>
  <c r="C37"/>
  <c r="D37"/>
  <c r="E37"/>
  <c r="F37"/>
  <c r="G37"/>
  <c r="H37"/>
  <c r="I37"/>
  <c r="A38"/>
  <c r="B38"/>
  <c r="C38"/>
  <c r="D38"/>
  <c r="E38"/>
  <c r="F38"/>
  <c r="G38"/>
  <c r="H38"/>
  <c r="I38"/>
  <c r="A39"/>
  <c r="B39"/>
  <c r="C39"/>
  <c r="D39"/>
  <c r="E39"/>
  <c r="F39"/>
  <c r="G39"/>
  <c r="H39"/>
  <c r="I39"/>
  <c r="A40"/>
  <c r="B40"/>
  <c r="C40"/>
  <c r="D40"/>
  <c r="E40"/>
  <c r="F40"/>
  <c r="G40"/>
  <c r="H40"/>
  <c r="I40"/>
  <c r="A41"/>
  <c r="B41"/>
  <c r="C41"/>
  <c r="D41"/>
  <c r="E41"/>
  <c r="F41"/>
  <c r="G41"/>
  <c r="H41"/>
  <c r="I41"/>
  <c r="A42"/>
  <c r="B42"/>
  <c r="C42"/>
  <c r="D42"/>
  <c r="E42"/>
  <c r="F42"/>
  <c r="G42"/>
  <c r="H42"/>
  <c r="I42"/>
  <c r="A43"/>
  <c r="B43"/>
  <c r="C43"/>
  <c r="D43"/>
  <c r="E43"/>
  <c r="F43"/>
  <c r="G43"/>
  <c r="H43"/>
  <c r="I43"/>
  <c r="A44"/>
  <c r="B44"/>
  <c r="C44"/>
  <c r="D44"/>
  <c r="E44"/>
  <c r="F44"/>
  <c r="G44"/>
  <c r="H44"/>
  <c r="I44"/>
  <c r="A45"/>
  <c r="B45"/>
  <c r="C45"/>
  <c r="D45"/>
  <c r="E45"/>
  <c r="F45"/>
  <c r="G45"/>
  <c r="H45"/>
  <c r="I45"/>
  <c r="A46"/>
  <c r="B46"/>
  <c r="C46"/>
  <c r="D46"/>
  <c r="E46"/>
  <c r="F46"/>
  <c r="G46"/>
  <c r="H46"/>
  <c r="I46"/>
  <c r="A47"/>
  <c r="B47"/>
  <c r="C47"/>
  <c r="D47"/>
  <c r="E47"/>
  <c r="F47"/>
  <c r="G47"/>
  <c r="H47"/>
  <c r="I47"/>
  <c r="A48"/>
  <c r="B48"/>
  <c r="C48"/>
  <c r="D48"/>
  <c r="E48"/>
  <c r="F48"/>
  <c r="G48"/>
  <c r="H48"/>
  <c r="I48"/>
  <c r="A49"/>
  <c r="B49"/>
  <c r="C49"/>
  <c r="D49"/>
  <c r="E49"/>
  <c r="F49"/>
  <c r="G49"/>
  <c r="H49"/>
  <c r="I49"/>
  <c r="A50"/>
  <c r="B50"/>
  <c r="C50"/>
  <c r="D50"/>
  <c r="E50"/>
  <c r="F50"/>
  <c r="G50"/>
  <c r="H50"/>
  <c r="I50"/>
  <c r="A51"/>
  <c r="B51"/>
  <c r="C51"/>
  <c r="D51"/>
  <c r="E51"/>
  <c r="F51"/>
  <c r="G51"/>
  <c r="H51"/>
  <c r="I51"/>
  <c r="A52"/>
  <c r="B52"/>
  <c r="C52"/>
  <c r="D52"/>
  <c r="E52"/>
  <c r="F52"/>
  <c r="G52"/>
  <c r="H52"/>
  <c r="I52"/>
  <c r="A53"/>
  <c r="B53"/>
  <c r="C53"/>
  <c r="D53"/>
  <c r="E53"/>
  <c r="F53"/>
  <c r="G53"/>
  <c r="H53"/>
  <c r="I53"/>
  <c r="A54"/>
  <c r="B54"/>
  <c r="C54"/>
  <c r="D54"/>
  <c r="E54"/>
  <c r="F54"/>
  <c r="G54"/>
  <c r="H54"/>
  <c r="I54"/>
  <c r="A55"/>
  <c r="B55"/>
  <c r="C55"/>
  <c r="D55"/>
  <c r="E55"/>
  <c r="F55"/>
  <c r="G55"/>
  <c r="H55"/>
  <c r="I55"/>
  <c r="A56"/>
  <c r="B56"/>
  <c r="C56"/>
  <c r="D56"/>
  <c r="E56"/>
  <c r="F56"/>
  <c r="G56"/>
  <c r="H56"/>
  <c r="I56"/>
  <c r="A57"/>
  <c r="B57"/>
  <c r="C57"/>
  <c r="D57"/>
  <c r="E57"/>
  <c r="F57"/>
  <c r="G57"/>
  <c r="H57"/>
  <c r="I57"/>
  <c r="A58"/>
  <c r="B58"/>
  <c r="C58"/>
  <c r="D58"/>
  <c r="E58"/>
  <c r="F58"/>
  <c r="G58"/>
  <c r="H58"/>
  <c r="I58"/>
  <c r="A59"/>
  <c r="B59"/>
  <c r="C59"/>
  <c r="D59"/>
  <c r="E59"/>
  <c r="F59"/>
  <c r="G59"/>
  <c r="H59"/>
  <c r="I59"/>
  <c r="A60"/>
  <c r="B60"/>
  <c r="C60"/>
  <c r="D60"/>
  <c r="E60"/>
  <c r="F60"/>
  <c r="G60"/>
  <c r="H60"/>
  <c r="I60"/>
  <c r="A61"/>
  <c r="B61"/>
  <c r="C61"/>
  <c r="D61"/>
  <c r="E61"/>
  <c r="F61"/>
  <c r="G61"/>
  <c r="H61"/>
  <c r="I61"/>
  <c r="A62"/>
  <c r="B62"/>
  <c r="C62"/>
  <c r="D62"/>
  <c r="E62"/>
  <c r="F62"/>
  <c r="G62"/>
  <c r="H62"/>
  <c r="I62"/>
  <c r="A63"/>
  <c r="B63"/>
  <c r="C63"/>
  <c r="D63"/>
  <c r="E63"/>
  <c r="F63"/>
  <c r="G63"/>
  <c r="H63"/>
  <c r="I63"/>
  <c r="A64"/>
  <c r="B64"/>
  <c r="C64"/>
  <c r="D64"/>
  <c r="E64"/>
  <c r="F64"/>
  <c r="G64"/>
  <c r="H64"/>
  <c r="I64"/>
  <c r="A65"/>
  <c r="B65"/>
  <c r="C65"/>
  <c r="D65"/>
  <c r="E65"/>
  <c r="F65"/>
  <c r="G65"/>
  <c r="H65"/>
  <c r="I65"/>
  <c r="A66"/>
  <c r="B66"/>
  <c r="C66"/>
  <c r="D66"/>
  <c r="E66"/>
  <c r="F66"/>
  <c r="G66"/>
  <c r="H66"/>
  <c r="I66"/>
  <c r="A67"/>
  <c r="B67"/>
  <c r="C67"/>
  <c r="D67"/>
  <c r="E67"/>
  <c r="F67"/>
  <c r="G67"/>
  <c r="H67"/>
  <c r="I67"/>
  <c r="A68"/>
  <c r="B68"/>
  <c r="C68"/>
  <c r="D68"/>
  <c r="E68"/>
  <c r="F68"/>
  <c r="G68"/>
  <c r="H68"/>
  <c r="I68"/>
  <c r="A69"/>
  <c r="B69"/>
  <c r="C69"/>
  <c r="D69"/>
  <c r="E69"/>
  <c r="F69"/>
  <c r="G69"/>
  <c r="H69"/>
  <c r="I69"/>
  <c r="A70"/>
  <c r="B70"/>
  <c r="C70"/>
  <c r="D70"/>
  <c r="E70"/>
  <c r="F70"/>
  <c r="G70"/>
  <c r="H70"/>
  <c r="I70"/>
  <c r="A71"/>
  <c r="B71"/>
  <c r="C71"/>
  <c r="D71"/>
  <c r="E71"/>
  <c r="F71"/>
  <c r="G71"/>
  <c r="H71"/>
  <c r="I71"/>
  <c r="A72"/>
  <c r="B72"/>
  <c r="C72"/>
  <c r="D72"/>
  <c r="E72"/>
  <c r="F72"/>
  <c r="G72"/>
  <c r="H72"/>
  <c r="I72"/>
  <c r="A73"/>
  <c r="B73"/>
  <c r="C73"/>
  <c r="D73"/>
  <c r="E73"/>
  <c r="F73"/>
  <c r="G73"/>
  <c r="H73"/>
  <c r="I73"/>
  <c r="A74"/>
  <c r="B74"/>
  <c r="C74"/>
  <c r="D74"/>
  <c r="E74"/>
  <c r="F74"/>
  <c r="G74"/>
  <c r="H74"/>
  <c r="I74"/>
  <c r="A75"/>
  <c r="B75"/>
  <c r="C75"/>
  <c r="D75"/>
  <c r="E75"/>
  <c r="F75"/>
  <c r="G75"/>
  <c r="H75"/>
  <c r="I75"/>
  <c r="A76"/>
  <c r="B76"/>
  <c r="C76"/>
  <c r="D76"/>
  <c r="E76"/>
  <c r="F76"/>
  <c r="G76"/>
  <c r="H76"/>
  <c r="I76"/>
  <c r="A77"/>
  <c r="B77"/>
  <c r="C77"/>
  <c r="D77"/>
  <c r="E77"/>
  <c r="F77"/>
  <c r="G77"/>
  <c r="H77"/>
  <c r="I77"/>
  <c r="A78"/>
  <c r="B78"/>
  <c r="C78"/>
  <c r="D78"/>
  <c r="E78"/>
  <c r="F78"/>
  <c r="G78"/>
  <c r="H78"/>
  <c r="I78"/>
  <c r="A79"/>
  <c r="B79"/>
  <c r="C79"/>
  <c r="D79"/>
  <c r="E79"/>
  <c r="F79"/>
  <c r="G79"/>
  <c r="H79"/>
  <c r="I79"/>
  <c r="A80"/>
  <c r="B80"/>
  <c r="C80"/>
  <c r="D80"/>
  <c r="E80"/>
  <c r="F80"/>
  <c r="G80"/>
  <c r="H80"/>
  <c r="I80"/>
  <c r="A81"/>
  <c r="B81"/>
  <c r="C81"/>
  <c r="D81"/>
  <c r="E81"/>
  <c r="F81"/>
  <c r="G81"/>
  <c r="H81"/>
  <c r="I81"/>
  <c r="A82"/>
  <c r="B82"/>
  <c r="C82"/>
  <c r="D82"/>
  <c r="E82"/>
  <c r="F82"/>
  <c r="G82"/>
  <c r="H82"/>
  <c r="I82"/>
  <c r="A83"/>
  <c r="B83"/>
  <c r="C83"/>
  <c r="D83"/>
  <c r="E83"/>
  <c r="F83"/>
  <c r="G83"/>
  <c r="H83"/>
  <c r="I83"/>
  <c r="A84"/>
  <c r="B84"/>
  <c r="C84"/>
  <c r="D84"/>
  <c r="E84"/>
  <c r="F84"/>
  <c r="G84"/>
  <c r="H84"/>
  <c r="I84"/>
  <c r="A85"/>
  <c r="B85"/>
  <c r="C85"/>
  <c r="D85"/>
  <c r="E85"/>
  <c r="F85"/>
  <c r="G85"/>
  <c r="H85"/>
  <c r="I85"/>
  <c r="A86"/>
  <c r="B86"/>
  <c r="C86"/>
  <c r="D86"/>
  <c r="E86"/>
  <c r="F86"/>
  <c r="G86"/>
  <c r="H86"/>
  <c r="I86"/>
  <c r="A87"/>
  <c r="B87"/>
  <c r="C87"/>
  <c r="D87"/>
  <c r="E87"/>
  <c r="F87"/>
  <c r="G87"/>
  <c r="H87"/>
  <c r="I87"/>
  <c r="A88"/>
  <c r="B88"/>
  <c r="C88"/>
  <c r="D88"/>
  <c r="E88"/>
  <c r="F88"/>
  <c r="G88"/>
  <c r="H88"/>
  <c r="I88"/>
  <c r="A89"/>
  <c r="B89"/>
  <c r="C89"/>
  <c r="D89"/>
  <c r="E89"/>
  <c r="F89"/>
  <c r="G89"/>
  <c r="H89"/>
  <c r="I89"/>
  <c r="A90"/>
  <c r="B90"/>
  <c r="C90"/>
  <c r="D90"/>
  <c r="E90"/>
  <c r="F90"/>
  <c r="G90"/>
  <c r="H90"/>
  <c r="I90"/>
  <c r="A91"/>
  <c r="B91"/>
  <c r="C91"/>
  <c r="D91"/>
  <c r="E91"/>
  <c r="F91"/>
  <c r="G91"/>
  <c r="H91"/>
  <c r="I91"/>
  <c r="A92"/>
  <c r="B92"/>
  <c r="C92"/>
  <c r="D92"/>
  <c r="E92"/>
  <c r="F92"/>
  <c r="G92"/>
  <c r="H92"/>
  <c r="I92"/>
  <c r="A93"/>
  <c r="B93"/>
  <c r="C93"/>
  <c r="D93"/>
  <c r="E93"/>
  <c r="F93"/>
  <c r="G93"/>
  <c r="H93"/>
  <c r="I93"/>
  <c r="A94"/>
  <c r="B94"/>
  <c r="C94"/>
  <c r="D94"/>
  <c r="E94"/>
  <c r="F94"/>
  <c r="G94"/>
  <c r="H94"/>
  <c r="I94"/>
  <c r="A95"/>
  <c r="B95"/>
  <c r="C95"/>
  <c r="D95"/>
  <c r="E95"/>
  <c r="F95"/>
  <c r="G95"/>
  <c r="H95"/>
  <c r="I95"/>
  <c r="A96"/>
  <c r="B96"/>
  <c r="C96"/>
  <c r="D96"/>
  <c r="E96"/>
  <c r="F96"/>
  <c r="G96"/>
  <c r="H96"/>
  <c r="I96"/>
  <c r="A97"/>
  <c r="B97"/>
  <c r="C97"/>
  <c r="D97"/>
  <c r="E97"/>
  <c r="F97"/>
  <c r="G97"/>
  <c r="H97"/>
  <c r="I97"/>
  <c r="A98"/>
  <c r="B98"/>
  <c r="C98"/>
  <c r="D98"/>
  <c r="E98"/>
  <c r="F98"/>
  <c r="G98"/>
  <c r="H98"/>
  <c r="I98"/>
  <c r="A99"/>
  <c r="B99"/>
  <c r="C99"/>
  <c r="D99"/>
  <c r="E99"/>
  <c r="F99"/>
  <c r="G99"/>
  <c r="H99"/>
  <c r="I99"/>
  <c r="A100"/>
  <c r="B100"/>
  <c r="C100"/>
  <c r="D100"/>
  <c r="E100"/>
  <c r="F100"/>
  <c r="G100"/>
  <c r="H100"/>
  <c r="I100"/>
  <c r="A101"/>
  <c r="B101"/>
  <c r="C101"/>
  <c r="D101"/>
  <c r="E101"/>
  <c r="F101"/>
  <c r="G101"/>
  <c r="H101"/>
  <c r="I101"/>
  <c r="A102"/>
  <c r="B102"/>
  <c r="C102"/>
  <c r="D102"/>
  <c r="E102"/>
  <c r="F102"/>
  <c r="G102"/>
  <c r="H102"/>
  <c r="I102"/>
  <c r="A103"/>
  <c r="B103"/>
  <c r="C103"/>
  <c r="D103"/>
  <c r="E103"/>
  <c r="F103"/>
  <c r="G103"/>
  <c r="H103"/>
  <c r="I103"/>
  <c r="A104"/>
  <c r="B104"/>
  <c r="C104"/>
  <c r="D104"/>
  <c r="E104"/>
  <c r="F104"/>
  <c r="G104"/>
  <c r="H104"/>
  <c r="I104"/>
  <c r="A105"/>
  <c r="B105"/>
  <c r="C105"/>
  <c r="D105"/>
  <c r="E105"/>
  <c r="F105"/>
  <c r="G105"/>
  <c r="H105"/>
  <c r="I105"/>
  <c r="A106"/>
  <c r="B106"/>
  <c r="C106"/>
  <c r="D106"/>
  <c r="E106"/>
  <c r="F106"/>
  <c r="G106"/>
  <c r="H106"/>
  <c r="I106"/>
  <c r="A107"/>
  <c r="B107"/>
  <c r="C107"/>
  <c r="D107"/>
  <c r="E107"/>
  <c r="F107"/>
  <c r="G107"/>
  <c r="H107"/>
  <c r="I107"/>
  <c r="A108"/>
  <c r="B108"/>
  <c r="C108"/>
  <c r="D108"/>
  <c r="E108"/>
  <c r="F108"/>
  <c r="G108"/>
  <c r="H108"/>
  <c r="I108"/>
  <c r="A109"/>
  <c r="B109"/>
  <c r="C109"/>
  <c r="D109"/>
  <c r="E109"/>
  <c r="F109"/>
  <c r="G109"/>
  <c r="H109"/>
  <c r="I109"/>
  <c r="A110"/>
  <c r="B110"/>
  <c r="C110"/>
  <c r="D110"/>
  <c r="E110"/>
  <c r="F110"/>
  <c r="G110"/>
  <c r="H110"/>
  <c r="I110"/>
  <c r="A111"/>
  <c r="B111"/>
  <c r="C111"/>
  <c r="D111"/>
  <c r="E111"/>
  <c r="F111"/>
  <c r="G111"/>
  <c r="H111"/>
  <c r="I111"/>
  <c r="A112"/>
  <c r="B112"/>
  <c r="C112"/>
  <c r="D112"/>
  <c r="E112"/>
  <c r="F112"/>
  <c r="G112"/>
  <c r="H112"/>
  <c r="I112"/>
  <c r="A113"/>
  <c r="B113"/>
  <c r="C113"/>
  <c r="D113"/>
  <c r="E113"/>
  <c r="F113"/>
  <c r="G113"/>
  <c r="H113"/>
  <c r="I113"/>
  <c r="A114"/>
  <c r="B114"/>
  <c r="C114"/>
  <c r="D114"/>
  <c r="E114"/>
  <c r="F114"/>
  <c r="G114"/>
  <c r="H114"/>
  <c r="I114"/>
  <c r="A115"/>
  <c r="B115"/>
  <c r="C115"/>
  <c r="D115"/>
  <c r="E115"/>
  <c r="F115"/>
  <c r="G115"/>
  <c r="H115"/>
  <c r="I115"/>
  <c r="A116"/>
  <c r="B116"/>
  <c r="C116"/>
  <c r="D116"/>
  <c r="E116"/>
  <c r="F116"/>
  <c r="G116"/>
  <c r="H116"/>
  <c r="I116"/>
  <c r="A117"/>
  <c r="B117"/>
  <c r="C117"/>
  <c r="D117"/>
  <c r="E117"/>
  <c r="F117"/>
  <c r="G117"/>
  <c r="H117"/>
  <c r="I117"/>
  <c r="A118"/>
  <c r="B118"/>
  <c r="C118"/>
  <c r="D118"/>
  <c r="E118"/>
  <c r="F118"/>
  <c r="G118"/>
  <c r="H118"/>
  <c r="I118"/>
  <c r="A119"/>
  <c r="B119"/>
  <c r="C119"/>
  <c r="D119"/>
  <c r="E119"/>
  <c r="F119"/>
  <c r="G119"/>
  <c r="H119"/>
  <c r="I119"/>
  <c r="A120"/>
  <c r="B120"/>
  <c r="C120"/>
  <c r="D120"/>
  <c r="E120"/>
  <c r="F120"/>
  <c r="G120"/>
  <c r="H120"/>
  <c r="I120"/>
  <c r="A121"/>
  <c r="B121"/>
  <c r="C121"/>
  <c r="D121"/>
  <c r="E121"/>
  <c r="F121"/>
  <c r="G121"/>
  <c r="H121"/>
  <c r="I121"/>
  <c r="A122"/>
  <c r="B122"/>
  <c r="C122"/>
  <c r="D122"/>
  <c r="E122"/>
  <c r="F122"/>
  <c r="G122"/>
  <c r="H122"/>
  <c r="I122"/>
  <c r="A123"/>
  <c r="B123"/>
  <c r="C123"/>
  <c r="D123"/>
  <c r="E123"/>
  <c r="F123"/>
  <c r="G123"/>
  <c r="H123"/>
  <c r="I123"/>
  <c r="A124"/>
  <c r="B124"/>
  <c r="C124"/>
  <c r="D124"/>
  <c r="E124"/>
  <c r="F124"/>
  <c r="G124"/>
  <c r="H124"/>
  <c r="I124"/>
  <c r="A125"/>
  <c r="B125"/>
  <c r="C125"/>
  <c r="D125"/>
  <c r="E125"/>
  <c r="F125"/>
  <c r="G125"/>
  <c r="H125"/>
  <c r="I125"/>
  <c r="A126"/>
  <c r="B126"/>
  <c r="C126"/>
  <c r="D126"/>
  <c r="E126"/>
  <c r="F126"/>
  <c r="G126"/>
  <c r="H126"/>
  <c r="I126"/>
  <c r="A127"/>
  <c r="B127"/>
  <c r="C127"/>
  <c r="D127"/>
  <c r="E127"/>
  <c r="F127"/>
  <c r="G127"/>
  <c r="H127"/>
  <c r="I127"/>
  <c r="A128"/>
  <c r="B128"/>
  <c r="C128"/>
  <c r="D128"/>
  <c r="E128"/>
  <c r="F128"/>
  <c r="G128"/>
  <c r="H128"/>
  <c r="I128"/>
  <c r="A129"/>
  <c r="B129"/>
  <c r="C129"/>
  <c r="D129"/>
  <c r="E129"/>
  <c r="F129"/>
  <c r="G129"/>
  <c r="H129"/>
  <c r="I129"/>
  <c r="A130"/>
  <c r="B130"/>
  <c r="C130"/>
  <c r="D130"/>
  <c r="E130"/>
  <c r="F130"/>
  <c r="G130"/>
  <c r="H130"/>
  <c r="I130"/>
  <c r="A131"/>
  <c r="B131"/>
  <c r="C131"/>
  <c r="D131"/>
  <c r="E131"/>
  <c r="F131"/>
  <c r="G131"/>
  <c r="H131"/>
  <c r="I131"/>
  <c r="A132"/>
  <c r="B132"/>
  <c r="C132"/>
  <c r="D132"/>
  <c r="E132"/>
  <c r="F132"/>
  <c r="G132"/>
  <c r="H132"/>
  <c r="I132"/>
  <c r="A133"/>
  <c r="B133"/>
  <c r="C133"/>
  <c r="D133"/>
  <c r="E133"/>
  <c r="F133"/>
  <c r="G133"/>
  <c r="H133"/>
  <c r="I133"/>
  <c r="A134"/>
  <c r="B134"/>
  <c r="C134"/>
  <c r="D134"/>
  <c r="E134"/>
  <c r="F134"/>
  <c r="G134"/>
  <c r="H134"/>
  <c r="I134"/>
  <c r="A135"/>
  <c r="B135"/>
  <c r="C135"/>
  <c r="D135"/>
  <c r="E135"/>
  <c r="F135"/>
  <c r="G135"/>
  <c r="H135"/>
  <c r="I135"/>
  <c r="A136"/>
  <c r="B136"/>
  <c r="C136"/>
  <c r="D136"/>
  <c r="E136"/>
  <c r="F136"/>
  <c r="G136"/>
  <c r="H136"/>
  <c r="I136"/>
  <c r="A137"/>
  <c r="B137"/>
  <c r="C137"/>
  <c r="D137"/>
  <c r="E137"/>
  <c r="F137"/>
  <c r="G137"/>
  <c r="H137"/>
  <c r="I137"/>
  <c r="A138"/>
  <c r="B138"/>
  <c r="C138"/>
  <c r="D138"/>
  <c r="E138"/>
  <c r="F138"/>
  <c r="G138"/>
  <c r="H138"/>
  <c r="I138"/>
  <c r="A139"/>
  <c r="B139"/>
  <c r="C139"/>
  <c r="D139"/>
  <c r="E139"/>
  <c r="F139"/>
  <c r="G139"/>
  <c r="H139"/>
  <c r="I139"/>
  <c r="A140"/>
  <c r="B140"/>
  <c r="C140"/>
  <c r="D140"/>
  <c r="E140"/>
  <c r="F140"/>
  <c r="G140"/>
  <c r="H140"/>
  <c r="I140"/>
  <c r="A141"/>
  <c r="B141"/>
  <c r="C141"/>
  <c r="D141"/>
  <c r="E141"/>
  <c r="F141"/>
  <c r="G141"/>
  <c r="H141"/>
  <c r="I141"/>
  <c r="A142"/>
  <c r="B142"/>
  <c r="C142"/>
  <c r="D142"/>
  <c r="E142"/>
  <c r="F142"/>
  <c r="G142"/>
  <c r="H142"/>
  <c r="I142"/>
  <c r="A143"/>
  <c r="B143"/>
  <c r="C143"/>
  <c r="D143"/>
  <c r="E143"/>
  <c r="F143"/>
  <c r="G143"/>
  <c r="H143"/>
  <c r="I143"/>
  <c r="A144"/>
  <c r="B144"/>
  <c r="C144"/>
  <c r="D144"/>
  <c r="E144"/>
  <c r="F144"/>
  <c r="G144"/>
  <c r="H144"/>
  <c r="I144"/>
  <c r="A145"/>
  <c r="B145"/>
  <c r="C145"/>
  <c r="D145"/>
  <c r="E145"/>
  <c r="F145"/>
  <c r="G145"/>
  <c r="H145"/>
  <c r="I145"/>
  <c r="A146"/>
  <c r="B146"/>
  <c r="C146"/>
  <c r="D146"/>
  <c r="E146"/>
  <c r="F146"/>
  <c r="G146"/>
  <c r="H146"/>
  <c r="I146"/>
  <c r="A147"/>
  <c r="B147"/>
  <c r="C147"/>
  <c r="D147"/>
  <c r="E147"/>
  <c r="F147"/>
  <c r="G147"/>
  <c r="H147"/>
  <c r="I147"/>
  <c r="A148"/>
  <c r="B148"/>
  <c r="C148"/>
  <c r="D148"/>
  <c r="E148"/>
  <c r="F148"/>
  <c r="G148"/>
  <c r="H148"/>
  <c r="I148"/>
  <c r="A149"/>
  <c r="B149"/>
  <c r="C149"/>
  <c r="D149"/>
  <c r="E149"/>
  <c r="F149"/>
  <c r="G149"/>
  <c r="H149"/>
  <c r="I149"/>
  <c r="A150"/>
  <c r="B150"/>
  <c r="C150"/>
  <c r="D150"/>
  <c r="E150"/>
  <c r="F150"/>
  <c r="G150"/>
  <c r="H150"/>
  <c r="I150"/>
  <c r="A151"/>
  <c r="B151"/>
  <c r="C151"/>
  <c r="D151"/>
  <c r="E151"/>
  <c r="F151"/>
  <c r="G151"/>
  <c r="H151"/>
  <c r="I151"/>
  <c r="A152"/>
  <c r="B152"/>
  <c r="C152"/>
  <c r="D152"/>
  <c r="E152"/>
  <c r="F152"/>
  <c r="G152"/>
  <c r="H152"/>
  <c r="I152"/>
  <c r="A153"/>
  <c r="B153"/>
  <c r="C153"/>
  <c r="D153"/>
  <c r="E153"/>
  <c r="F153"/>
  <c r="G153"/>
  <c r="H153"/>
  <c r="I153"/>
  <c r="A154"/>
  <c r="B154"/>
  <c r="C154"/>
  <c r="D154"/>
  <c r="E154"/>
  <c r="F154"/>
  <c r="G154"/>
  <c r="H154"/>
  <c r="I154"/>
  <c r="A155"/>
  <c r="B155"/>
  <c r="C155"/>
  <c r="D155"/>
  <c r="E155"/>
  <c r="F155"/>
  <c r="G155"/>
  <c r="H155"/>
  <c r="I155"/>
  <c r="A156"/>
  <c r="B156"/>
  <c r="C156"/>
  <c r="D156"/>
  <c r="E156"/>
  <c r="F156"/>
  <c r="G156"/>
  <c r="H156"/>
  <c r="I156"/>
  <c r="A157"/>
  <c r="B157"/>
  <c r="C157"/>
  <c r="D157"/>
  <c r="E157"/>
  <c r="F157"/>
  <c r="G157"/>
  <c r="H157"/>
  <c r="I157"/>
  <c r="A158"/>
  <c r="B158"/>
  <c r="C158"/>
  <c r="D158"/>
  <c r="E158"/>
  <c r="F158"/>
  <c r="G158"/>
  <c r="H158"/>
  <c r="I158"/>
  <c r="A159"/>
  <c r="B159"/>
  <c r="C159"/>
  <c r="D159"/>
  <c r="E159"/>
  <c r="F159"/>
  <c r="G159"/>
  <c r="H159"/>
  <c r="I159"/>
  <c r="A160"/>
  <c r="B160"/>
  <c r="C160"/>
  <c r="D160"/>
  <c r="E160"/>
  <c r="F160"/>
  <c r="G160"/>
  <c r="H160"/>
  <c r="I160"/>
  <c r="A161"/>
  <c r="B161"/>
  <c r="C161"/>
  <c r="D161"/>
  <c r="E161"/>
  <c r="F161"/>
  <c r="G161"/>
  <c r="H161"/>
  <c r="I161"/>
  <c r="A162"/>
  <c r="B162"/>
  <c r="C162"/>
  <c r="D162"/>
  <c r="E162"/>
  <c r="F162"/>
  <c r="G162"/>
  <c r="H162"/>
  <c r="I162"/>
  <c r="A163"/>
  <c r="B163"/>
  <c r="C163"/>
  <c r="D163"/>
  <c r="E163"/>
  <c r="F163"/>
  <c r="G163"/>
  <c r="H163"/>
  <c r="I163"/>
  <c r="A164"/>
  <c r="B164"/>
  <c r="C164"/>
  <c r="D164"/>
  <c r="E164"/>
  <c r="F164"/>
  <c r="G164"/>
  <c r="H164"/>
  <c r="I164"/>
  <c r="A165"/>
  <c r="B165"/>
  <c r="C165"/>
  <c r="D165"/>
  <c r="E165"/>
  <c r="F165"/>
  <c r="G165"/>
  <c r="H165"/>
  <c r="I165"/>
  <c r="A166"/>
  <c r="B166"/>
  <c r="C166"/>
  <c r="D166"/>
  <c r="E166"/>
  <c r="F166"/>
  <c r="G166"/>
  <c r="H166"/>
  <c r="I166"/>
  <c r="A167"/>
  <c r="B167"/>
  <c r="C167"/>
  <c r="D167"/>
  <c r="E167"/>
  <c r="F167"/>
  <c r="G167"/>
  <c r="H167"/>
  <c r="I167"/>
  <c r="A168"/>
  <c r="B168"/>
  <c r="C168"/>
  <c r="D168"/>
  <c r="E168"/>
  <c r="F168"/>
  <c r="G168"/>
  <c r="H168"/>
  <c r="I168"/>
  <c r="A169"/>
  <c r="B169"/>
  <c r="C169"/>
  <c r="D169"/>
  <c r="E169"/>
  <c r="F169"/>
  <c r="G169"/>
  <c r="H169"/>
  <c r="I169"/>
  <c r="A170"/>
  <c r="B170"/>
  <c r="C170"/>
  <c r="D170"/>
  <c r="E170"/>
  <c r="F170"/>
  <c r="G170"/>
  <c r="H170"/>
  <c r="I170"/>
  <c r="A171"/>
  <c r="B171"/>
  <c r="C171"/>
  <c r="D171"/>
  <c r="E171"/>
  <c r="F171"/>
  <c r="G171"/>
  <c r="H171"/>
  <c r="I171"/>
  <c r="A172"/>
  <c r="B172"/>
  <c r="C172"/>
  <c r="D172"/>
  <c r="E172"/>
  <c r="F172"/>
  <c r="G172"/>
  <c r="H172"/>
  <c r="I172"/>
  <c r="A173"/>
  <c r="B173"/>
  <c r="C173"/>
  <c r="D173"/>
  <c r="E173"/>
  <c r="F173"/>
  <c r="G173"/>
  <c r="H173"/>
  <c r="I173"/>
  <c r="A174"/>
  <c r="B174"/>
  <c r="C174"/>
  <c r="D174"/>
  <c r="E174"/>
  <c r="F174"/>
  <c r="G174"/>
  <c r="H174"/>
  <c r="I174"/>
  <c r="A175"/>
  <c r="B175"/>
  <c r="C175"/>
  <c r="D175"/>
  <c r="E175"/>
  <c r="F175"/>
  <c r="G175"/>
  <c r="H175"/>
  <c r="I175"/>
  <c r="A176"/>
  <c r="B176"/>
  <c r="C176"/>
  <c r="D176"/>
  <c r="E176"/>
  <c r="F176"/>
  <c r="G176"/>
  <c r="H176"/>
  <c r="I176"/>
  <c r="A177"/>
  <c r="B177"/>
  <c r="C177"/>
  <c r="D177"/>
  <c r="E177"/>
  <c r="F177"/>
  <c r="G177"/>
  <c r="H177"/>
  <c r="I177"/>
  <c r="A178"/>
  <c r="B178"/>
  <c r="C178"/>
  <c r="D178"/>
  <c r="E178"/>
  <c r="F178"/>
  <c r="G178"/>
  <c r="H178"/>
  <c r="I178"/>
  <c r="A179"/>
  <c r="B179"/>
  <c r="C179"/>
  <c r="D179"/>
  <c r="E179"/>
  <c r="F179"/>
  <c r="G179"/>
  <c r="H179"/>
  <c r="I179"/>
  <c r="A180"/>
  <c r="B180"/>
  <c r="C180"/>
  <c r="D180"/>
  <c r="E180"/>
  <c r="F180"/>
  <c r="G180"/>
  <c r="H180"/>
  <c r="I180"/>
  <c r="A181"/>
  <c r="B181"/>
  <c r="C181"/>
  <c r="D181"/>
  <c r="E181"/>
  <c r="F181"/>
  <c r="G181"/>
  <c r="H181"/>
  <c r="I181"/>
  <c r="A182"/>
  <c r="B182"/>
  <c r="C182"/>
  <c r="D182"/>
  <c r="E182"/>
  <c r="F182"/>
  <c r="G182"/>
  <c r="H182"/>
  <c r="I182"/>
  <c r="A183"/>
  <c r="B183"/>
  <c r="C183"/>
  <c r="D183"/>
  <c r="E183"/>
  <c r="F183"/>
  <c r="G183"/>
  <c r="H183"/>
  <c r="I183"/>
  <c r="A184"/>
  <c r="B184"/>
  <c r="C184"/>
  <c r="D184"/>
  <c r="E184"/>
  <c r="F184"/>
  <c r="G184"/>
  <c r="H184"/>
  <c r="I184"/>
  <c r="A185"/>
  <c r="B185"/>
  <c r="C185"/>
  <c r="D185"/>
  <c r="E185"/>
  <c r="F185"/>
  <c r="G185"/>
  <c r="H185"/>
  <c r="I185"/>
  <c r="A186"/>
  <c r="B186"/>
  <c r="C186"/>
  <c r="D186"/>
  <c r="E186"/>
  <c r="F186"/>
  <c r="G186"/>
  <c r="H186"/>
  <c r="I186"/>
  <c r="A187"/>
  <c r="B187"/>
  <c r="C187"/>
  <c r="D187"/>
  <c r="E187"/>
  <c r="F187"/>
  <c r="G187"/>
  <c r="H187"/>
  <c r="I187"/>
  <c r="A188"/>
  <c r="B188"/>
  <c r="C188"/>
  <c r="D188"/>
  <c r="E188"/>
  <c r="F188"/>
  <c r="G188"/>
  <c r="H188"/>
  <c r="I188"/>
  <c r="A189"/>
  <c r="B189"/>
  <c r="C189"/>
  <c r="D189"/>
  <c r="E189"/>
  <c r="F189"/>
  <c r="G189"/>
  <c r="H189"/>
  <c r="I189"/>
  <c r="A190"/>
  <c r="B190"/>
  <c r="C190"/>
  <c r="D190"/>
  <c r="E190"/>
  <c r="F190"/>
  <c r="G190"/>
  <c r="H190"/>
  <c r="I190"/>
  <c r="A191"/>
  <c r="B191"/>
  <c r="C191"/>
  <c r="D191"/>
  <c r="E191"/>
  <c r="F191"/>
  <c r="G191"/>
  <c r="H191"/>
  <c r="I191"/>
  <c r="A192"/>
  <c r="B192"/>
  <c r="C192"/>
  <c r="D192"/>
  <c r="E192"/>
  <c r="F192"/>
  <c r="G192"/>
  <c r="H192"/>
  <c r="I192"/>
  <c r="A193"/>
  <c r="B193"/>
  <c r="C193"/>
  <c r="D193"/>
  <c r="E193"/>
  <c r="F193"/>
  <c r="G193"/>
  <c r="H193"/>
  <c r="I193"/>
  <c r="A194"/>
  <c r="B194"/>
  <c r="C194"/>
  <c r="D194"/>
  <c r="E194"/>
  <c r="F194"/>
  <c r="G194"/>
  <c r="H194"/>
  <c r="I194"/>
  <c r="A195"/>
  <c r="B195"/>
  <c r="C195"/>
  <c r="D195"/>
  <c r="E195"/>
  <c r="F195"/>
  <c r="G195"/>
  <c r="H195"/>
  <c r="I195"/>
  <c r="A196"/>
  <c r="B196"/>
  <c r="C196"/>
  <c r="D196"/>
  <c r="E196"/>
  <c r="F196"/>
  <c r="G196"/>
  <c r="H196"/>
  <c r="I196"/>
  <c r="A197"/>
  <c r="B197"/>
  <c r="C197"/>
  <c r="D197"/>
  <c r="E197"/>
  <c r="F197"/>
  <c r="G197"/>
  <c r="H197"/>
  <c r="I197"/>
  <c r="A198"/>
  <c r="B198"/>
  <c r="C198"/>
  <c r="D198"/>
  <c r="E198"/>
  <c r="F198"/>
  <c r="G198"/>
  <c r="H198"/>
  <c r="I198"/>
  <c r="A199"/>
  <c r="B199"/>
  <c r="C199"/>
  <c r="D199"/>
  <c r="E199"/>
  <c r="F199"/>
  <c r="G199"/>
  <c r="H199"/>
  <c r="I199"/>
  <c r="A200"/>
  <c r="B200"/>
  <c r="C200"/>
  <c r="D200"/>
  <c r="E200"/>
  <c r="F200"/>
  <c r="G200"/>
  <c r="H200"/>
  <c r="I200"/>
  <c r="A201"/>
  <c r="B201"/>
  <c r="C201"/>
  <c r="D201"/>
  <c r="E201"/>
  <c r="F201"/>
  <c r="G201"/>
  <c r="H201"/>
  <c r="I201"/>
  <c r="A202"/>
  <c r="B202"/>
  <c r="C202"/>
  <c r="D202"/>
  <c r="E202"/>
  <c r="F202"/>
  <c r="G202"/>
  <c r="H202"/>
  <c r="I202"/>
  <c r="A203"/>
  <c r="B203"/>
  <c r="C203"/>
  <c r="D203"/>
  <c r="E203"/>
  <c r="F203"/>
  <c r="G203"/>
  <c r="H203"/>
  <c r="I203"/>
  <c r="S2"/>
  <c r="GM4" i="9"/>
  <c r="R2" i="11"/>
  <c r="HZ4" i="9"/>
  <c r="AQ2" i="15"/>
  <c r="O2" i="11"/>
  <c r="AQ3" i="15"/>
  <c r="J2" i="6"/>
  <c r="I3" i="15"/>
  <c r="I25" i="6"/>
  <c r="G25"/>
  <c r="A23"/>
  <c r="AA88" i="19" l="1"/>
  <c r="U65"/>
  <c r="K88"/>
  <c r="E65"/>
  <c r="AX66"/>
  <c r="AV66"/>
  <c r="AW66"/>
  <c r="AW37"/>
  <c r="AW39"/>
  <c r="BB39"/>
  <c r="BB37"/>
  <c r="AV7"/>
  <c r="AV9"/>
  <c r="BC39"/>
  <c r="BC37"/>
  <c r="AX7"/>
  <c r="AX9"/>
  <c r="AX37"/>
  <c r="AX39"/>
  <c r="AW7"/>
  <c r="AW9"/>
  <c r="BA6"/>
  <c r="BC6"/>
  <c r="BB6"/>
  <c r="AV39"/>
  <c r="AV37"/>
  <c r="BA39"/>
  <c r="BA37"/>
  <c r="K74"/>
  <c r="AA16"/>
  <c r="AA15"/>
  <c r="K76"/>
  <c r="K78"/>
  <c r="K77"/>
  <c r="K73"/>
  <c r="K75"/>
  <c r="L98"/>
  <c r="R88"/>
  <c r="AE78"/>
  <c r="V78"/>
  <c r="X77"/>
  <c r="Z77" s="1"/>
  <c r="T77"/>
  <c r="AE76"/>
  <c r="V76"/>
  <c r="U75"/>
  <c r="W74"/>
  <c r="X73"/>
  <c r="Z73" s="1"/>
  <c r="T73"/>
  <c r="AB66"/>
  <c r="BB65" s="1"/>
  <c r="AB65"/>
  <c r="V64"/>
  <c r="W88"/>
  <c r="AD83"/>
  <c r="AD82"/>
  <c r="W78"/>
  <c r="AB77"/>
  <c r="AD77" s="1"/>
  <c r="U77"/>
  <c r="W76"/>
  <c r="AB75"/>
  <c r="AD75" s="1"/>
  <c r="V75"/>
  <c r="X74"/>
  <c r="Z74" s="1"/>
  <c r="T74"/>
  <c r="U73"/>
  <c r="S67"/>
  <c r="AC84"/>
  <c r="V83"/>
  <c r="V82"/>
  <c r="X78"/>
  <c r="Z78" s="1"/>
  <c r="AA78" s="1"/>
  <c r="T78"/>
  <c r="AE77"/>
  <c r="V77"/>
  <c r="X76"/>
  <c r="Z76" s="1"/>
  <c r="T76"/>
  <c r="AE75"/>
  <c r="W75"/>
  <c r="AB74"/>
  <c r="AD74" s="1"/>
  <c r="U74"/>
  <c r="AB73"/>
  <c r="AD73" s="1"/>
  <c r="V73"/>
  <c r="S66"/>
  <c r="V84"/>
  <c r="AB78"/>
  <c r="AD78" s="1"/>
  <c r="U78"/>
  <c r="W77"/>
  <c r="AB76"/>
  <c r="AD76" s="1"/>
  <c r="U76"/>
  <c r="X75"/>
  <c r="Z75" s="1"/>
  <c r="T75"/>
  <c r="AE74"/>
  <c r="V74"/>
  <c r="AE73"/>
  <c r="W73"/>
  <c r="S68"/>
  <c r="AA14"/>
  <c r="AA18"/>
  <c r="AA13"/>
  <c r="AA17"/>
  <c r="A31"/>
  <c r="DJ6" i="9"/>
  <c r="CQ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108"/>
  <c r="CQ109"/>
  <c r="CQ110"/>
  <c r="CQ111"/>
  <c r="CQ112"/>
  <c r="CQ113"/>
  <c r="CQ114"/>
  <c r="CQ115"/>
  <c r="CQ116"/>
  <c r="CQ117"/>
  <c r="CQ118"/>
  <c r="CQ119"/>
  <c r="CQ120"/>
  <c r="CQ121"/>
  <c r="CQ122"/>
  <c r="CQ123"/>
  <c r="CQ124"/>
  <c r="CQ125"/>
  <c r="CQ126"/>
  <c r="CQ127"/>
  <c r="CQ128"/>
  <c r="CQ129"/>
  <c r="CQ130"/>
  <c r="CQ131"/>
  <c r="CQ132"/>
  <c r="CQ133"/>
  <c r="CQ134"/>
  <c r="CQ135"/>
  <c r="CQ136"/>
  <c r="CQ137"/>
  <c r="CQ138"/>
  <c r="CQ139"/>
  <c r="CQ140"/>
  <c r="CQ141"/>
  <c r="CQ142"/>
  <c r="CQ143"/>
  <c r="CQ144"/>
  <c r="CQ145"/>
  <c r="CQ146"/>
  <c r="CQ147"/>
  <c r="CQ148"/>
  <c r="CQ149"/>
  <c r="CQ150"/>
  <c r="CQ151"/>
  <c r="CQ152"/>
  <c r="CQ153"/>
  <c r="CQ154"/>
  <c r="CQ155"/>
  <c r="CQ156"/>
  <c r="CQ157"/>
  <c r="CQ158"/>
  <c r="CQ159"/>
  <c r="CQ160"/>
  <c r="CQ161"/>
  <c r="CQ162"/>
  <c r="CQ163"/>
  <c r="CQ164"/>
  <c r="CQ165"/>
  <c r="CQ166"/>
  <c r="CQ167"/>
  <c r="CQ168"/>
  <c r="CQ169"/>
  <c r="CQ170"/>
  <c r="CQ171"/>
  <c r="CQ172"/>
  <c r="CQ173"/>
  <c r="CQ174"/>
  <c r="CQ175"/>
  <c r="CQ176"/>
  <c r="CQ177"/>
  <c r="CQ178"/>
  <c r="CQ179"/>
  <c r="CQ180"/>
  <c r="CQ181"/>
  <c r="CQ182"/>
  <c r="CQ183"/>
  <c r="CQ184"/>
  <c r="CQ185"/>
  <c r="CQ186"/>
  <c r="CQ187"/>
  <c r="CQ188"/>
  <c r="CQ189"/>
  <c r="CQ190"/>
  <c r="CQ191"/>
  <c r="CQ192"/>
  <c r="CQ193"/>
  <c r="CQ194"/>
  <c r="CQ195"/>
  <c r="CQ196"/>
  <c r="CQ197"/>
  <c r="CQ198"/>
  <c r="CQ199"/>
  <c r="CQ200"/>
  <c r="CQ201"/>
  <c r="CQ202"/>
  <c r="CQ203"/>
  <c r="CQ204"/>
  <c r="CQ205"/>
  <c r="CQ206"/>
  <c r="CQ6"/>
  <c r="CB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111"/>
  <c r="CB112"/>
  <c r="CB113"/>
  <c r="CB114"/>
  <c r="CB115"/>
  <c r="CB116"/>
  <c r="CB117"/>
  <c r="CB118"/>
  <c r="CB119"/>
  <c r="CB120"/>
  <c r="CB121"/>
  <c r="CB122"/>
  <c r="CB123"/>
  <c r="CB124"/>
  <c r="CB125"/>
  <c r="CB126"/>
  <c r="CB127"/>
  <c r="CB128"/>
  <c r="CB129"/>
  <c r="CB130"/>
  <c r="CB131"/>
  <c r="CB132"/>
  <c r="CB133"/>
  <c r="CB134"/>
  <c r="CB135"/>
  <c r="CB136"/>
  <c r="CB137"/>
  <c r="CB138"/>
  <c r="CB139"/>
  <c r="CB140"/>
  <c r="CB141"/>
  <c r="CB142"/>
  <c r="CB143"/>
  <c r="CB144"/>
  <c r="CB145"/>
  <c r="CB146"/>
  <c r="CB147"/>
  <c r="CB148"/>
  <c r="CB149"/>
  <c r="CB150"/>
  <c r="CB151"/>
  <c r="CB152"/>
  <c r="CB153"/>
  <c r="CB154"/>
  <c r="CB155"/>
  <c r="CB156"/>
  <c r="CB157"/>
  <c r="CB158"/>
  <c r="CB159"/>
  <c r="CB160"/>
  <c r="CB161"/>
  <c r="CB162"/>
  <c r="CB163"/>
  <c r="CB164"/>
  <c r="CB165"/>
  <c r="CB166"/>
  <c r="CB167"/>
  <c r="CB168"/>
  <c r="CB169"/>
  <c r="CB170"/>
  <c r="CB171"/>
  <c r="CB172"/>
  <c r="CB173"/>
  <c r="CB174"/>
  <c r="CB175"/>
  <c r="CB176"/>
  <c r="CB177"/>
  <c r="CB178"/>
  <c r="CB179"/>
  <c r="CB180"/>
  <c r="CB181"/>
  <c r="CB182"/>
  <c r="CB183"/>
  <c r="CB184"/>
  <c r="CB185"/>
  <c r="CB186"/>
  <c r="CB187"/>
  <c r="CB188"/>
  <c r="CB189"/>
  <c r="CB190"/>
  <c r="CB191"/>
  <c r="CB192"/>
  <c r="CB193"/>
  <c r="CB194"/>
  <c r="CB195"/>
  <c r="CB196"/>
  <c r="CB197"/>
  <c r="CB198"/>
  <c r="CB199"/>
  <c r="CB200"/>
  <c r="CB201"/>
  <c r="CB202"/>
  <c r="CB203"/>
  <c r="CB204"/>
  <c r="CB205"/>
  <c r="CB206"/>
  <c r="CB6"/>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N103"/>
  <c r="BN104"/>
  <c r="BN105"/>
  <c r="BN106"/>
  <c r="BN107"/>
  <c r="BN108"/>
  <c r="BN109"/>
  <c r="BN110"/>
  <c r="BN111"/>
  <c r="BN112"/>
  <c r="BN113"/>
  <c r="BN114"/>
  <c r="BN115"/>
  <c r="BN116"/>
  <c r="BN117"/>
  <c r="BN118"/>
  <c r="BN119"/>
  <c r="BN120"/>
  <c r="BN121"/>
  <c r="BN122"/>
  <c r="BN123"/>
  <c r="BN124"/>
  <c r="BN125"/>
  <c r="BN126"/>
  <c r="BN127"/>
  <c r="BN128"/>
  <c r="BN129"/>
  <c r="BN130"/>
  <c r="BN131"/>
  <c r="BN132"/>
  <c r="BN133"/>
  <c r="BN134"/>
  <c r="BN135"/>
  <c r="BN136"/>
  <c r="BN137"/>
  <c r="BN138"/>
  <c r="BN139"/>
  <c r="BN140"/>
  <c r="BN141"/>
  <c r="BN142"/>
  <c r="BN143"/>
  <c r="BN144"/>
  <c r="BN145"/>
  <c r="BN146"/>
  <c r="BN147"/>
  <c r="BN148"/>
  <c r="BN149"/>
  <c r="BN150"/>
  <c r="BN151"/>
  <c r="BN152"/>
  <c r="BN153"/>
  <c r="BN154"/>
  <c r="BN155"/>
  <c r="BN156"/>
  <c r="BN157"/>
  <c r="BN158"/>
  <c r="BN159"/>
  <c r="BN160"/>
  <c r="BN161"/>
  <c r="BN162"/>
  <c r="BN163"/>
  <c r="BN164"/>
  <c r="BN165"/>
  <c r="BN166"/>
  <c r="BN167"/>
  <c r="BN168"/>
  <c r="BN169"/>
  <c r="BN170"/>
  <c r="BN171"/>
  <c r="BN172"/>
  <c r="BN173"/>
  <c r="BN174"/>
  <c r="BN175"/>
  <c r="BN176"/>
  <c r="BN177"/>
  <c r="BN178"/>
  <c r="BN179"/>
  <c r="BN180"/>
  <c r="BN181"/>
  <c r="BN182"/>
  <c r="BN183"/>
  <c r="BN184"/>
  <c r="BN185"/>
  <c r="BN186"/>
  <c r="BN187"/>
  <c r="BN188"/>
  <c r="BN189"/>
  <c r="BN190"/>
  <c r="BN191"/>
  <c r="BN192"/>
  <c r="BN193"/>
  <c r="BN194"/>
  <c r="BN195"/>
  <c r="BN196"/>
  <c r="BN197"/>
  <c r="BN198"/>
  <c r="BN199"/>
  <c r="BN200"/>
  <c r="BN201"/>
  <c r="BN202"/>
  <c r="BN203"/>
  <c r="BN204"/>
  <c r="BN205"/>
  <c r="BN206"/>
  <c r="BN6"/>
  <c r="AZ7"/>
  <c r="AZ38"/>
  <c r="AZ39"/>
  <c r="AZ40"/>
  <c r="AZ41"/>
  <c r="AZ42"/>
  <c r="AZ43"/>
  <c r="AZ44"/>
  <c r="AZ45"/>
  <c r="AZ46"/>
  <c r="AZ47"/>
  <c r="AZ48"/>
  <c r="AZ49"/>
  <c r="AZ50"/>
  <c r="AZ51"/>
  <c r="AZ52"/>
  <c r="AZ53"/>
  <c r="AZ54"/>
  <c r="AZ55"/>
  <c r="AZ56"/>
  <c r="AZ57"/>
  <c r="AZ58"/>
  <c r="AZ59"/>
  <c r="AZ60"/>
  <c r="AZ61"/>
  <c r="AZ62"/>
  <c r="AZ63"/>
  <c r="AZ64"/>
  <c r="AZ65"/>
  <c r="AZ66"/>
  <c r="AZ67"/>
  <c r="AZ68"/>
  <c r="AZ69"/>
  <c r="AZ70"/>
  <c r="AZ71"/>
  <c r="AZ72"/>
  <c r="AZ73"/>
  <c r="AZ74"/>
  <c r="AZ75"/>
  <c r="AZ76"/>
  <c r="AZ77"/>
  <c r="AZ78"/>
  <c r="AZ79"/>
  <c r="AZ80"/>
  <c r="AZ81"/>
  <c r="AZ82"/>
  <c r="AZ83"/>
  <c r="AZ84"/>
  <c r="AZ85"/>
  <c r="AZ86"/>
  <c r="AZ87"/>
  <c r="AZ88"/>
  <c r="AZ89"/>
  <c r="AZ90"/>
  <c r="AZ91"/>
  <c r="AZ92"/>
  <c r="AZ93"/>
  <c r="AZ94"/>
  <c r="AZ95"/>
  <c r="AZ96"/>
  <c r="AZ97"/>
  <c r="AZ98"/>
  <c r="AZ99"/>
  <c r="AZ100"/>
  <c r="AZ101"/>
  <c r="AZ102"/>
  <c r="AZ103"/>
  <c r="AZ104"/>
  <c r="AZ105"/>
  <c r="AZ106"/>
  <c r="AZ107"/>
  <c r="AZ108"/>
  <c r="AZ109"/>
  <c r="AZ110"/>
  <c r="AZ111"/>
  <c r="AZ112"/>
  <c r="AZ113"/>
  <c r="AZ114"/>
  <c r="AZ115"/>
  <c r="AZ116"/>
  <c r="AZ117"/>
  <c r="AZ118"/>
  <c r="AZ119"/>
  <c r="AZ120"/>
  <c r="AZ121"/>
  <c r="AZ122"/>
  <c r="AZ123"/>
  <c r="AZ124"/>
  <c r="AZ125"/>
  <c r="AZ126"/>
  <c r="AZ127"/>
  <c r="AZ128"/>
  <c r="AZ129"/>
  <c r="AZ130"/>
  <c r="AZ131"/>
  <c r="AZ132"/>
  <c r="AZ133"/>
  <c r="AZ134"/>
  <c r="AZ135"/>
  <c r="AZ136"/>
  <c r="AZ137"/>
  <c r="AZ138"/>
  <c r="AZ139"/>
  <c r="AZ140"/>
  <c r="AZ141"/>
  <c r="AZ142"/>
  <c r="AZ143"/>
  <c r="AZ144"/>
  <c r="AZ145"/>
  <c r="AZ146"/>
  <c r="AZ147"/>
  <c r="AZ148"/>
  <c r="AZ149"/>
  <c r="AZ150"/>
  <c r="AZ151"/>
  <c r="AZ152"/>
  <c r="AZ153"/>
  <c r="AZ154"/>
  <c r="AZ155"/>
  <c r="AZ156"/>
  <c r="AZ157"/>
  <c r="AZ158"/>
  <c r="AZ159"/>
  <c r="AZ160"/>
  <c r="AZ161"/>
  <c r="AZ162"/>
  <c r="AZ163"/>
  <c r="AZ164"/>
  <c r="AZ165"/>
  <c r="AZ166"/>
  <c r="AZ167"/>
  <c r="AZ168"/>
  <c r="AZ169"/>
  <c r="AZ170"/>
  <c r="AZ171"/>
  <c r="AZ172"/>
  <c r="AZ173"/>
  <c r="AZ174"/>
  <c r="AZ175"/>
  <c r="AZ176"/>
  <c r="AZ177"/>
  <c r="AZ178"/>
  <c r="AZ179"/>
  <c r="AZ180"/>
  <c r="AZ181"/>
  <c r="AZ182"/>
  <c r="AZ183"/>
  <c r="AZ184"/>
  <c r="AZ185"/>
  <c r="AZ186"/>
  <c r="AZ187"/>
  <c r="AZ188"/>
  <c r="AZ189"/>
  <c r="AZ190"/>
  <c r="AZ191"/>
  <c r="AZ192"/>
  <c r="AZ193"/>
  <c r="AZ194"/>
  <c r="AZ195"/>
  <c r="AZ196"/>
  <c r="AZ197"/>
  <c r="AZ198"/>
  <c r="AZ199"/>
  <c r="AZ200"/>
  <c r="AZ201"/>
  <c r="AZ202"/>
  <c r="AZ203"/>
  <c r="AZ204"/>
  <c r="AZ205"/>
  <c r="AZ206"/>
  <c r="AZ6"/>
  <c r="AK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6"/>
  <c r="W6"/>
  <c r="A36" i="6"/>
  <c r="A26"/>
  <c r="A38"/>
  <c r="J18"/>
  <c r="A39"/>
  <c r="A18"/>
  <c r="N25"/>
  <c r="L25"/>
  <c r="H2"/>
  <c r="F2"/>
  <c r="A25"/>
  <c r="A1"/>
  <c r="A17"/>
  <c r="F2" i="15"/>
  <c r="K118" i="19" l="1"/>
  <c r="E95"/>
  <c r="AW10"/>
  <c r="AX67"/>
  <c r="AX69"/>
  <c r="AW40"/>
  <c r="BA66"/>
  <c r="BB66"/>
  <c r="BC66"/>
  <c r="BA7"/>
  <c r="BA9"/>
  <c r="AV69"/>
  <c r="AV67"/>
  <c r="BB40"/>
  <c r="BC7"/>
  <c r="BC9"/>
  <c r="AW67"/>
  <c r="AW69"/>
  <c r="BB38"/>
  <c r="AB37" s="1"/>
  <c r="BB7"/>
  <c r="BB9"/>
  <c r="AW8"/>
  <c r="L7" s="1"/>
  <c r="AW38"/>
  <c r="L37" s="1"/>
  <c r="AA76"/>
  <c r="AA77"/>
  <c r="AA73"/>
  <c r="AA75"/>
  <c r="AA74"/>
  <c r="G118"/>
  <c r="L108"/>
  <c r="N108" s="1"/>
  <c r="E108"/>
  <c r="G107"/>
  <c r="L106"/>
  <c r="N106" s="1"/>
  <c r="E106"/>
  <c r="G105"/>
  <c r="L104"/>
  <c r="N104" s="1"/>
  <c r="E104"/>
  <c r="O103"/>
  <c r="F103"/>
  <c r="C97"/>
  <c r="C96"/>
  <c r="AB98"/>
  <c r="M114"/>
  <c r="N113"/>
  <c r="N112"/>
  <c r="O108"/>
  <c r="F108"/>
  <c r="H107"/>
  <c r="J107" s="1"/>
  <c r="D107"/>
  <c r="O106"/>
  <c r="F106"/>
  <c r="H105"/>
  <c r="J105" s="1"/>
  <c r="D105"/>
  <c r="O104"/>
  <c r="F104"/>
  <c r="G103"/>
  <c r="F9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F114"/>
  <c r="F113"/>
  <c r="F112"/>
  <c r="G108"/>
  <c r="L107"/>
  <c r="N107" s="1"/>
  <c r="E107"/>
  <c r="G106"/>
  <c r="L105"/>
  <c r="N105" s="1"/>
  <c r="E105"/>
  <c r="G104"/>
  <c r="H103"/>
  <c r="J103" s="1"/>
  <c r="D103"/>
  <c r="C98"/>
  <c r="L96"/>
  <c r="AW95" s="1"/>
  <c r="L95"/>
  <c r="B118"/>
  <c r="H108"/>
  <c r="J108" s="1"/>
  <c r="D108"/>
  <c r="O107"/>
  <c r="F107"/>
  <c r="H106"/>
  <c r="J106" s="1"/>
  <c r="D106"/>
  <c r="O105"/>
  <c r="F105"/>
  <c r="H104"/>
  <c r="J104" s="1"/>
  <c r="D104"/>
  <c r="L103"/>
  <c r="N103" s="1"/>
  <c r="E103"/>
  <c r="A32"/>
  <c r="A33" s="1"/>
  <c r="A34" s="1"/>
  <c r="A35" s="1"/>
  <c r="A36" s="1"/>
  <c r="A37" s="1"/>
  <c r="A38" s="1"/>
  <c r="A39" s="1"/>
  <c r="A40" s="1"/>
  <c r="A41" s="1"/>
  <c r="A42" s="1"/>
  <c r="A43" s="1"/>
  <c r="A44" s="1"/>
  <c r="A45" s="1"/>
  <c r="A46" s="1"/>
  <c r="A47" s="1"/>
  <c r="A48" s="1"/>
  <c r="A49" s="1"/>
  <c r="A50" s="1"/>
  <c r="A51" s="1"/>
  <c r="A52" s="1"/>
  <c r="A53" s="1"/>
  <c r="A54" s="1"/>
  <c r="A55" s="1"/>
  <c r="A56" s="1"/>
  <c r="A57" s="1"/>
  <c r="A58" s="1"/>
  <c r="A59" s="1"/>
  <c r="N9" i="6"/>
  <c r="N10"/>
  <c r="N11"/>
  <c r="N8"/>
  <c r="N7"/>
  <c r="CS8" i="9"/>
  <c r="R20" i="19" s="1"/>
  <c r="CT8" i="9"/>
  <c r="T20" i="19" s="1"/>
  <c r="CU8" i="9"/>
  <c r="CV8"/>
  <c r="V20" i="19" s="1"/>
  <c r="CX8" i="9"/>
  <c r="X20" i="19" s="1"/>
  <c r="CY8" i="9"/>
  <c r="Y20" i="19" s="1"/>
  <c r="DB8" i="9"/>
  <c r="AB20" i="19" s="1"/>
  <c r="DC8" i="9"/>
  <c r="AC20" i="19" s="1"/>
  <c r="CS9" i="9"/>
  <c r="B50" i="19" s="1"/>
  <c r="CT9" i="9"/>
  <c r="D50" i="19" s="1"/>
  <c r="CU9" i="9"/>
  <c r="E50" i="19" s="1"/>
  <c r="CV9" i="9"/>
  <c r="F50" i="19" s="1"/>
  <c r="CX9" i="9"/>
  <c r="H50" i="19" s="1"/>
  <c r="CY9" i="9"/>
  <c r="I50" i="19" s="1"/>
  <c r="DB9" i="9"/>
  <c r="DC9"/>
  <c r="M50" i="19" s="1"/>
  <c r="CS10" i="9"/>
  <c r="R50" i="19" s="1"/>
  <c r="CT10" i="9"/>
  <c r="T50" i="19" s="1"/>
  <c r="CU10" i="9"/>
  <c r="U50" i="19" s="1"/>
  <c r="CV10" i="9"/>
  <c r="V50" i="19" s="1"/>
  <c r="CX10" i="9"/>
  <c r="X50" i="19" s="1"/>
  <c r="CY10" i="9"/>
  <c r="Y50" i="19" s="1"/>
  <c r="DB10" i="9"/>
  <c r="AB50" i="19" s="1"/>
  <c r="DC10" i="9"/>
  <c r="AC50" i="19" s="1"/>
  <c r="CS11" i="9"/>
  <c r="B80" i="19" s="1"/>
  <c r="CT11" i="9"/>
  <c r="D80" i="19" s="1"/>
  <c r="CU11" i="9"/>
  <c r="E80" i="19" s="1"/>
  <c r="CV11" i="9"/>
  <c r="F80" i="19" s="1"/>
  <c r="CX11" i="9"/>
  <c r="CY11"/>
  <c r="I80" i="19" s="1"/>
  <c r="DB11" i="9"/>
  <c r="L80" i="19" s="1"/>
  <c r="DC11" i="9"/>
  <c r="M80" i="19" s="1"/>
  <c r="CS12" i="9"/>
  <c r="R80" i="19" s="1"/>
  <c r="CT12" i="9"/>
  <c r="T80" i="19" s="1"/>
  <c r="CU12" i="9"/>
  <c r="U80" i="19" s="1"/>
  <c r="CV12" i="9"/>
  <c r="V80" i="19" s="1"/>
  <c r="CX12" i="9"/>
  <c r="X80" i="19" s="1"/>
  <c r="CY12" i="9"/>
  <c r="Y80" i="19" s="1"/>
  <c r="DB12" i="9"/>
  <c r="AB80" i="19" s="1"/>
  <c r="DC12" i="9"/>
  <c r="CS13"/>
  <c r="CT13"/>
  <c r="CU13"/>
  <c r="E110" i="19" s="1"/>
  <c r="CV13" i="9"/>
  <c r="F110" i="19" s="1"/>
  <c r="CX13" i="9"/>
  <c r="CY13"/>
  <c r="I110" i="19" s="1"/>
  <c r="DB13" i="9"/>
  <c r="L110" i="19" s="1"/>
  <c r="DC13" i="9"/>
  <c r="CS14"/>
  <c r="CT14"/>
  <c r="CU14"/>
  <c r="CV14"/>
  <c r="CX14"/>
  <c r="CY14"/>
  <c r="DB14"/>
  <c r="DC14"/>
  <c r="CS15"/>
  <c r="CT15"/>
  <c r="CU15"/>
  <c r="CV15"/>
  <c r="CX15"/>
  <c r="CY15"/>
  <c r="DB15"/>
  <c r="DC15"/>
  <c r="CS16"/>
  <c r="CT16"/>
  <c r="CU16"/>
  <c r="CV16"/>
  <c r="CX16"/>
  <c r="CY16"/>
  <c r="DB16"/>
  <c r="DC16"/>
  <c r="CS17"/>
  <c r="CT17"/>
  <c r="CU17"/>
  <c r="CV17"/>
  <c r="CX17"/>
  <c r="CY17"/>
  <c r="DB17"/>
  <c r="DC17"/>
  <c r="CS18"/>
  <c r="CT18"/>
  <c r="CU18"/>
  <c r="CV18"/>
  <c r="CX18"/>
  <c r="CY18"/>
  <c r="DB18"/>
  <c r="DC18"/>
  <c r="CS19"/>
  <c r="CT19"/>
  <c r="CU19"/>
  <c r="CV19"/>
  <c r="CX19"/>
  <c r="CY19"/>
  <c r="DB19"/>
  <c r="DC19"/>
  <c r="CS20"/>
  <c r="CT20"/>
  <c r="CU20"/>
  <c r="CV20"/>
  <c r="CX20"/>
  <c r="CY20"/>
  <c r="CZ20" s="1"/>
  <c r="DB20"/>
  <c r="DC20"/>
  <c r="CS21"/>
  <c r="CT21"/>
  <c r="CU21"/>
  <c r="CV21"/>
  <c r="CX21"/>
  <c r="CY21"/>
  <c r="DB21"/>
  <c r="DC21"/>
  <c r="CS22"/>
  <c r="CT22"/>
  <c r="CW22" s="1"/>
  <c r="CU22"/>
  <c r="CV22"/>
  <c r="CX22"/>
  <c r="CY22"/>
  <c r="DB22"/>
  <c r="DD22" s="1"/>
  <c r="DJ22" s="1"/>
  <c r="DC22"/>
  <c r="CS23"/>
  <c r="CT23"/>
  <c r="CU23"/>
  <c r="CV23"/>
  <c r="CX23"/>
  <c r="CY23"/>
  <c r="DB23"/>
  <c r="DD23" s="1"/>
  <c r="DJ23" s="1"/>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D31" s="1"/>
  <c r="DC31"/>
  <c r="CS32"/>
  <c r="CT32"/>
  <c r="CU32"/>
  <c r="CV32"/>
  <c r="CX32"/>
  <c r="CY32"/>
  <c r="DB32"/>
  <c r="DC32"/>
  <c r="CS33"/>
  <c r="CT33"/>
  <c r="CU33"/>
  <c r="CV33"/>
  <c r="CX33"/>
  <c r="CY33"/>
  <c r="DB33"/>
  <c r="DC33"/>
  <c r="CS34"/>
  <c r="CT34"/>
  <c r="CU34"/>
  <c r="CV34"/>
  <c r="CX34"/>
  <c r="CY34"/>
  <c r="DB34"/>
  <c r="DC34"/>
  <c r="CS35"/>
  <c r="CT35"/>
  <c r="CU35"/>
  <c r="CV35"/>
  <c r="CX35"/>
  <c r="CY35"/>
  <c r="DB35"/>
  <c r="DD35" s="1"/>
  <c r="DC35"/>
  <c r="CS36"/>
  <c r="CT36"/>
  <c r="CU36"/>
  <c r="CV36"/>
  <c r="CX36"/>
  <c r="CY36"/>
  <c r="DB36"/>
  <c r="DC36"/>
  <c r="CS37"/>
  <c r="CT37"/>
  <c r="CU37"/>
  <c r="CV37"/>
  <c r="CX37"/>
  <c r="CY37"/>
  <c r="DB37"/>
  <c r="DD37" s="1"/>
  <c r="DC37"/>
  <c r="CS38"/>
  <c r="CT38"/>
  <c r="CU38"/>
  <c r="CV38"/>
  <c r="CX38"/>
  <c r="CY38"/>
  <c r="DB38"/>
  <c r="DC38"/>
  <c r="CS39"/>
  <c r="CT39"/>
  <c r="CU39"/>
  <c r="CV39"/>
  <c r="CX39"/>
  <c r="CY39"/>
  <c r="DB39"/>
  <c r="DD39" s="1"/>
  <c r="DJ39" s="1"/>
  <c r="DC39"/>
  <c r="CS40"/>
  <c r="CT40"/>
  <c r="CU40"/>
  <c r="CV40"/>
  <c r="CX40"/>
  <c r="CY40"/>
  <c r="DB40"/>
  <c r="DC40"/>
  <c r="CS41"/>
  <c r="CT41"/>
  <c r="CU41"/>
  <c r="CV41"/>
  <c r="CX41"/>
  <c r="CY41"/>
  <c r="DB41"/>
  <c r="DC41"/>
  <c r="CS42"/>
  <c r="CT42"/>
  <c r="CU42"/>
  <c r="CV42"/>
  <c r="CX42"/>
  <c r="CY42"/>
  <c r="DB42"/>
  <c r="DC42"/>
  <c r="CS43"/>
  <c r="CT43"/>
  <c r="CU43"/>
  <c r="CV43"/>
  <c r="CX43"/>
  <c r="CY43"/>
  <c r="DB43"/>
  <c r="DC43"/>
  <c r="CS44"/>
  <c r="CT44"/>
  <c r="CU44"/>
  <c r="CV44"/>
  <c r="CX44"/>
  <c r="CY44"/>
  <c r="DB44"/>
  <c r="DC44"/>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Z98" s="1"/>
  <c r="CY98"/>
  <c r="DB98"/>
  <c r="DC98"/>
  <c r="CS99"/>
  <c r="CT99"/>
  <c r="CU99"/>
  <c r="CV99"/>
  <c r="CX99"/>
  <c r="CZ99" s="1"/>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Z143" s="1"/>
  <c r="CY143"/>
  <c r="DB143"/>
  <c r="DC143"/>
  <c r="CS144"/>
  <c r="CT144"/>
  <c r="CU144"/>
  <c r="CV144"/>
  <c r="CX144"/>
  <c r="CY144"/>
  <c r="DB144"/>
  <c r="DC144"/>
  <c r="CS145"/>
  <c r="CT145"/>
  <c r="CU145"/>
  <c r="CV145"/>
  <c r="CX145"/>
  <c r="CY145"/>
  <c r="DB145"/>
  <c r="DC145"/>
  <c r="CS146"/>
  <c r="CT146"/>
  <c r="CU146"/>
  <c r="CV146"/>
  <c r="CX146"/>
  <c r="CZ146" s="1"/>
  <c r="CY146"/>
  <c r="DB146"/>
  <c r="DC146"/>
  <c r="CS147"/>
  <c r="CT147"/>
  <c r="CU147"/>
  <c r="CV147"/>
  <c r="CX147"/>
  <c r="CZ147" s="1"/>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DJ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Z179" s="1"/>
  <c r="CY179"/>
  <c r="DB179"/>
  <c r="DC179"/>
  <c r="CS180"/>
  <c r="CT180"/>
  <c r="CU180"/>
  <c r="CV180"/>
  <c r="CX180"/>
  <c r="CY180"/>
  <c r="DB180"/>
  <c r="DC180"/>
  <c r="CS181"/>
  <c r="CT181"/>
  <c r="CU181"/>
  <c r="CV181"/>
  <c r="CX181"/>
  <c r="CY181"/>
  <c r="DB181"/>
  <c r="DC181"/>
  <c r="CS182"/>
  <c r="CT182"/>
  <c r="CU182"/>
  <c r="CV182"/>
  <c r="CX182"/>
  <c r="CZ182" s="1"/>
  <c r="CY182"/>
  <c r="DB182"/>
  <c r="DC182"/>
  <c r="CS183"/>
  <c r="CT183"/>
  <c r="CU183"/>
  <c r="CV183"/>
  <c r="CX183"/>
  <c r="CZ183" s="1"/>
  <c r="CY183"/>
  <c r="DB183"/>
  <c r="DC183"/>
  <c r="CS184"/>
  <c r="CT184"/>
  <c r="CU184"/>
  <c r="CV184"/>
  <c r="CX184"/>
  <c r="CZ184" s="1"/>
  <c r="CY184"/>
  <c r="DB184"/>
  <c r="DC184"/>
  <c r="CS185"/>
  <c r="CT185"/>
  <c r="CU185"/>
  <c r="CV185"/>
  <c r="CX185"/>
  <c r="CZ185" s="1"/>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Z191" s="1"/>
  <c r="CY191"/>
  <c r="DB191"/>
  <c r="DC191"/>
  <c r="CS192"/>
  <c r="CT192"/>
  <c r="CU192"/>
  <c r="CV192"/>
  <c r="CX192"/>
  <c r="CZ192" s="1"/>
  <c r="CY192"/>
  <c r="DB192"/>
  <c r="DC192"/>
  <c r="CS193"/>
  <c r="CT193"/>
  <c r="CU193"/>
  <c r="CV193"/>
  <c r="CX193"/>
  <c r="CZ193" s="1"/>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Z205" s="1"/>
  <c r="CY205"/>
  <c r="DB205"/>
  <c r="DC205"/>
  <c r="CS206"/>
  <c r="CT206"/>
  <c r="CU206"/>
  <c r="CV206"/>
  <c r="CX206"/>
  <c r="CZ206" s="1"/>
  <c r="CY206"/>
  <c r="DB206"/>
  <c r="DC206"/>
  <c r="DC7"/>
  <c r="M20" i="19" s="1"/>
  <c r="DB7" i="9"/>
  <c r="L20" i="19" s="1"/>
  <c r="CY7" i="9"/>
  <c r="I20" i="19" s="1"/>
  <c r="CX7" i="9"/>
  <c r="H20" i="19" s="1"/>
  <c r="CV7" i="9"/>
  <c r="F20" i="19" s="1"/>
  <c r="CU7" i="9"/>
  <c r="E20" i="19" s="1"/>
  <c r="CS7" i="9"/>
  <c r="CT7"/>
  <c r="D20" i="19" s="1"/>
  <c r="O4" i="6"/>
  <c r="HY218" i="9"/>
  <c r="N4" i="6"/>
  <c r="HY217" i="9"/>
  <c r="M4" i="6"/>
  <c r="L4"/>
  <c r="K4"/>
  <c r="J4"/>
  <c r="I4"/>
  <c r="HP4" i="9"/>
  <c r="H4" i="6"/>
  <c r="I210" i="15"/>
  <c r="G4" i="6"/>
  <c r="I209" i="15"/>
  <c r="F4" i="6"/>
  <c r="I208" i="15"/>
  <c r="E4" i="6"/>
  <c r="AR3" i="15"/>
  <c r="D4" i="6"/>
  <c r="C4"/>
  <c r="I206" i="15"/>
  <c r="B4" i="6"/>
  <c r="A4"/>
  <c r="A2"/>
  <c r="AA118" i="19" l="1"/>
  <c r="U95"/>
  <c r="AW68"/>
  <c r="CW18" i="9"/>
  <c r="DD144"/>
  <c r="DJ144" s="1"/>
  <c r="DD111"/>
  <c r="DJ111" s="1"/>
  <c r="DD92"/>
  <c r="DJ92" s="1"/>
  <c r="DD75"/>
  <c r="DJ75" s="1"/>
  <c r="DD55"/>
  <c r="DJ55" s="1"/>
  <c r="CW51"/>
  <c r="DD44"/>
  <c r="DJ44" s="1"/>
  <c r="DD40"/>
  <c r="DJ40" s="1"/>
  <c r="CW17"/>
  <c r="B20" i="19"/>
  <c r="BB10"/>
  <c r="BB69"/>
  <c r="BB67"/>
  <c r="BC69"/>
  <c r="BC67"/>
  <c r="AX96"/>
  <c r="AV96"/>
  <c r="AW96"/>
  <c r="AW70"/>
  <c r="L67" s="1"/>
  <c r="BA69"/>
  <c r="BA67"/>
  <c r="BB8"/>
  <c r="K108"/>
  <c r="K104"/>
  <c r="K106"/>
  <c r="K103"/>
  <c r="CZ171" i="9"/>
  <c r="CW194"/>
  <c r="DD167"/>
  <c r="DJ167" s="1"/>
  <c r="CW158"/>
  <c r="DD156"/>
  <c r="DJ156" s="1"/>
  <c r="CZ151"/>
  <c r="CZ150"/>
  <c r="CZ81"/>
  <c r="CZ61"/>
  <c r="CZ60"/>
  <c r="CZ59"/>
  <c r="CZ16"/>
  <c r="CZ178"/>
  <c r="CZ175"/>
  <c r="CZ161"/>
  <c r="CZ159"/>
  <c r="CZ139"/>
  <c r="CZ136"/>
  <c r="CW130"/>
  <c r="CZ115"/>
  <c r="CW107"/>
  <c r="CW106"/>
  <c r="CW102"/>
  <c r="CZ79"/>
  <c r="CZ72"/>
  <c r="CW67"/>
  <c r="CZ63"/>
  <c r="CZ48"/>
  <c r="CZ43"/>
  <c r="CZ40"/>
  <c r="CW36"/>
  <c r="CW30"/>
  <c r="CZ203"/>
  <c r="DD142"/>
  <c r="DJ142" s="1"/>
  <c r="DD139"/>
  <c r="DJ139" s="1"/>
  <c r="DD127"/>
  <c r="DJ127" s="1"/>
  <c r="DD123"/>
  <c r="DJ123" s="1"/>
  <c r="DD122"/>
  <c r="DJ122" s="1"/>
  <c r="DD121"/>
  <c r="DJ121" s="1"/>
  <c r="DD120"/>
  <c r="DJ120" s="1"/>
  <c r="CW120"/>
  <c r="DD119"/>
  <c r="DJ119" s="1"/>
  <c r="DD117"/>
  <c r="DJ117" s="1"/>
  <c r="DD116"/>
  <c r="DJ116" s="1"/>
  <c r="DD115"/>
  <c r="DJ115" s="1"/>
  <c r="CW114"/>
  <c r="DD95"/>
  <c r="DJ95" s="1"/>
  <c r="CW82"/>
  <c r="DD79"/>
  <c r="DJ79" s="1"/>
  <c r="CW62"/>
  <c r="DD11"/>
  <c r="DJ11" s="1"/>
  <c r="DD206"/>
  <c r="DJ206" s="1"/>
  <c r="DD203"/>
  <c r="DJ203" s="1"/>
  <c r="CZ39"/>
  <c r="CZ35"/>
  <c r="CZ34"/>
  <c r="CZ31"/>
  <c r="CZ15"/>
  <c r="DD110"/>
  <c r="DJ110" s="1"/>
  <c r="DD107"/>
  <c r="DJ107" s="1"/>
  <c r="DD106"/>
  <c r="DJ106" s="1"/>
  <c r="DD96"/>
  <c r="DJ96" s="1"/>
  <c r="CZ95"/>
  <c r="CZ91"/>
  <c r="CZ87"/>
  <c r="CZ86"/>
  <c r="CZ83"/>
  <c r="DD78"/>
  <c r="DJ78" s="1"/>
  <c r="DD67"/>
  <c r="DJ67" s="1"/>
  <c r="DD64"/>
  <c r="DJ64" s="1"/>
  <c r="DD63"/>
  <c r="DJ63" s="1"/>
  <c r="DD59"/>
  <c r="DJ59" s="1"/>
  <c r="CZ47"/>
  <c r="CZ46"/>
  <c r="K105" i="19"/>
  <c r="K107"/>
  <c r="DD199" i="9"/>
  <c r="DJ199" s="1"/>
  <c r="CZ173"/>
  <c r="CZ172"/>
  <c r="CW146"/>
  <c r="CW145"/>
  <c r="CW71"/>
  <c r="CW63"/>
  <c r="CW46"/>
  <c r="DD21"/>
  <c r="DJ21" s="1"/>
  <c r="CW14"/>
  <c r="CZ204"/>
  <c r="CW178"/>
  <c r="CW171"/>
  <c r="DA171" s="1"/>
  <c r="CW167"/>
  <c r="CW166"/>
  <c r="CW165"/>
  <c r="CZ164"/>
  <c r="DD154"/>
  <c r="DJ154" s="1"/>
  <c r="DD153"/>
  <c r="DJ153" s="1"/>
  <c r="CW152"/>
  <c r="DD149"/>
  <c r="DJ149" s="1"/>
  <c r="DD147"/>
  <c r="DJ147" s="1"/>
  <c r="DD135"/>
  <c r="DJ135" s="1"/>
  <c r="CZ123"/>
  <c r="CZ119"/>
  <c r="CZ113"/>
  <c r="CZ111"/>
  <c r="CZ109"/>
  <c r="CZ108"/>
  <c r="CW98"/>
  <c r="DD91"/>
  <c r="DJ91" s="1"/>
  <c r="DD90"/>
  <c r="DJ90" s="1"/>
  <c r="DD89"/>
  <c r="DJ89" s="1"/>
  <c r="CW88"/>
  <c r="DD87"/>
  <c r="DJ87" s="1"/>
  <c r="DD85"/>
  <c r="DJ85" s="1"/>
  <c r="DD83"/>
  <c r="DJ83" s="1"/>
  <c r="CZ68"/>
  <c r="CZ67"/>
  <c r="DD58"/>
  <c r="DJ58" s="1"/>
  <c r="DD43"/>
  <c r="DJ43" s="1"/>
  <c r="DD27"/>
  <c r="DD24"/>
  <c r="DD193"/>
  <c r="DJ193" s="1"/>
  <c r="DD192"/>
  <c r="DJ192" s="1"/>
  <c r="DD191"/>
  <c r="DJ191" s="1"/>
  <c r="DD187"/>
  <c r="DJ187" s="1"/>
  <c r="DD186"/>
  <c r="DJ186" s="1"/>
  <c r="CW186"/>
  <c r="DD185"/>
  <c r="DJ185" s="1"/>
  <c r="DD184"/>
  <c r="DJ184" s="1"/>
  <c r="CW184"/>
  <c r="DA184" s="1"/>
  <c r="DD182"/>
  <c r="DJ182" s="1"/>
  <c r="DD181"/>
  <c r="DJ181" s="1"/>
  <c r="DD180"/>
  <c r="DJ180" s="1"/>
  <c r="DD179"/>
  <c r="DJ179" s="1"/>
  <c r="DD174"/>
  <c r="DJ174" s="1"/>
  <c r="DD171"/>
  <c r="DJ171" s="1"/>
  <c r="CW162"/>
  <c r="DD159"/>
  <c r="DJ159" s="1"/>
  <c r="CZ141"/>
  <c r="CZ131"/>
  <c r="CZ130"/>
  <c r="CZ127"/>
  <c r="CW101"/>
  <c r="DA67"/>
  <c r="CZ29"/>
  <c r="CZ27"/>
  <c r="N80" i="19"/>
  <c r="AD50"/>
  <c r="AD20"/>
  <c r="N20"/>
  <c r="I21" i="4"/>
  <c r="I21" i="18"/>
  <c r="B21" i="4"/>
  <c r="B21" i="18"/>
  <c r="H110" i="19"/>
  <c r="J21" i="4"/>
  <c r="J23" s="1"/>
  <c r="J21" i="18"/>
  <c r="J23" s="1"/>
  <c r="E21"/>
  <c r="E21" i="4"/>
  <c r="DD9" i="9"/>
  <c r="L50" i="19"/>
  <c r="N50" s="1"/>
  <c r="CW8" i="9"/>
  <c r="W20" i="19" s="1"/>
  <c r="U20"/>
  <c r="D110"/>
  <c r="M21" i="18"/>
  <c r="M21" i="4"/>
  <c r="F21" i="18"/>
  <c r="F21" i="4"/>
  <c r="N21"/>
  <c r="N23" s="1"/>
  <c r="N21" i="18"/>
  <c r="N23" s="1"/>
  <c r="G21" i="4"/>
  <c r="G21" i="18"/>
  <c r="DD12" i="9"/>
  <c r="AC80" i="19"/>
  <c r="AD80" s="1"/>
  <c r="CZ11" i="9"/>
  <c r="J80" i="19" s="1"/>
  <c r="H80"/>
  <c r="M110"/>
  <c r="N110" s="1"/>
  <c r="B110"/>
  <c r="AC114"/>
  <c r="V113"/>
  <c r="V112"/>
  <c r="AB110"/>
  <c r="W110"/>
  <c r="R110"/>
  <c r="X108"/>
  <c r="Z108" s="1"/>
  <c r="T108"/>
  <c r="W107"/>
  <c r="AB106"/>
  <c r="AD106" s="1"/>
  <c r="U106"/>
  <c r="W105"/>
  <c r="AB104"/>
  <c r="AD104" s="1"/>
  <c r="U104"/>
  <c r="AB103"/>
  <c r="AD103" s="1"/>
  <c r="V103"/>
  <c r="S96"/>
  <c r="V114"/>
  <c r="AC110"/>
  <c r="X110"/>
  <c r="T110"/>
  <c r="AB108"/>
  <c r="AD108" s="1"/>
  <c r="U108"/>
  <c r="X107"/>
  <c r="Z107" s="1"/>
  <c r="T107"/>
  <c r="AE106"/>
  <c r="V106"/>
  <c r="X105"/>
  <c r="Z105" s="1"/>
  <c r="T105"/>
  <c r="AE104"/>
  <c r="V104"/>
  <c r="AE103"/>
  <c r="W103"/>
  <c r="S98"/>
  <c r="L128"/>
  <c r="R118"/>
  <c r="Y110"/>
  <c r="U110"/>
  <c r="AE108"/>
  <c r="V108"/>
  <c r="AB107"/>
  <c r="AD107" s="1"/>
  <c r="U107"/>
  <c r="W106"/>
  <c r="AB105"/>
  <c r="AD105" s="1"/>
  <c r="U105"/>
  <c r="W104"/>
  <c r="X103"/>
  <c r="Z103" s="1"/>
  <c r="T103"/>
  <c r="AB96"/>
  <c r="BB95" s="1"/>
  <c r="AB95"/>
  <c r="V94"/>
  <c r="W118"/>
  <c r="AD113"/>
  <c r="AD112"/>
  <c r="V110"/>
  <c r="W108"/>
  <c r="AE107"/>
  <c r="V107"/>
  <c r="X106"/>
  <c r="Z106" s="1"/>
  <c r="T106"/>
  <c r="AE105"/>
  <c r="V105"/>
  <c r="X104"/>
  <c r="Z104" s="1"/>
  <c r="T104"/>
  <c r="U103"/>
  <c r="S97"/>
  <c r="DD7" i="9"/>
  <c r="DD202"/>
  <c r="DJ202" s="1"/>
  <c r="CW202"/>
  <c r="DD201"/>
  <c r="DJ201" s="1"/>
  <c r="DD200"/>
  <c r="DJ200" s="1"/>
  <c r="CW200"/>
  <c r="DD198"/>
  <c r="DJ198" s="1"/>
  <c r="DD197"/>
  <c r="DJ197" s="1"/>
  <c r="DD196"/>
  <c r="DJ196" s="1"/>
  <c r="DD195"/>
  <c r="DJ195" s="1"/>
  <c r="CZ190"/>
  <c r="CZ189"/>
  <c r="CZ188"/>
  <c r="CZ187"/>
  <c r="CW187"/>
  <c r="CW183"/>
  <c r="CW182"/>
  <c r="DA182" s="1"/>
  <c r="DE182" s="1"/>
  <c r="CW181"/>
  <c r="DD177"/>
  <c r="DJ177" s="1"/>
  <c r="DD176"/>
  <c r="DJ176" s="1"/>
  <c r="DD175"/>
  <c r="DJ175" s="1"/>
  <c r="CW174"/>
  <c r="CZ169"/>
  <c r="CZ168"/>
  <c r="CZ167"/>
  <c r="DA167" s="1"/>
  <c r="DE167" s="1"/>
  <c r="CZ166"/>
  <c r="CZ163"/>
  <c r="CZ162"/>
  <c r="CW161"/>
  <c r="DD158"/>
  <c r="DJ158" s="1"/>
  <c r="DD151"/>
  <c r="DJ151" s="1"/>
  <c r="CW147"/>
  <c r="CZ145"/>
  <c r="DD138"/>
  <c r="DJ138" s="1"/>
  <c r="DD137"/>
  <c r="DJ137" s="1"/>
  <c r="CW136"/>
  <c r="DD133"/>
  <c r="DJ133" s="1"/>
  <c r="DD132"/>
  <c r="DJ132" s="1"/>
  <c r="DD131"/>
  <c r="DJ131" s="1"/>
  <c r="CZ129"/>
  <c r="CZ128"/>
  <c r="DD126"/>
  <c r="DJ126" s="1"/>
  <c r="CW126"/>
  <c r="CZ114"/>
  <c r="CZ107"/>
  <c r="CZ103"/>
  <c r="CZ102"/>
  <c r="CZ93"/>
  <c r="CW91"/>
  <c r="DA91" s="1"/>
  <c r="DE91" s="1"/>
  <c r="CW90"/>
  <c r="CZ88"/>
  <c r="DA88" s="1"/>
  <c r="CW86"/>
  <c r="CW85"/>
  <c r="CZ84"/>
  <c r="DD80"/>
  <c r="DJ80" s="1"/>
  <c r="CW78"/>
  <c r="CZ76"/>
  <c r="DD73"/>
  <c r="DJ73" s="1"/>
  <c r="CW72"/>
  <c r="DD71"/>
  <c r="DJ71" s="1"/>
  <c r="DD69"/>
  <c r="DJ69" s="1"/>
  <c r="DD68"/>
  <c r="DJ68" s="1"/>
  <c r="CZ66"/>
  <c r="CZ65"/>
  <c r="CZ64"/>
  <c r="CW58"/>
  <c r="CZ56"/>
  <c r="DD54"/>
  <c r="DJ54" s="1"/>
  <c r="DD53"/>
  <c r="DJ53" s="1"/>
  <c r="DD52"/>
  <c r="DJ52" s="1"/>
  <c r="CW52"/>
  <c r="DD51"/>
  <c r="DJ51" s="1"/>
  <c r="DD49"/>
  <c r="DJ49" s="1"/>
  <c r="DD48"/>
  <c r="DJ48" s="1"/>
  <c r="DD47"/>
  <c r="DJ47" s="1"/>
  <c r="CW47"/>
  <c r="CZ45"/>
  <c r="DD42"/>
  <c r="DJ42" s="1"/>
  <c r="CW35"/>
  <c r="DD32"/>
  <c r="CZ23"/>
  <c r="CZ19"/>
  <c r="CZ18"/>
  <c r="DA63"/>
  <c r="DE63" s="1"/>
  <c r="CW7"/>
  <c r="CZ7"/>
  <c r="J20" i="19" s="1"/>
  <c r="CW206" i="9"/>
  <c r="CZ201"/>
  <c r="CZ200"/>
  <c r="CZ199"/>
  <c r="CZ198"/>
  <c r="CZ195"/>
  <c r="CZ194"/>
  <c r="DA194" s="1"/>
  <c r="CW193"/>
  <c r="DD190"/>
  <c r="DJ190" s="1"/>
  <c r="DD183"/>
  <c r="DJ183" s="1"/>
  <c r="CZ177"/>
  <c r="CZ176"/>
  <c r="DD170"/>
  <c r="DJ170" s="1"/>
  <c r="CW170"/>
  <c r="DD169"/>
  <c r="DJ169" s="1"/>
  <c r="DD168"/>
  <c r="DJ168" s="1"/>
  <c r="CW168"/>
  <c r="DA168" s="1"/>
  <c r="DD165"/>
  <c r="DJ165" s="1"/>
  <c r="DD163"/>
  <c r="DJ163" s="1"/>
  <c r="DD160"/>
  <c r="DJ160" s="1"/>
  <c r="CZ157"/>
  <c r="CZ155"/>
  <c r="CW154"/>
  <c r="CZ152"/>
  <c r="CW150"/>
  <c r="CW149"/>
  <c r="CZ148"/>
  <c r="DD143"/>
  <c r="DJ143" s="1"/>
  <c r="CW142"/>
  <c r="DD140"/>
  <c r="DJ140" s="1"/>
  <c r="CZ135"/>
  <c r="CZ134"/>
  <c r="CZ125"/>
  <c r="CZ124"/>
  <c r="CW123"/>
  <c r="CW122"/>
  <c r="CW118"/>
  <c r="CW117"/>
  <c r="DD105"/>
  <c r="DJ105" s="1"/>
  <c r="DD104"/>
  <c r="DJ104" s="1"/>
  <c r="CW104"/>
  <c r="DD103"/>
  <c r="DJ103" s="1"/>
  <c r="DD101"/>
  <c r="DJ101" s="1"/>
  <c r="DD100"/>
  <c r="DJ100" s="1"/>
  <c r="DD99"/>
  <c r="DJ99" s="1"/>
  <c r="CZ97"/>
  <c r="DD94"/>
  <c r="DJ94" s="1"/>
  <c r="CW94"/>
  <c r="CZ82"/>
  <c r="DD76"/>
  <c r="DJ76" s="1"/>
  <c r="CZ75"/>
  <c r="CZ71"/>
  <c r="CZ70"/>
  <c r="DD56"/>
  <c r="DJ56" s="1"/>
  <c r="CZ55"/>
  <c r="CZ51"/>
  <c r="CZ50"/>
  <c r="CW38"/>
  <c r="CZ36"/>
  <c r="CW34"/>
  <c r="CW33"/>
  <c r="CZ32"/>
  <c r="DD28"/>
  <c r="CZ24"/>
  <c r="CW20"/>
  <c r="DA20" s="1"/>
  <c r="DD19"/>
  <c r="DD17"/>
  <c r="DD15"/>
  <c r="CW15"/>
  <c r="DA15" s="1"/>
  <c r="CZ13"/>
  <c r="CW10"/>
  <c r="W50" i="19" s="1"/>
  <c r="CZ8" i="9"/>
  <c r="Z20" i="19" s="1"/>
  <c r="CW203" i="9"/>
  <c r="CW199"/>
  <c r="DA199" s="1"/>
  <c r="DE199" s="1"/>
  <c r="CW198"/>
  <c r="DA198" s="1"/>
  <c r="DE198" s="1"/>
  <c r="CW197"/>
  <c r="CW190"/>
  <c r="CW177"/>
  <c r="DA177" s="1"/>
  <c r="DE177" s="1"/>
  <c r="CW138"/>
  <c r="CW135"/>
  <c r="CW134"/>
  <c r="CW133"/>
  <c r="CW110"/>
  <c r="CW75"/>
  <c r="CW74"/>
  <c r="CW70"/>
  <c r="DA70" s="1"/>
  <c r="CW69"/>
  <c r="CW54"/>
  <c r="CW50"/>
  <c r="CW49"/>
  <c r="CW42"/>
  <c r="DA36"/>
  <c r="CW31"/>
  <c r="DD26"/>
  <c r="CW26"/>
  <c r="CW19"/>
  <c r="CW205"/>
  <c r="DA205" s="1"/>
  <c r="CW195"/>
  <c r="DA195" s="1"/>
  <c r="DE195" s="1"/>
  <c r="CW192"/>
  <c r="CW189"/>
  <c r="DA189" s="1"/>
  <c r="CW179"/>
  <c r="DA179" s="1"/>
  <c r="DE179" s="1"/>
  <c r="CW176"/>
  <c r="CZ174"/>
  <c r="DA174" s="1"/>
  <c r="CW173"/>
  <c r="DA173" s="1"/>
  <c r="DD166"/>
  <c r="DJ166" s="1"/>
  <c r="DD164"/>
  <c r="DJ164" s="1"/>
  <c r="CW163"/>
  <c r="DA163" s="1"/>
  <c r="DE163" s="1"/>
  <c r="DD161"/>
  <c r="DJ161" s="1"/>
  <c r="CW160"/>
  <c r="CZ158"/>
  <c r="DA158" s="1"/>
  <c r="DE158" s="1"/>
  <c r="CW157"/>
  <c r="DA157" s="1"/>
  <c r="CZ156"/>
  <c r="CW155"/>
  <c r="CZ153"/>
  <c r="DD150"/>
  <c r="DJ150" s="1"/>
  <c r="DD148"/>
  <c r="DJ148" s="1"/>
  <c r="DD145"/>
  <c r="DJ145" s="1"/>
  <c r="CW144"/>
  <c r="CZ142"/>
  <c r="DA142" s="1"/>
  <c r="CW141"/>
  <c r="CZ140"/>
  <c r="CW139"/>
  <c r="DA139" s="1"/>
  <c r="DE139" s="1"/>
  <c r="CZ137"/>
  <c r="DD134"/>
  <c r="DJ134" s="1"/>
  <c r="CW131"/>
  <c r="DA131" s="1"/>
  <c r="DE131" s="1"/>
  <c r="DD129"/>
  <c r="DJ129" s="1"/>
  <c r="DD128"/>
  <c r="DJ128" s="1"/>
  <c r="CW128"/>
  <c r="CZ126"/>
  <c r="DA126" s="1"/>
  <c r="CW125"/>
  <c r="DA125" s="1"/>
  <c r="CZ121"/>
  <c r="CZ120"/>
  <c r="DD118"/>
  <c r="DJ118" s="1"/>
  <c r="CW115"/>
  <c r="DA115" s="1"/>
  <c r="DE115" s="1"/>
  <c r="DD113"/>
  <c r="DJ113" s="1"/>
  <c r="DD112"/>
  <c r="DJ112" s="1"/>
  <c r="CW112"/>
  <c r="CZ110"/>
  <c r="DA110" s="1"/>
  <c r="DE110" s="1"/>
  <c r="CW109"/>
  <c r="DA109" s="1"/>
  <c r="CZ105"/>
  <c r="CZ104"/>
  <c r="DD102"/>
  <c r="DJ102" s="1"/>
  <c r="CW99"/>
  <c r="DA99" s="1"/>
  <c r="DE99" s="1"/>
  <c r="DD97"/>
  <c r="DJ97" s="1"/>
  <c r="CW96"/>
  <c r="CZ94"/>
  <c r="DA94" s="1"/>
  <c r="CW93"/>
  <c r="DA93" s="1"/>
  <c r="CZ92"/>
  <c r="CZ89"/>
  <c r="DD86"/>
  <c r="DJ86" s="1"/>
  <c r="DD84"/>
  <c r="DJ84" s="1"/>
  <c r="CW83"/>
  <c r="DA83" s="1"/>
  <c r="DD81"/>
  <c r="DJ81" s="1"/>
  <c r="CW80"/>
  <c r="CZ78"/>
  <c r="DA78" s="1"/>
  <c r="CW77"/>
  <c r="CZ73"/>
  <c r="DD70"/>
  <c r="DJ70" s="1"/>
  <c r="DD66"/>
  <c r="DJ66" s="1"/>
  <c r="DD65"/>
  <c r="DJ65" s="1"/>
  <c r="DD61"/>
  <c r="DJ61" s="1"/>
  <c r="DD60"/>
  <c r="DJ60" s="1"/>
  <c r="CW60"/>
  <c r="CZ58"/>
  <c r="DA58" s="1"/>
  <c r="CW57"/>
  <c r="CW55"/>
  <c r="DA55" s="1"/>
  <c r="DE55" s="1"/>
  <c r="CZ53"/>
  <c r="CZ52"/>
  <c r="DD50"/>
  <c r="DJ50" s="1"/>
  <c r="DD45"/>
  <c r="DJ45" s="1"/>
  <c r="CW44"/>
  <c r="CZ42"/>
  <c r="DA42" s="1"/>
  <c r="CW41"/>
  <c r="CW39"/>
  <c r="DA39" s="1"/>
  <c r="DE39" s="1"/>
  <c r="CZ37"/>
  <c r="DD34"/>
  <c r="DD29"/>
  <c r="CW28"/>
  <c r="CZ26"/>
  <c r="DA26" s="1"/>
  <c r="CW25"/>
  <c r="CW23"/>
  <c r="CZ21"/>
  <c r="DD18"/>
  <c r="DD16"/>
  <c r="DD13"/>
  <c r="CW12"/>
  <c r="W80" i="19" s="1"/>
  <c r="CZ10" i="9"/>
  <c r="CW9"/>
  <c r="G50" i="19" s="1"/>
  <c r="DD205" i="9"/>
  <c r="DJ205" s="1"/>
  <c r="DD204"/>
  <c r="DJ204" s="1"/>
  <c r="CW204"/>
  <c r="DA204" s="1"/>
  <c r="CZ202"/>
  <c r="CW201"/>
  <c r="DA201" s="1"/>
  <c r="DE201" s="1"/>
  <c r="CZ197"/>
  <c r="CZ196"/>
  <c r="DD194"/>
  <c r="DJ194" s="1"/>
  <c r="CW191"/>
  <c r="DA191" s="1"/>
  <c r="DE191" s="1"/>
  <c r="DD189"/>
  <c r="DJ189" s="1"/>
  <c r="DD188"/>
  <c r="DJ188" s="1"/>
  <c r="CW188"/>
  <c r="CZ186"/>
  <c r="CW185"/>
  <c r="DA185" s="1"/>
  <c r="DE185" s="1"/>
  <c r="CZ181"/>
  <c r="CZ180"/>
  <c r="DD178"/>
  <c r="DJ178" s="1"/>
  <c r="CW175"/>
  <c r="DA175" s="1"/>
  <c r="DD173"/>
  <c r="DJ173" s="1"/>
  <c r="DD172"/>
  <c r="DJ172" s="1"/>
  <c r="CW172"/>
  <c r="DA172" s="1"/>
  <c r="CZ170"/>
  <c r="CW169"/>
  <c r="DA169" s="1"/>
  <c r="DE169" s="1"/>
  <c r="CZ165"/>
  <c r="DD162"/>
  <c r="DJ162" s="1"/>
  <c r="DD157"/>
  <c r="DJ157" s="1"/>
  <c r="CW156"/>
  <c r="DA156" s="1"/>
  <c r="DE156" s="1"/>
  <c r="CZ154"/>
  <c r="DA154" s="1"/>
  <c r="DE154" s="1"/>
  <c r="CW153"/>
  <c r="DA153" s="1"/>
  <c r="DE153" s="1"/>
  <c r="CW151"/>
  <c r="DA151" s="1"/>
  <c r="DE151" s="1"/>
  <c r="CZ149"/>
  <c r="DD146"/>
  <c r="DJ146" s="1"/>
  <c r="DD141"/>
  <c r="DJ141" s="1"/>
  <c r="CW140"/>
  <c r="DA140" s="1"/>
  <c r="CZ138"/>
  <c r="DA138" s="1"/>
  <c r="DE138" s="1"/>
  <c r="CW137"/>
  <c r="DA137" s="1"/>
  <c r="DE137" s="1"/>
  <c r="CZ133"/>
  <c r="CZ132"/>
  <c r="DD130"/>
  <c r="DJ130" s="1"/>
  <c r="CW127"/>
  <c r="DA127" s="1"/>
  <c r="DE127" s="1"/>
  <c r="DD125"/>
  <c r="DJ125" s="1"/>
  <c r="DD124"/>
  <c r="DJ124" s="1"/>
  <c r="CW124"/>
  <c r="CZ122"/>
  <c r="DA122" s="1"/>
  <c r="DE122" s="1"/>
  <c r="CW121"/>
  <c r="DA121" s="1"/>
  <c r="DE121" s="1"/>
  <c r="CZ117"/>
  <c r="CZ116"/>
  <c r="DD114"/>
  <c r="DJ114" s="1"/>
  <c r="CW111"/>
  <c r="DA111" s="1"/>
  <c r="DE111" s="1"/>
  <c r="DD109"/>
  <c r="DJ109" s="1"/>
  <c r="DD108"/>
  <c r="DJ108" s="1"/>
  <c r="CW108"/>
  <c r="CZ106"/>
  <c r="DA106" s="1"/>
  <c r="DE106" s="1"/>
  <c r="CW105"/>
  <c r="CZ101"/>
  <c r="CZ100"/>
  <c r="DD98"/>
  <c r="DJ98" s="1"/>
  <c r="CW95"/>
  <c r="DA95" s="1"/>
  <c r="DE95" s="1"/>
  <c r="DD93"/>
  <c r="DJ93" s="1"/>
  <c r="CW92"/>
  <c r="CZ90"/>
  <c r="DA90" s="1"/>
  <c r="DE90" s="1"/>
  <c r="CW89"/>
  <c r="DA89" s="1"/>
  <c r="CZ85"/>
  <c r="DD82"/>
  <c r="DJ82" s="1"/>
  <c r="CW79"/>
  <c r="DA79" s="1"/>
  <c r="DE79" s="1"/>
  <c r="DD77"/>
  <c r="DJ77" s="1"/>
  <c r="CW76"/>
  <c r="CZ74"/>
  <c r="DA74" s="1"/>
  <c r="CW73"/>
  <c r="DA73" s="1"/>
  <c r="DE73" s="1"/>
  <c r="DA71"/>
  <c r="DE71" s="1"/>
  <c r="CZ69"/>
  <c r="CW68"/>
  <c r="DA68" s="1"/>
  <c r="DE68" s="1"/>
  <c r="DD62"/>
  <c r="DJ62" s="1"/>
  <c r="DD57"/>
  <c r="DJ57" s="1"/>
  <c r="CW56"/>
  <c r="DA56" s="1"/>
  <c r="CZ54"/>
  <c r="DA54" s="1"/>
  <c r="DE54" s="1"/>
  <c r="CW53"/>
  <c r="DA53" s="1"/>
  <c r="DA51"/>
  <c r="DE51" s="1"/>
  <c r="CZ49"/>
  <c r="DD46"/>
  <c r="DJ46" s="1"/>
  <c r="DD41"/>
  <c r="DJ41" s="1"/>
  <c r="CW40"/>
  <c r="DA40" s="1"/>
  <c r="DE40" s="1"/>
  <c r="CZ38"/>
  <c r="CW37"/>
  <c r="DA37" s="1"/>
  <c r="DA35"/>
  <c r="DE35" s="1"/>
  <c r="CZ33"/>
  <c r="DA33" s="1"/>
  <c r="DD30"/>
  <c r="DD25"/>
  <c r="CW24"/>
  <c r="DA24" s="1"/>
  <c r="DE24" s="1"/>
  <c r="CZ22"/>
  <c r="DA22" s="1"/>
  <c r="DE22" s="1"/>
  <c r="CW21"/>
  <c r="DA19"/>
  <c r="CZ17"/>
  <c r="DD14"/>
  <c r="DA166"/>
  <c r="DE166" s="1"/>
  <c r="DA150"/>
  <c r="DE150" s="1"/>
  <c r="DA147"/>
  <c r="DE147" s="1"/>
  <c r="DA134"/>
  <c r="DE134" s="1"/>
  <c r="DA123"/>
  <c r="DE123" s="1"/>
  <c r="DA104"/>
  <c r="DA102"/>
  <c r="DE102" s="1"/>
  <c r="DA86"/>
  <c r="DA75"/>
  <c r="DE75" s="1"/>
  <c r="DA69"/>
  <c r="DA52"/>
  <c r="DE52" s="1"/>
  <c r="DA50"/>
  <c r="DE50" s="1"/>
  <c r="DA34"/>
  <c r="DE34" s="1"/>
  <c r="DA18"/>
  <c r="DE18" s="1"/>
  <c r="DA17"/>
  <c r="DE17" s="1"/>
  <c r="DE15"/>
  <c r="DD10"/>
  <c r="DJ10" s="1"/>
  <c r="DD8"/>
  <c r="DA187"/>
  <c r="DE187" s="1"/>
  <c r="CW196"/>
  <c r="DA183"/>
  <c r="CW180"/>
  <c r="DA180" s="1"/>
  <c r="DE180" s="1"/>
  <c r="CW164"/>
  <c r="DA162"/>
  <c r="DE162" s="1"/>
  <c r="CZ160"/>
  <c r="CW159"/>
  <c r="DA159" s="1"/>
  <c r="DE159" s="1"/>
  <c r="DD152"/>
  <c r="DJ152" s="1"/>
  <c r="CW148"/>
  <c r="DA148" s="1"/>
  <c r="DE148" s="1"/>
  <c r="DA146"/>
  <c r="CZ144"/>
  <c r="CW143"/>
  <c r="DA143" s="1"/>
  <c r="DE143" s="1"/>
  <c r="DD136"/>
  <c r="DJ136" s="1"/>
  <c r="DA135"/>
  <c r="DE135" s="1"/>
  <c r="CW132"/>
  <c r="DA130"/>
  <c r="CW129"/>
  <c r="DA129" s="1"/>
  <c r="DE129" s="1"/>
  <c r="CW119"/>
  <c r="CZ118"/>
  <c r="DA118" s="1"/>
  <c r="DE118" s="1"/>
  <c r="CW116"/>
  <c r="DA114"/>
  <c r="DE114" s="1"/>
  <c r="CW113"/>
  <c r="CZ112"/>
  <c r="CW103"/>
  <c r="DA103" s="1"/>
  <c r="CW100"/>
  <c r="DA100" s="1"/>
  <c r="DE100" s="1"/>
  <c r="DA98"/>
  <c r="CW97"/>
  <c r="DA97" s="1"/>
  <c r="DE97" s="1"/>
  <c r="CZ96"/>
  <c r="DD88"/>
  <c r="CW87"/>
  <c r="CW84"/>
  <c r="DA82"/>
  <c r="CW81"/>
  <c r="CZ80"/>
  <c r="CZ77"/>
  <c r="DD74"/>
  <c r="DJ74" s="1"/>
  <c r="DD72"/>
  <c r="CW66"/>
  <c r="CW65"/>
  <c r="CW64"/>
  <c r="CZ62"/>
  <c r="DA62" s="1"/>
  <c r="DE62" s="1"/>
  <c r="CW61"/>
  <c r="CW59"/>
  <c r="DA59" s="1"/>
  <c r="DE59" s="1"/>
  <c r="CZ57"/>
  <c r="CW48"/>
  <c r="DA48" s="1"/>
  <c r="DE48" s="1"/>
  <c r="DA46"/>
  <c r="CW45"/>
  <c r="CZ44"/>
  <c r="CW43"/>
  <c r="DA43" s="1"/>
  <c r="DE43" s="1"/>
  <c r="CZ41"/>
  <c r="DD38"/>
  <c r="DJ38" s="1"/>
  <c r="DD36"/>
  <c r="DD33"/>
  <c r="CW32"/>
  <c r="CZ30"/>
  <c r="DA30" s="1"/>
  <c r="CW29"/>
  <c r="CZ28"/>
  <c r="CW27"/>
  <c r="DA27" s="1"/>
  <c r="DE27" s="1"/>
  <c r="CZ25"/>
  <c r="DD20"/>
  <c r="CW16"/>
  <c r="DA16" s="1"/>
  <c r="DE16" s="1"/>
  <c r="CZ14"/>
  <c r="DA14" s="1"/>
  <c r="CW13"/>
  <c r="CZ12"/>
  <c r="Z80" i="19" s="1"/>
  <c r="CW11" i="9"/>
  <c r="CZ9"/>
  <c r="J50" i="19" s="1"/>
  <c r="DA197" i="9"/>
  <c r="DE197" s="1"/>
  <c r="DA206"/>
  <c r="DE206" s="1"/>
  <c r="DA196"/>
  <c r="DE196" s="1"/>
  <c r="DA193"/>
  <c r="DE193" s="1"/>
  <c r="DA190"/>
  <c r="DE190" s="1"/>
  <c r="DA161"/>
  <c r="DE161" s="1"/>
  <c r="DE146"/>
  <c r="DA132"/>
  <c r="DE132" s="1"/>
  <c r="DE130"/>
  <c r="DA116"/>
  <c r="DE116" s="1"/>
  <c r="DA113"/>
  <c r="DE113" s="1"/>
  <c r="DE98"/>
  <c r="DA84"/>
  <c r="DE84" s="1"/>
  <c r="DE82"/>
  <c r="DA81"/>
  <c r="DE81" s="1"/>
  <c r="DA66"/>
  <c r="DE66" s="1"/>
  <c r="DA65"/>
  <c r="DE65" s="1"/>
  <c r="DA61"/>
  <c r="DE61" s="1"/>
  <c r="DE46"/>
  <c r="DA45"/>
  <c r="DE45" s="1"/>
  <c r="DA29"/>
  <c r="DE29" s="1"/>
  <c r="DE14"/>
  <c r="AE110" i="19" s="1"/>
  <c r="DA202" i="9"/>
  <c r="DE202" s="1"/>
  <c r="DA192"/>
  <c r="DE189"/>
  <c r="DA176"/>
  <c r="DE176" s="1"/>
  <c r="DE173"/>
  <c r="DE157"/>
  <c r="DE142"/>
  <c r="DE126"/>
  <c r="DE109"/>
  <c r="DE94"/>
  <c r="DE93"/>
  <c r="DE78"/>
  <c r="DA60"/>
  <c r="DE58"/>
  <c r="DE42"/>
  <c r="DE172"/>
  <c r="DE53"/>
  <c r="DE37"/>
  <c r="DE184"/>
  <c r="DA181"/>
  <c r="DE181" s="1"/>
  <c r="DE168"/>
  <c r="DA165"/>
  <c r="DA152"/>
  <c r="DE152" s="1"/>
  <c r="DA149"/>
  <c r="DE149" s="1"/>
  <c r="DA136"/>
  <c r="DA117"/>
  <c r="DE117" s="1"/>
  <c r="DE104"/>
  <c r="A2" i="15"/>
  <c r="A1"/>
  <c r="G217" i="9"/>
  <c r="HS216"/>
  <c r="I212" i="15"/>
  <c r="I211"/>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5"/>
  <c r="HR213"/>
  <c r="HR211"/>
  <c r="HR208"/>
  <c r="G209"/>
  <c r="K148" i="19" l="1"/>
  <c r="E125"/>
  <c r="AA107"/>
  <c r="DE30" i="9"/>
  <c r="H2" i="12"/>
  <c r="J2" i="11"/>
  <c r="M2" i="6"/>
  <c r="AB7" i="19"/>
  <c r="CZ208" i="9"/>
  <c r="AJ14" i="20"/>
  <c r="AX99" i="19"/>
  <c r="AX97"/>
  <c r="BA96"/>
  <c r="BC96"/>
  <c r="BB96"/>
  <c r="AV97"/>
  <c r="AV99"/>
  <c r="AW97"/>
  <c r="AW99"/>
  <c r="BB70"/>
  <c r="BB68"/>
  <c r="N22" i="18"/>
  <c r="J22"/>
  <c r="F22"/>
  <c r="F24" s="1"/>
  <c r="G22"/>
  <c r="M22"/>
  <c r="E22"/>
  <c r="I22"/>
  <c r="AA104" i="19"/>
  <c r="S108"/>
  <c r="AD110"/>
  <c r="DA101" i="9"/>
  <c r="DE101" s="1"/>
  <c r="DA186"/>
  <c r="DE186" s="1"/>
  <c r="DA164"/>
  <c r="DE164" s="1"/>
  <c r="DE171"/>
  <c r="DA145"/>
  <c r="DE145" s="1"/>
  <c r="DA120"/>
  <c r="DE120" s="1"/>
  <c r="DA203"/>
  <c r="DE203" s="1"/>
  <c r="DA107"/>
  <c r="DE107" s="1"/>
  <c r="DA178"/>
  <c r="DE178" s="1"/>
  <c r="DE125"/>
  <c r="DE26"/>
  <c r="DA49"/>
  <c r="DE49" s="1"/>
  <c r="DE70"/>
  <c r="DA133"/>
  <c r="DE133" s="1"/>
  <c r="DA13"/>
  <c r="DE13" s="1"/>
  <c r="DA32"/>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60"/>
  <c r="DE205"/>
  <c r="DE103"/>
  <c r="DE183"/>
  <c r="DE19"/>
  <c r="DA92"/>
  <c r="DE92" s="1"/>
  <c r="DA108"/>
  <c r="DE108" s="1"/>
  <c r="DA188"/>
  <c r="DE188" s="1"/>
  <c r="DA23"/>
  <c r="DE23" s="1"/>
  <c r="DA155"/>
  <c r="DE155" s="1"/>
  <c r="DA31"/>
  <c r="DE31" s="1"/>
  <c r="DA47"/>
  <c r="DE47" s="1"/>
  <c r="AA103" i="19"/>
  <c r="AA105"/>
  <c r="DA8" i="9"/>
  <c r="DE8" s="1"/>
  <c r="AE20" i="19" s="1"/>
  <c r="AE21" s="1"/>
  <c r="DE194" i="9"/>
  <c r="AA106" i="19"/>
  <c r="DA10" i="9"/>
  <c r="DE10" s="1"/>
  <c r="AE50" i="19" s="1"/>
  <c r="AE51" s="1"/>
  <c r="Z50"/>
  <c r="AA50" s="1"/>
  <c r="Z110"/>
  <c r="AA110" s="1"/>
  <c r="P21" i="18"/>
  <c r="D21" s="1"/>
  <c r="O110" i="19"/>
  <c r="O111" s="1"/>
  <c r="H21" i="18"/>
  <c r="H22" s="1"/>
  <c r="H21" i="4"/>
  <c r="G110" i="19"/>
  <c r="K50"/>
  <c r="O21" i="18"/>
  <c r="O22" s="1"/>
  <c r="DE20" i="9"/>
  <c r="DJ20"/>
  <c r="DE36"/>
  <c r="K21" i="4"/>
  <c r="K21" i="18"/>
  <c r="K22" s="1"/>
  <c r="J110" i="19"/>
  <c r="AA108"/>
  <c r="O21" i="4"/>
  <c r="AA20" i="19"/>
  <c r="DA11" i="9"/>
  <c r="DE11" s="1"/>
  <c r="O80" i="19" s="1"/>
  <c r="G80"/>
  <c r="K80" s="1"/>
  <c r="DE72" i="9"/>
  <c r="DJ72"/>
  <c r="DE88"/>
  <c r="DJ88"/>
  <c r="DA7"/>
  <c r="DE7" s="1"/>
  <c r="G20" i="19"/>
  <c r="K20" s="1"/>
  <c r="AA80"/>
  <c r="AE111"/>
  <c r="B148"/>
  <c r="O140"/>
  <c r="I140"/>
  <c r="E140"/>
  <c r="G138"/>
  <c r="O137"/>
  <c r="F137"/>
  <c r="H136"/>
  <c r="J136" s="1"/>
  <c r="D136"/>
  <c r="G135"/>
  <c r="L134"/>
  <c r="N134" s="1"/>
  <c r="E134"/>
  <c r="L133"/>
  <c r="N133" s="1"/>
  <c r="E133"/>
  <c r="G148"/>
  <c r="J140"/>
  <c r="F140"/>
  <c r="H138"/>
  <c r="J138" s="1"/>
  <c r="D138"/>
  <c r="G137"/>
  <c r="L136"/>
  <c r="N136" s="1"/>
  <c r="E136"/>
  <c r="H135"/>
  <c r="J135" s="1"/>
  <c r="D135"/>
  <c r="O134"/>
  <c r="F134"/>
  <c r="O133"/>
  <c r="F133"/>
  <c r="C127"/>
  <c r="C126"/>
  <c r="M144"/>
  <c r="N143"/>
  <c r="N142"/>
  <c r="L140"/>
  <c r="G140"/>
  <c r="B140"/>
  <c r="L138"/>
  <c r="N138" s="1"/>
  <c r="E138"/>
  <c r="H137"/>
  <c r="J137" s="1"/>
  <c r="D137"/>
  <c r="O136"/>
  <c r="F136"/>
  <c r="L135"/>
  <c r="N135" s="1"/>
  <c r="E135"/>
  <c r="G134"/>
  <c r="G133"/>
  <c r="F124"/>
  <c r="AB128"/>
  <c r="F144"/>
  <c r="F143"/>
  <c r="F142"/>
  <c r="M140"/>
  <c r="H140"/>
  <c r="D140"/>
  <c r="O138"/>
  <c r="F138"/>
  <c r="L137"/>
  <c r="N137" s="1"/>
  <c r="E137"/>
  <c r="G136"/>
  <c r="O135"/>
  <c r="F135"/>
  <c r="H134"/>
  <c r="J134" s="1"/>
  <c r="D134"/>
  <c r="H133"/>
  <c r="J133" s="1"/>
  <c r="D133"/>
  <c r="C128"/>
  <c r="L126"/>
  <c r="AW125" s="1"/>
  <c r="L12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S110"/>
  <c r="CZ209" i="9"/>
  <c r="B15" i="6"/>
  <c r="DA200" i="9"/>
  <c r="DE200" s="1"/>
  <c r="DE38"/>
  <c r="DE204"/>
  <c r="DA41"/>
  <c r="DE41" s="1"/>
  <c r="DA57"/>
  <c r="DE57" s="1"/>
  <c r="DA96"/>
  <c r="DE96" s="1"/>
  <c r="DA112"/>
  <c r="DE112" s="1"/>
  <c r="DA160"/>
  <c r="DE160" s="1"/>
  <c r="DE74"/>
  <c r="DA12"/>
  <c r="DE12" s="1"/>
  <c r="AE80" i="19" s="1"/>
  <c r="DA28" i="9"/>
  <c r="DE28" s="1"/>
  <c r="DA80"/>
  <c r="DE80" s="1"/>
  <c r="DA144"/>
  <c r="DE144" s="1"/>
  <c r="DA44"/>
  <c r="DE44" s="1"/>
  <c r="DE33"/>
  <c r="DA9"/>
  <c r="DE9" s="1"/>
  <c r="O50" i="19" s="1"/>
  <c r="DA25" i="9"/>
  <c r="DE25" s="1"/>
  <c r="DA77"/>
  <c r="DE77" s="1"/>
  <c r="FU209"/>
  <c r="FJ209"/>
  <c r="DZ209"/>
  <c r="G218"/>
  <c r="G216"/>
  <c r="G215"/>
  <c r="G214"/>
  <c r="G213"/>
  <c r="G212"/>
  <c r="G211"/>
  <c r="G210"/>
  <c r="G208"/>
  <c r="A208"/>
  <c r="AA148" i="19" l="1"/>
  <c r="U125"/>
  <c r="O20"/>
  <c r="O21" s="1"/>
  <c r="P21" i="4"/>
  <c r="R21" s="1"/>
  <c r="AB67" i="19"/>
  <c r="BB99"/>
  <c r="BB97"/>
  <c r="AW100"/>
  <c r="AX126"/>
  <c r="AV126"/>
  <c r="AW126"/>
  <c r="AW98"/>
  <c r="L97" s="1"/>
  <c r="BA97"/>
  <c r="BA99"/>
  <c r="BC99"/>
  <c r="BC97"/>
  <c r="O24" i="18"/>
  <c r="K140" i="19"/>
  <c r="M23" i="18"/>
  <c r="M24" s="1"/>
  <c r="I23"/>
  <c r="K136" i="19"/>
  <c r="J24" i="18"/>
  <c r="S50" i="19"/>
  <c r="G24" i="18"/>
  <c r="K24"/>
  <c r="E24"/>
  <c r="N24"/>
  <c r="K137" i="19"/>
  <c r="K134"/>
  <c r="N140"/>
  <c r="P22" i="18"/>
  <c r="K138" i="19"/>
  <c r="K135"/>
  <c r="K133"/>
  <c r="S48"/>
  <c r="C140"/>
  <c r="L21" i="18"/>
  <c r="C18" i="19"/>
  <c r="H24" i="18"/>
  <c r="L21" i="4"/>
  <c r="K110" i="19"/>
  <c r="C50"/>
  <c r="C48"/>
  <c r="O51"/>
  <c r="S78"/>
  <c r="S80"/>
  <c r="AE81"/>
  <c r="C78"/>
  <c r="C80"/>
  <c r="O81"/>
  <c r="S20"/>
  <c r="S18"/>
  <c r="C108"/>
  <c r="C110"/>
  <c r="O141"/>
  <c r="L158"/>
  <c r="W148"/>
  <c r="AD143"/>
  <c r="AD142"/>
  <c r="Z140"/>
  <c r="V140"/>
  <c r="W138"/>
  <c r="AE137"/>
  <c r="V137"/>
  <c r="X136"/>
  <c r="Z136" s="1"/>
  <c r="T136"/>
  <c r="AE135"/>
  <c r="W135"/>
  <c r="AB134"/>
  <c r="AD134" s="1"/>
  <c r="U134"/>
  <c r="AB133"/>
  <c r="AD133" s="1"/>
  <c r="U133"/>
  <c r="S127"/>
  <c r="AC144"/>
  <c r="V143"/>
  <c r="V142"/>
  <c r="AB140"/>
  <c r="W140"/>
  <c r="R140"/>
  <c r="X138"/>
  <c r="Z138" s="1"/>
  <c r="T138"/>
  <c r="W137"/>
  <c r="AB136"/>
  <c r="AD136" s="1"/>
  <c r="U136"/>
  <c r="X135"/>
  <c r="Z135" s="1"/>
  <c r="T135"/>
  <c r="AE134"/>
  <c r="V134"/>
  <c r="AE133"/>
  <c r="V133"/>
  <c r="S126"/>
  <c r="V144"/>
  <c r="AC140"/>
  <c r="X140"/>
  <c r="T140"/>
  <c r="AB138"/>
  <c r="AD138" s="1"/>
  <c r="U138"/>
  <c r="X137"/>
  <c r="Z137" s="1"/>
  <c r="T137"/>
  <c r="AE136"/>
  <c r="V136"/>
  <c r="U135"/>
  <c r="W134"/>
  <c r="W133"/>
  <c r="S128"/>
  <c r="R148"/>
  <c r="AE140"/>
  <c r="Y140"/>
  <c r="U140"/>
  <c r="AE138"/>
  <c r="V138"/>
  <c r="AB137"/>
  <c r="AD137" s="1"/>
  <c r="U137"/>
  <c r="W136"/>
  <c r="AB135"/>
  <c r="AD135" s="1"/>
  <c r="V135"/>
  <c r="X134"/>
  <c r="Z134" s="1"/>
  <c r="T134"/>
  <c r="X133"/>
  <c r="Z133" s="1"/>
  <c r="T133"/>
  <c r="AB126"/>
  <c r="BB125" s="1"/>
  <c r="AB125"/>
  <c r="V124"/>
  <c r="C138"/>
  <c r="F4" i="9"/>
  <c r="IC4"/>
  <c r="IB4"/>
  <c r="AQ6" i="15"/>
  <c r="P5" i="11" s="1"/>
  <c r="AQ7" i="15"/>
  <c r="P6" i="11" s="1"/>
  <c r="AQ8" i="15"/>
  <c r="P7" i="11" s="1"/>
  <c r="AQ9" i="15"/>
  <c r="P8" i="11" s="1"/>
  <c r="AQ10" i="15"/>
  <c r="P9" i="11" s="1"/>
  <c r="AQ12" i="15"/>
  <c r="P11" i="11" s="1"/>
  <c r="AQ13" i="15"/>
  <c r="P12" i="11" s="1"/>
  <c r="AQ14" i="15"/>
  <c r="P13" i="11" s="1"/>
  <c r="AQ15" i="15"/>
  <c r="P14" i="11" s="1"/>
  <c r="AQ16" i="15"/>
  <c r="P15" i="11" s="1"/>
  <c r="AQ17" i="15"/>
  <c r="P16" i="11" s="1"/>
  <c r="AQ18" i="15"/>
  <c r="P17" i="11" s="1"/>
  <c r="AQ19" i="15"/>
  <c r="P18" i="11" s="1"/>
  <c r="AQ20" i="15"/>
  <c r="P19" i="11" s="1"/>
  <c r="AQ21" i="15"/>
  <c r="P20" i="11" s="1"/>
  <c r="AQ22" i="15"/>
  <c r="P21" i="11" s="1"/>
  <c r="AQ23" i="15"/>
  <c r="P22" i="11" s="1"/>
  <c r="AQ24" i="15"/>
  <c r="P23" i="11" s="1"/>
  <c r="AQ25" i="15"/>
  <c r="P24" i="11" s="1"/>
  <c r="AQ26" i="15"/>
  <c r="P25" i="11" s="1"/>
  <c r="AQ27" i="15"/>
  <c r="P26" i="11" s="1"/>
  <c r="AQ28" i="15"/>
  <c r="P27" i="11" s="1"/>
  <c r="AQ29" i="15"/>
  <c r="P28" i="11" s="1"/>
  <c r="AQ30" i="15"/>
  <c r="P29" i="11" s="1"/>
  <c r="AQ31" i="15"/>
  <c r="P30" i="11" s="1"/>
  <c r="AQ32" i="15"/>
  <c r="P31" i="11" s="1"/>
  <c r="AQ33" i="15"/>
  <c r="P32" i="11" s="1"/>
  <c r="AQ34" i="15"/>
  <c r="P33" i="11" s="1"/>
  <c r="AQ35" i="15"/>
  <c r="P34" i="11" s="1"/>
  <c r="AQ36" i="15"/>
  <c r="P35" i="11" s="1"/>
  <c r="AQ37" i="15"/>
  <c r="P36" i="11" s="1"/>
  <c r="AQ38" i="15"/>
  <c r="P37" i="11" s="1"/>
  <c r="AQ39" i="15"/>
  <c r="P38" i="11" s="1"/>
  <c r="AQ40" i="15"/>
  <c r="P39" i="11" s="1"/>
  <c r="AQ41" i="15"/>
  <c r="P40" i="11" s="1"/>
  <c r="AQ42" i="15"/>
  <c r="P41" i="11" s="1"/>
  <c r="AQ43" i="15"/>
  <c r="P42" i="11" s="1"/>
  <c r="AQ44" i="15"/>
  <c r="P43" i="11" s="1"/>
  <c r="AQ45" i="15"/>
  <c r="P44" i="11" s="1"/>
  <c r="AQ46" i="15"/>
  <c r="P45" i="11" s="1"/>
  <c r="AQ47" i="15"/>
  <c r="P46" i="11" s="1"/>
  <c r="AQ48" i="15"/>
  <c r="P47" i="11" s="1"/>
  <c r="AQ49" i="15"/>
  <c r="P48" i="11" s="1"/>
  <c r="AQ50" i="15"/>
  <c r="P49" i="11" s="1"/>
  <c r="AQ51" i="15"/>
  <c r="P50" i="11" s="1"/>
  <c r="AQ52" i="15"/>
  <c r="P51" i="11" s="1"/>
  <c r="AQ53" i="15"/>
  <c r="P52" i="11" s="1"/>
  <c r="AQ54" i="15"/>
  <c r="P53" i="11" s="1"/>
  <c r="AQ55" i="15"/>
  <c r="P54" i="11" s="1"/>
  <c r="AQ56" i="15"/>
  <c r="P55" i="11" s="1"/>
  <c r="AQ57" i="15"/>
  <c r="P56" i="11" s="1"/>
  <c r="AQ58" i="15"/>
  <c r="P57" i="11" s="1"/>
  <c r="AQ59" i="15"/>
  <c r="P58" i="11" s="1"/>
  <c r="AQ60" i="15"/>
  <c r="P59" i="11" s="1"/>
  <c r="AQ61" i="15"/>
  <c r="P60" i="11" s="1"/>
  <c r="AQ62" i="15"/>
  <c r="P61" i="11" s="1"/>
  <c r="AQ63" i="15"/>
  <c r="P62" i="11" s="1"/>
  <c r="AQ64" i="15"/>
  <c r="P63" i="11" s="1"/>
  <c r="AQ65" i="15"/>
  <c r="P64" i="11" s="1"/>
  <c r="AQ66" i="15"/>
  <c r="P65" i="11" s="1"/>
  <c r="AQ67" i="15"/>
  <c r="P66" i="11" s="1"/>
  <c r="AQ68" i="15"/>
  <c r="P67" i="11" s="1"/>
  <c r="AQ69" i="15"/>
  <c r="P68" i="11" s="1"/>
  <c r="AQ70" i="15"/>
  <c r="P69" i="11" s="1"/>
  <c r="AQ71" i="15"/>
  <c r="P70" i="11" s="1"/>
  <c r="AQ72" i="15"/>
  <c r="P71" i="11" s="1"/>
  <c r="AQ73" i="15"/>
  <c r="P72" i="11" s="1"/>
  <c r="AQ74" i="15"/>
  <c r="P73" i="11" s="1"/>
  <c r="AQ75" i="15"/>
  <c r="P74" i="11" s="1"/>
  <c r="AQ76" i="15"/>
  <c r="P75" i="11" s="1"/>
  <c r="AQ77" i="15"/>
  <c r="P76" i="11" s="1"/>
  <c r="AQ78" i="15"/>
  <c r="P77" i="11" s="1"/>
  <c r="AQ79" i="15"/>
  <c r="P78" i="11" s="1"/>
  <c r="AQ80" i="15"/>
  <c r="P79" i="11" s="1"/>
  <c r="AQ81" i="15"/>
  <c r="P80" i="11" s="1"/>
  <c r="AQ82" i="15"/>
  <c r="P81" i="11" s="1"/>
  <c r="AQ83" i="15"/>
  <c r="P82" i="11" s="1"/>
  <c r="AQ84" i="15"/>
  <c r="P83" i="11" s="1"/>
  <c r="AQ85" i="15"/>
  <c r="P84" i="11" s="1"/>
  <c r="AQ86" i="15"/>
  <c r="P85" i="11" s="1"/>
  <c r="AQ87" i="15"/>
  <c r="P86" i="11" s="1"/>
  <c r="AQ88" i="15"/>
  <c r="P87" i="11" s="1"/>
  <c r="AQ89" i="15"/>
  <c r="P88" i="11" s="1"/>
  <c r="AQ90" i="15"/>
  <c r="P89" i="11" s="1"/>
  <c r="AQ91" i="15"/>
  <c r="P90" i="11" s="1"/>
  <c r="AQ92" i="15"/>
  <c r="P91" i="11" s="1"/>
  <c r="AQ93" i="15"/>
  <c r="P92" i="11" s="1"/>
  <c r="AQ94" i="15"/>
  <c r="P93" i="11" s="1"/>
  <c r="AQ95" i="15"/>
  <c r="P94" i="11" s="1"/>
  <c r="AQ96" i="15"/>
  <c r="P95" i="11" s="1"/>
  <c r="AQ97" i="15"/>
  <c r="P96" i="11" s="1"/>
  <c r="AQ98" i="15"/>
  <c r="P97" i="11" s="1"/>
  <c r="AQ99" i="15"/>
  <c r="P98" i="11" s="1"/>
  <c r="AQ100" i="15"/>
  <c r="P99" i="11" s="1"/>
  <c r="AQ101" i="15"/>
  <c r="P100" i="11" s="1"/>
  <c r="AQ102" i="15"/>
  <c r="P101" i="11" s="1"/>
  <c r="AQ103" i="15"/>
  <c r="P102" i="11" s="1"/>
  <c r="AQ104" i="15"/>
  <c r="P103" i="11" s="1"/>
  <c r="AQ105" i="15"/>
  <c r="P104" i="11" s="1"/>
  <c r="AQ106" i="15"/>
  <c r="P105" i="11" s="1"/>
  <c r="AQ107" i="15"/>
  <c r="P106" i="11" s="1"/>
  <c r="AQ108" i="15"/>
  <c r="P107" i="11" s="1"/>
  <c r="AQ109" i="15"/>
  <c r="P108" i="11" s="1"/>
  <c r="AQ110" i="15"/>
  <c r="P109" i="11" s="1"/>
  <c r="AQ111" i="15"/>
  <c r="P110" i="11" s="1"/>
  <c r="AQ112" i="15"/>
  <c r="P111" i="11" s="1"/>
  <c r="AQ113" i="15"/>
  <c r="P112" i="11" s="1"/>
  <c r="AQ114" i="15"/>
  <c r="P113" i="11" s="1"/>
  <c r="AQ115" i="15"/>
  <c r="P114" i="11" s="1"/>
  <c r="AQ116" i="15"/>
  <c r="P115" i="11" s="1"/>
  <c r="AQ117" i="15"/>
  <c r="P116" i="11" s="1"/>
  <c r="AQ118" i="15"/>
  <c r="P117" i="11" s="1"/>
  <c r="AQ119" i="15"/>
  <c r="P118" i="11" s="1"/>
  <c r="AQ120" i="15"/>
  <c r="P119" i="11" s="1"/>
  <c r="AQ121" i="15"/>
  <c r="P120" i="11" s="1"/>
  <c r="AQ122" i="15"/>
  <c r="P121" i="11" s="1"/>
  <c r="AQ123" i="15"/>
  <c r="P122" i="11" s="1"/>
  <c r="AQ124" i="15"/>
  <c r="P123" i="11" s="1"/>
  <c r="AQ125" i="15"/>
  <c r="P124" i="11" s="1"/>
  <c r="AQ126" i="15"/>
  <c r="P125" i="11" s="1"/>
  <c r="AQ127" i="15"/>
  <c r="P126" i="11" s="1"/>
  <c r="AQ128" i="15"/>
  <c r="P127" i="11" s="1"/>
  <c r="AQ129" i="15"/>
  <c r="P128" i="11" s="1"/>
  <c r="AQ130" i="15"/>
  <c r="P129" i="11" s="1"/>
  <c r="AQ131" i="15"/>
  <c r="P130" i="11" s="1"/>
  <c r="AQ132" i="15"/>
  <c r="P131" i="11" s="1"/>
  <c r="AQ133" i="15"/>
  <c r="P132" i="11" s="1"/>
  <c r="AQ134" i="15"/>
  <c r="P133" i="11" s="1"/>
  <c r="AQ135" i="15"/>
  <c r="P134" i="11" s="1"/>
  <c r="AQ136" i="15"/>
  <c r="P135" i="11" s="1"/>
  <c r="AQ137" i="15"/>
  <c r="P136" i="11" s="1"/>
  <c r="AQ138" i="15"/>
  <c r="P137" i="11" s="1"/>
  <c r="AQ139" i="15"/>
  <c r="P138" i="11" s="1"/>
  <c r="AQ140" i="15"/>
  <c r="P139" i="11" s="1"/>
  <c r="AQ141" i="15"/>
  <c r="P140" i="11" s="1"/>
  <c r="AQ142" i="15"/>
  <c r="P141" i="11" s="1"/>
  <c r="AQ143" i="15"/>
  <c r="P142" i="11" s="1"/>
  <c r="AQ144" i="15"/>
  <c r="P143" i="11" s="1"/>
  <c r="AQ145" i="15"/>
  <c r="P144" i="11" s="1"/>
  <c r="AQ146" i="15"/>
  <c r="P145" i="11" s="1"/>
  <c r="AQ147" i="15"/>
  <c r="P146" i="11" s="1"/>
  <c r="AQ148" i="15"/>
  <c r="P147" i="11" s="1"/>
  <c r="AQ149" i="15"/>
  <c r="P148" i="11" s="1"/>
  <c r="AQ150" i="15"/>
  <c r="P149" i="11" s="1"/>
  <c r="AQ151" i="15"/>
  <c r="P150" i="11" s="1"/>
  <c r="AQ152" i="15"/>
  <c r="P151" i="11" s="1"/>
  <c r="AQ153" i="15"/>
  <c r="P152" i="11" s="1"/>
  <c r="AQ154" i="15"/>
  <c r="P153" i="11" s="1"/>
  <c r="AQ155" i="15"/>
  <c r="P154" i="11" s="1"/>
  <c r="AQ156" i="15"/>
  <c r="P155" i="11" s="1"/>
  <c r="AQ157" i="15"/>
  <c r="P156" i="11" s="1"/>
  <c r="AQ158" i="15"/>
  <c r="P157" i="11" s="1"/>
  <c r="AQ159" i="15"/>
  <c r="P158" i="11" s="1"/>
  <c r="AQ160" i="15"/>
  <c r="P159" i="11" s="1"/>
  <c r="AQ161" i="15"/>
  <c r="P160" i="11" s="1"/>
  <c r="AQ162" i="15"/>
  <c r="P161" i="11" s="1"/>
  <c r="AQ163" i="15"/>
  <c r="P162" i="11" s="1"/>
  <c r="AQ164" i="15"/>
  <c r="P163" i="11" s="1"/>
  <c r="AQ165" i="15"/>
  <c r="P164" i="11" s="1"/>
  <c r="AQ166" i="15"/>
  <c r="P165" i="11" s="1"/>
  <c r="AQ167" i="15"/>
  <c r="P166" i="11" s="1"/>
  <c r="AQ168" i="15"/>
  <c r="P167" i="11" s="1"/>
  <c r="AQ169" i="15"/>
  <c r="P168" i="11" s="1"/>
  <c r="AQ170" i="15"/>
  <c r="P169" i="11" s="1"/>
  <c r="AQ171" i="15"/>
  <c r="P170" i="11" s="1"/>
  <c r="AQ172" i="15"/>
  <c r="P171" i="11" s="1"/>
  <c r="AQ173" i="15"/>
  <c r="P172" i="11" s="1"/>
  <c r="AQ174" i="15"/>
  <c r="P173" i="11" s="1"/>
  <c r="AQ175" i="15"/>
  <c r="P174" i="11" s="1"/>
  <c r="AQ176" i="15"/>
  <c r="P175" i="11" s="1"/>
  <c r="AQ177" i="15"/>
  <c r="P176" i="11" s="1"/>
  <c r="AQ178" i="15"/>
  <c r="P177" i="11" s="1"/>
  <c r="AQ179" i="15"/>
  <c r="P178" i="11" s="1"/>
  <c r="AQ180" i="15"/>
  <c r="P179" i="11" s="1"/>
  <c r="AQ181" i="15"/>
  <c r="P180" i="11" s="1"/>
  <c r="AQ182" i="15"/>
  <c r="P181" i="11" s="1"/>
  <c r="AQ183" i="15"/>
  <c r="P182" i="11" s="1"/>
  <c r="AQ184" i="15"/>
  <c r="P183" i="11" s="1"/>
  <c r="AQ185" i="15"/>
  <c r="P184" i="11" s="1"/>
  <c r="AQ186" i="15"/>
  <c r="P185" i="11" s="1"/>
  <c r="AQ187" i="15"/>
  <c r="P186" i="11" s="1"/>
  <c r="AQ188" i="15"/>
  <c r="P187" i="11" s="1"/>
  <c r="AQ189" i="15"/>
  <c r="P188" i="11" s="1"/>
  <c r="AQ190" i="15"/>
  <c r="P189" i="11" s="1"/>
  <c r="AQ191" i="15"/>
  <c r="P190" i="11" s="1"/>
  <c r="AQ192" i="15"/>
  <c r="P191" i="11" s="1"/>
  <c r="AQ193" i="15"/>
  <c r="P192" i="11" s="1"/>
  <c r="AQ194" i="15"/>
  <c r="P193" i="11" s="1"/>
  <c r="AQ195" i="15"/>
  <c r="P194" i="11" s="1"/>
  <c r="AQ196" i="15"/>
  <c r="P195" i="11" s="1"/>
  <c r="AQ197" i="15"/>
  <c r="P196" i="11" s="1"/>
  <c r="AQ198" i="15"/>
  <c r="P197" i="11" s="1"/>
  <c r="AQ199" i="15"/>
  <c r="P198" i="11" s="1"/>
  <c r="AQ200" i="15"/>
  <c r="P199" i="11" s="1"/>
  <c r="AQ201" i="15"/>
  <c r="P200" i="11" s="1"/>
  <c r="AQ202" i="15"/>
  <c r="P201" i="11" s="1"/>
  <c r="AQ203" i="15"/>
  <c r="P202" i="11" s="1"/>
  <c r="AQ204" i="15"/>
  <c r="P203" i="11" s="1"/>
  <c r="AQ5" i="15"/>
  <c r="HY4" i="9"/>
  <c r="K178" i="19" l="1"/>
  <c r="E155"/>
  <c r="D19" i="4"/>
  <c r="M23"/>
  <c r="N22"/>
  <c r="N24" s="1"/>
  <c r="I23"/>
  <c r="J22"/>
  <c r="J24" s="1"/>
  <c r="C20" i="19"/>
  <c r="M22" i="4"/>
  <c r="O22"/>
  <c r="O24" s="1"/>
  <c r="K22"/>
  <c r="K24" s="1"/>
  <c r="G22"/>
  <c r="G24" s="1"/>
  <c r="I22"/>
  <c r="H22"/>
  <c r="H24" s="1"/>
  <c r="F22"/>
  <c r="F24" s="1"/>
  <c r="P22"/>
  <c r="E22"/>
  <c r="E24" s="1"/>
  <c r="BB98" i="19"/>
  <c r="AV129"/>
  <c r="AV127"/>
  <c r="BB100"/>
  <c r="AW127"/>
  <c r="AW129"/>
  <c r="BA126"/>
  <c r="BB126"/>
  <c r="BC126"/>
  <c r="AX127"/>
  <c r="AX129"/>
  <c r="L22" i="18"/>
  <c r="L24" s="1"/>
  <c r="L22" i="4"/>
  <c r="L24" s="1"/>
  <c r="AA134" i="19"/>
  <c r="I24" i="4"/>
  <c r="I24" i="18"/>
  <c r="M24" i="4"/>
  <c r="AA137" i="19"/>
  <c r="AA133"/>
  <c r="S138"/>
  <c r="AA136"/>
  <c r="AA140"/>
  <c r="AD140"/>
  <c r="AA138"/>
  <c r="S140"/>
  <c r="AA135"/>
  <c r="AE141"/>
  <c r="M174"/>
  <c r="N173"/>
  <c r="N172"/>
  <c r="L170"/>
  <c r="G170"/>
  <c r="B170"/>
  <c r="O168"/>
  <c r="F168"/>
  <c r="H167"/>
  <c r="J167" s="1"/>
  <c r="D167"/>
  <c r="O166"/>
  <c r="F166"/>
  <c r="H165"/>
  <c r="J165" s="1"/>
  <c r="D165"/>
  <c r="O164"/>
  <c r="G164"/>
  <c r="G163"/>
  <c r="F15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B158"/>
  <c r="F174"/>
  <c r="F173"/>
  <c r="F172"/>
  <c r="M170"/>
  <c r="H170"/>
  <c r="D170"/>
  <c r="G168"/>
  <c r="L167"/>
  <c r="N167" s="1"/>
  <c r="E167"/>
  <c r="G166"/>
  <c r="L165"/>
  <c r="N165" s="1"/>
  <c r="E165"/>
  <c r="H164"/>
  <c r="J164" s="1"/>
  <c r="D164"/>
  <c r="H163"/>
  <c r="J163" s="1"/>
  <c r="D163"/>
  <c r="C158"/>
  <c r="L156"/>
  <c r="AW155" s="1"/>
  <c r="L155"/>
  <c r="B178"/>
  <c r="O170"/>
  <c r="I170"/>
  <c r="E170"/>
  <c r="H168"/>
  <c r="J168" s="1"/>
  <c r="D168"/>
  <c r="O167"/>
  <c r="F167"/>
  <c r="H166"/>
  <c r="J166" s="1"/>
  <c r="D166"/>
  <c r="O165"/>
  <c r="F165"/>
  <c r="L164"/>
  <c r="N164" s="1"/>
  <c r="E164"/>
  <c r="L163"/>
  <c r="N163" s="1"/>
  <c r="E163"/>
  <c r="G178"/>
  <c r="J170"/>
  <c r="K170" s="1"/>
  <c r="F170"/>
  <c r="L168"/>
  <c r="N168" s="1"/>
  <c r="E168"/>
  <c r="G167"/>
  <c r="L166"/>
  <c r="N166" s="1"/>
  <c r="E166"/>
  <c r="G165"/>
  <c r="F164"/>
  <c r="O163"/>
  <c r="F163"/>
  <c r="C157"/>
  <c r="C156"/>
  <c r="E3" i="15"/>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AA178" i="19" l="1"/>
  <c r="U155"/>
  <c r="AB97"/>
  <c r="K166"/>
  <c r="AX156"/>
  <c r="AV156"/>
  <c r="AW156"/>
  <c r="AW130"/>
  <c r="BA129"/>
  <c r="BA127"/>
  <c r="BB129"/>
  <c r="BB127"/>
  <c r="BC129"/>
  <c r="BC127"/>
  <c r="AW128"/>
  <c r="L127" s="1"/>
  <c r="K168"/>
  <c r="N170"/>
  <c r="K167"/>
  <c r="K164"/>
  <c r="C168"/>
  <c r="K163"/>
  <c r="K165"/>
  <c r="O171"/>
  <c r="C170"/>
  <c r="V174"/>
  <c r="AC170"/>
  <c r="X170"/>
  <c r="T170"/>
  <c r="AB168"/>
  <c r="AD168" s="1"/>
  <c r="U168"/>
  <c r="X167"/>
  <c r="Z167" s="1"/>
  <c r="T167"/>
  <c r="AE166"/>
  <c r="V166"/>
  <c r="X165"/>
  <c r="Z165" s="1"/>
  <c r="T165"/>
  <c r="AE164"/>
  <c r="V164"/>
  <c r="W163"/>
  <c r="S158"/>
  <c r="R178"/>
  <c r="AE170"/>
  <c r="Y170"/>
  <c r="U170"/>
  <c r="AE168"/>
  <c r="V168"/>
  <c r="AB167"/>
  <c r="AD167" s="1"/>
  <c r="U167"/>
  <c r="W166"/>
  <c r="AB165"/>
  <c r="AD165" s="1"/>
  <c r="U165"/>
  <c r="W164"/>
  <c r="X163"/>
  <c r="Z163" s="1"/>
  <c r="T163"/>
  <c r="AB156"/>
  <c r="BB155" s="1"/>
  <c r="AB155"/>
  <c r="V154"/>
  <c r="L188"/>
  <c r="W178"/>
  <c r="AD173"/>
  <c r="AD172"/>
  <c r="Z170"/>
  <c r="V170"/>
  <c r="W168"/>
  <c r="AE167"/>
  <c r="V167"/>
  <c r="X166"/>
  <c r="Z166" s="1"/>
  <c r="T166"/>
  <c r="AE165"/>
  <c r="V165"/>
  <c r="X164"/>
  <c r="Z164" s="1"/>
  <c r="T164"/>
  <c r="AB163"/>
  <c r="AD163" s="1"/>
  <c r="U163"/>
  <c r="S157"/>
  <c r="AC174"/>
  <c r="V173"/>
  <c r="V172"/>
  <c r="AB170"/>
  <c r="AD170" s="1"/>
  <c r="W170"/>
  <c r="R170"/>
  <c r="X168"/>
  <c r="Z168" s="1"/>
  <c r="T168"/>
  <c r="W167"/>
  <c r="AB166"/>
  <c r="AD166" s="1"/>
  <c r="U166"/>
  <c r="W165"/>
  <c r="AB164"/>
  <c r="AD164" s="1"/>
  <c r="U164"/>
  <c r="AE163"/>
  <c r="V163"/>
  <c r="S156"/>
  <c r="FO20" i="9"/>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K193"/>
  <c r="FO192"/>
  <c r="FK191"/>
  <c r="FH183"/>
  <c r="FL183" s="1"/>
  <c r="FP183" s="1"/>
  <c r="FK179"/>
  <c r="FL179" s="1"/>
  <c r="FP179" s="1"/>
  <c r="FO173"/>
  <c r="FK172"/>
  <c r="FO17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5"/>
  <c r="FP199"/>
  <c r="FP171"/>
  <c r="FP151"/>
  <c r="FH205"/>
  <c r="FS205"/>
  <c r="FR205"/>
  <c r="FS199"/>
  <c r="FR199"/>
  <c r="FH198"/>
  <c r="FL198" s="1"/>
  <c r="FP198" s="1"/>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L120"/>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FS14"/>
  <c r="FR13"/>
  <c r="FL197"/>
  <c r="FP197" s="1"/>
  <c r="FL192"/>
  <c r="FP192" s="1"/>
  <c r="FL176"/>
  <c r="FP176" s="1"/>
  <c r="FL164"/>
  <c r="FP164" s="1"/>
  <c r="FL161"/>
  <c r="FP161" s="1"/>
  <c r="FL148"/>
  <c r="FP148" s="1"/>
  <c r="FL145"/>
  <c r="FL129"/>
  <c r="FP129" s="1"/>
  <c r="FL116"/>
  <c r="FP116" s="1"/>
  <c r="FL113"/>
  <c r="FP113" s="1"/>
  <c r="FL108"/>
  <c r="FP108" s="1"/>
  <c r="FP107"/>
  <c r="FL97"/>
  <c r="FP97" s="1"/>
  <c r="FP91"/>
  <c r="FL81"/>
  <c r="FP81" s="1"/>
  <c r="FP76"/>
  <c r="FP59"/>
  <c r="FP55"/>
  <c r="FL29"/>
  <c r="FP29" s="1"/>
  <c r="FL13"/>
  <c r="FP13" s="1"/>
  <c r="FL201"/>
  <c r="FP201" s="1"/>
  <c r="FP196"/>
  <c r="FL185"/>
  <c r="FP185" s="1"/>
  <c r="FL173"/>
  <c r="FP173" s="1"/>
  <c r="FL157"/>
  <c r="FP157" s="1"/>
  <c r="FL141"/>
  <c r="FP141" s="1"/>
  <c r="FP128"/>
  <c r="FL125"/>
  <c r="FP125" s="1"/>
  <c r="FP109"/>
  <c r="FL104"/>
  <c r="FL93"/>
  <c r="FP93" s="1"/>
  <c r="FL88"/>
  <c r="FP88" s="1"/>
  <c r="FP87"/>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V52"/>
  <c r="EV48"/>
  <c r="EV45"/>
  <c r="EV44"/>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R131"/>
  <c r="EV129"/>
  <c r="EO128"/>
  <c r="ES128" s="1"/>
  <c r="EW128" s="1"/>
  <c r="ER127"/>
  <c r="EV125"/>
  <c r="EO124"/>
  <c r="ES124" s="1"/>
  <c r="EW124" s="1"/>
  <c r="EV121"/>
  <c r="EV117"/>
  <c r="EV113"/>
  <c r="EV109"/>
  <c r="EV105"/>
  <c r="EO101"/>
  <c r="EO97"/>
  <c r="EO93"/>
  <c r="EV90"/>
  <c r="EV85"/>
  <c r="EV82"/>
  <c r="EV77"/>
  <c r="EZ77" s="1"/>
  <c r="EV74"/>
  <c r="EV69"/>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S127" s="1"/>
  <c r="EO123"/>
  <c r="EO107"/>
  <c r="EV41"/>
  <c r="EV40"/>
  <c r="EV36"/>
  <c r="EV32"/>
  <c r="EV28"/>
  <c r="EV27"/>
  <c r="EO26"/>
  <c r="ER24"/>
  <c r="EV17"/>
  <c r="ER16"/>
  <c r="EV12"/>
  <c r="EZ12" s="1"/>
  <c r="EV11"/>
  <c r="EO11"/>
  <c r="ES11" s="1"/>
  <c r="EV10"/>
  <c r="ER9"/>
  <c r="ER206"/>
  <c r="ER202"/>
  <c r="EV200"/>
  <c r="EV199"/>
  <c r="ER197"/>
  <c r="EV196"/>
  <c r="EV195"/>
  <c r="EO187"/>
  <c r="ES187" s="1"/>
  <c r="EW187" s="1"/>
  <c r="ER179"/>
  <c r="EV178"/>
  <c r="EV176"/>
  <c r="EZ176" s="1"/>
  <c r="ER157"/>
  <c r="ER153"/>
  <c r="EO151"/>
  <c r="ER145"/>
  <c r="ES145" s="1"/>
  <c r="ER141"/>
  <c r="ES141" s="1"/>
  <c r="EV139"/>
  <c r="EY138"/>
  <c r="ER137"/>
  <c r="ES137" s="1"/>
  <c r="EV135"/>
  <c r="EZ135" s="1"/>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S132"/>
  <c r="EW132" s="1"/>
  <c r="ER123"/>
  <c r="EZ123" s="1"/>
  <c r="ER122"/>
  <c r="EZ122" s="1"/>
  <c r="EY122"/>
  <c r="ER121"/>
  <c r="ER120"/>
  <c r="EZ120" s="1"/>
  <c r="ER119"/>
  <c r="ER118"/>
  <c r="EY118"/>
  <c r="ER117"/>
  <c r="EZ117" s="1"/>
  <c r="ER116"/>
  <c r="EZ116" s="1"/>
  <c r="ER115"/>
  <c r="ER114"/>
  <c r="EZ114" s="1"/>
  <c r="EY114"/>
  <c r="ER113"/>
  <c r="ES113" s="1"/>
  <c r="ER112"/>
  <c r="EZ112" s="1"/>
  <c r="ER111"/>
  <c r="ER110"/>
  <c r="EY110"/>
  <c r="ER109"/>
  <c r="ER108"/>
  <c r="EZ108" s="1"/>
  <c r="ER107"/>
  <c r="EZ107" s="1"/>
  <c r="ER106"/>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S82" s="1"/>
  <c r="EV79"/>
  <c r="ER76"/>
  <c r="ER75"/>
  <c r="ER74"/>
  <c r="EV71"/>
  <c r="ER66"/>
  <c r="ER58"/>
  <c r="ER50"/>
  <c r="ER42"/>
  <c r="ER34"/>
  <c r="ER26"/>
  <c r="EC75"/>
  <c r="EC71"/>
  <c r="EC67"/>
  <c r="EC63"/>
  <c r="EC59"/>
  <c r="EC55"/>
  <c r="EC51"/>
  <c r="EC47"/>
  <c r="EC43"/>
  <c r="EC39"/>
  <c r="EV6"/>
  <c r="ER204"/>
  <c r="EZ204" s="1"/>
  <c r="EV202"/>
  <c r="EV201"/>
  <c r="EO201"/>
  <c r="ER196"/>
  <c r="EZ196" s="1"/>
  <c r="EV194"/>
  <c r="EV193"/>
  <c r="EO193"/>
  <c r="ES193" s="1"/>
  <c r="ER188"/>
  <c r="EZ188" s="1"/>
  <c r="EV186"/>
  <c r="EV185"/>
  <c r="EO185"/>
  <c r="ES185" s="1"/>
  <c r="ER180"/>
  <c r="EZ180" s="1"/>
  <c r="EO176"/>
  <c r="ES176" s="1"/>
  <c r="ER173"/>
  <c r="EV171"/>
  <c r="ER169"/>
  <c r="EV167"/>
  <c r="ER165"/>
  <c r="EV163"/>
  <c r="ER161"/>
  <c r="EV159"/>
  <c r="EV157"/>
  <c r="EV155"/>
  <c r="EV153"/>
  <c r="EV151"/>
  <c r="EZ64"/>
  <c r="EZ56"/>
  <c r="ER25"/>
  <c r="ES25" s="1"/>
  <c r="EW25" s="1"/>
  <c r="EO25"/>
  <c r="ER23"/>
  <c r="EV22"/>
  <c r="EO10"/>
  <c r="EV8"/>
  <c r="EV7"/>
  <c r="EC12"/>
  <c r="EC8"/>
  <c r="EO199"/>
  <c r="ES199" s="1"/>
  <c r="EO191"/>
  <c r="EO183"/>
  <c r="EO177"/>
  <c r="ES177" s="1"/>
  <c r="EW177" s="1"/>
  <c r="EV104"/>
  <c r="EV103"/>
  <c r="EZ103" s="1"/>
  <c r="EV102"/>
  <c r="EV101"/>
  <c r="EZ101" s="1"/>
  <c r="EV100"/>
  <c r="EV99"/>
  <c r="EV98"/>
  <c r="EV97"/>
  <c r="EZ97" s="1"/>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S197" s="1"/>
  <c r="ER192"/>
  <c r="EZ192" s="1"/>
  <c r="EV190"/>
  <c r="EV189"/>
  <c r="EZ189" s="1"/>
  <c r="EO189"/>
  <c r="ES189" s="1"/>
  <c r="ER184"/>
  <c r="EV182"/>
  <c r="EV181"/>
  <c r="EO181"/>
  <c r="EO178"/>
  <c r="ES178" s="1"/>
  <c r="EW178" s="1"/>
  <c r="ER175"/>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S129" s="1"/>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S45" s="1"/>
  <c r="EW45" s="1"/>
  <c r="EO38"/>
  <c r="EO37"/>
  <c r="EO30"/>
  <c r="EO29"/>
  <c r="ES29" s="1"/>
  <c r="EW29" s="1"/>
  <c r="ER27"/>
  <c r="EV24"/>
  <c r="EV23"/>
  <c r="EO22"/>
  <c r="EO21"/>
  <c r="EY18"/>
  <c r="EO17"/>
  <c r="EO13"/>
  <c r="EY8"/>
  <c r="EW199"/>
  <c r="EZ206"/>
  <c r="EY206"/>
  <c r="EY204"/>
  <c r="EY173"/>
  <c r="EY202"/>
  <c r="EY200"/>
  <c r="EY190"/>
  <c r="EY180"/>
  <c r="EZ175"/>
  <c r="EY175"/>
  <c r="EY174"/>
  <c r="EZ174"/>
  <c r="EY166"/>
  <c r="EZ166"/>
  <c r="EY162"/>
  <c r="EZ162"/>
  <c r="EY161"/>
  <c r="EY154"/>
  <c r="EY150"/>
  <c r="EZ136"/>
  <c r="EZ133"/>
  <c r="EZ132"/>
  <c r="EZ128"/>
  <c r="EZ127"/>
  <c r="EY198"/>
  <c r="EY186"/>
  <c r="EY184"/>
  <c r="EY182"/>
  <c r="EZ182"/>
  <c r="EZ172"/>
  <c r="EY172"/>
  <c r="EY170"/>
  <c r="EZ170"/>
  <c r="EY165"/>
  <c r="EZ160"/>
  <c r="EY160"/>
  <c r="EY158"/>
  <c r="EY156"/>
  <c r="EY152"/>
  <c r="EY148"/>
  <c r="EY146"/>
  <c r="EZ146"/>
  <c r="EZ144"/>
  <c r="EY144"/>
  <c r="EY142"/>
  <c r="EZ142"/>
  <c r="EY205"/>
  <c r="EZ203"/>
  <c r="EY203"/>
  <c r="EZ201"/>
  <c r="EY201"/>
  <c r="EZ199"/>
  <c r="EY199"/>
  <c r="EY197"/>
  <c r="EZ195"/>
  <c r="EY195"/>
  <c r="EZ193"/>
  <c r="EY193"/>
  <c r="EZ191"/>
  <c r="EY191"/>
  <c r="EY189"/>
  <c r="EZ187"/>
  <c r="EY187"/>
  <c r="EZ185"/>
  <c r="EY185"/>
  <c r="EZ183"/>
  <c r="EY183"/>
  <c r="EY181"/>
  <c r="EZ179"/>
  <c r="EY179"/>
  <c r="EY178"/>
  <c r="EZ178"/>
  <c r="EZ177"/>
  <c r="EY177"/>
  <c r="EY176"/>
  <c r="EZ159"/>
  <c r="EY159"/>
  <c r="EZ157"/>
  <c r="EY157"/>
  <c r="EZ155"/>
  <c r="EY155"/>
  <c r="EZ153"/>
  <c r="EY153"/>
  <c r="EY151"/>
  <c r="EY149"/>
  <c r="EY147"/>
  <c r="EY145"/>
  <c r="EY143"/>
  <c r="EZ125"/>
  <c r="EZ124"/>
  <c r="EZ113"/>
  <c r="EZ100"/>
  <c r="EZ76"/>
  <c r="EZ89"/>
  <c r="EZ81"/>
  <c r="EZ73"/>
  <c r="ER151"/>
  <c r="ES151" s="1"/>
  <c r="ER149"/>
  <c r="ES149" s="1"/>
  <c r="EW149" s="1"/>
  <c r="EZ88"/>
  <c r="EZ72"/>
  <c r="EZ63"/>
  <c r="EZ55"/>
  <c r="EZ19"/>
  <c r="EY196"/>
  <c r="EY194"/>
  <c r="EZ194"/>
  <c r="EY192"/>
  <c r="EY188"/>
  <c r="EY171"/>
  <c r="EZ169"/>
  <c r="EY169"/>
  <c r="EZ168"/>
  <c r="EY168"/>
  <c r="EY167"/>
  <c r="EZ164"/>
  <c r="EY164"/>
  <c r="EY163"/>
  <c r="EC138"/>
  <c r="EI134"/>
  <c r="EI130"/>
  <c r="EI126"/>
  <c r="EI122"/>
  <c r="EI118"/>
  <c r="EE115"/>
  <c r="EI98"/>
  <c r="EI94"/>
  <c r="EO206"/>
  <c r="ES206" s="1"/>
  <c r="EW206" s="1"/>
  <c r="EO204"/>
  <c r="ES204" s="1"/>
  <c r="EW204" s="1"/>
  <c r="EO202"/>
  <c r="ES202" s="1"/>
  <c r="EW202" s="1"/>
  <c r="EO200"/>
  <c r="ES200" s="1"/>
  <c r="EO198"/>
  <c r="ES198" s="1"/>
  <c r="EW198" s="1"/>
  <c r="EO196"/>
  <c r="ES196" s="1"/>
  <c r="EW196" s="1"/>
  <c r="EO194"/>
  <c r="ES194" s="1"/>
  <c r="EW194" s="1"/>
  <c r="EO192"/>
  <c r="ES192" s="1"/>
  <c r="EW192" s="1"/>
  <c r="EO190"/>
  <c r="ES190" s="1"/>
  <c r="EW190" s="1"/>
  <c r="EO188"/>
  <c r="ES188" s="1"/>
  <c r="EW188" s="1"/>
  <c r="EO186"/>
  <c r="ES186" s="1"/>
  <c r="EW186" s="1"/>
  <c r="EO184"/>
  <c r="ES184" s="1"/>
  <c r="EW184" s="1"/>
  <c r="EO182"/>
  <c r="ES182" s="1"/>
  <c r="EW182" s="1"/>
  <c r="EO180"/>
  <c r="ES180" s="1"/>
  <c r="EW180" s="1"/>
  <c r="EO175"/>
  <c r="ES175" s="1"/>
  <c r="EW175" s="1"/>
  <c r="EO174"/>
  <c r="ES174" s="1"/>
  <c r="EW174" s="1"/>
  <c r="EO173"/>
  <c r="ES173" s="1"/>
  <c r="EW173" s="1"/>
  <c r="EO172"/>
  <c r="ES172" s="1"/>
  <c r="EW172" s="1"/>
  <c r="EO171"/>
  <c r="ES171" s="1"/>
  <c r="EO170"/>
  <c r="ES170" s="1"/>
  <c r="EW170" s="1"/>
  <c r="EO169"/>
  <c r="ES169" s="1"/>
  <c r="EO168"/>
  <c r="ES168" s="1"/>
  <c r="EW168" s="1"/>
  <c r="EO167"/>
  <c r="ES167" s="1"/>
  <c r="EW167" s="1"/>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Z150" s="1"/>
  <c r="EO150"/>
  <c r="ES150" s="1"/>
  <c r="EV148"/>
  <c r="EZ148" s="1"/>
  <c r="EO148"/>
  <c r="ES148" s="1"/>
  <c r="EO146"/>
  <c r="ES146" s="1"/>
  <c r="EW146" s="1"/>
  <c r="EO144"/>
  <c r="ES144" s="1"/>
  <c r="EW144" s="1"/>
  <c r="EO142"/>
  <c r="ES142" s="1"/>
  <c r="EW142" s="1"/>
  <c r="EZ85"/>
  <c r="EZ69"/>
  <c r="EZ68"/>
  <c r="EZ60"/>
  <c r="EZ52"/>
  <c r="EZ44"/>
  <c r="EZ36"/>
  <c r="EZ9"/>
  <c r="ES53"/>
  <c r="EW53" s="1"/>
  <c r="ES49"/>
  <c r="EW49" s="1"/>
  <c r="ES37"/>
  <c r="EW37" s="1"/>
  <c r="ES21"/>
  <c r="EW21" s="1"/>
  <c r="EW11"/>
  <c r="ES7"/>
  <c r="EW7" s="1"/>
  <c r="EY141"/>
  <c r="EZ138"/>
  <c r="EY137"/>
  <c r="EZ134"/>
  <c r="EY133"/>
  <c r="EZ130"/>
  <c r="EY129"/>
  <c r="EZ126"/>
  <c r="EY125"/>
  <c r="EY121"/>
  <c r="EZ118"/>
  <c r="EY117"/>
  <c r="EY113"/>
  <c r="EZ110"/>
  <c r="EY109"/>
  <c r="EZ106"/>
  <c r="EY105"/>
  <c r="EZ102"/>
  <c r="EY101"/>
  <c r="EZ98"/>
  <c r="EY97"/>
  <c r="EZ94"/>
  <c r="EY93"/>
  <c r="EY89"/>
  <c r="EZ86"/>
  <c r="EY85"/>
  <c r="EY81"/>
  <c r="EZ78"/>
  <c r="EY77"/>
  <c r="EY73"/>
  <c r="EZ70"/>
  <c r="EY69"/>
  <c r="EZ66"/>
  <c r="EY65"/>
  <c r="EZ62"/>
  <c r="EY61"/>
  <c r="EZ58"/>
  <c r="EY57"/>
  <c r="EZ54"/>
  <c r="EY53"/>
  <c r="EZ50"/>
  <c r="EY49"/>
  <c r="EZ46"/>
  <c r="EY45"/>
  <c r="EZ42"/>
  <c r="EY41"/>
  <c r="EZ38"/>
  <c r="EY37"/>
  <c r="EY33"/>
  <c r="EZ30"/>
  <c r="EY29"/>
  <c r="EZ26"/>
  <c r="EY25"/>
  <c r="EZ22"/>
  <c r="EY21"/>
  <c r="EZ13"/>
  <c r="EZ11"/>
  <c r="EY10"/>
  <c r="EZ8"/>
  <c r="ES66"/>
  <c r="ES62"/>
  <c r="EW62" s="1"/>
  <c r="ES58"/>
  <c r="EW58" s="1"/>
  <c r="ES50"/>
  <c r="EW50" s="1"/>
  <c r="ES46"/>
  <c r="EW46" s="1"/>
  <c r="ES42"/>
  <c r="EW42" s="1"/>
  <c r="ES38"/>
  <c r="EW38" s="1"/>
  <c r="ES30"/>
  <c r="ES26"/>
  <c r="EW26" s="1"/>
  <c r="ES22"/>
  <c r="EW22" s="1"/>
  <c r="EO18"/>
  <c r="ES18" s="1"/>
  <c r="EW18" s="1"/>
  <c r="EO14"/>
  <c r="ES14" s="1"/>
  <c r="EW14" s="1"/>
  <c r="EO12"/>
  <c r="ES12" s="1"/>
  <c r="EW12" s="1"/>
  <c r="EO8"/>
  <c r="ES8" s="1"/>
  <c r="EW8" s="1"/>
  <c r="EY140"/>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W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G199"/>
  <c r="EG175"/>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EC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EJ7"/>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8"/>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R15" i="19" s="1"/>
  <c r="AM9" i="9"/>
  <c r="AM10"/>
  <c r="R45" i="19" s="1"/>
  <c r="AM11" i="9"/>
  <c r="B75" i="19" s="1"/>
  <c r="AM12" i="9"/>
  <c r="R75" i="19" s="1"/>
  <c r="AM13" i="9"/>
  <c r="AM14"/>
  <c r="R105" i="19" s="1"/>
  <c r="AM15" i="9"/>
  <c r="B135" i="19" s="1"/>
  <c r="AM16" i="9"/>
  <c r="R135" i="19" s="1"/>
  <c r="AM17" i="9"/>
  <c r="B165" i="19" s="1"/>
  <c r="AM18" i="9"/>
  <c r="R165" i="19" s="1"/>
  <c r="AM19" i="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B15" i="19" s="1"/>
  <c r="AM4" i="9"/>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9"/>
  <c r="B20"/>
  <c r="B21"/>
  <c r="B22"/>
  <c r="B23"/>
  <c r="B24"/>
  <c r="B25"/>
  <c r="B26"/>
  <c r="B27"/>
  <c r="B28"/>
  <c r="B29"/>
  <c r="B30"/>
  <c r="B31"/>
  <c r="B32"/>
  <c r="B33"/>
  <c r="B34"/>
  <c r="B35"/>
  <c r="B36"/>
  <c r="B37"/>
  <c r="AA6" i="9"/>
  <c r="AA5"/>
  <c r="Z5"/>
  <c r="Y5"/>
  <c r="AF4"/>
  <c r="AE4"/>
  <c r="AD4"/>
  <c r="AC4"/>
  <c r="Y4"/>
  <c r="K208" i="19" l="1"/>
  <c r="E185"/>
  <c r="B16" i="18"/>
  <c r="B105" i="19"/>
  <c r="B16" i="4"/>
  <c r="B45" i="19"/>
  <c r="AA165"/>
  <c r="BB130"/>
  <c r="BB128"/>
  <c r="AB127" s="1"/>
  <c r="AX159"/>
  <c r="AX157"/>
  <c r="AV159"/>
  <c r="AV157"/>
  <c r="BA156"/>
  <c r="BC156"/>
  <c r="BB156"/>
  <c r="AW159"/>
  <c r="AW157"/>
  <c r="AA163"/>
  <c r="AA170"/>
  <c r="S168"/>
  <c r="AA168"/>
  <c r="AE171"/>
  <c r="AA166"/>
  <c r="AA164"/>
  <c r="AA167"/>
  <c r="S170"/>
  <c r="G208"/>
  <c r="F200"/>
  <c r="H197"/>
  <c r="J197" s="1"/>
  <c r="H196"/>
  <c r="J196" s="1"/>
  <c r="D196"/>
  <c r="G195"/>
  <c r="B195"/>
  <c r="O194"/>
  <c r="F194"/>
  <c r="O193"/>
  <c r="F193"/>
  <c r="C187"/>
  <c r="C186"/>
  <c r="J200"/>
  <c r="E198"/>
  <c r="L196"/>
  <c r="N196" s="1"/>
  <c r="E196"/>
  <c r="H195"/>
  <c r="J195" s="1"/>
  <c r="D195"/>
  <c r="G194"/>
  <c r="G193"/>
  <c r="F184"/>
  <c r="B208"/>
  <c r="L198"/>
  <c r="N198" s="1"/>
  <c r="O196"/>
  <c r="F196"/>
  <c r="L195"/>
  <c r="N195" s="1"/>
  <c r="E195"/>
  <c r="H194"/>
  <c r="J194" s="1"/>
  <c r="D194"/>
  <c r="H193"/>
  <c r="J193" s="1"/>
  <c r="D193"/>
  <c r="C188"/>
  <c r="L186"/>
  <c r="AW185" s="1"/>
  <c r="L185"/>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B188"/>
  <c r="D197"/>
  <c r="G196"/>
  <c r="O195"/>
  <c r="F195"/>
  <c r="L194"/>
  <c r="N194" s="1"/>
  <c r="E194"/>
  <c r="L193"/>
  <c r="N193" s="1"/>
  <c r="E193"/>
  <c r="H198"/>
  <c r="J198" s="1"/>
  <c r="F202"/>
  <c r="F204"/>
  <c r="G198"/>
  <c r="N202"/>
  <c r="E197"/>
  <c r="B200"/>
  <c r="D198"/>
  <c r="O200"/>
  <c r="O197"/>
  <c r="M200"/>
  <c r="O198"/>
  <c r="I200"/>
  <c r="F203"/>
  <c r="F197"/>
  <c r="H200"/>
  <c r="M204"/>
  <c r="F198"/>
  <c r="L200"/>
  <c r="G197"/>
  <c r="E200"/>
  <c r="D200"/>
  <c r="N203"/>
  <c r="L197"/>
  <c r="N197" s="1"/>
  <c r="G200"/>
  <c r="K200" s="1"/>
  <c r="BS209" i="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Z24"/>
  <c r="EZ197"/>
  <c r="EW153"/>
  <c r="ES101"/>
  <c r="ES107"/>
  <c r="EW107" s="1"/>
  <c r="ES179"/>
  <c r="EW179" s="1"/>
  <c r="FP21"/>
  <c r="FL41"/>
  <c r="FP41" s="1"/>
  <c r="FL12"/>
  <c r="FP12" s="1"/>
  <c r="FP51"/>
  <c r="EZ131"/>
  <c r="EZ10"/>
  <c r="EZ16"/>
  <c r="EZ27"/>
  <c r="ES147"/>
  <c r="EZ67"/>
  <c r="EZ129"/>
  <c r="EW135"/>
  <c r="EZ143"/>
  <c r="EZ181"/>
  <c r="EZ190"/>
  <c r="EZ28"/>
  <c r="ES33"/>
  <c r="EW33" s="1"/>
  <c r="ES41"/>
  <c r="EW41" s="1"/>
  <c r="ES195"/>
  <c r="EW195" s="1"/>
  <c r="EZ205"/>
  <c r="ES13"/>
  <c r="EW13" s="1"/>
  <c r="ES191"/>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S170"/>
  <c r="BS166"/>
  <c r="BS162"/>
  <c r="BS158"/>
  <c r="CH190"/>
  <c r="CH11"/>
  <c r="CH146"/>
  <c r="CJ146" s="1"/>
  <c r="CL146" s="1"/>
  <c r="CH17"/>
  <c r="CJ17" s="1"/>
  <c r="CL17" s="1"/>
  <c r="CH152"/>
  <c r="CJ152" s="1"/>
  <c r="CH151"/>
  <c r="CH148"/>
  <c r="CJ148" s="1"/>
  <c r="CH147"/>
  <c r="CJ147" s="1"/>
  <c r="CL147" s="1"/>
  <c r="CH25"/>
  <c r="CJ25" s="1"/>
  <c r="CH178"/>
  <c r="CJ178" s="1"/>
  <c r="CL178" s="1"/>
  <c r="CH18"/>
  <c r="DH139"/>
  <c r="BU174"/>
  <c r="BW174" s="1"/>
  <c r="BU170"/>
  <c r="BW170" s="1"/>
  <c r="BU166"/>
  <c r="BW166" s="1"/>
  <c r="BU162"/>
  <c r="BW162" s="1"/>
  <c r="BU158"/>
  <c r="BW158"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J185"/>
  <c r="CL185"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L58"/>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N12"/>
  <c r="CM12"/>
  <c r="CN8"/>
  <c r="CM8"/>
  <c r="CH205"/>
  <c r="CJ205" s="1"/>
  <c r="CL205" s="1"/>
  <c r="CH203"/>
  <c r="CJ203" s="1"/>
  <c r="CL203" s="1"/>
  <c r="CH201"/>
  <c r="CJ201" s="1"/>
  <c r="CL201" s="1"/>
  <c r="CH199"/>
  <c r="CJ199" s="1"/>
  <c r="CL199" s="1"/>
  <c r="CH197"/>
  <c r="CJ197" s="1"/>
  <c r="CL197" s="1"/>
  <c r="CH195"/>
  <c r="CJ195" s="1"/>
  <c r="CL195" s="1"/>
  <c r="CL135"/>
  <c r="CL119"/>
  <c r="CL103"/>
  <c r="CL12"/>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CM13"/>
  <c r="CN13"/>
  <c r="CM9"/>
  <c r="CN9"/>
  <c r="CM193"/>
  <c r="CL112"/>
  <c r="CL108"/>
  <c r="CH8"/>
  <c r="CJ8" s="1"/>
  <c r="CL8" s="1"/>
  <c r="CM205"/>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42"/>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S148"/>
  <c r="BS35"/>
  <c r="BU35" s="1"/>
  <c r="BW35" s="1"/>
  <c r="BS31"/>
  <c r="BU31" s="1"/>
  <c r="BW31" s="1"/>
  <c r="BS29"/>
  <c r="BU29" s="1"/>
  <c r="BW29" s="1"/>
  <c r="BS25"/>
  <c r="BU25" s="1"/>
  <c r="BW25" s="1"/>
  <c r="BS21"/>
  <c r="BU21" s="1"/>
  <c r="BW21" s="1"/>
  <c r="BE29"/>
  <c r="BE25"/>
  <c r="BS190"/>
  <c r="BU190" s="1"/>
  <c r="BX190"/>
  <c r="BZ190"/>
  <c r="BY190"/>
  <c r="BS186"/>
  <c r="BU186" s="1"/>
  <c r="BW186" s="1"/>
  <c r="BX186"/>
  <c r="BZ186"/>
  <c r="BY186"/>
  <c r="BS182"/>
  <c r="BU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X138"/>
  <c r="BZ138"/>
  <c r="BY138"/>
  <c r="BS134"/>
  <c r="BX134"/>
  <c r="BZ134"/>
  <c r="BY134"/>
  <c r="BS130"/>
  <c r="BX130"/>
  <c r="BZ130"/>
  <c r="BY130"/>
  <c r="BS126"/>
  <c r="BX126"/>
  <c r="BZ126"/>
  <c r="BY126"/>
  <c r="BS122"/>
  <c r="BX122"/>
  <c r="BZ122"/>
  <c r="BY122"/>
  <c r="BS118"/>
  <c r="BX118"/>
  <c r="BZ118"/>
  <c r="BY118"/>
  <c r="BS114"/>
  <c r="BX114"/>
  <c r="BZ114"/>
  <c r="BY114"/>
  <c r="BS110"/>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90"/>
  <c r="BW182"/>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W191"/>
  <c r="BS12"/>
  <c r="BU12" s="1"/>
  <c r="BW12" s="1"/>
  <c r="BS8"/>
  <c r="BU8" s="1"/>
  <c r="BW8" s="1"/>
  <c r="BZ206"/>
  <c r="BX205"/>
  <c r="BX203"/>
  <c r="BZ202"/>
  <c r="BX201"/>
  <c r="BX199"/>
  <c r="BZ198"/>
  <c r="BX197"/>
  <c r="BX195"/>
  <c r="BZ194"/>
  <c r="BX193"/>
  <c r="BS192"/>
  <c r="BU192" s="1"/>
  <c r="BX192"/>
  <c r="BZ192"/>
  <c r="BY192"/>
  <c r="BS188"/>
  <c r="BU188" s="1"/>
  <c r="BW188" s="1"/>
  <c r="BX188"/>
  <c r="BZ188"/>
  <c r="BY188"/>
  <c r="BS184"/>
  <c r="BU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BJ205"/>
  <c r="BJ201"/>
  <c r="BJ197"/>
  <c r="BE37"/>
  <c r="BG37" s="1"/>
  <c r="BI37" s="1"/>
  <c r="BE13"/>
  <c r="BG13" s="1"/>
  <c r="BI13" s="1"/>
  <c r="BS204"/>
  <c r="BU204" s="1"/>
  <c r="BW204" s="1"/>
  <c r="BS200"/>
  <c r="BU200" s="1"/>
  <c r="BW200" s="1"/>
  <c r="BS196"/>
  <c r="BU196" s="1"/>
  <c r="BW196" s="1"/>
  <c r="BW192"/>
  <c r="BW184"/>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BS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52"/>
  <c r="BW152" s="1"/>
  <c r="BU148"/>
  <c r="BW148" s="1"/>
  <c r="BU138"/>
  <c r="BW13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4"/>
  <c r="BW134" s="1"/>
  <c r="BU130"/>
  <c r="BW130" s="1"/>
  <c r="BU126"/>
  <c r="BW126" s="1"/>
  <c r="BU122"/>
  <c r="BW122" s="1"/>
  <c r="BU118"/>
  <c r="BW118" s="1"/>
  <c r="BU114"/>
  <c r="BW114" s="1"/>
  <c r="BU110"/>
  <c r="BW110"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Q14"/>
  <c r="AS14" s="1"/>
  <c r="AU14" s="1"/>
  <c r="AQ11"/>
  <c r="AS11" s="1"/>
  <c r="AU11" s="1"/>
  <c r="AQ7"/>
  <c r="AS7" s="1"/>
  <c r="AU7" s="1"/>
  <c r="BE204"/>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87"/>
  <c r="BI175"/>
  <c r="BI163"/>
  <c r="BI151"/>
  <c r="BI11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G204"/>
  <c r="BI204" s="1"/>
  <c r="BE200"/>
  <c r="BG200" s="1"/>
  <c r="BI200" s="1"/>
  <c r="BE196"/>
  <c r="BG196" s="1"/>
  <c r="BI196" s="1"/>
  <c r="BE12"/>
  <c r="BG12" s="1"/>
  <c r="BI12" s="1"/>
  <c r="BE8"/>
  <c r="BG8" s="1"/>
  <c r="BI8" s="1"/>
  <c r="BL204"/>
  <c r="BJ203"/>
  <c r="BL200"/>
  <c r="BJ199"/>
  <c r="BL196"/>
  <c r="BJ195"/>
  <c r="BE193"/>
  <c r="BG193" s="1"/>
  <c r="BI193" s="1"/>
  <c r="BJ193"/>
  <c r="BE189"/>
  <c r="BG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189"/>
  <c r="BI89"/>
  <c r="BG9"/>
  <c r="BI9" s="1"/>
  <c r="BE190"/>
  <c r="BG190" s="1"/>
  <c r="BI190" s="1"/>
  <c r="BJ190"/>
  <c r="BL190"/>
  <c r="BE186"/>
  <c r="BG186" s="1"/>
  <c r="BJ186"/>
  <c r="BL186"/>
  <c r="BE182"/>
  <c r="BG182" s="1"/>
  <c r="BI182" s="1"/>
  <c r="BJ182"/>
  <c r="BL182"/>
  <c r="BE178"/>
  <c r="BG178" s="1"/>
  <c r="BJ178"/>
  <c r="BL178"/>
  <c r="BE174"/>
  <c r="BG174" s="1"/>
  <c r="BI174" s="1"/>
  <c r="BJ174"/>
  <c r="BL174"/>
  <c r="BE170"/>
  <c r="BG170" s="1"/>
  <c r="BJ170"/>
  <c r="BL170"/>
  <c r="BE166"/>
  <c r="BG166" s="1"/>
  <c r="BI166" s="1"/>
  <c r="BJ166"/>
  <c r="BL166"/>
  <c r="BE162"/>
  <c r="BG162" s="1"/>
  <c r="BI162" s="1"/>
  <c r="BJ162"/>
  <c r="BL162"/>
  <c r="BE158"/>
  <c r="BG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8"/>
  <c r="BI170"/>
  <c r="BI158"/>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18"/>
  <c r="BI118"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U15"/>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Q24"/>
  <c r="AS24" s="1"/>
  <c r="AU24" s="1"/>
  <c r="AQ16"/>
  <c r="AS16" s="1"/>
  <c r="AU16" s="1"/>
  <c r="AX206"/>
  <c r="AX202"/>
  <c r="AX198"/>
  <c r="AX194"/>
  <c r="AU186"/>
  <c r="AB83"/>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AV205"/>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D83"/>
  <c r="AG104"/>
  <c r="AG116"/>
  <c r="AG120"/>
  <c r="AB163"/>
  <c r="AD163" s="1"/>
  <c r="AF163" s="1"/>
  <c r="AI202"/>
  <c r="AG205"/>
  <c r="AU95"/>
  <c r="AQ33"/>
  <c r="AS33" s="1"/>
  <c r="AU33" s="1"/>
  <c r="AQ9"/>
  <c r="AS9" s="1"/>
  <c r="AU9" s="1"/>
  <c r="AQ120"/>
  <c r="AS120" s="1"/>
  <c r="AU120" s="1"/>
  <c r="AQ116"/>
  <c r="AS116" s="1"/>
  <c r="AU116" s="1"/>
  <c r="AQ112"/>
  <c r="AS112" s="1"/>
  <c r="AU112" s="1"/>
  <c r="AQ108"/>
  <c r="AS108" s="1"/>
  <c r="AU108" s="1"/>
  <c r="AQ104"/>
  <c r="AS104" s="1"/>
  <c r="AU104" s="1"/>
  <c r="AQ100"/>
  <c r="AS100" s="1"/>
  <c r="AU100" s="1"/>
  <c r="AU139"/>
  <c r="AU137"/>
  <c r="AU135"/>
  <c r="AU131"/>
  <c r="AU129"/>
  <c r="AU123"/>
  <c r="AU121"/>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U35"/>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D58"/>
  <c r="AF58" s="1"/>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AH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F43"/>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AH14"/>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F83"/>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AA208" i="19" l="1"/>
  <c r="L218"/>
  <c r="U185"/>
  <c r="AB186"/>
  <c r="BB185" s="1"/>
  <c r="AW160"/>
  <c r="BA157"/>
  <c r="BA159"/>
  <c r="AW158"/>
  <c r="BC157"/>
  <c r="BC159"/>
  <c r="BB157"/>
  <c r="BB159"/>
  <c r="AX186"/>
  <c r="AV186"/>
  <c r="AW186"/>
  <c r="K195"/>
  <c r="K193"/>
  <c r="C198"/>
  <c r="K194"/>
  <c r="K197"/>
  <c r="C200"/>
  <c r="N200"/>
  <c r="O201"/>
  <c r="K198"/>
  <c r="K196"/>
  <c r="AE200"/>
  <c r="V198"/>
  <c r="W196"/>
  <c r="V195"/>
  <c r="V194"/>
  <c r="AE193"/>
  <c r="V193"/>
  <c r="S186"/>
  <c r="V203"/>
  <c r="AE198"/>
  <c r="AB195"/>
  <c r="AD195" s="1"/>
  <c r="W194"/>
  <c r="W193"/>
  <c r="S188"/>
  <c r="V200"/>
  <c r="W197"/>
  <c r="AB194"/>
  <c r="AD194" s="1"/>
  <c r="T194"/>
  <c r="X193"/>
  <c r="Z193" s="1"/>
  <c r="AA193" s="1"/>
  <c r="T193"/>
  <c r="AB185"/>
  <c r="V184"/>
  <c r="Z200"/>
  <c r="U194"/>
  <c r="AB193"/>
  <c r="AD193" s="1"/>
  <c r="U193"/>
  <c r="S187"/>
  <c r="AE196"/>
  <c r="AB198"/>
  <c r="AD198" s="1"/>
  <c r="X195"/>
  <c r="Z195" s="1"/>
  <c r="AB197"/>
  <c r="AD197" s="1"/>
  <c r="X200"/>
  <c r="R195"/>
  <c r="X196"/>
  <c r="Z196" s="1"/>
  <c r="AA196" s="1"/>
  <c r="W198"/>
  <c r="V196"/>
  <c r="U198"/>
  <c r="V202"/>
  <c r="T195"/>
  <c r="U197"/>
  <c r="T200"/>
  <c r="AC204"/>
  <c r="AE194"/>
  <c r="T196"/>
  <c r="AB200"/>
  <c r="AE197"/>
  <c r="Y200"/>
  <c r="V204"/>
  <c r="X194"/>
  <c r="Z194" s="1"/>
  <c r="AB196"/>
  <c r="AD196" s="1"/>
  <c r="X198"/>
  <c r="Z198" s="1"/>
  <c r="AD202"/>
  <c r="R208"/>
  <c r="AE195"/>
  <c r="X197"/>
  <c r="Z197" s="1"/>
  <c r="W200"/>
  <c r="U195"/>
  <c r="V197"/>
  <c r="U200"/>
  <c r="AD203"/>
  <c r="W208"/>
  <c r="U196"/>
  <c r="T198"/>
  <c r="AC200"/>
  <c r="W195"/>
  <c r="AA195" s="1"/>
  <c r="T197"/>
  <c r="R200"/>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HT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N7" s="1"/>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U34"/>
  <c r="U30"/>
  <c r="U28"/>
  <c r="U26"/>
  <c r="U24"/>
  <c r="U22"/>
  <c r="U43"/>
  <c r="U39"/>
  <c r="U9"/>
  <c r="N18"/>
  <c r="P18" s="1"/>
  <c r="R18" s="1"/>
  <c r="N17"/>
  <c r="P17" s="1"/>
  <c r="R17" s="1"/>
  <c r="R21"/>
  <c r="N13"/>
  <c r="P13" s="1"/>
  <c r="R13" s="1"/>
  <c r="U13"/>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K238" i="19" l="1"/>
  <c r="AB218"/>
  <c r="E215"/>
  <c r="BA186"/>
  <c r="BB186"/>
  <c r="BC186"/>
  <c r="L157"/>
  <c r="AA197"/>
  <c r="AA198"/>
  <c r="AA194"/>
  <c r="BB160"/>
  <c r="AV189"/>
  <c r="AV187"/>
  <c r="AW187"/>
  <c r="AW189"/>
  <c r="AX187"/>
  <c r="AX189"/>
  <c r="BB158"/>
  <c r="AA200"/>
  <c r="S198"/>
  <c r="AE201"/>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AD200" i="19"/>
  <c r="G238"/>
  <c r="C216"/>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C217"/>
  <c r="L216"/>
  <c r="AW215" s="1"/>
  <c r="L215"/>
  <c r="F214"/>
  <c r="L224"/>
  <c r="N224" s="1"/>
  <c r="E226"/>
  <c r="D230"/>
  <c r="F233"/>
  <c r="B238"/>
  <c r="F224"/>
  <c r="O227"/>
  <c r="O230"/>
  <c r="O224"/>
  <c r="H228"/>
  <c r="J228" s="1"/>
  <c r="D224"/>
  <c r="L227"/>
  <c r="N227" s="1"/>
  <c r="L228"/>
  <c r="N228" s="1"/>
  <c r="G224"/>
  <c r="H225"/>
  <c r="J225" s="1"/>
  <c r="F228"/>
  <c r="L223"/>
  <c r="N223" s="1"/>
  <c r="L225"/>
  <c r="N225" s="1"/>
  <c r="E227"/>
  <c r="G230"/>
  <c r="N233"/>
  <c r="E224"/>
  <c r="L226"/>
  <c r="N226" s="1"/>
  <c r="D228"/>
  <c r="J230"/>
  <c r="C218"/>
  <c r="O223"/>
  <c r="E225"/>
  <c r="G227"/>
  <c r="G228"/>
  <c r="M230"/>
  <c r="H223"/>
  <c r="J223" s="1"/>
  <c r="D225"/>
  <c r="F227"/>
  <c r="L230"/>
  <c r="M234"/>
  <c r="G223"/>
  <c r="G225"/>
  <c r="H226"/>
  <c r="J226" s="1"/>
  <c r="O228"/>
  <c r="F223"/>
  <c r="G226"/>
  <c r="H227"/>
  <c r="J227" s="1"/>
  <c r="F230"/>
  <c r="F226"/>
  <c r="I230"/>
  <c r="D223"/>
  <c r="O226"/>
  <c r="H230"/>
  <c r="B225"/>
  <c r="D226"/>
  <c r="E228"/>
  <c r="F232"/>
  <c r="F225"/>
  <c r="D227"/>
  <c r="B230"/>
  <c r="N232"/>
  <c r="E223"/>
  <c r="H224"/>
  <c r="J224" s="1"/>
  <c r="O225"/>
  <c r="E230"/>
  <c r="F234"/>
  <c r="S200"/>
  <c r="U36" i="9"/>
  <c r="U25"/>
  <c r="U17"/>
  <c r="U14"/>
  <c r="U21"/>
  <c r="U32"/>
  <c r="U15"/>
  <c r="U11"/>
  <c r="U29"/>
  <c r="U8"/>
  <c r="U33"/>
  <c r="U19"/>
  <c r="U10"/>
  <c r="U12"/>
  <c r="U20"/>
  <c r="U37"/>
  <c r="U16"/>
  <c r="U18"/>
  <c r="BB189" i="19" l="1"/>
  <c r="BB187"/>
  <c r="BC189"/>
  <c r="BC187"/>
  <c r="AA238"/>
  <c r="U215"/>
  <c r="BA187"/>
  <c r="BA189"/>
  <c r="AB157"/>
  <c r="AX216"/>
  <c r="AW216"/>
  <c r="AV216"/>
  <c r="AW188"/>
  <c r="AW190"/>
  <c r="K228"/>
  <c r="K224"/>
  <c r="C228"/>
  <c r="O231"/>
  <c r="K223"/>
  <c r="K227"/>
  <c r="K225"/>
  <c r="K226"/>
  <c r="N230"/>
  <c r="K230"/>
  <c r="L248"/>
  <c r="V232"/>
  <c r="V228"/>
  <c r="AE225"/>
  <c r="T224"/>
  <c r="S217"/>
  <c r="AE230"/>
  <c r="AB226"/>
  <c r="AD226" s="1"/>
  <c r="R238"/>
  <c r="AB230"/>
  <c r="X228"/>
  <c r="Z228" s="1"/>
  <c r="U227"/>
  <c r="T226"/>
  <c r="V224"/>
  <c r="W238"/>
  <c r="AD232"/>
  <c r="AE228"/>
  <c r="V227"/>
  <c r="W224"/>
  <c r="R230"/>
  <c r="V226"/>
  <c r="X224"/>
  <c r="Z224" s="1"/>
  <c r="S218"/>
  <c r="W228"/>
  <c r="T227"/>
  <c r="AE224"/>
  <c r="AB215"/>
  <c r="X226"/>
  <c r="Z226" s="1"/>
  <c r="R225"/>
  <c r="AB216"/>
  <c r="BB215" s="1"/>
  <c r="V234"/>
  <c r="U230"/>
  <c r="U226"/>
  <c r="AB224"/>
  <c r="AD224" s="1"/>
  <c r="T223"/>
  <c r="AD233"/>
  <c r="V230"/>
  <c r="W227"/>
  <c r="U223"/>
  <c r="V214"/>
  <c r="V233"/>
  <c r="AB228"/>
  <c r="AD228" s="1"/>
  <c r="X227"/>
  <c r="Z227" s="1"/>
  <c r="V225"/>
  <c r="V223"/>
  <c r="AC234"/>
  <c r="T230"/>
  <c r="AE227"/>
  <c r="W225"/>
  <c r="W223"/>
  <c r="Y230"/>
  <c r="U228"/>
  <c r="T225"/>
  <c r="X223"/>
  <c r="Z223" s="1"/>
  <c r="Z230"/>
  <c r="AB227"/>
  <c r="AD227" s="1"/>
  <c r="U225"/>
  <c r="AE223"/>
  <c r="S216"/>
  <c r="W230"/>
  <c r="W226"/>
  <c r="U224"/>
  <c r="X230"/>
  <c r="T228"/>
  <c r="AB225"/>
  <c r="AD225" s="1"/>
  <c r="AB223"/>
  <c r="AD223" s="1"/>
  <c r="AC230"/>
  <c r="AE226"/>
  <c r="X225"/>
  <c r="Z225" s="1"/>
  <c r="C230"/>
  <c r="Q4" i="9"/>
  <c r="P4" i="8"/>
  <c r="O4" i="9"/>
  <c r="O4" i="8"/>
  <c r="K4" i="9"/>
  <c r="L4" i="8"/>
  <c r="M5" i="9"/>
  <c r="L5"/>
  <c r="K5"/>
  <c r="L6"/>
  <c r="M6"/>
  <c r="GK8"/>
  <c r="T25" i="19" s="1"/>
  <c r="GK9" i="9"/>
  <c r="D55" i="19" s="1"/>
  <c r="GK10" i="9"/>
  <c r="T55" i="19" s="1"/>
  <c r="GK11" i="9"/>
  <c r="D85" i="19" s="1"/>
  <c r="GK12" i="9"/>
  <c r="T85" i="19" s="1"/>
  <c r="GK13" i="9"/>
  <c r="GK14"/>
  <c r="T115" i="19" s="1"/>
  <c r="GK15" i="9"/>
  <c r="D145" i="19" s="1"/>
  <c r="GK16" i="9"/>
  <c r="T145" i="19" s="1"/>
  <c r="GK17" i="9"/>
  <c r="D175" i="19" s="1"/>
  <c r="EX22" i="9"/>
  <c r="EX23"/>
  <c r="EX24"/>
  <c r="EX25"/>
  <c r="EX26"/>
  <c r="EX27"/>
  <c r="EX28"/>
  <c r="EX29"/>
  <c r="EX30"/>
  <c r="EX31"/>
  <c r="EX32"/>
  <c r="EX33"/>
  <c r="EX34"/>
  <c r="EX35"/>
  <c r="EX36"/>
  <c r="EX37"/>
  <c r="EX38"/>
  <c r="GK38"/>
  <c r="EX39"/>
  <c r="GK39"/>
  <c r="EX40"/>
  <c r="GK40"/>
  <c r="EX41"/>
  <c r="GK41"/>
  <c r="EX42"/>
  <c r="GK42"/>
  <c r="EX43"/>
  <c r="GK43"/>
  <c r="EX44"/>
  <c r="GK44"/>
  <c r="EX45"/>
  <c r="GK45"/>
  <c r="EX46"/>
  <c r="GK46"/>
  <c r="EX47"/>
  <c r="GK47"/>
  <c r="EX48"/>
  <c r="GK48"/>
  <c r="EX49"/>
  <c r="GK49"/>
  <c r="EX50"/>
  <c r="GK50"/>
  <c r="EX51"/>
  <c r="GK51"/>
  <c r="EX52"/>
  <c r="GK52"/>
  <c r="EX53"/>
  <c r="GK53"/>
  <c r="EX54"/>
  <c r="GK54"/>
  <c r="EX55"/>
  <c r="GK55"/>
  <c r="EX56"/>
  <c r="GK56"/>
  <c r="EX57"/>
  <c r="GK57"/>
  <c r="EX58"/>
  <c r="GK58"/>
  <c r="EX59"/>
  <c r="GK59"/>
  <c r="EX60"/>
  <c r="GK60"/>
  <c r="EX61"/>
  <c r="GK61"/>
  <c r="EX62"/>
  <c r="GK62"/>
  <c r="EX63"/>
  <c r="GK63"/>
  <c r="EX64"/>
  <c r="GK64"/>
  <c r="EX65"/>
  <c r="GK65"/>
  <c r="EX66"/>
  <c r="GK66"/>
  <c r="EX67"/>
  <c r="GK67"/>
  <c r="EX68"/>
  <c r="GK68"/>
  <c r="EX69"/>
  <c r="GK69"/>
  <c r="EX70"/>
  <c r="GK70"/>
  <c r="EX71"/>
  <c r="GK71"/>
  <c r="EX72"/>
  <c r="GK72"/>
  <c r="EX73"/>
  <c r="GK73"/>
  <c r="EX74"/>
  <c r="GK74"/>
  <c r="EX75"/>
  <c r="GK75"/>
  <c r="EX76"/>
  <c r="GK76"/>
  <c r="EX77"/>
  <c r="GK77"/>
  <c r="EX78"/>
  <c r="GK78"/>
  <c r="EX79"/>
  <c r="GK79"/>
  <c r="EX80"/>
  <c r="GK80"/>
  <c r="EX81"/>
  <c r="GK81"/>
  <c r="EX82"/>
  <c r="GK82"/>
  <c r="EX83"/>
  <c r="GK83"/>
  <c r="EX84"/>
  <c r="GK84"/>
  <c r="EX85"/>
  <c r="GK85"/>
  <c r="EX86"/>
  <c r="GK86"/>
  <c r="EX87"/>
  <c r="GK87"/>
  <c r="EX88"/>
  <c r="GK88"/>
  <c r="EX89"/>
  <c r="GK89"/>
  <c r="EX90"/>
  <c r="GK90"/>
  <c r="EX91"/>
  <c r="GK91"/>
  <c r="EX92"/>
  <c r="GK92"/>
  <c r="EX93"/>
  <c r="GK93"/>
  <c r="EX94"/>
  <c r="GK94"/>
  <c r="EX95"/>
  <c r="GK95"/>
  <c r="EX96"/>
  <c r="GK96"/>
  <c r="EX97"/>
  <c r="GK97"/>
  <c r="EX98"/>
  <c r="GK98"/>
  <c r="EX99"/>
  <c r="GK99"/>
  <c r="EX100"/>
  <c r="GK100"/>
  <c r="EX101"/>
  <c r="GK101"/>
  <c r="EX102"/>
  <c r="GK102"/>
  <c r="EX103"/>
  <c r="GK103"/>
  <c r="EX104"/>
  <c r="GK104"/>
  <c r="EX105"/>
  <c r="GK105"/>
  <c r="EX106"/>
  <c r="GK106"/>
  <c r="EX107"/>
  <c r="GK107"/>
  <c r="EX108"/>
  <c r="GK108"/>
  <c r="EX109"/>
  <c r="GK109"/>
  <c r="EX110"/>
  <c r="GK110"/>
  <c r="EX111"/>
  <c r="GK111"/>
  <c r="EX112"/>
  <c r="GK112"/>
  <c r="EX113"/>
  <c r="GK113"/>
  <c r="EX114"/>
  <c r="GK114"/>
  <c r="EX115"/>
  <c r="GK115"/>
  <c r="EX116"/>
  <c r="GK116"/>
  <c r="EX117"/>
  <c r="GK117"/>
  <c r="EX118"/>
  <c r="GK118"/>
  <c r="EX119"/>
  <c r="GK119"/>
  <c r="EX120"/>
  <c r="GK120"/>
  <c r="EX121"/>
  <c r="GK121"/>
  <c r="EX122"/>
  <c r="GK122"/>
  <c r="EX123"/>
  <c r="GK123"/>
  <c r="EX124"/>
  <c r="GK124"/>
  <c r="EX125"/>
  <c r="GK125"/>
  <c r="EX126"/>
  <c r="GK126"/>
  <c r="EX127"/>
  <c r="GK127"/>
  <c r="EX128"/>
  <c r="GK128"/>
  <c r="EX129"/>
  <c r="GK129"/>
  <c r="EX130"/>
  <c r="GK130"/>
  <c r="EX131"/>
  <c r="GK131"/>
  <c r="EX132"/>
  <c r="GK132"/>
  <c r="EX133"/>
  <c r="GK133"/>
  <c r="EX134"/>
  <c r="GK134"/>
  <c r="EX135"/>
  <c r="GK135"/>
  <c r="EX136"/>
  <c r="GK136"/>
  <c r="EX137"/>
  <c r="GK137"/>
  <c r="EX138"/>
  <c r="GK138"/>
  <c r="EX139"/>
  <c r="GK139"/>
  <c r="EX140"/>
  <c r="GK140"/>
  <c r="EX141"/>
  <c r="GK141"/>
  <c r="EX142"/>
  <c r="GK142"/>
  <c r="EX143"/>
  <c r="GK143"/>
  <c r="EX144"/>
  <c r="GK144"/>
  <c r="EX145"/>
  <c r="GK145"/>
  <c r="EX146"/>
  <c r="GK146"/>
  <c r="EX147"/>
  <c r="GK147"/>
  <c r="EX148"/>
  <c r="GK148"/>
  <c r="EX149"/>
  <c r="GK149"/>
  <c r="EX150"/>
  <c r="GK150"/>
  <c r="EX151"/>
  <c r="GK151"/>
  <c r="EX152"/>
  <c r="GK152"/>
  <c r="EX153"/>
  <c r="GK153"/>
  <c r="EX154"/>
  <c r="GK154"/>
  <c r="EX155"/>
  <c r="GK155"/>
  <c r="EX156"/>
  <c r="GK156"/>
  <c r="EX157"/>
  <c r="GK157"/>
  <c r="EX158"/>
  <c r="GK158"/>
  <c r="EX159"/>
  <c r="GK159"/>
  <c r="EX160"/>
  <c r="GK160"/>
  <c r="EX161"/>
  <c r="GK161"/>
  <c r="EX162"/>
  <c r="GK162"/>
  <c r="EX163"/>
  <c r="GK163"/>
  <c r="EX164"/>
  <c r="GK164"/>
  <c r="EX165"/>
  <c r="GK165"/>
  <c r="EX166"/>
  <c r="GK166"/>
  <c r="EX167"/>
  <c r="GK167"/>
  <c r="EX168"/>
  <c r="GK168"/>
  <c r="EX169"/>
  <c r="GK169"/>
  <c r="EX170"/>
  <c r="GK170"/>
  <c r="EX171"/>
  <c r="GK171"/>
  <c r="EX172"/>
  <c r="GK172"/>
  <c r="EX173"/>
  <c r="GK173"/>
  <c r="EX174"/>
  <c r="GK174"/>
  <c r="EX175"/>
  <c r="GK175"/>
  <c r="EX176"/>
  <c r="GK176"/>
  <c r="EX177"/>
  <c r="GK177"/>
  <c r="EX178"/>
  <c r="GK178"/>
  <c r="EX179"/>
  <c r="GK179"/>
  <c r="EX180"/>
  <c r="GK180"/>
  <c r="EX181"/>
  <c r="GK181"/>
  <c r="EX182"/>
  <c r="GK182"/>
  <c r="EX183"/>
  <c r="GK183"/>
  <c r="EX184"/>
  <c r="GK184"/>
  <c r="EX185"/>
  <c r="GK185"/>
  <c r="EX186"/>
  <c r="GK186"/>
  <c r="EX187"/>
  <c r="GK187"/>
  <c r="EX188"/>
  <c r="GK188"/>
  <c r="EX189"/>
  <c r="GK189"/>
  <c r="EX190"/>
  <c r="GK190"/>
  <c r="EX191"/>
  <c r="GK191"/>
  <c r="EX192"/>
  <c r="GK192"/>
  <c r="EX193"/>
  <c r="GK193"/>
  <c r="EX194"/>
  <c r="GK194"/>
  <c r="EX195"/>
  <c r="GK195"/>
  <c r="EX196"/>
  <c r="GK196"/>
  <c r="EX197"/>
  <c r="GK197"/>
  <c r="EX198"/>
  <c r="GK198"/>
  <c r="EX199"/>
  <c r="GK199"/>
  <c r="EX200"/>
  <c r="GK200"/>
  <c r="EX201"/>
  <c r="GK201"/>
  <c r="EX202"/>
  <c r="GK202"/>
  <c r="EX203"/>
  <c r="GK203"/>
  <c r="EX204"/>
  <c r="GK204"/>
  <c r="EX205"/>
  <c r="GK205"/>
  <c r="EX206"/>
  <c r="GK206"/>
  <c r="C7"/>
  <c r="B7"/>
  <c r="HV217" s="1"/>
  <c r="D4" i="8"/>
  <c r="C4" i="9" s="1"/>
  <c r="H3"/>
  <c r="G3" i="20" s="1"/>
  <c r="H3" i="8"/>
  <c r="A2" i="9"/>
  <c r="A1" i="8"/>
  <c r="BY4"/>
  <c r="BZ4"/>
  <c r="BW4"/>
  <c r="BV4"/>
  <c r="BU4"/>
  <c r="E245" i="19" l="1"/>
  <c r="K268"/>
  <c r="BB190"/>
  <c r="BB188"/>
  <c r="AB187" s="1"/>
  <c r="L187"/>
  <c r="AX217"/>
  <c r="AX219"/>
  <c r="AW217"/>
  <c r="AW219"/>
  <c r="AV217"/>
  <c r="AV219"/>
  <c r="BA216"/>
  <c r="BC216"/>
  <c r="BB216"/>
  <c r="AA225"/>
  <c r="L28" i="4"/>
  <c r="L28" i="18"/>
  <c r="D115" i="19"/>
  <c r="AA223"/>
  <c r="S228"/>
  <c r="AA230"/>
  <c r="AA226"/>
  <c r="AA224"/>
  <c r="AA227"/>
  <c r="AA228"/>
  <c r="AD230"/>
  <c r="AE231"/>
  <c r="G268"/>
  <c r="F244"/>
  <c r="L246"/>
  <c r="AW245" s="1"/>
  <c r="A241"/>
  <c r="A242" s="1"/>
  <c r="A243" s="1"/>
  <c r="A244" s="1"/>
  <c r="D253"/>
  <c r="O256"/>
  <c r="H260"/>
  <c r="AB248"/>
  <c r="B255"/>
  <c r="D256"/>
  <c r="E258"/>
  <c r="F262"/>
  <c r="F253"/>
  <c r="G256"/>
  <c r="H257"/>
  <c r="J257" s="1"/>
  <c r="F260"/>
  <c r="C246"/>
  <c r="O253"/>
  <c r="E255"/>
  <c r="G257"/>
  <c r="G258"/>
  <c r="M260"/>
  <c r="L254"/>
  <c r="N254" s="1"/>
  <c r="E256"/>
  <c r="D260"/>
  <c r="F263"/>
  <c r="B268"/>
  <c r="F254"/>
  <c r="O257"/>
  <c r="O260"/>
  <c r="C247"/>
  <c r="F255"/>
  <c r="D257"/>
  <c r="B260"/>
  <c r="F256"/>
  <c r="I260"/>
  <c r="G254"/>
  <c r="H255"/>
  <c r="J255" s="1"/>
  <c r="F258"/>
  <c r="L253"/>
  <c r="N253" s="1"/>
  <c r="L255"/>
  <c r="N255" s="1"/>
  <c r="E257"/>
  <c r="G260"/>
  <c r="N263"/>
  <c r="L245"/>
  <c r="O254"/>
  <c r="H258"/>
  <c r="J258" s="1"/>
  <c r="N262"/>
  <c r="E253"/>
  <c r="H254"/>
  <c r="J254" s="1"/>
  <c r="O255"/>
  <c r="E260"/>
  <c r="F264"/>
  <c r="H253"/>
  <c r="J253" s="1"/>
  <c r="D255"/>
  <c r="F257"/>
  <c r="L260"/>
  <c r="M264"/>
  <c r="G253"/>
  <c r="G255"/>
  <c r="H256"/>
  <c r="J256" s="1"/>
  <c r="O258"/>
  <c r="P262"/>
  <c r="A245"/>
  <c r="A246" s="1"/>
  <c r="A247" s="1"/>
  <c r="A248" s="1"/>
  <c r="A249" s="1"/>
  <c r="A250" s="1"/>
  <c r="A251" s="1"/>
  <c r="A252" s="1"/>
  <c r="A253" s="1"/>
  <c r="A254" s="1"/>
  <c r="A255" s="1"/>
  <c r="A256" s="1"/>
  <c r="A257" s="1"/>
  <c r="A258" s="1"/>
  <c r="A259" s="1"/>
  <c r="A260" s="1"/>
  <c r="A261" s="1"/>
  <c r="A262" s="1"/>
  <c r="A263" s="1"/>
  <c r="A264" s="1"/>
  <c r="A265" s="1"/>
  <c r="A266" s="1"/>
  <c r="A267" s="1"/>
  <c r="A268" s="1"/>
  <c r="A269" s="1"/>
  <c r="E254"/>
  <c r="L256"/>
  <c r="N256" s="1"/>
  <c r="D258"/>
  <c r="J260"/>
  <c r="C248"/>
  <c r="D254"/>
  <c r="L257"/>
  <c r="N257" s="1"/>
  <c r="L258"/>
  <c r="N258" s="1"/>
  <c r="S230"/>
  <c r="GL206" i="9"/>
  <c r="S203" i="11" s="1"/>
  <c r="GG206" i="9"/>
  <c r="FY206"/>
  <c r="GB206"/>
  <c r="GJ206"/>
  <c r="GG202"/>
  <c r="FY202"/>
  <c r="GL202"/>
  <c r="S199" i="11" s="1"/>
  <c r="GB202" i="9"/>
  <c r="GJ202"/>
  <c r="GL198"/>
  <c r="S195" i="11" s="1"/>
  <c r="GG198" i="9"/>
  <c r="FY198"/>
  <c r="GB198"/>
  <c r="GJ198"/>
  <c r="GG194"/>
  <c r="FY194"/>
  <c r="GL194"/>
  <c r="S191" i="11" s="1"/>
  <c r="GB194" i="9"/>
  <c r="GJ194"/>
  <c r="GL190"/>
  <c r="S187" i="11" s="1"/>
  <c r="GG190" i="9"/>
  <c r="FY190"/>
  <c r="GB190"/>
  <c r="GJ190"/>
  <c r="GG186"/>
  <c r="FY186"/>
  <c r="GL186"/>
  <c r="S183" i="11" s="1"/>
  <c r="GB186" i="9"/>
  <c r="GJ186"/>
  <c r="GL182"/>
  <c r="S179" i="11" s="1"/>
  <c r="GG182" i="9"/>
  <c r="FY182"/>
  <c r="GB182"/>
  <c r="GJ182"/>
  <c r="GG178"/>
  <c r="FY178"/>
  <c r="GL178"/>
  <c r="S175" i="11" s="1"/>
  <c r="GB178" i="9"/>
  <c r="GJ178"/>
  <c r="GL174"/>
  <c r="S171" i="11" s="1"/>
  <c r="GG174" i="9"/>
  <c r="FY174"/>
  <c r="GB174"/>
  <c r="GJ174"/>
  <c r="GG170"/>
  <c r="FY170"/>
  <c r="GL170"/>
  <c r="S167" i="11" s="1"/>
  <c r="GB170" i="9"/>
  <c r="GJ170"/>
  <c r="GL166"/>
  <c r="S163" i="11" s="1"/>
  <c r="GG166" i="9"/>
  <c r="FY166"/>
  <c r="GB166"/>
  <c r="GJ166"/>
  <c r="GG162"/>
  <c r="FY162"/>
  <c r="GL162"/>
  <c r="S159" i="11" s="1"/>
  <c r="GB162" i="9"/>
  <c r="GJ162"/>
  <c r="GG158"/>
  <c r="FY158"/>
  <c r="GL158"/>
  <c r="S155" i="11" s="1"/>
  <c r="GB158" i="9"/>
  <c r="GJ158"/>
  <c r="GL154"/>
  <c r="S151" i="11" s="1"/>
  <c r="GG154" i="9"/>
  <c r="FY154"/>
  <c r="GB154"/>
  <c r="GJ154"/>
  <c r="GL150"/>
  <c r="S147" i="11" s="1"/>
  <c r="GG150" i="9"/>
  <c r="FY150"/>
  <c r="GB150"/>
  <c r="GJ150"/>
  <c r="GG146"/>
  <c r="FY146"/>
  <c r="GL146"/>
  <c r="S143" i="11" s="1"/>
  <c r="GB146" i="9"/>
  <c r="GJ146"/>
  <c r="GG142"/>
  <c r="FY142"/>
  <c r="GL142"/>
  <c r="S139" i="11" s="1"/>
  <c r="GB142" i="9"/>
  <c r="GJ142"/>
  <c r="GL138"/>
  <c r="S135" i="11" s="1"/>
  <c r="GG138" i="9"/>
  <c r="FY138"/>
  <c r="GB138"/>
  <c r="GJ138"/>
  <c r="GL134"/>
  <c r="S131" i="11" s="1"/>
  <c r="GG134" i="9"/>
  <c r="FY134"/>
  <c r="GB134"/>
  <c r="GJ134"/>
  <c r="GG130"/>
  <c r="FY130"/>
  <c r="GL130"/>
  <c r="S127" i="11" s="1"/>
  <c r="GB130" i="9"/>
  <c r="GJ130"/>
  <c r="GG126"/>
  <c r="FY126"/>
  <c r="GL126"/>
  <c r="S123" i="11" s="1"/>
  <c r="GB126" i="9"/>
  <c r="GJ126"/>
  <c r="GL122"/>
  <c r="S119" i="11" s="1"/>
  <c r="GG122" i="9"/>
  <c r="FY122"/>
  <c r="GB122"/>
  <c r="GJ122"/>
  <c r="GL118"/>
  <c r="S115" i="11" s="1"/>
  <c r="GG118" i="9"/>
  <c r="FY118"/>
  <c r="GB118"/>
  <c r="GJ118"/>
  <c r="GG114"/>
  <c r="FY114"/>
  <c r="GL114"/>
  <c r="S111" i="11" s="1"/>
  <c r="GB114" i="9"/>
  <c r="GJ114"/>
  <c r="GG110"/>
  <c r="FY110"/>
  <c r="GL110"/>
  <c r="S107" i="11" s="1"/>
  <c r="GB110" i="9"/>
  <c r="GJ110"/>
  <c r="GL106"/>
  <c r="S103" i="11" s="1"/>
  <c r="GG106" i="9"/>
  <c r="FY106"/>
  <c r="GB106"/>
  <c r="GJ106"/>
  <c r="GL102"/>
  <c r="S99" i="11" s="1"/>
  <c r="GG102" i="9"/>
  <c r="FY102"/>
  <c r="GB102"/>
  <c r="GJ102"/>
  <c r="GG98"/>
  <c r="FY98"/>
  <c r="GL98"/>
  <c r="S95" i="11" s="1"/>
  <c r="GB98" i="9"/>
  <c r="GJ98"/>
  <c r="GG94"/>
  <c r="FY94"/>
  <c r="GL94"/>
  <c r="S91" i="11" s="1"/>
  <c r="GB94" i="9"/>
  <c r="GJ94"/>
  <c r="GL90"/>
  <c r="S87" i="11" s="1"/>
  <c r="GG90" i="9"/>
  <c r="FY90"/>
  <c r="GB90"/>
  <c r="GJ90"/>
  <c r="GL86"/>
  <c r="S83" i="11" s="1"/>
  <c r="GG86" i="9"/>
  <c r="FY86"/>
  <c r="GB86"/>
  <c r="GJ86"/>
  <c r="GG82"/>
  <c r="FY82"/>
  <c r="GL82"/>
  <c r="S79" i="11" s="1"/>
  <c r="GB82" i="9"/>
  <c r="GJ82"/>
  <c r="GG78"/>
  <c r="FY78"/>
  <c r="GL78"/>
  <c r="S75" i="11" s="1"/>
  <c r="GB78" i="9"/>
  <c r="GJ78"/>
  <c r="GL74"/>
  <c r="S71" i="11" s="1"/>
  <c r="GG74" i="9"/>
  <c r="FY74"/>
  <c r="GB74"/>
  <c r="GJ74"/>
  <c r="GL70"/>
  <c r="S67" i="11" s="1"/>
  <c r="GG70" i="9"/>
  <c r="FY70"/>
  <c r="GB70"/>
  <c r="GJ70"/>
  <c r="GG66"/>
  <c r="FY66"/>
  <c r="GL66"/>
  <c r="S63" i="11" s="1"/>
  <c r="GB66" i="9"/>
  <c r="GJ66"/>
  <c r="GG62"/>
  <c r="FY62"/>
  <c r="GL62"/>
  <c r="S59" i="11" s="1"/>
  <c r="GB62" i="9"/>
  <c r="GJ62"/>
  <c r="GL58"/>
  <c r="S55" i="11" s="1"/>
  <c r="GG58" i="9"/>
  <c r="FY58"/>
  <c r="GB58"/>
  <c r="GJ58"/>
  <c r="GL54"/>
  <c r="S51" i="11" s="1"/>
  <c r="GG54" i="9"/>
  <c r="FY54"/>
  <c r="GB54"/>
  <c r="GJ54"/>
  <c r="GG50"/>
  <c r="FY50"/>
  <c r="GL50"/>
  <c r="S47" i="11" s="1"/>
  <c r="GB50" i="9"/>
  <c r="GJ50"/>
  <c r="GG46"/>
  <c r="FY46"/>
  <c r="GL46"/>
  <c r="S43" i="11" s="1"/>
  <c r="GB46" i="9"/>
  <c r="GJ46"/>
  <c r="GL42"/>
  <c r="S39" i="11" s="1"/>
  <c r="GG42" i="9"/>
  <c r="FY42"/>
  <c r="GB42"/>
  <c r="GJ42"/>
  <c r="GL38"/>
  <c r="S35" i="11" s="1"/>
  <c r="GG38" i="9"/>
  <c r="FY38"/>
  <c r="GB38"/>
  <c r="GJ38"/>
  <c r="GG34"/>
  <c r="FY34"/>
  <c r="GB34"/>
  <c r="GJ34"/>
  <c r="GG30"/>
  <c r="FY30"/>
  <c r="GB30"/>
  <c r="GJ30"/>
  <c r="GG26"/>
  <c r="FY26"/>
  <c r="GB26"/>
  <c r="GJ26"/>
  <c r="GG22"/>
  <c r="FY22"/>
  <c r="GB22"/>
  <c r="GJ22"/>
  <c r="GB18"/>
  <c r="GL17"/>
  <c r="GB17"/>
  <c r="GL16"/>
  <c r="GB16"/>
  <c r="GL15"/>
  <c r="GB15"/>
  <c r="GL14"/>
  <c r="GB14"/>
  <c r="GL13"/>
  <c r="GB13"/>
  <c r="GL9"/>
  <c r="GB9"/>
  <c r="GM206"/>
  <c r="GM202"/>
  <c r="GM198"/>
  <c r="GM194"/>
  <c r="GM190"/>
  <c r="GM186"/>
  <c r="GM182"/>
  <c r="GM178"/>
  <c r="GM174"/>
  <c r="GM170"/>
  <c r="GM166"/>
  <c r="GM162"/>
  <c r="GM158"/>
  <c r="GM154"/>
  <c r="GM150"/>
  <c r="GM146"/>
  <c r="GM142"/>
  <c r="GM138"/>
  <c r="GM134"/>
  <c r="GM130"/>
  <c r="GM126"/>
  <c r="GM122"/>
  <c r="GM118"/>
  <c r="GM114"/>
  <c r="GM110"/>
  <c r="GM106"/>
  <c r="GM102"/>
  <c r="GM98"/>
  <c r="GM94"/>
  <c r="GM90"/>
  <c r="GM86"/>
  <c r="GM82"/>
  <c r="GM78"/>
  <c r="GM74"/>
  <c r="GM70"/>
  <c r="GM66"/>
  <c r="GM62"/>
  <c r="GM58"/>
  <c r="GM54"/>
  <c r="GM50"/>
  <c r="GM46"/>
  <c r="GM42"/>
  <c r="GM38"/>
  <c r="GG203"/>
  <c r="FY203"/>
  <c r="GL203"/>
  <c r="S200" i="11" s="1"/>
  <c r="GB203" i="9"/>
  <c r="GJ203"/>
  <c r="GG199"/>
  <c r="FY199"/>
  <c r="GL199"/>
  <c r="S196" i="11" s="1"/>
  <c r="GB199" i="9"/>
  <c r="GJ199"/>
  <c r="GG195"/>
  <c r="FY195"/>
  <c r="GL195"/>
  <c r="S192" i="11" s="1"/>
  <c r="GB195" i="9"/>
  <c r="GJ195"/>
  <c r="GG191"/>
  <c r="FY191"/>
  <c r="GL191"/>
  <c r="S188" i="11" s="1"/>
  <c r="GB191" i="9"/>
  <c r="GJ191"/>
  <c r="GG187"/>
  <c r="FY187"/>
  <c r="GL187"/>
  <c r="S184" i="11" s="1"/>
  <c r="GB187" i="9"/>
  <c r="GJ187"/>
  <c r="GG183"/>
  <c r="FY183"/>
  <c r="GL183"/>
  <c r="S180" i="11" s="1"/>
  <c r="GB183" i="9"/>
  <c r="GJ183"/>
  <c r="GG179"/>
  <c r="FY179"/>
  <c r="GL179"/>
  <c r="S176" i="11" s="1"/>
  <c r="GB179" i="9"/>
  <c r="GJ179"/>
  <c r="GG175"/>
  <c r="FY175"/>
  <c r="GL175"/>
  <c r="S172" i="11" s="1"/>
  <c r="GB175" i="9"/>
  <c r="GJ175"/>
  <c r="GG171"/>
  <c r="FY171"/>
  <c r="GL171"/>
  <c r="S168" i="11" s="1"/>
  <c r="GB171" i="9"/>
  <c r="GJ171"/>
  <c r="GG167"/>
  <c r="FY167"/>
  <c r="GL167"/>
  <c r="S164" i="11" s="1"/>
  <c r="GB167" i="9"/>
  <c r="GJ167"/>
  <c r="GG163"/>
  <c r="FY163"/>
  <c r="GL163"/>
  <c r="S160" i="11" s="1"/>
  <c r="GB163" i="9"/>
  <c r="GJ163"/>
  <c r="GL159"/>
  <c r="S156" i="11" s="1"/>
  <c r="GG159" i="9"/>
  <c r="FY159"/>
  <c r="GB159"/>
  <c r="GJ159"/>
  <c r="GG155"/>
  <c r="FY155"/>
  <c r="GL155"/>
  <c r="S152" i="11" s="1"/>
  <c r="GB155" i="9"/>
  <c r="GJ155"/>
  <c r="GG151"/>
  <c r="FY151"/>
  <c r="GL151"/>
  <c r="S148" i="11" s="1"/>
  <c r="GB151" i="9"/>
  <c r="GJ151"/>
  <c r="GG147"/>
  <c r="FY147"/>
  <c r="GL147"/>
  <c r="S144" i="11" s="1"/>
  <c r="GB147" i="9"/>
  <c r="GJ147"/>
  <c r="GL143"/>
  <c r="S140" i="11" s="1"/>
  <c r="GG143" i="9"/>
  <c r="FY143"/>
  <c r="GB143"/>
  <c r="GJ143"/>
  <c r="GG139"/>
  <c r="FY139"/>
  <c r="GL139"/>
  <c r="S136" i="11" s="1"/>
  <c r="GB139" i="9"/>
  <c r="GJ139"/>
  <c r="GG135"/>
  <c r="FY135"/>
  <c r="GL135"/>
  <c r="S132" i="11" s="1"/>
  <c r="GB135" i="9"/>
  <c r="GJ135"/>
  <c r="GG131"/>
  <c r="FY131"/>
  <c r="GL131"/>
  <c r="S128" i="11" s="1"/>
  <c r="GB131" i="9"/>
  <c r="GJ131"/>
  <c r="GL127"/>
  <c r="S124" i="11" s="1"/>
  <c r="GG127" i="9"/>
  <c r="FY127"/>
  <c r="GB127"/>
  <c r="GJ127"/>
  <c r="GG123"/>
  <c r="FY123"/>
  <c r="GL123"/>
  <c r="S120" i="11" s="1"/>
  <c r="GB123" i="9"/>
  <c r="GJ123"/>
  <c r="GG119"/>
  <c r="FY119"/>
  <c r="GL119"/>
  <c r="S116" i="11" s="1"/>
  <c r="GB119" i="9"/>
  <c r="GJ119"/>
  <c r="GG115"/>
  <c r="FY115"/>
  <c r="GL115"/>
  <c r="S112" i="11" s="1"/>
  <c r="GB115" i="9"/>
  <c r="GJ115"/>
  <c r="GL111"/>
  <c r="GG111"/>
  <c r="FY111"/>
  <c r="GB111"/>
  <c r="GJ111"/>
  <c r="GG107"/>
  <c r="FY107"/>
  <c r="GL107"/>
  <c r="S104" i="11" s="1"/>
  <c r="GB107" i="9"/>
  <c r="GJ107"/>
  <c r="GG103"/>
  <c r="FY103"/>
  <c r="GL103"/>
  <c r="S100" i="11" s="1"/>
  <c r="GB103" i="9"/>
  <c r="GJ103"/>
  <c r="GG99"/>
  <c r="FY99"/>
  <c r="GL99"/>
  <c r="S96" i="11" s="1"/>
  <c r="GB99" i="9"/>
  <c r="GJ99"/>
  <c r="GL95"/>
  <c r="S92" i="11" s="1"/>
  <c r="GG95" i="9"/>
  <c r="FY95"/>
  <c r="GB95"/>
  <c r="GJ95"/>
  <c r="GG91"/>
  <c r="FY91"/>
  <c r="GL91"/>
  <c r="S88" i="11" s="1"/>
  <c r="GB91" i="9"/>
  <c r="GJ91"/>
  <c r="GG87"/>
  <c r="FY87"/>
  <c r="GL87"/>
  <c r="S84" i="11" s="1"/>
  <c r="GB87" i="9"/>
  <c r="GJ87"/>
  <c r="GG83"/>
  <c r="FY83"/>
  <c r="GL83"/>
  <c r="S80" i="11" s="1"/>
  <c r="GB83" i="9"/>
  <c r="GJ83"/>
  <c r="GL79"/>
  <c r="S76" i="11" s="1"/>
  <c r="GG79" i="9"/>
  <c r="FY79"/>
  <c r="GB79"/>
  <c r="GJ79"/>
  <c r="GG75"/>
  <c r="FY75"/>
  <c r="GL75"/>
  <c r="GB75"/>
  <c r="GJ75"/>
  <c r="GG71"/>
  <c r="FY71"/>
  <c r="GL71"/>
  <c r="S68" i="11" s="1"/>
  <c r="GB71" i="9"/>
  <c r="GJ71"/>
  <c r="GG67"/>
  <c r="FY67"/>
  <c r="GL67"/>
  <c r="S64" i="11" s="1"/>
  <c r="GB67" i="9"/>
  <c r="GJ67"/>
  <c r="GL63"/>
  <c r="S60" i="11" s="1"/>
  <c r="GG63" i="9"/>
  <c r="FY63"/>
  <c r="GB63"/>
  <c r="GJ63"/>
  <c r="GG59"/>
  <c r="FY59"/>
  <c r="GL59"/>
  <c r="S56" i="11" s="1"/>
  <c r="GB59" i="9"/>
  <c r="GJ59"/>
  <c r="GG55"/>
  <c r="FY55"/>
  <c r="GL55"/>
  <c r="S52" i="11" s="1"/>
  <c r="GB55" i="9"/>
  <c r="GJ55"/>
  <c r="GG51"/>
  <c r="FY51"/>
  <c r="GL51"/>
  <c r="S48" i="11" s="1"/>
  <c r="GB51" i="9"/>
  <c r="GJ51"/>
  <c r="GL47"/>
  <c r="S44" i="11" s="1"/>
  <c r="GG47" i="9"/>
  <c r="FY47"/>
  <c r="GB47"/>
  <c r="GJ47"/>
  <c r="GG43"/>
  <c r="FY43"/>
  <c r="GL43"/>
  <c r="S40" i="11" s="1"/>
  <c r="GB43" i="9"/>
  <c r="GJ43"/>
  <c r="GG39"/>
  <c r="FY39"/>
  <c r="GL39"/>
  <c r="S36" i="11" s="1"/>
  <c r="GB39" i="9"/>
  <c r="GJ39"/>
  <c r="GG37"/>
  <c r="FY37"/>
  <c r="GB37"/>
  <c r="GJ37"/>
  <c r="GG33"/>
  <c r="FY33"/>
  <c r="GB33"/>
  <c r="GJ33"/>
  <c r="GG29"/>
  <c r="FY29"/>
  <c r="GB29"/>
  <c r="GJ29"/>
  <c r="GG25"/>
  <c r="FY25"/>
  <c r="GB25"/>
  <c r="GJ25"/>
  <c r="GB21"/>
  <c r="GL10"/>
  <c r="GB10"/>
  <c r="GM203"/>
  <c r="GM199"/>
  <c r="GM195"/>
  <c r="GM191"/>
  <c r="GM187"/>
  <c r="GM183"/>
  <c r="GM179"/>
  <c r="GM175"/>
  <c r="GM171"/>
  <c r="GM167"/>
  <c r="GM163"/>
  <c r="GM159"/>
  <c r="GM155"/>
  <c r="GM151"/>
  <c r="GM147"/>
  <c r="GM143"/>
  <c r="GM139"/>
  <c r="GM135"/>
  <c r="GM131"/>
  <c r="GM127"/>
  <c r="GM123"/>
  <c r="GM119"/>
  <c r="GM115"/>
  <c r="GM107"/>
  <c r="GM103"/>
  <c r="GM99"/>
  <c r="GM95"/>
  <c r="GM91"/>
  <c r="GM87"/>
  <c r="GM83"/>
  <c r="GM79"/>
  <c r="GM71"/>
  <c r="GM67"/>
  <c r="GM63"/>
  <c r="GM59"/>
  <c r="GM55"/>
  <c r="GM51"/>
  <c r="GM47"/>
  <c r="GM43"/>
  <c r="GM39"/>
  <c r="GL204"/>
  <c r="S201" i="11" s="1"/>
  <c r="GG204" i="9"/>
  <c r="FY204"/>
  <c r="GB204"/>
  <c r="GJ204"/>
  <c r="GL200"/>
  <c r="S197" i="11" s="1"/>
  <c r="GG200" i="9"/>
  <c r="FY200"/>
  <c r="GB200"/>
  <c r="GJ200"/>
  <c r="GL196"/>
  <c r="S193" i="11" s="1"/>
  <c r="GG196" i="9"/>
  <c r="FY196"/>
  <c r="GB196"/>
  <c r="GJ196"/>
  <c r="GL192"/>
  <c r="S189" i="11" s="1"/>
  <c r="GG192" i="9"/>
  <c r="FY192"/>
  <c r="GB192"/>
  <c r="GJ192"/>
  <c r="GL188"/>
  <c r="S185" i="11" s="1"/>
  <c r="GG188" i="9"/>
  <c r="FY188"/>
  <c r="GB188"/>
  <c r="GJ188"/>
  <c r="GL184"/>
  <c r="S181" i="11" s="1"/>
  <c r="GG184" i="9"/>
  <c r="FY184"/>
  <c r="GB184"/>
  <c r="GJ184"/>
  <c r="GL180"/>
  <c r="S177" i="11" s="1"/>
  <c r="GG180" i="9"/>
  <c r="FY180"/>
  <c r="GB180"/>
  <c r="GJ180"/>
  <c r="GL176"/>
  <c r="S173" i="11" s="1"/>
  <c r="GG176" i="9"/>
  <c r="FY176"/>
  <c r="GB176"/>
  <c r="GJ176"/>
  <c r="GL172"/>
  <c r="S169" i="11" s="1"/>
  <c r="GG172" i="9"/>
  <c r="FY172"/>
  <c r="GB172"/>
  <c r="GJ172"/>
  <c r="GL168"/>
  <c r="S165" i="11" s="1"/>
  <c r="GG168" i="9"/>
  <c r="FY168"/>
  <c r="GB168"/>
  <c r="GJ168"/>
  <c r="GL164"/>
  <c r="S161" i="11" s="1"/>
  <c r="GG164" i="9"/>
  <c r="FY164"/>
  <c r="GB164"/>
  <c r="GJ164"/>
  <c r="GL160"/>
  <c r="S157" i="11" s="1"/>
  <c r="GG160" i="9"/>
  <c r="FY160"/>
  <c r="GB160"/>
  <c r="GJ160"/>
  <c r="GL156"/>
  <c r="S153" i="11" s="1"/>
  <c r="GG156" i="9"/>
  <c r="FY156"/>
  <c r="GB156"/>
  <c r="GJ156"/>
  <c r="GL152"/>
  <c r="S149" i="11" s="1"/>
  <c r="GG152" i="9"/>
  <c r="FY152"/>
  <c r="GB152"/>
  <c r="GJ152"/>
  <c r="GL148"/>
  <c r="S145" i="11" s="1"/>
  <c r="GG148" i="9"/>
  <c r="FY148"/>
  <c r="GB148"/>
  <c r="GJ148"/>
  <c r="GL144"/>
  <c r="S141" i="11" s="1"/>
  <c r="GG144" i="9"/>
  <c r="FY144"/>
  <c r="GB144"/>
  <c r="GJ144"/>
  <c r="GL140"/>
  <c r="S137" i="11" s="1"/>
  <c r="GG140" i="9"/>
  <c r="FY140"/>
  <c r="GJ140"/>
  <c r="GB140"/>
  <c r="GL136"/>
  <c r="S133" i="11" s="1"/>
  <c r="GG136" i="9"/>
  <c r="FY136"/>
  <c r="GJ136"/>
  <c r="GB136"/>
  <c r="GL132"/>
  <c r="S129" i="11" s="1"/>
  <c r="GG132" i="9"/>
  <c r="FY132"/>
  <c r="GB132"/>
  <c r="GJ132"/>
  <c r="GL128"/>
  <c r="S125" i="11" s="1"/>
  <c r="GG128" i="9"/>
  <c r="FY128"/>
  <c r="GB128"/>
  <c r="GJ128"/>
  <c r="GL124"/>
  <c r="S121" i="11" s="1"/>
  <c r="GG124" i="9"/>
  <c r="FY124"/>
  <c r="GB124"/>
  <c r="GJ124"/>
  <c r="GL120"/>
  <c r="S117" i="11" s="1"/>
  <c r="GG120" i="9"/>
  <c r="FY120"/>
  <c r="GB120"/>
  <c r="GJ120"/>
  <c r="GL116"/>
  <c r="S113" i="11" s="1"/>
  <c r="GG116" i="9"/>
  <c r="FY116"/>
  <c r="GB116"/>
  <c r="GJ116"/>
  <c r="GL112"/>
  <c r="S109" i="11" s="1"/>
  <c r="GG112" i="9"/>
  <c r="FY112"/>
  <c r="GB112"/>
  <c r="GJ112"/>
  <c r="GL108"/>
  <c r="S105" i="11" s="1"/>
  <c r="GG108" i="9"/>
  <c r="FY108"/>
  <c r="GB108"/>
  <c r="GJ108"/>
  <c r="GL104"/>
  <c r="S101" i="11" s="1"/>
  <c r="GG104" i="9"/>
  <c r="FY104"/>
  <c r="GB104"/>
  <c r="GJ104"/>
  <c r="GL100"/>
  <c r="S97" i="11" s="1"/>
  <c r="GG100" i="9"/>
  <c r="FY100"/>
  <c r="GB100"/>
  <c r="GJ100"/>
  <c r="GL96"/>
  <c r="S93" i="11" s="1"/>
  <c r="GG96" i="9"/>
  <c r="FY96"/>
  <c r="GB96"/>
  <c r="GJ96"/>
  <c r="GL92"/>
  <c r="S89" i="11" s="1"/>
  <c r="GG92" i="9"/>
  <c r="FY92"/>
  <c r="GB92"/>
  <c r="GJ92"/>
  <c r="GL88"/>
  <c r="S85" i="11" s="1"/>
  <c r="GG88" i="9"/>
  <c r="FY88"/>
  <c r="GB88"/>
  <c r="GJ88"/>
  <c r="GL84"/>
  <c r="S81" i="11" s="1"/>
  <c r="GG84" i="9"/>
  <c r="FY84"/>
  <c r="GB84"/>
  <c r="GJ84"/>
  <c r="GL80"/>
  <c r="S77" i="11" s="1"/>
  <c r="GG80" i="9"/>
  <c r="FY80"/>
  <c r="GB80"/>
  <c r="GJ80"/>
  <c r="GL76"/>
  <c r="S73" i="11" s="1"/>
  <c r="GG76" i="9"/>
  <c r="FY76"/>
  <c r="GB76"/>
  <c r="GJ76"/>
  <c r="GL72"/>
  <c r="S69" i="11" s="1"/>
  <c r="GG72" i="9"/>
  <c r="FY72"/>
  <c r="GB72"/>
  <c r="GJ72"/>
  <c r="GL68"/>
  <c r="S65" i="11" s="1"/>
  <c r="GG68" i="9"/>
  <c r="FY68"/>
  <c r="GB68"/>
  <c r="GJ68"/>
  <c r="GL64"/>
  <c r="S61" i="11" s="1"/>
  <c r="GG64" i="9"/>
  <c r="FY64"/>
  <c r="GB64"/>
  <c r="GJ64"/>
  <c r="GL60"/>
  <c r="S57" i="11" s="1"/>
  <c r="GG60" i="9"/>
  <c r="FY60"/>
  <c r="GB60"/>
  <c r="GJ60"/>
  <c r="GL56"/>
  <c r="S53" i="11" s="1"/>
  <c r="GG56" i="9"/>
  <c r="FY56"/>
  <c r="GB56"/>
  <c r="GJ56"/>
  <c r="GL52"/>
  <c r="S49" i="11" s="1"/>
  <c r="GG52" i="9"/>
  <c r="FY52"/>
  <c r="GB52"/>
  <c r="GJ52"/>
  <c r="GL48"/>
  <c r="S45" i="11" s="1"/>
  <c r="GG48" i="9"/>
  <c r="FY48"/>
  <c r="GB48"/>
  <c r="GJ48"/>
  <c r="GL44"/>
  <c r="S41" i="11" s="1"/>
  <c r="GG44" i="9"/>
  <c r="FY44"/>
  <c r="GB44"/>
  <c r="GJ44"/>
  <c r="GL40"/>
  <c r="S37" i="11" s="1"/>
  <c r="GG40" i="9"/>
  <c r="FY40"/>
  <c r="GB40"/>
  <c r="GJ40"/>
  <c r="GG36"/>
  <c r="FY36"/>
  <c r="GB36"/>
  <c r="GJ36"/>
  <c r="GG32"/>
  <c r="FY32"/>
  <c r="GB32"/>
  <c r="GJ32"/>
  <c r="GG28"/>
  <c r="FY28"/>
  <c r="GB28"/>
  <c r="GJ28"/>
  <c r="GG24"/>
  <c r="FY24"/>
  <c r="GB24"/>
  <c r="GJ24"/>
  <c r="GB20"/>
  <c r="GL11"/>
  <c r="GB11"/>
  <c r="GM204"/>
  <c r="GM200"/>
  <c r="GM196"/>
  <c r="GM192"/>
  <c r="GM188"/>
  <c r="GM184"/>
  <c r="GM180"/>
  <c r="GM176"/>
  <c r="GM172"/>
  <c r="GM168"/>
  <c r="GM164"/>
  <c r="GM160"/>
  <c r="GM156"/>
  <c r="GM152"/>
  <c r="GM148"/>
  <c r="GM144"/>
  <c r="GM140"/>
  <c r="GM136"/>
  <c r="GM132"/>
  <c r="GM128"/>
  <c r="GM124"/>
  <c r="GM120"/>
  <c r="GM112"/>
  <c r="GM108"/>
  <c r="GM104"/>
  <c r="GM96"/>
  <c r="GM92"/>
  <c r="GM88"/>
  <c r="GM80"/>
  <c r="GM76"/>
  <c r="GM72"/>
  <c r="GM64"/>
  <c r="GM60"/>
  <c r="GM56"/>
  <c r="GM48"/>
  <c r="GM44"/>
  <c r="GM40"/>
  <c r="GM11"/>
  <c r="GL205"/>
  <c r="S202" i="11" s="1"/>
  <c r="GG205" i="9"/>
  <c r="FY205"/>
  <c r="GB205"/>
  <c r="GJ205"/>
  <c r="GL201"/>
  <c r="S198" i="11" s="1"/>
  <c r="GG201" i="9"/>
  <c r="FY201"/>
  <c r="GB201"/>
  <c r="GJ201"/>
  <c r="GL197"/>
  <c r="S194" i="11" s="1"/>
  <c r="GG197" i="9"/>
  <c r="FY197"/>
  <c r="GB197"/>
  <c r="GJ197"/>
  <c r="GL193"/>
  <c r="S190" i="11" s="1"/>
  <c r="GG193" i="9"/>
  <c r="FY193"/>
  <c r="GB193"/>
  <c r="GJ193"/>
  <c r="GL189"/>
  <c r="S186" i="11" s="1"/>
  <c r="GG189" i="9"/>
  <c r="FY189"/>
  <c r="GB189"/>
  <c r="GJ189"/>
  <c r="GL185"/>
  <c r="S182" i="11" s="1"/>
  <c r="GG185" i="9"/>
  <c r="FY185"/>
  <c r="GB185"/>
  <c r="GJ185"/>
  <c r="GL181"/>
  <c r="S178" i="11" s="1"/>
  <c r="GG181" i="9"/>
  <c r="FY181"/>
  <c r="GB181"/>
  <c r="GJ181"/>
  <c r="GL177"/>
  <c r="S174" i="11" s="1"/>
  <c r="GG177" i="9"/>
  <c r="FY177"/>
  <c r="GB177"/>
  <c r="GJ177"/>
  <c r="GL173"/>
  <c r="S170" i="11" s="1"/>
  <c r="GG173" i="9"/>
  <c r="FY173"/>
  <c r="GB173"/>
  <c r="GJ173"/>
  <c r="GL169"/>
  <c r="S166" i="11" s="1"/>
  <c r="GG169" i="9"/>
  <c r="FY169"/>
  <c r="GB169"/>
  <c r="GJ169"/>
  <c r="GL165"/>
  <c r="S162" i="11" s="1"/>
  <c r="GG165" i="9"/>
  <c r="FY165"/>
  <c r="GB165"/>
  <c r="GJ165"/>
  <c r="GL161"/>
  <c r="S158" i="11" s="1"/>
  <c r="GG161" i="9"/>
  <c r="FY161"/>
  <c r="GB161"/>
  <c r="GJ161"/>
  <c r="GL157"/>
  <c r="S154" i="11" s="1"/>
  <c r="GG157" i="9"/>
  <c r="FY157"/>
  <c r="GB157"/>
  <c r="GJ157"/>
  <c r="GL153"/>
  <c r="S150" i="11" s="1"/>
  <c r="GG153" i="9"/>
  <c r="FY153"/>
  <c r="GB153"/>
  <c r="GJ153"/>
  <c r="GG149"/>
  <c r="FY149"/>
  <c r="GL149"/>
  <c r="S146" i="11" s="1"/>
  <c r="GB149" i="9"/>
  <c r="GJ149"/>
  <c r="GL145"/>
  <c r="S142" i="11" s="1"/>
  <c r="GG145" i="9"/>
  <c r="FY145"/>
  <c r="GB145"/>
  <c r="GJ145"/>
  <c r="GL141"/>
  <c r="GG141"/>
  <c r="FY141"/>
  <c r="GJ141"/>
  <c r="GB141"/>
  <c r="GL137"/>
  <c r="GG137"/>
  <c r="FY137"/>
  <c r="GJ137"/>
  <c r="GB137"/>
  <c r="GG133"/>
  <c r="FY133"/>
  <c r="GL133"/>
  <c r="GB133"/>
  <c r="GJ133"/>
  <c r="GL129"/>
  <c r="GG129"/>
  <c r="FY129"/>
  <c r="GB129"/>
  <c r="GJ129"/>
  <c r="GL125"/>
  <c r="GG125"/>
  <c r="FY125"/>
  <c r="GB125"/>
  <c r="GJ125"/>
  <c r="GL121"/>
  <c r="S118" i="11" s="1"/>
  <c r="GG121" i="9"/>
  <c r="FY121"/>
  <c r="GB121"/>
  <c r="GJ121"/>
  <c r="GG117"/>
  <c r="FY117"/>
  <c r="GL117"/>
  <c r="S114" i="11" s="1"/>
  <c r="GB117" i="9"/>
  <c r="GJ117"/>
  <c r="GL113"/>
  <c r="S110" i="11" s="1"/>
  <c r="GG113" i="9"/>
  <c r="FY113"/>
  <c r="GB113"/>
  <c r="GJ113"/>
  <c r="GL109"/>
  <c r="GG109"/>
  <c r="FY109"/>
  <c r="GB109"/>
  <c r="GJ109"/>
  <c r="GL105"/>
  <c r="GG105"/>
  <c r="FY105"/>
  <c r="GB105"/>
  <c r="GJ105"/>
  <c r="GG101"/>
  <c r="FY101"/>
  <c r="GL101"/>
  <c r="GB101"/>
  <c r="GJ101"/>
  <c r="GL97"/>
  <c r="S94" i="11" s="1"/>
  <c r="GG97" i="9"/>
  <c r="FY97"/>
  <c r="GB97"/>
  <c r="GJ97"/>
  <c r="GL93"/>
  <c r="GG93"/>
  <c r="FY93"/>
  <c r="GB93"/>
  <c r="GJ93"/>
  <c r="GL89"/>
  <c r="GG89"/>
  <c r="FY89"/>
  <c r="GB89"/>
  <c r="GJ89"/>
  <c r="GG85"/>
  <c r="FY85"/>
  <c r="GL85"/>
  <c r="S82" i="11" s="1"/>
  <c r="GB85" i="9"/>
  <c r="GJ85"/>
  <c r="GL81"/>
  <c r="S78" i="11" s="1"/>
  <c r="GG81" i="9"/>
  <c r="FY81"/>
  <c r="GB81"/>
  <c r="GJ81"/>
  <c r="GL77"/>
  <c r="S74" i="11" s="1"/>
  <c r="GG77" i="9"/>
  <c r="FY77"/>
  <c r="GB77"/>
  <c r="GJ77"/>
  <c r="GL73"/>
  <c r="S70" i="11" s="1"/>
  <c r="GG73" i="9"/>
  <c r="FY73"/>
  <c r="GB73"/>
  <c r="GJ73"/>
  <c r="GG69"/>
  <c r="FY69"/>
  <c r="GL69"/>
  <c r="GB69"/>
  <c r="GJ69"/>
  <c r="GL65"/>
  <c r="GG65"/>
  <c r="FY65"/>
  <c r="GB65"/>
  <c r="GJ65"/>
  <c r="GL61"/>
  <c r="GG61"/>
  <c r="FY61"/>
  <c r="GB61"/>
  <c r="GJ61"/>
  <c r="GL57"/>
  <c r="GG57"/>
  <c r="FY57"/>
  <c r="GB57"/>
  <c r="GJ57"/>
  <c r="GG53"/>
  <c r="FY53"/>
  <c r="GL53"/>
  <c r="S50" i="11" s="1"/>
  <c r="GB53" i="9"/>
  <c r="GJ53"/>
  <c r="GL49"/>
  <c r="S46" i="11" s="1"/>
  <c r="GG49" i="9"/>
  <c r="FY49"/>
  <c r="GB49"/>
  <c r="GJ49"/>
  <c r="GL45"/>
  <c r="GG45"/>
  <c r="FY45"/>
  <c r="GB45"/>
  <c r="GJ45"/>
  <c r="GL41"/>
  <c r="S38" i="11" s="1"/>
  <c r="GG41" i="9"/>
  <c r="FY41"/>
  <c r="GB41"/>
  <c r="GJ41"/>
  <c r="GG35"/>
  <c r="FY35"/>
  <c r="GB35"/>
  <c r="GJ35"/>
  <c r="GG31"/>
  <c r="FY31"/>
  <c r="GB31"/>
  <c r="GJ31"/>
  <c r="GG27"/>
  <c r="FY27"/>
  <c r="GB27"/>
  <c r="GJ27"/>
  <c r="GG23"/>
  <c r="H264" i="19" s="1"/>
  <c r="FY23" i="9"/>
  <c r="P263" i="19" s="1"/>
  <c r="GB23" i="9"/>
  <c r="GJ23"/>
  <c r="GB19"/>
  <c r="GL12"/>
  <c r="GB12"/>
  <c r="GL8"/>
  <c r="GB8"/>
  <c r="GM205"/>
  <c r="GM201"/>
  <c r="GM197"/>
  <c r="GM193"/>
  <c r="GM189"/>
  <c r="GM185"/>
  <c r="GM181"/>
  <c r="GM177"/>
  <c r="GM173"/>
  <c r="GM169"/>
  <c r="GM165"/>
  <c r="GM161"/>
  <c r="GM157"/>
  <c r="GM153"/>
  <c r="GM149"/>
  <c r="GM145"/>
  <c r="GM117"/>
  <c r="GM113"/>
  <c r="GM97"/>
  <c r="GM85"/>
  <c r="GM81"/>
  <c r="GM77"/>
  <c r="GM73"/>
  <c r="GM53"/>
  <c r="GM49"/>
  <c r="GM41"/>
  <c r="GM16"/>
  <c r="GM15"/>
  <c r="GM14"/>
  <c r="GM12"/>
  <c r="GM8"/>
  <c r="FA206"/>
  <c r="FQ206"/>
  <c r="FT206"/>
  <c r="FA202"/>
  <c r="FQ202"/>
  <c r="FT202"/>
  <c r="FA198"/>
  <c r="FQ198"/>
  <c r="FT198"/>
  <c r="FA194"/>
  <c r="FQ194"/>
  <c r="FT194"/>
  <c r="FA190"/>
  <c r="FQ190"/>
  <c r="FT190"/>
  <c r="FA186"/>
  <c r="FQ186"/>
  <c r="FT186"/>
  <c r="FA182"/>
  <c r="FQ182"/>
  <c r="FT182"/>
  <c r="FA178"/>
  <c r="FQ178"/>
  <c r="FT178"/>
  <c r="FA174"/>
  <c r="FQ174"/>
  <c r="FT174"/>
  <c r="FA170"/>
  <c r="FQ170"/>
  <c r="FT170"/>
  <c r="FA166"/>
  <c r="FQ166"/>
  <c r="FT166"/>
  <c r="FA162"/>
  <c r="FQ162"/>
  <c r="FT162"/>
  <c r="FA158"/>
  <c r="FQ158"/>
  <c r="FT158"/>
  <c r="FA154"/>
  <c r="FQ154"/>
  <c r="FT154"/>
  <c r="FA150"/>
  <c r="FQ150"/>
  <c r="FT150"/>
  <c r="FA146"/>
  <c r="FQ146"/>
  <c r="FT146"/>
  <c r="FA142"/>
  <c r="FQ142"/>
  <c r="FT142"/>
  <c r="FA138"/>
  <c r="FQ138"/>
  <c r="FT138"/>
  <c r="FA134"/>
  <c r="FQ134"/>
  <c r="FT134"/>
  <c r="FA130"/>
  <c r="FQ130"/>
  <c r="FT130"/>
  <c r="FA126"/>
  <c r="FQ126"/>
  <c r="FT126"/>
  <c r="FA122"/>
  <c r="FQ122"/>
  <c r="FT122"/>
  <c r="FA118"/>
  <c r="FQ118"/>
  <c r="FT118"/>
  <c r="FA114"/>
  <c r="FQ114"/>
  <c r="FT114"/>
  <c r="FA110"/>
  <c r="FQ110"/>
  <c r="FT110"/>
  <c r="FA106"/>
  <c r="FQ106"/>
  <c r="FT106"/>
  <c r="FA102"/>
  <c r="FQ102"/>
  <c r="FT102"/>
  <c r="FA98"/>
  <c r="FQ98"/>
  <c r="FT98"/>
  <c r="FA94"/>
  <c r="FQ94"/>
  <c r="FT94"/>
  <c r="FA90"/>
  <c r="FQ90"/>
  <c r="FT90"/>
  <c r="FA86"/>
  <c r="FQ86"/>
  <c r="FT86"/>
  <c r="FA82"/>
  <c r="FQ82"/>
  <c r="FT82"/>
  <c r="FA78"/>
  <c r="FQ78"/>
  <c r="FT78"/>
  <c r="FA74"/>
  <c r="FQ74"/>
  <c r="FT74"/>
  <c r="FA70"/>
  <c r="FQ70"/>
  <c r="FT70"/>
  <c r="FA66"/>
  <c r="FQ66"/>
  <c r="FT66"/>
  <c r="FA62"/>
  <c r="FQ62"/>
  <c r="FT62"/>
  <c r="FA58"/>
  <c r="FQ58"/>
  <c r="FT58"/>
  <c r="FA54"/>
  <c r="FQ54"/>
  <c r="FT54"/>
  <c r="FA50"/>
  <c r="FQ50"/>
  <c r="FT50"/>
  <c r="FA46"/>
  <c r="FQ46"/>
  <c r="FT46"/>
  <c r="FA42"/>
  <c r="FQ42"/>
  <c r="FT42"/>
  <c r="FA38"/>
  <c r="FQ38"/>
  <c r="FT38"/>
  <c r="FA34"/>
  <c r="FQ34"/>
  <c r="FT34"/>
  <c r="FA30"/>
  <c r="FQ30"/>
  <c r="FT30"/>
  <c r="FA26"/>
  <c r="FQ26"/>
  <c r="FT26"/>
  <c r="FA22"/>
  <c r="FQ22"/>
  <c r="FT22"/>
  <c r="FA203"/>
  <c r="FT203"/>
  <c r="FQ203"/>
  <c r="FA199"/>
  <c r="FT199"/>
  <c r="FQ199"/>
  <c r="FA195"/>
  <c r="FT195"/>
  <c r="FQ195"/>
  <c r="FA191"/>
  <c r="FT191"/>
  <c r="FQ191"/>
  <c r="FA187"/>
  <c r="FT187"/>
  <c r="FQ187"/>
  <c r="FA183"/>
  <c r="FT183"/>
  <c r="FQ183"/>
  <c r="FA179"/>
  <c r="FT179"/>
  <c r="FQ179"/>
  <c r="FA175"/>
  <c r="FT175"/>
  <c r="FQ175"/>
  <c r="FA171"/>
  <c r="FT171"/>
  <c r="FQ171"/>
  <c r="FA167"/>
  <c r="FT167"/>
  <c r="FQ167"/>
  <c r="FA163"/>
  <c r="FT163"/>
  <c r="FQ163"/>
  <c r="FA159"/>
  <c r="FT159"/>
  <c r="FQ159"/>
  <c r="FA155"/>
  <c r="FT155"/>
  <c r="FQ155"/>
  <c r="FA151"/>
  <c r="FT151"/>
  <c r="FQ151"/>
  <c r="FA147"/>
  <c r="FT147"/>
  <c r="FQ147"/>
  <c r="FA143"/>
  <c r="FT143"/>
  <c r="FQ143"/>
  <c r="FA139"/>
  <c r="FT139"/>
  <c r="FQ139"/>
  <c r="FA135"/>
  <c r="FT135"/>
  <c r="FQ135"/>
  <c r="FA131"/>
  <c r="FT131"/>
  <c r="FQ131"/>
  <c r="FA127"/>
  <c r="FT127"/>
  <c r="FQ127"/>
  <c r="FA123"/>
  <c r="FT123"/>
  <c r="FQ123"/>
  <c r="FA119"/>
  <c r="FT119"/>
  <c r="FQ119"/>
  <c r="FA115"/>
  <c r="FT115"/>
  <c r="FQ115"/>
  <c r="FA111"/>
  <c r="FT111"/>
  <c r="FQ111"/>
  <c r="FA107"/>
  <c r="FT107"/>
  <c r="FQ107"/>
  <c r="FA103"/>
  <c r="FT103"/>
  <c r="FQ103"/>
  <c r="FA99"/>
  <c r="FT99"/>
  <c r="FQ99"/>
  <c r="FA95"/>
  <c r="FT95"/>
  <c r="FQ95"/>
  <c r="FA91"/>
  <c r="FT91"/>
  <c r="FQ91"/>
  <c r="FA87"/>
  <c r="FT87"/>
  <c r="FQ87"/>
  <c r="FA83"/>
  <c r="FT83"/>
  <c r="FQ83"/>
  <c r="FA79"/>
  <c r="FT79"/>
  <c r="FQ79"/>
  <c r="FA75"/>
  <c r="FT75"/>
  <c r="FQ75"/>
  <c r="FA71"/>
  <c r="FT71"/>
  <c r="FQ71"/>
  <c r="FA67"/>
  <c r="FT67"/>
  <c r="FQ67"/>
  <c r="FA63"/>
  <c r="FT63"/>
  <c r="FQ63"/>
  <c r="FA59"/>
  <c r="FT59"/>
  <c r="FQ59"/>
  <c r="FA55"/>
  <c r="FT55"/>
  <c r="FQ55"/>
  <c r="FA51"/>
  <c r="FT51"/>
  <c r="FQ51"/>
  <c r="FA47"/>
  <c r="FT47"/>
  <c r="FQ47"/>
  <c r="FA43"/>
  <c r="FT43"/>
  <c r="FQ43"/>
  <c r="FA39"/>
  <c r="FT39"/>
  <c r="FQ39"/>
  <c r="FA37"/>
  <c r="FT37"/>
  <c r="FQ37"/>
  <c r="FA33"/>
  <c r="FT33"/>
  <c r="FQ33"/>
  <c r="FA29"/>
  <c r="FT29"/>
  <c r="FQ29"/>
  <c r="FA25"/>
  <c r="FT25"/>
  <c r="FQ25"/>
  <c r="FA204"/>
  <c r="FT204"/>
  <c r="FQ204"/>
  <c r="FA200"/>
  <c r="FT200"/>
  <c r="FQ200"/>
  <c r="FA196"/>
  <c r="FT196"/>
  <c r="FQ196"/>
  <c r="FA192"/>
  <c r="FT192"/>
  <c r="FQ192"/>
  <c r="FA188"/>
  <c r="FT188"/>
  <c r="FQ188"/>
  <c r="FA184"/>
  <c r="FT184"/>
  <c r="FQ184"/>
  <c r="FA180"/>
  <c r="FT180"/>
  <c r="FQ180"/>
  <c r="FA176"/>
  <c r="FT176"/>
  <c r="FQ176"/>
  <c r="FA172"/>
  <c r="FT172"/>
  <c r="FQ172"/>
  <c r="FA168"/>
  <c r="FT168"/>
  <c r="FQ168"/>
  <c r="FA164"/>
  <c r="FT164"/>
  <c r="FQ164"/>
  <c r="FA160"/>
  <c r="FT160"/>
  <c r="FQ160"/>
  <c r="FA156"/>
  <c r="FT156"/>
  <c r="FQ156"/>
  <c r="FA152"/>
  <c r="FT152"/>
  <c r="FQ152"/>
  <c r="FA148"/>
  <c r="FT148"/>
  <c r="FQ148"/>
  <c r="FA144"/>
  <c r="FT144"/>
  <c r="FQ144"/>
  <c r="FA140"/>
  <c r="FT140"/>
  <c r="FQ140"/>
  <c r="FA136"/>
  <c r="FT136"/>
  <c r="FQ136"/>
  <c r="FA132"/>
  <c r="FT132"/>
  <c r="FQ132"/>
  <c r="FA128"/>
  <c r="FT128"/>
  <c r="FQ128"/>
  <c r="FA124"/>
  <c r="FT124"/>
  <c r="FQ124"/>
  <c r="FA120"/>
  <c r="FT120"/>
  <c r="FQ120"/>
  <c r="FA116"/>
  <c r="FT116"/>
  <c r="FQ116"/>
  <c r="FA112"/>
  <c r="FT112"/>
  <c r="FQ112"/>
  <c r="FA108"/>
  <c r="FT108"/>
  <c r="FQ108"/>
  <c r="FA104"/>
  <c r="FT104"/>
  <c r="FQ104"/>
  <c r="FA100"/>
  <c r="FT100"/>
  <c r="FQ100"/>
  <c r="FA96"/>
  <c r="FT96"/>
  <c r="FQ96"/>
  <c r="FA92"/>
  <c r="FT92"/>
  <c r="FQ92"/>
  <c r="FA88"/>
  <c r="FT88"/>
  <c r="FQ88"/>
  <c r="FA84"/>
  <c r="FT84"/>
  <c r="FQ84"/>
  <c r="FA80"/>
  <c r="FT80"/>
  <c r="FQ80"/>
  <c r="FA76"/>
  <c r="FT76"/>
  <c r="FQ76"/>
  <c r="FA72"/>
  <c r="FT72"/>
  <c r="FQ72"/>
  <c r="FA68"/>
  <c r="FT68"/>
  <c r="FQ68"/>
  <c r="FA64"/>
  <c r="FT64"/>
  <c r="FQ64"/>
  <c r="FA60"/>
  <c r="FT60"/>
  <c r="FQ60"/>
  <c r="FA56"/>
  <c r="FT56"/>
  <c r="FQ56"/>
  <c r="FA52"/>
  <c r="FT52"/>
  <c r="FQ52"/>
  <c r="FA48"/>
  <c r="FT48"/>
  <c r="FQ48"/>
  <c r="FA44"/>
  <c r="FT44"/>
  <c r="FQ44"/>
  <c r="FA40"/>
  <c r="FT40"/>
  <c r="FQ40"/>
  <c r="FA36"/>
  <c r="FT36"/>
  <c r="FQ36"/>
  <c r="FA32"/>
  <c r="FT32"/>
  <c r="FQ32"/>
  <c r="FA28"/>
  <c r="FT28"/>
  <c r="FQ28"/>
  <c r="FA24"/>
  <c r="FT24"/>
  <c r="FQ24"/>
  <c r="FA205"/>
  <c r="FT205"/>
  <c r="FQ205"/>
  <c r="FA201"/>
  <c r="FT201"/>
  <c r="FQ201"/>
  <c r="FA197"/>
  <c r="FT197"/>
  <c r="FQ197"/>
  <c r="FA193"/>
  <c r="FT193"/>
  <c r="FQ193"/>
  <c r="FA189"/>
  <c r="FT189"/>
  <c r="FQ189"/>
  <c r="FA185"/>
  <c r="FT185"/>
  <c r="FQ185"/>
  <c r="FA181"/>
  <c r="FT181"/>
  <c r="FQ181"/>
  <c r="FA177"/>
  <c r="FT177"/>
  <c r="FQ177"/>
  <c r="FA173"/>
  <c r="FT173"/>
  <c r="FQ173"/>
  <c r="FA169"/>
  <c r="FT169"/>
  <c r="FQ169"/>
  <c r="FA165"/>
  <c r="FT165"/>
  <c r="FQ165"/>
  <c r="FA161"/>
  <c r="FT161"/>
  <c r="FQ161"/>
  <c r="FA157"/>
  <c r="FT157"/>
  <c r="FQ157"/>
  <c r="FA153"/>
  <c r="FT153"/>
  <c r="FQ153"/>
  <c r="FA149"/>
  <c r="FT149"/>
  <c r="FQ149"/>
  <c r="FA145"/>
  <c r="FT145"/>
  <c r="FQ145"/>
  <c r="FA141"/>
  <c r="FT141"/>
  <c r="FQ141"/>
  <c r="FA137"/>
  <c r="FT137"/>
  <c r="FQ137"/>
  <c r="FA133"/>
  <c r="FT133"/>
  <c r="FQ133"/>
  <c r="FA129"/>
  <c r="FT129"/>
  <c r="FQ129"/>
  <c r="FA125"/>
  <c r="FT125"/>
  <c r="FQ125"/>
  <c r="FA121"/>
  <c r="FT121"/>
  <c r="FQ121"/>
  <c r="FA117"/>
  <c r="FT117"/>
  <c r="FQ117"/>
  <c r="FA113"/>
  <c r="FT113"/>
  <c r="FQ113"/>
  <c r="FA109"/>
  <c r="FT109"/>
  <c r="FQ109"/>
  <c r="FA105"/>
  <c r="FT105"/>
  <c r="FQ105"/>
  <c r="FA101"/>
  <c r="FT101"/>
  <c r="FQ101"/>
  <c r="FA97"/>
  <c r="FT97"/>
  <c r="FQ97"/>
  <c r="FA93"/>
  <c r="FT93"/>
  <c r="FQ93"/>
  <c r="FA89"/>
  <c r="FT89"/>
  <c r="FQ89"/>
  <c r="FA85"/>
  <c r="FT85"/>
  <c r="FQ85"/>
  <c r="FA81"/>
  <c r="FT81"/>
  <c r="FQ81"/>
  <c r="FA77"/>
  <c r="FT77"/>
  <c r="FQ77"/>
  <c r="FA73"/>
  <c r="FT73"/>
  <c r="FQ73"/>
  <c r="FA69"/>
  <c r="FT69"/>
  <c r="FQ69"/>
  <c r="FA65"/>
  <c r="FT65"/>
  <c r="FQ65"/>
  <c r="FA61"/>
  <c r="FT61"/>
  <c r="FQ61"/>
  <c r="FA57"/>
  <c r="FT57"/>
  <c r="FQ57"/>
  <c r="FA53"/>
  <c r="FT53"/>
  <c r="FQ53"/>
  <c r="FA49"/>
  <c r="FT49"/>
  <c r="FQ49"/>
  <c r="FA45"/>
  <c r="FT45"/>
  <c r="FQ45"/>
  <c r="FA41"/>
  <c r="FT41"/>
  <c r="FQ41"/>
  <c r="FA35"/>
  <c r="FT35"/>
  <c r="FQ35"/>
  <c r="FA31"/>
  <c r="FT31"/>
  <c r="FQ31"/>
  <c r="FA27"/>
  <c r="FT27"/>
  <c r="FQ27"/>
  <c r="FA23"/>
  <c r="FT23"/>
  <c r="FQ23"/>
  <c r="H263" i="19" s="1"/>
  <c r="EK206" i="9"/>
  <c r="EH206"/>
  <c r="EK202"/>
  <c r="EH202"/>
  <c r="EK198"/>
  <c r="EH198"/>
  <c r="EK194"/>
  <c r="EH194"/>
  <c r="EK190"/>
  <c r="EH190"/>
  <c r="EK186"/>
  <c r="EH186"/>
  <c r="EK182"/>
  <c r="EH182"/>
  <c r="EK178"/>
  <c r="EH178"/>
  <c r="EK174"/>
  <c r="EH174"/>
  <c r="EK170"/>
  <c r="EH170"/>
  <c r="EK166"/>
  <c r="EH166"/>
  <c r="EK162"/>
  <c r="EH162"/>
  <c r="EK158"/>
  <c r="EH158"/>
  <c r="EK154"/>
  <c r="EH154"/>
  <c r="EK150"/>
  <c r="EH150"/>
  <c r="EK146"/>
  <c r="EH146"/>
  <c r="EK142"/>
  <c r="EH142"/>
  <c r="EK138"/>
  <c r="EH138"/>
  <c r="EK134"/>
  <c r="EH134"/>
  <c r="EK130"/>
  <c r="EH130"/>
  <c r="EK126"/>
  <c r="EH126"/>
  <c r="EK122"/>
  <c r="EH122"/>
  <c r="EK118"/>
  <c r="EH118"/>
  <c r="EK114"/>
  <c r="EH114"/>
  <c r="EK110"/>
  <c r="EH110"/>
  <c r="EK106"/>
  <c r="EH106"/>
  <c r="EK102"/>
  <c r="EH102"/>
  <c r="EK98"/>
  <c r="EH98"/>
  <c r="EK94"/>
  <c r="EH94"/>
  <c r="EK90"/>
  <c r="EH90"/>
  <c r="EK86"/>
  <c r="EH86"/>
  <c r="EK82"/>
  <c r="EH82"/>
  <c r="EK78"/>
  <c r="EH78"/>
  <c r="EK74"/>
  <c r="EH74"/>
  <c r="EK70"/>
  <c r="EH70"/>
  <c r="EK66"/>
  <c r="EH66"/>
  <c r="EK62"/>
  <c r="EH62"/>
  <c r="EK58"/>
  <c r="EH58"/>
  <c r="EK54"/>
  <c r="EH54"/>
  <c r="EK50"/>
  <c r="EH50"/>
  <c r="EK46"/>
  <c r="EH46"/>
  <c r="EK42"/>
  <c r="EH42"/>
  <c r="EK38"/>
  <c r="EH38"/>
  <c r="EK34"/>
  <c r="EH34"/>
  <c r="EK30"/>
  <c r="EH30"/>
  <c r="EK26"/>
  <c r="EH26"/>
  <c r="EK22"/>
  <c r="EH22"/>
  <c r="DI16"/>
  <c r="DI15"/>
  <c r="EH203"/>
  <c r="EK203"/>
  <c r="EH199"/>
  <c r="EK199"/>
  <c r="EH195"/>
  <c r="EK195"/>
  <c r="EH191"/>
  <c r="EK191"/>
  <c r="EH187"/>
  <c r="EK187"/>
  <c r="EH183"/>
  <c r="EK183"/>
  <c r="EH179"/>
  <c r="EK179"/>
  <c r="EH175"/>
  <c r="EK175"/>
  <c r="EH171"/>
  <c r="EK171"/>
  <c r="EH167"/>
  <c r="EK167"/>
  <c r="EH163"/>
  <c r="EK163"/>
  <c r="EH159"/>
  <c r="EK159"/>
  <c r="EH155"/>
  <c r="EK155"/>
  <c r="EH151"/>
  <c r="EK151"/>
  <c r="EH147"/>
  <c r="EK147"/>
  <c r="EH143"/>
  <c r="EK143"/>
  <c r="EH139"/>
  <c r="EK139"/>
  <c r="EH135"/>
  <c r="EK135"/>
  <c r="EH131"/>
  <c r="EK131"/>
  <c r="EH127"/>
  <c r="EK127"/>
  <c r="EH123"/>
  <c r="EK123"/>
  <c r="EH119"/>
  <c r="EK119"/>
  <c r="EH115"/>
  <c r="EK115"/>
  <c r="EH111"/>
  <c r="EK111"/>
  <c r="EH107"/>
  <c r="EK107"/>
  <c r="EH103"/>
  <c r="EK103"/>
  <c r="EH99"/>
  <c r="EK99"/>
  <c r="EH95"/>
  <c r="EK95"/>
  <c r="EH91"/>
  <c r="EK91"/>
  <c r="EH87"/>
  <c r="EK87"/>
  <c r="EH83"/>
  <c r="EK83"/>
  <c r="EH79"/>
  <c r="EK79"/>
  <c r="EH75"/>
  <c r="EK75"/>
  <c r="EH71"/>
  <c r="EK71"/>
  <c r="EH67"/>
  <c r="EK67"/>
  <c r="EH63"/>
  <c r="EK63"/>
  <c r="EH59"/>
  <c r="EK59"/>
  <c r="EH55"/>
  <c r="EK55"/>
  <c r="EH51"/>
  <c r="EK51"/>
  <c r="EH47"/>
  <c r="EK47"/>
  <c r="EH43"/>
  <c r="EK43"/>
  <c r="EH39"/>
  <c r="EK39"/>
  <c r="EK37"/>
  <c r="EH37"/>
  <c r="EK33"/>
  <c r="EH33"/>
  <c r="EK29"/>
  <c r="EH29"/>
  <c r="EK25"/>
  <c r="EH25"/>
  <c r="EK204"/>
  <c r="EH204"/>
  <c r="EK200"/>
  <c r="EH200"/>
  <c r="EK196"/>
  <c r="EH196"/>
  <c r="EK192"/>
  <c r="EH192"/>
  <c r="EK188"/>
  <c r="EH188"/>
  <c r="EK184"/>
  <c r="EH184"/>
  <c r="EK180"/>
  <c r="EH180"/>
  <c r="EK176"/>
  <c r="EH176"/>
  <c r="EK172"/>
  <c r="EH172"/>
  <c r="EK168"/>
  <c r="EH168"/>
  <c r="EK164"/>
  <c r="EH164"/>
  <c r="EK160"/>
  <c r="EH160"/>
  <c r="EK156"/>
  <c r="EH156"/>
  <c r="EK152"/>
  <c r="EH152"/>
  <c r="EK148"/>
  <c r="EH148"/>
  <c r="EK144"/>
  <c r="EH144"/>
  <c r="EK140"/>
  <c r="EH140"/>
  <c r="EK136"/>
  <c r="EH136"/>
  <c r="EK132"/>
  <c r="EH132"/>
  <c r="EK128"/>
  <c r="EH128"/>
  <c r="EK124"/>
  <c r="EH124"/>
  <c r="EK120"/>
  <c r="EH120"/>
  <c r="EK116"/>
  <c r="EH116"/>
  <c r="EK112"/>
  <c r="EH112"/>
  <c r="EK108"/>
  <c r="EH108"/>
  <c r="EK104"/>
  <c r="EH104"/>
  <c r="EK100"/>
  <c r="EH100"/>
  <c r="EK96"/>
  <c r="EH96"/>
  <c r="EK92"/>
  <c r="EH92"/>
  <c r="EK88"/>
  <c r="EH88"/>
  <c r="EK84"/>
  <c r="EH84"/>
  <c r="EK80"/>
  <c r="EH80"/>
  <c r="EK76"/>
  <c r="EH76"/>
  <c r="EK72"/>
  <c r="EH72"/>
  <c r="EK68"/>
  <c r="EH68"/>
  <c r="EK64"/>
  <c r="EH64"/>
  <c r="EK60"/>
  <c r="EH60"/>
  <c r="EK56"/>
  <c r="EH56"/>
  <c r="EK52"/>
  <c r="EH52"/>
  <c r="EK48"/>
  <c r="EH48"/>
  <c r="EK44"/>
  <c r="EH44"/>
  <c r="EK40"/>
  <c r="EH40"/>
  <c r="EK36"/>
  <c r="EH36"/>
  <c r="EK32"/>
  <c r="EH32"/>
  <c r="EK28"/>
  <c r="EH28"/>
  <c r="EK24"/>
  <c r="EH24"/>
  <c r="EK205"/>
  <c r="EH205"/>
  <c r="EK201"/>
  <c r="EH201"/>
  <c r="EK197"/>
  <c r="EH197"/>
  <c r="EK193"/>
  <c r="EH193"/>
  <c r="EK189"/>
  <c r="EH189"/>
  <c r="EK185"/>
  <c r="EH185"/>
  <c r="EK181"/>
  <c r="EH181"/>
  <c r="EK177"/>
  <c r="EH177"/>
  <c r="EK173"/>
  <c r="EH173"/>
  <c r="EK169"/>
  <c r="EH169"/>
  <c r="EK165"/>
  <c r="EH165"/>
  <c r="EK161"/>
  <c r="EH161"/>
  <c r="EK157"/>
  <c r="EH157"/>
  <c r="EK153"/>
  <c r="EH153"/>
  <c r="EK149"/>
  <c r="EH149"/>
  <c r="EK145"/>
  <c r="EH145"/>
  <c r="EK141"/>
  <c r="EH141"/>
  <c r="EK137"/>
  <c r="EH137"/>
  <c r="EK133"/>
  <c r="EH133"/>
  <c r="EK129"/>
  <c r="EH129"/>
  <c r="EK125"/>
  <c r="EH125"/>
  <c r="EK121"/>
  <c r="EH121"/>
  <c r="EK117"/>
  <c r="EH117"/>
  <c r="EK113"/>
  <c r="EH113"/>
  <c r="EK109"/>
  <c r="EH109"/>
  <c r="EK105"/>
  <c r="EH105"/>
  <c r="EK101"/>
  <c r="EH101"/>
  <c r="EK97"/>
  <c r="EH97"/>
  <c r="EK93"/>
  <c r="EH93"/>
  <c r="EK89"/>
  <c r="EH89"/>
  <c r="EK85"/>
  <c r="EH85"/>
  <c r="EK81"/>
  <c r="EH81"/>
  <c r="EK77"/>
  <c r="EH77"/>
  <c r="EK73"/>
  <c r="EH73"/>
  <c r="EK69"/>
  <c r="EH69"/>
  <c r="EK65"/>
  <c r="EH65"/>
  <c r="EK61"/>
  <c r="EH61"/>
  <c r="EK57"/>
  <c r="EH57"/>
  <c r="EK53"/>
  <c r="EH53"/>
  <c r="EK49"/>
  <c r="EH49"/>
  <c r="EK45"/>
  <c r="EH45"/>
  <c r="EK41"/>
  <c r="EH41"/>
  <c r="EH35"/>
  <c r="EK35"/>
  <c r="EH31"/>
  <c r="EK31"/>
  <c r="EH27"/>
  <c r="EK27"/>
  <c r="EH23"/>
  <c r="H262" i="19" s="1"/>
  <c r="EK23" i="9"/>
  <c r="DY206"/>
  <c r="DK206"/>
  <c r="DI206"/>
  <c r="DY202"/>
  <c r="DK202"/>
  <c r="DI202"/>
  <c r="DY198"/>
  <c r="DK198"/>
  <c r="DI198"/>
  <c r="DY194"/>
  <c r="DK194"/>
  <c r="DI194"/>
  <c r="DY190"/>
  <c r="DK190"/>
  <c r="DI190"/>
  <c r="DY186"/>
  <c r="DK186"/>
  <c r="DI186"/>
  <c r="DY182"/>
  <c r="DK182"/>
  <c r="DI182"/>
  <c r="DY178"/>
  <c r="DK178"/>
  <c r="DI178"/>
  <c r="DY174"/>
  <c r="DK174"/>
  <c r="DI174"/>
  <c r="DY170"/>
  <c r="DK170"/>
  <c r="DI170"/>
  <c r="DY166"/>
  <c r="DK166"/>
  <c r="DI166"/>
  <c r="DY162"/>
  <c r="DK162"/>
  <c r="DI162"/>
  <c r="DY158"/>
  <c r="DK158"/>
  <c r="DI158"/>
  <c r="DY154"/>
  <c r="DK154"/>
  <c r="DI154"/>
  <c r="DY150"/>
  <c r="DK150"/>
  <c r="DI150"/>
  <c r="DY146"/>
  <c r="DK146"/>
  <c r="DI146"/>
  <c r="DY142"/>
  <c r="DK142"/>
  <c r="DI142"/>
  <c r="DY138"/>
  <c r="DK138"/>
  <c r="DI138"/>
  <c r="DY134"/>
  <c r="DK134"/>
  <c r="DI134"/>
  <c r="DY130"/>
  <c r="DK130"/>
  <c r="DI130"/>
  <c r="DY126"/>
  <c r="DK126"/>
  <c r="DI126"/>
  <c r="DY122"/>
  <c r="DK122"/>
  <c r="DI122"/>
  <c r="DY118"/>
  <c r="DK118"/>
  <c r="DI118"/>
  <c r="DY114"/>
  <c r="DK114"/>
  <c r="DI114"/>
  <c r="DY110"/>
  <c r="DK110"/>
  <c r="DI110"/>
  <c r="DY106"/>
  <c r="DK106"/>
  <c r="DI106"/>
  <c r="DY102"/>
  <c r="DK102"/>
  <c r="DI102"/>
  <c r="DY98"/>
  <c r="DI98"/>
  <c r="DK98"/>
  <c r="DY94"/>
  <c r="DK94"/>
  <c r="DI94"/>
  <c r="DY90"/>
  <c r="DK90"/>
  <c r="DI90"/>
  <c r="DY86"/>
  <c r="DK86"/>
  <c r="DI86"/>
  <c r="DY82"/>
  <c r="DK82"/>
  <c r="DI82"/>
  <c r="DY78"/>
  <c r="DK78"/>
  <c r="DI78"/>
  <c r="DY74"/>
  <c r="DK74"/>
  <c r="DI74"/>
  <c r="DY70"/>
  <c r="DK70"/>
  <c r="DI70"/>
  <c r="DY66"/>
  <c r="DK66"/>
  <c r="DI66"/>
  <c r="DY62"/>
  <c r="DK62"/>
  <c r="DI62"/>
  <c r="DY58"/>
  <c r="DK58"/>
  <c r="DI58"/>
  <c r="DY54"/>
  <c r="DK54"/>
  <c r="DI54"/>
  <c r="DY50"/>
  <c r="DK50"/>
  <c r="DI50"/>
  <c r="DY46"/>
  <c r="DK46"/>
  <c r="DI46"/>
  <c r="DY42"/>
  <c r="DK42"/>
  <c r="DI42"/>
  <c r="DY38"/>
  <c r="DK38"/>
  <c r="DI38"/>
  <c r="CP34"/>
  <c r="DI34"/>
  <c r="CP30"/>
  <c r="DI30"/>
  <c r="CP26"/>
  <c r="DI26"/>
  <c r="CP22"/>
  <c r="DK22"/>
  <c r="DI22"/>
  <c r="CP18"/>
  <c r="DI18"/>
  <c r="CP17"/>
  <c r="DI17"/>
  <c r="CP14"/>
  <c r="DI14"/>
  <c r="CP13"/>
  <c r="DI13"/>
  <c r="CP9"/>
  <c r="DI9"/>
  <c r="DY203"/>
  <c r="DI203"/>
  <c r="DK203"/>
  <c r="DY199"/>
  <c r="DI199"/>
  <c r="DK199"/>
  <c r="DY195"/>
  <c r="DI195"/>
  <c r="DK195"/>
  <c r="DY191"/>
  <c r="DI191"/>
  <c r="DK191"/>
  <c r="DY187"/>
  <c r="DI187"/>
  <c r="DK187"/>
  <c r="DY183"/>
  <c r="DI183"/>
  <c r="DK183"/>
  <c r="DY179"/>
  <c r="DI179"/>
  <c r="DK179"/>
  <c r="DY175"/>
  <c r="DI175"/>
  <c r="DK175"/>
  <c r="DY171"/>
  <c r="DI171"/>
  <c r="DK171"/>
  <c r="DY167"/>
  <c r="DI167"/>
  <c r="DK167"/>
  <c r="DY163"/>
  <c r="DI163"/>
  <c r="DK163"/>
  <c r="DY159"/>
  <c r="DI159"/>
  <c r="DK159"/>
  <c r="DY155"/>
  <c r="DI155"/>
  <c r="DK155"/>
  <c r="DY151"/>
  <c r="DI151"/>
  <c r="DK151"/>
  <c r="DY147"/>
  <c r="DI147"/>
  <c r="DK147"/>
  <c r="DY143"/>
  <c r="DI143"/>
  <c r="DK143"/>
  <c r="DY139"/>
  <c r="DI139"/>
  <c r="DK139"/>
  <c r="DY135"/>
  <c r="DI135"/>
  <c r="DK135"/>
  <c r="DY131"/>
  <c r="DI131"/>
  <c r="DK131"/>
  <c r="DY127"/>
  <c r="DI127"/>
  <c r="DK127"/>
  <c r="DY123"/>
  <c r="DI123"/>
  <c r="DK123"/>
  <c r="DY119"/>
  <c r="DI119"/>
  <c r="DK119"/>
  <c r="DY115"/>
  <c r="DI115"/>
  <c r="DK115"/>
  <c r="DY111"/>
  <c r="DI111"/>
  <c r="DK111"/>
  <c r="DY107"/>
  <c r="DI107"/>
  <c r="DK107"/>
  <c r="DY103"/>
  <c r="DI103"/>
  <c r="DK103"/>
  <c r="DY99"/>
  <c r="DI99"/>
  <c r="DK99"/>
  <c r="DY95"/>
  <c r="DK95"/>
  <c r="DI95"/>
  <c r="DY91"/>
  <c r="DK91"/>
  <c r="DI91"/>
  <c r="DY87"/>
  <c r="DK87"/>
  <c r="DI87"/>
  <c r="DY83"/>
  <c r="DK83"/>
  <c r="DI83"/>
  <c r="DY79"/>
  <c r="DK79"/>
  <c r="DI79"/>
  <c r="DY75"/>
  <c r="DK75"/>
  <c r="DI75"/>
  <c r="DY71"/>
  <c r="DK71"/>
  <c r="DI71"/>
  <c r="DY67"/>
  <c r="DK67"/>
  <c r="DI67"/>
  <c r="DY63"/>
  <c r="DK63"/>
  <c r="DI63"/>
  <c r="DY59"/>
  <c r="DK59"/>
  <c r="DI59"/>
  <c r="DY55"/>
  <c r="DK55"/>
  <c r="DI55"/>
  <c r="DY51"/>
  <c r="DK51"/>
  <c r="DI51"/>
  <c r="DY47"/>
  <c r="DK47"/>
  <c r="DI47"/>
  <c r="DY43"/>
  <c r="DK43"/>
  <c r="DI43"/>
  <c r="DY39"/>
  <c r="DK39"/>
  <c r="DI39"/>
  <c r="CP37"/>
  <c r="DI37"/>
  <c r="CP33"/>
  <c r="DI33"/>
  <c r="CP29"/>
  <c r="DI29"/>
  <c r="CP25"/>
  <c r="DI25"/>
  <c r="CP21"/>
  <c r="DK21"/>
  <c r="DI21"/>
  <c r="DK10"/>
  <c r="DI10"/>
  <c r="DI7"/>
  <c r="DY204"/>
  <c r="DK204"/>
  <c r="DI204"/>
  <c r="DY200"/>
  <c r="DK200"/>
  <c r="DI200"/>
  <c r="DY196"/>
  <c r="DK196"/>
  <c r="DI196"/>
  <c r="DY192"/>
  <c r="DK192"/>
  <c r="DI192"/>
  <c r="DY188"/>
  <c r="DK188"/>
  <c r="DI188"/>
  <c r="DY184"/>
  <c r="DK184"/>
  <c r="DI184"/>
  <c r="DY180"/>
  <c r="DK180"/>
  <c r="DI180"/>
  <c r="DY176"/>
  <c r="DK176"/>
  <c r="DI176"/>
  <c r="DY172"/>
  <c r="DK172"/>
  <c r="DI172"/>
  <c r="DY168"/>
  <c r="DK168"/>
  <c r="DI168"/>
  <c r="DY164"/>
  <c r="DK164"/>
  <c r="DI164"/>
  <c r="DY160"/>
  <c r="DK160"/>
  <c r="DI160"/>
  <c r="DY156"/>
  <c r="DK156"/>
  <c r="DI156"/>
  <c r="DY152"/>
  <c r="DK152"/>
  <c r="DI152"/>
  <c r="DY148"/>
  <c r="DK148"/>
  <c r="DI148"/>
  <c r="DY144"/>
  <c r="DK144"/>
  <c r="DI144"/>
  <c r="DY140"/>
  <c r="DK140"/>
  <c r="DI140"/>
  <c r="DY136"/>
  <c r="DK136"/>
  <c r="DI136"/>
  <c r="DY132"/>
  <c r="DK132"/>
  <c r="DI132"/>
  <c r="DY128"/>
  <c r="DK128"/>
  <c r="DI128"/>
  <c r="DY124"/>
  <c r="DK124"/>
  <c r="DI124"/>
  <c r="DY120"/>
  <c r="DK120"/>
  <c r="DI120"/>
  <c r="DY116"/>
  <c r="DK116"/>
  <c r="DI116"/>
  <c r="DY112"/>
  <c r="DK112"/>
  <c r="DI112"/>
  <c r="DY108"/>
  <c r="DK108"/>
  <c r="DI108"/>
  <c r="DY104"/>
  <c r="DK104"/>
  <c r="DI104"/>
  <c r="DY100"/>
  <c r="DK100"/>
  <c r="DI100"/>
  <c r="DY96"/>
  <c r="DK96"/>
  <c r="DI96"/>
  <c r="DY92"/>
  <c r="DK92"/>
  <c r="DI92"/>
  <c r="DY88"/>
  <c r="DK88"/>
  <c r="DI88"/>
  <c r="DY84"/>
  <c r="DK84"/>
  <c r="DI84"/>
  <c r="DY80"/>
  <c r="DK80"/>
  <c r="DI80"/>
  <c r="DY76"/>
  <c r="DK76"/>
  <c r="DI76"/>
  <c r="DY72"/>
  <c r="DK72"/>
  <c r="DI72"/>
  <c r="DY68"/>
  <c r="DK68"/>
  <c r="DI68"/>
  <c r="DY64"/>
  <c r="DK64"/>
  <c r="DI64"/>
  <c r="DY60"/>
  <c r="DK60"/>
  <c r="DI60"/>
  <c r="DY56"/>
  <c r="DK56"/>
  <c r="DI56"/>
  <c r="DY52"/>
  <c r="DK52"/>
  <c r="DI52"/>
  <c r="DY48"/>
  <c r="DK48"/>
  <c r="DI48"/>
  <c r="DY44"/>
  <c r="DK44"/>
  <c r="DI44"/>
  <c r="DY40"/>
  <c r="DK40"/>
  <c r="DI40"/>
  <c r="DI36"/>
  <c r="DI32"/>
  <c r="DI28"/>
  <c r="DI24"/>
  <c r="DK20"/>
  <c r="DI20"/>
  <c r="DK11"/>
  <c r="DI11"/>
  <c r="DY205"/>
  <c r="DI205"/>
  <c r="DK205"/>
  <c r="DY201"/>
  <c r="DI201"/>
  <c r="DK201"/>
  <c r="DY197"/>
  <c r="DI197"/>
  <c r="DK197"/>
  <c r="DY193"/>
  <c r="DI193"/>
  <c r="DK193"/>
  <c r="DY189"/>
  <c r="DI189"/>
  <c r="DK189"/>
  <c r="DY185"/>
  <c r="DI185"/>
  <c r="DK185"/>
  <c r="DY181"/>
  <c r="DI181"/>
  <c r="DK181"/>
  <c r="DY177"/>
  <c r="DI177"/>
  <c r="DK177"/>
  <c r="DY173"/>
  <c r="DI173"/>
  <c r="DK173"/>
  <c r="DY169"/>
  <c r="DI169"/>
  <c r="DK169"/>
  <c r="DY165"/>
  <c r="DI165"/>
  <c r="DK165"/>
  <c r="DY161"/>
  <c r="DI161"/>
  <c r="DK161"/>
  <c r="DY157"/>
  <c r="DI157"/>
  <c r="DK157"/>
  <c r="DY153"/>
  <c r="DI153"/>
  <c r="DK153"/>
  <c r="DY149"/>
  <c r="DI149"/>
  <c r="DK149"/>
  <c r="DY145"/>
  <c r="DI145"/>
  <c r="DK145"/>
  <c r="DY141"/>
  <c r="DI141"/>
  <c r="DK141"/>
  <c r="DY137"/>
  <c r="DI137"/>
  <c r="DK137"/>
  <c r="DY133"/>
  <c r="DI133"/>
  <c r="DK133"/>
  <c r="DY129"/>
  <c r="DI129"/>
  <c r="DK129"/>
  <c r="DY125"/>
  <c r="DI125"/>
  <c r="DK125"/>
  <c r="DY121"/>
  <c r="DI121"/>
  <c r="DK121"/>
  <c r="DY117"/>
  <c r="DI117"/>
  <c r="DK117"/>
  <c r="DY113"/>
  <c r="DI113"/>
  <c r="DK113"/>
  <c r="DY109"/>
  <c r="DI109"/>
  <c r="DK109"/>
  <c r="DY105"/>
  <c r="DI105"/>
  <c r="DK105"/>
  <c r="DY101"/>
  <c r="DI101"/>
  <c r="DK101"/>
  <c r="DY97"/>
  <c r="DI97"/>
  <c r="DK97"/>
  <c r="DY93"/>
  <c r="DK93"/>
  <c r="DI93"/>
  <c r="DY89"/>
  <c r="DK89"/>
  <c r="DI89"/>
  <c r="DY85"/>
  <c r="DK85"/>
  <c r="DI85"/>
  <c r="DY81"/>
  <c r="DK81"/>
  <c r="DI81"/>
  <c r="DY77"/>
  <c r="DK77"/>
  <c r="DI77"/>
  <c r="DY73"/>
  <c r="DK73"/>
  <c r="DI73"/>
  <c r="DY69"/>
  <c r="DK69"/>
  <c r="DI69"/>
  <c r="DY65"/>
  <c r="DK65"/>
  <c r="DI65"/>
  <c r="DY61"/>
  <c r="DK61"/>
  <c r="DI61"/>
  <c r="DY57"/>
  <c r="DK57"/>
  <c r="DI57"/>
  <c r="DY53"/>
  <c r="DK53"/>
  <c r="DI53"/>
  <c r="DY49"/>
  <c r="DK49"/>
  <c r="DI49"/>
  <c r="DY45"/>
  <c r="DK45"/>
  <c r="DI45"/>
  <c r="DY41"/>
  <c r="DK41"/>
  <c r="DI41"/>
  <c r="DI35"/>
  <c r="DI31"/>
  <c r="DI27"/>
  <c r="DK23"/>
  <c r="DI23"/>
  <c r="DI19"/>
  <c r="DI12"/>
  <c r="DI8"/>
  <c r="DJ8" s="1"/>
  <c r="CR190"/>
  <c r="DQ190" s="1"/>
  <c r="CP190"/>
  <c r="CR186"/>
  <c r="DQ186" s="1"/>
  <c r="CP186"/>
  <c r="CR182"/>
  <c r="DQ182" s="1"/>
  <c r="CP182"/>
  <c r="CR178"/>
  <c r="DQ178" s="1"/>
  <c r="CP178"/>
  <c r="CR174"/>
  <c r="DQ174" s="1"/>
  <c r="CP174"/>
  <c r="CR170"/>
  <c r="DQ170" s="1"/>
  <c r="CP170"/>
  <c r="CR166"/>
  <c r="DQ166" s="1"/>
  <c r="CP166"/>
  <c r="CR162"/>
  <c r="DQ162" s="1"/>
  <c r="CP162"/>
  <c r="CR158"/>
  <c r="DQ158" s="1"/>
  <c r="CP158"/>
  <c r="CR154"/>
  <c r="DQ154" s="1"/>
  <c r="CP154"/>
  <c r="CR150"/>
  <c r="DQ150" s="1"/>
  <c r="CP150"/>
  <c r="CR146"/>
  <c r="DQ146" s="1"/>
  <c r="CP146"/>
  <c r="CR142"/>
  <c r="DQ142" s="1"/>
  <c r="CP142"/>
  <c r="CR138"/>
  <c r="DQ138" s="1"/>
  <c r="CP138"/>
  <c r="CR134"/>
  <c r="DQ134" s="1"/>
  <c r="CP134"/>
  <c r="CR130"/>
  <c r="DQ130" s="1"/>
  <c r="CP130"/>
  <c r="CR126"/>
  <c r="DQ126" s="1"/>
  <c r="CP126"/>
  <c r="CR122"/>
  <c r="DQ122" s="1"/>
  <c r="CP122"/>
  <c r="CR118"/>
  <c r="DQ118" s="1"/>
  <c r="CP118"/>
  <c r="CR114"/>
  <c r="DQ114" s="1"/>
  <c r="CP114"/>
  <c r="CR110"/>
  <c r="DQ110" s="1"/>
  <c r="CP110"/>
  <c r="CR106"/>
  <c r="DQ106" s="1"/>
  <c r="CP106"/>
  <c r="CR102"/>
  <c r="DQ102" s="1"/>
  <c r="CP102"/>
  <c r="CR98"/>
  <c r="DQ98" s="1"/>
  <c r="CP98"/>
  <c r="CR94"/>
  <c r="DQ94" s="1"/>
  <c r="CP94"/>
  <c r="CR90"/>
  <c r="DQ90" s="1"/>
  <c r="CP90"/>
  <c r="CR86"/>
  <c r="DQ86" s="1"/>
  <c r="CP86"/>
  <c r="CR82"/>
  <c r="DQ82" s="1"/>
  <c r="CP82"/>
  <c r="CR78"/>
  <c r="DQ78" s="1"/>
  <c r="CP78"/>
  <c r="CR74"/>
  <c r="DQ74" s="1"/>
  <c r="CP74"/>
  <c r="CR70"/>
  <c r="DQ70" s="1"/>
  <c r="CP70"/>
  <c r="CR66"/>
  <c r="DQ66" s="1"/>
  <c r="CP66"/>
  <c r="CR62"/>
  <c r="DQ62" s="1"/>
  <c r="CP62"/>
  <c r="CR58"/>
  <c r="DQ58" s="1"/>
  <c r="CP58"/>
  <c r="CR54"/>
  <c r="DQ54" s="1"/>
  <c r="CP54"/>
  <c r="CR50"/>
  <c r="DQ50" s="1"/>
  <c r="CP50"/>
  <c r="CR46"/>
  <c r="DQ46" s="1"/>
  <c r="CP46"/>
  <c r="CR42"/>
  <c r="DQ42" s="1"/>
  <c r="CP42"/>
  <c r="CR38"/>
  <c r="DQ38" s="1"/>
  <c r="CP38"/>
  <c r="CA16"/>
  <c r="CP16"/>
  <c r="CP15"/>
  <c r="CP202"/>
  <c r="CR202"/>
  <c r="DQ202" s="1"/>
  <c r="CP198"/>
  <c r="CR198"/>
  <c r="DQ198" s="1"/>
  <c r="CP183"/>
  <c r="CR183"/>
  <c r="DQ183" s="1"/>
  <c r="CP179"/>
  <c r="CR179"/>
  <c r="DQ179" s="1"/>
  <c r="CP175"/>
  <c r="CR175"/>
  <c r="DQ175" s="1"/>
  <c r="CP171"/>
  <c r="CR171"/>
  <c r="DQ171" s="1"/>
  <c r="CP167"/>
  <c r="CR167"/>
  <c r="DQ167" s="1"/>
  <c r="CP163"/>
  <c r="CR163"/>
  <c r="DQ163" s="1"/>
  <c r="CP159"/>
  <c r="CR159"/>
  <c r="DQ159" s="1"/>
  <c r="CP155"/>
  <c r="CR155"/>
  <c r="DQ155" s="1"/>
  <c r="CP151"/>
  <c r="CR151"/>
  <c r="DQ151" s="1"/>
  <c r="CP147"/>
  <c r="CR147"/>
  <c r="DQ147" s="1"/>
  <c r="CP143"/>
  <c r="CR143"/>
  <c r="DQ143" s="1"/>
  <c r="CP139"/>
  <c r="CR139"/>
  <c r="DQ139" s="1"/>
  <c r="CP135"/>
  <c r="CR135"/>
  <c r="DQ135" s="1"/>
  <c r="CP131"/>
  <c r="CR131"/>
  <c r="DQ131" s="1"/>
  <c r="CP127"/>
  <c r="CR127"/>
  <c r="DQ127" s="1"/>
  <c r="CP123"/>
  <c r="CR123"/>
  <c r="DQ123" s="1"/>
  <c r="CP119"/>
  <c r="CR119"/>
  <c r="DQ119" s="1"/>
  <c r="CP115"/>
  <c r="CR115"/>
  <c r="DQ115" s="1"/>
  <c r="CP111"/>
  <c r="CR111"/>
  <c r="DQ111" s="1"/>
  <c r="CP107"/>
  <c r="CR107"/>
  <c r="DQ107" s="1"/>
  <c r="CP103"/>
  <c r="CR103"/>
  <c r="DQ103" s="1"/>
  <c r="CP99"/>
  <c r="CR99"/>
  <c r="DQ99" s="1"/>
  <c r="CP95"/>
  <c r="CR95"/>
  <c r="DQ95" s="1"/>
  <c r="CP91"/>
  <c r="CR91"/>
  <c r="DQ91" s="1"/>
  <c r="CP87"/>
  <c r="CR87"/>
  <c r="DQ87" s="1"/>
  <c r="CP83"/>
  <c r="CR83"/>
  <c r="DQ83" s="1"/>
  <c r="CP79"/>
  <c r="CR79"/>
  <c r="DQ79" s="1"/>
  <c r="CP75"/>
  <c r="CR75"/>
  <c r="DQ75" s="1"/>
  <c r="CP71"/>
  <c r="CR71"/>
  <c r="DQ71" s="1"/>
  <c r="CP67"/>
  <c r="CR67"/>
  <c r="DQ67" s="1"/>
  <c r="CP63"/>
  <c r="CR63"/>
  <c r="DQ63" s="1"/>
  <c r="CP59"/>
  <c r="CR59"/>
  <c r="DQ59" s="1"/>
  <c r="CP55"/>
  <c r="CR55"/>
  <c r="DQ55" s="1"/>
  <c r="CP51"/>
  <c r="CR51"/>
  <c r="DQ51" s="1"/>
  <c r="CP47"/>
  <c r="CR47"/>
  <c r="DQ47" s="1"/>
  <c r="CP43"/>
  <c r="CR43"/>
  <c r="DQ43" s="1"/>
  <c r="CP39"/>
  <c r="CR39"/>
  <c r="DQ39" s="1"/>
  <c r="CP10"/>
  <c r="CP206"/>
  <c r="CR206"/>
  <c r="DQ206" s="1"/>
  <c r="CR203"/>
  <c r="DQ203" s="1"/>
  <c r="CP203"/>
  <c r="CR195"/>
  <c r="DQ195" s="1"/>
  <c r="CP195"/>
  <c r="CP187"/>
  <c r="CR187"/>
  <c r="DQ187" s="1"/>
  <c r="CP7"/>
  <c r="CR7" s="1"/>
  <c r="CP204"/>
  <c r="CR204"/>
  <c r="DQ204" s="1"/>
  <c r="CP200"/>
  <c r="CR200"/>
  <c r="DQ200" s="1"/>
  <c r="CP196"/>
  <c r="CR196"/>
  <c r="DQ196" s="1"/>
  <c r="CP192"/>
  <c r="CR192"/>
  <c r="DQ192" s="1"/>
  <c r="CR188"/>
  <c r="DQ188" s="1"/>
  <c r="CP188"/>
  <c r="CR184"/>
  <c r="DQ184" s="1"/>
  <c r="CP184"/>
  <c r="CR180"/>
  <c r="DQ180" s="1"/>
  <c r="CP180"/>
  <c r="CR176"/>
  <c r="DQ176" s="1"/>
  <c r="CP176"/>
  <c r="CR172"/>
  <c r="DQ172" s="1"/>
  <c r="CP172"/>
  <c r="CR168"/>
  <c r="DQ168" s="1"/>
  <c r="CP168"/>
  <c r="CR164"/>
  <c r="DQ164" s="1"/>
  <c r="CP164"/>
  <c r="CR160"/>
  <c r="DQ160" s="1"/>
  <c r="CP160"/>
  <c r="CR156"/>
  <c r="DQ156" s="1"/>
  <c r="CP156"/>
  <c r="CR152"/>
  <c r="DQ152" s="1"/>
  <c r="CP152"/>
  <c r="CR148"/>
  <c r="DQ148" s="1"/>
  <c r="CP148"/>
  <c r="CR144"/>
  <c r="DQ144" s="1"/>
  <c r="CP144"/>
  <c r="CR140"/>
  <c r="DQ140" s="1"/>
  <c r="CP140"/>
  <c r="CR136"/>
  <c r="DQ136" s="1"/>
  <c r="CP136"/>
  <c r="CR132"/>
  <c r="DQ132" s="1"/>
  <c r="CP132"/>
  <c r="CR128"/>
  <c r="DQ128" s="1"/>
  <c r="CP128"/>
  <c r="CR124"/>
  <c r="DQ124" s="1"/>
  <c r="CP124"/>
  <c r="CR120"/>
  <c r="DQ120" s="1"/>
  <c r="CP120"/>
  <c r="CR116"/>
  <c r="DQ116" s="1"/>
  <c r="CP116"/>
  <c r="CR112"/>
  <c r="DQ112" s="1"/>
  <c r="CP112"/>
  <c r="CR108"/>
  <c r="DQ108" s="1"/>
  <c r="CP108"/>
  <c r="CR104"/>
  <c r="DQ104" s="1"/>
  <c r="CP104"/>
  <c r="CR100"/>
  <c r="DQ100" s="1"/>
  <c r="CP100"/>
  <c r="CR96"/>
  <c r="DQ96" s="1"/>
  <c r="CP96"/>
  <c r="CR92"/>
  <c r="DQ92" s="1"/>
  <c r="CP92"/>
  <c r="CR88"/>
  <c r="DQ88" s="1"/>
  <c r="CP88"/>
  <c r="CR84"/>
  <c r="DQ84" s="1"/>
  <c r="CP84"/>
  <c r="CR80"/>
  <c r="DQ80" s="1"/>
  <c r="CP80"/>
  <c r="CR76"/>
  <c r="DQ76" s="1"/>
  <c r="CP76"/>
  <c r="CR72"/>
  <c r="DQ72" s="1"/>
  <c r="CP72"/>
  <c r="CR68"/>
  <c r="DQ68" s="1"/>
  <c r="CP68"/>
  <c r="CR64"/>
  <c r="DQ64" s="1"/>
  <c r="CP64"/>
  <c r="CR60"/>
  <c r="DQ60" s="1"/>
  <c r="CP60"/>
  <c r="CR56"/>
  <c r="DQ56" s="1"/>
  <c r="CP56"/>
  <c r="CR52"/>
  <c r="DQ52" s="1"/>
  <c r="CP52"/>
  <c r="CR48"/>
  <c r="DQ48" s="1"/>
  <c r="CP48"/>
  <c r="CR44"/>
  <c r="DQ44" s="1"/>
  <c r="CP44"/>
  <c r="CR40"/>
  <c r="DQ40" s="1"/>
  <c r="CP40"/>
  <c r="CP36"/>
  <c r="CP32"/>
  <c r="CA28"/>
  <c r="CP28"/>
  <c r="CA24"/>
  <c r="CP24"/>
  <c r="CA20"/>
  <c r="CP20"/>
  <c r="CP11"/>
  <c r="CP194"/>
  <c r="CR194"/>
  <c r="DQ194" s="1"/>
  <c r="CR199"/>
  <c r="DQ199" s="1"/>
  <c r="CP199"/>
  <c r="CP191"/>
  <c r="CR191"/>
  <c r="DQ191" s="1"/>
  <c r="CR205"/>
  <c r="DQ205" s="1"/>
  <c r="CP205"/>
  <c r="CR201"/>
  <c r="DQ201" s="1"/>
  <c r="CP201"/>
  <c r="CR197"/>
  <c r="DQ197" s="1"/>
  <c r="CP197"/>
  <c r="CR193"/>
  <c r="DQ193" s="1"/>
  <c r="CP193"/>
  <c r="CP189"/>
  <c r="CR189"/>
  <c r="DQ189" s="1"/>
  <c r="CP185"/>
  <c r="CR185"/>
  <c r="DQ185" s="1"/>
  <c r="CP181"/>
  <c r="CR181"/>
  <c r="DQ181" s="1"/>
  <c r="CP177"/>
  <c r="CR177"/>
  <c r="DQ177" s="1"/>
  <c r="CP173"/>
  <c r="CR173"/>
  <c r="DQ173" s="1"/>
  <c r="CP169"/>
  <c r="CR169"/>
  <c r="DQ169" s="1"/>
  <c r="CP165"/>
  <c r="CR165"/>
  <c r="DQ165" s="1"/>
  <c r="CP161"/>
  <c r="CR161"/>
  <c r="DQ161" s="1"/>
  <c r="CP157"/>
  <c r="CR157"/>
  <c r="DQ157" s="1"/>
  <c r="CP153"/>
  <c r="CR153"/>
  <c r="DQ153" s="1"/>
  <c r="CP149"/>
  <c r="CR149"/>
  <c r="DQ149" s="1"/>
  <c r="CP145"/>
  <c r="CR145"/>
  <c r="DQ145" s="1"/>
  <c r="CP141"/>
  <c r="CR141"/>
  <c r="DQ141" s="1"/>
  <c r="CP137"/>
  <c r="CR137"/>
  <c r="DQ137" s="1"/>
  <c r="CP133"/>
  <c r="CR133"/>
  <c r="DQ133" s="1"/>
  <c r="CP129"/>
  <c r="CR129"/>
  <c r="DQ129" s="1"/>
  <c r="CP125"/>
  <c r="CR125"/>
  <c r="DQ125" s="1"/>
  <c r="CP121"/>
  <c r="CR121"/>
  <c r="DQ121" s="1"/>
  <c r="CP117"/>
  <c r="CR117"/>
  <c r="DQ117" s="1"/>
  <c r="CP113"/>
  <c r="CR113"/>
  <c r="DQ113" s="1"/>
  <c r="CP109"/>
  <c r="CR109"/>
  <c r="DQ109" s="1"/>
  <c r="CP105"/>
  <c r="CR105"/>
  <c r="DQ105" s="1"/>
  <c r="CP101"/>
  <c r="CR101"/>
  <c r="DQ101" s="1"/>
  <c r="CP97"/>
  <c r="CR97"/>
  <c r="DQ97" s="1"/>
  <c r="CP93"/>
  <c r="CR93"/>
  <c r="DQ93" s="1"/>
  <c r="CP89"/>
  <c r="CR89"/>
  <c r="DQ89" s="1"/>
  <c r="CP85"/>
  <c r="CR85"/>
  <c r="DQ85" s="1"/>
  <c r="CP81"/>
  <c r="CR81"/>
  <c r="DQ81" s="1"/>
  <c r="CP77"/>
  <c r="CR77"/>
  <c r="DQ77" s="1"/>
  <c r="CP73"/>
  <c r="CR73"/>
  <c r="DQ73" s="1"/>
  <c r="CP69"/>
  <c r="CR69"/>
  <c r="DQ69" s="1"/>
  <c r="CP65"/>
  <c r="CR65"/>
  <c r="DQ65" s="1"/>
  <c r="CP61"/>
  <c r="CR61"/>
  <c r="DQ61" s="1"/>
  <c r="CP57"/>
  <c r="CR57"/>
  <c r="DQ57" s="1"/>
  <c r="CP53"/>
  <c r="CR53"/>
  <c r="DQ53" s="1"/>
  <c r="CP49"/>
  <c r="CR49"/>
  <c r="DQ49" s="1"/>
  <c r="CP45"/>
  <c r="CR45"/>
  <c r="DQ45" s="1"/>
  <c r="CP41"/>
  <c r="CR41"/>
  <c r="DQ41" s="1"/>
  <c r="CP35"/>
  <c r="CP31"/>
  <c r="CP27"/>
  <c r="CP23"/>
  <c r="CP19"/>
  <c r="CA12"/>
  <c r="CP12"/>
  <c r="CA8"/>
  <c r="CP8"/>
  <c r="CC206"/>
  <c r="DP206" s="1"/>
  <c r="CA206"/>
  <c r="CC202"/>
  <c r="DP202" s="1"/>
  <c r="CA202"/>
  <c r="CC198"/>
  <c r="DP198" s="1"/>
  <c r="CA198"/>
  <c r="CC194"/>
  <c r="DP194" s="1"/>
  <c r="CA194"/>
  <c r="CC190"/>
  <c r="DP190" s="1"/>
  <c r="CA190"/>
  <c r="CC186"/>
  <c r="DP186" s="1"/>
  <c r="CA186"/>
  <c r="CC182"/>
  <c r="DP182" s="1"/>
  <c r="CA182"/>
  <c r="CC178"/>
  <c r="DP178" s="1"/>
  <c r="CA178"/>
  <c r="CC174"/>
  <c r="DP174" s="1"/>
  <c r="CA174"/>
  <c r="CC170"/>
  <c r="DP170" s="1"/>
  <c r="CA170"/>
  <c r="CC166"/>
  <c r="DP166" s="1"/>
  <c r="CA166"/>
  <c r="CC162"/>
  <c r="DP162" s="1"/>
  <c r="CA162"/>
  <c r="CC158"/>
  <c r="DP158" s="1"/>
  <c r="CA158"/>
  <c r="CC154"/>
  <c r="DP154" s="1"/>
  <c r="CA154"/>
  <c r="CC150"/>
  <c r="DP150" s="1"/>
  <c r="CA150"/>
  <c r="CC146"/>
  <c r="DP146" s="1"/>
  <c r="CA146"/>
  <c r="CC142"/>
  <c r="DP142" s="1"/>
  <c r="CA142"/>
  <c r="CC138"/>
  <c r="DP138" s="1"/>
  <c r="CA138"/>
  <c r="CC134"/>
  <c r="DP134" s="1"/>
  <c r="CA134"/>
  <c r="CC130"/>
  <c r="DP130" s="1"/>
  <c r="CA130"/>
  <c r="CC126"/>
  <c r="DP126" s="1"/>
  <c r="CA126"/>
  <c r="CC122"/>
  <c r="DP122" s="1"/>
  <c r="CA122"/>
  <c r="CC118"/>
  <c r="DP118" s="1"/>
  <c r="CA118"/>
  <c r="CC114"/>
  <c r="DP114" s="1"/>
  <c r="CA114"/>
  <c r="CC110"/>
  <c r="DP110" s="1"/>
  <c r="CA110"/>
  <c r="CC106"/>
  <c r="DP106" s="1"/>
  <c r="CA106"/>
  <c r="CC102"/>
  <c r="DP102" s="1"/>
  <c r="CA102"/>
  <c r="CC98"/>
  <c r="DP98" s="1"/>
  <c r="CA98"/>
  <c r="CC94"/>
  <c r="DP94" s="1"/>
  <c r="CA94"/>
  <c r="CC90"/>
  <c r="DP90" s="1"/>
  <c r="CA90"/>
  <c r="CC86"/>
  <c r="DP86" s="1"/>
  <c r="CA86"/>
  <c r="CC82"/>
  <c r="DP82" s="1"/>
  <c r="CA82"/>
  <c r="CC78"/>
  <c r="DP78" s="1"/>
  <c r="CA78"/>
  <c r="CC74"/>
  <c r="DP74" s="1"/>
  <c r="CA74"/>
  <c r="CC70"/>
  <c r="DP70" s="1"/>
  <c r="CA70"/>
  <c r="CC66"/>
  <c r="DP66" s="1"/>
  <c r="CA66"/>
  <c r="CC62"/>
  <c r="DP62" s="1"/>
  <c r="CA62"/>
  <c r="CC58"/>
  <c r="DP58" s="1"/>
  <c r="CA58"/>
  <c r="CC54"/>
  <c r="DP54" s="1"/>
  <c r="CA54"/>
  <c r="CC50"/>
  <c r="DP50" s="1"/>
  <c r="CA50"/>
  <c r="CC46"/>
  <c r="DP46" s="1"/>
  <c r="CA46"/>
  <c r="CC42"/>
  <c r="DP42" s="1"/>
  <c r="CA42"/>
  <c r="CC38"/>
  <c r="DP38" s="1"/>
  <c r="CA38"/>
  <c r="CA34"/>
  <c r="CA30"/>
  <c r="CA26"/>
  <c r="CA22"/>
  <c r="CA18"/>
  <c r="CA17"/>
  <c r="BM15"/>
  <c r="CA15"/>
  <c r="CA14"/>
  <c r="CA13"/>
  <c r="CA9"/>
  <c r="CC203"/>
  <c r="DP203" s="1"/>
  <c r="CA203"/>
  <c r="CC199"/>
  <c r="DP199" s="1"/>
  <c r="CA199"/>
  <c r="CC195"/>
  <c r="DP195" s="1"/>
  <c r="CA195"/>
  <c r="CC191"/>
  <c r="DP191" s="1"/>
  <c r="CA191"/>
  <c r="CC187"/>
  <c r="DP187" s="1"/>
  <c r="CA187"/>
  <c r="CC183"/>
  <c r="DP183" s="1"/>
  <c r="CA183"/>
  <c r="CC179"/>
  <c r="DP179" s="1"/>
  <c r="CA179"/>
  <c r="CC175"/>
  <c r="DP175" s="1"/>
  <c r="CA175"/>
  <c r="CC171"/>
  <c r="DP171" s="1"/>
  <c r="CA171"/>
  <c r="CC167"/>
  <c r="DP167" s="1"/>
  <c r="CA167"/>
  <c r="CC163"/>
  <c r="DP163" s="1"/>
  <c r="CA163"/>
  <c r="CC159"/>
  <c r="DP159" s="1"/>
  <c r="CA159"/>
  <c r="CC155"/>
  <c r="DP155" s="1"/>
  <c r="CA155"/>
  <c r="CC151"/>
  <c r="DP151" s="1"/>
  <c r="CA151"/>
  <c r="CC147"/>
  <c r="DP147" s="1"/>
  <c r="CA147"/>
  <c r="CC143"/>
  <c r="DP143" s="1"/>
  <c r="CA143"/>
  <c r="CC139"/>
  <c r="DP139" s="1"/>
  <c r="CA139"/>
  <c r="CC135"/>
  <c r="DP135" s="1"/>
  <c r="CA135"/>
  <c r="CC131"/>
  <c r="DP131" s="1"/>
  <c r="CA131"/>
  <c r="CC127"/>
  <c r="DP127" s="1"/>
  <c r="CA127"/>
  <c r="CC123"/>
  <c r="DP123" s="1"/>
  <c r="CA123"/>
  <c r="CC119"/>
  <c r="DP119" s="1"/>
  <c r="CA119"/>
  <c r="CC115"/>
  <c r="DP115" s="1"/>
  <c r="CA115"/>
  <c r="CC111"/>
  <c r="DP111" s="1"/>
  <c r="CA111"/>
  <c r="CC107"/>
  <c r="DP107" s="1"/>
  <c r="CA107"/>
  <c r="CC103"/>
  <c r="DP103" s="1"/>
  <c r="CA103"/>
  <c r="CC99"/>
  <c r="DP99" s="1"/>
  <c r="CA99"/>
  <c r="CC95"/>
  <c r="DP95" s="1"/>
  <c r="CA95"/>
  <c r="CC91"/>
  <c r="DP91" s="1"/>
  <c r="CA91"/>
  <c r="CC87"/>
  <c r="DP87" s="1"/>
  <c r="CA87"/>
  <c r="CC83"/>
  <c r="DP83" s="1"/>
  <c r="CA83"/>
  <c r="CC79"/>
  <c r="DP79" s="1"/>
  <c r="CA79"/>
  <c r="CC75"/>
  <c r="DP75" s="1"/>
  <c r="CA75"/>
  <c r="CC71"/>
  <c r="DP71" s="1"/>
  <c r="CA71"/>
  <c r="CC67"/>
  <c r="DP67" s="1"/>
  <c r="CA67"/>
  <c r="CC63"/>
  <c r="DP63" s="1"/>
  <c r="CA63"/>
  <c r="CC59"/>
  <c r="DP59" s="1"/>
  <c r="CA59"/>
  <c r="CC55"/>
  <c r="DP55" s="1"/>
  <c r="CA55"/>
  <c r="CC51"/>
  <c r="DP51" s="1"/>
  <c r="CA51"/>
  <c r="CC47"/>
  <c r="DP47" s="1"/>
  <c r="CA47"/>
  <c r="CC43"/>
  <c r="DP43" s="1"/>
  <c r="CA43"/>
  <c r="CC39"/>
  <c r="DP39" s="1"/>
  <c r="CA39"/>
  <c r="CA37"/>
  <c r="CA33"/>
  <c r="CA29"/>
  <c r="CA25"/>
  <c r="CA21"/>
  <c r="CA10"/>
  <c r="BM7"/>
  <c r="BO7" s="1"/>
  <c r="CA7"/>
  <c r="CC7" s="1"/>
  <c r="CC204"/>
  <c r="DP204" s="1"/>
  <c r="CA204"/>
  <c r="CC200"/>
  <c r="DP200" s="1"/>
  <c r="CA200"/>
  <c r="CC196"/>
  <c r="DP196" s="1"/>
  <c r="CA196"/>
  <c r="CC192"/>
  <c r="DP192" s="1"/>
  <c r="CA192"/>
  <c r="CC188"/>
  <c r="DP188" s="1"/>
  <c r="CA188"/>
  <c r="CC184"/>
  <c r="DP184" s="1"/>
  <c r="CA184"/>
  <c r="CC180"/>
  <c r="DP180" s="1"/>
  <c r="CA180"/>
  <c r="CC176"/>
  <c r="DP176" s="1"/>
  <c r="CA176"/>
  <c r="CC172"/>
  <c r="DP172" s="1"/>
  <c r="CA172"/>
  <c r="CC168"/>
  <c r="DP168" s="1"/>
  <c r="CA168"/>
  <c r="CC164"/>
  <c r="DP164" s="1"/>
  <c r="CA164"/>
  <c r="CC160"/>
  <c r="DP160" s="1"/>
  <c r="CA160"/>
  <c r="CC156"/>
  <c r="DP156" s="1"/>
  <c r="CA156"/>
  <c r="CC152"/>
  <c r="DP152" s="1"/>
  <c r="CA152"/>
  <c r="CC148"/>
  <c r="DP148" s="1"/>
  <c r="CA148"/>
  <c r="CC144"/>
  <c r="DP144" s="1"/>
  <c r="CA144"/>
  <c r="CC140"/>
  <c r="DP140" s="1"/>
  <c r="CA140"/>
  <c r="CC136"/>
  <c r="DP136" s="1"/>
  <c r="CA136"/>
  <c r="CC132"/>
  <c r="DP132" s="1"/>
  <c r="CA132"/>
  <c r="CC128"/>
  <c r="DP128" s="1"/>
  <c r="CA128"/>
  <c r="CC124"/>
  <c r="DP124" s="1"/>
  <c r="CA124"/>
  <c r="CC120"/>
  <c r="DP120" s="1"/>
  <c r="CA120"/>
  <c r="CC116"/>
  <c r="DP116" s="1"/>
  <c r="CA116"/>
  <c r="CC112"/>
  <c r="DP112" s="1"/>
  <c r="CA112"/>
  <c r="CC108"/>
  <c r="DP108" s="1"/>
  <c r="CA108"/>
  <c r="CC104"/>
  <c r="DP104" s="1"/>
  <c r="CA104"/>
  <c r="CC100"/>
  <c r="DP100" s="1"/>
  <c r="CA100"/>
  <c r="CC96"/>
  <c r="DP96" s="1"/>
  <c r="CA96"/>
  <c r="CC92"/>
  <c r="DP92" s="1"/>
  <c r="CA92"/>
  <c r="CC88"/>
  <c r="DP88" s="1"/>
  <c r="CA88"/>
  <c r="CC84"/>
  <c r="DP84" s="1"/>
  <c r="CA84"/>
  <c r="CC80"/>
  <c r="DP80" s="1"/>
  <c r="CA80"/>
  <c r="CC76"/>
  <c r="DP76" s="1"/>
  <c r="CA76"/>
  <c r="CC72"/>
  <c r="DP72" s="1"/>
  <c r="CA72"/>
  <c r="CC68"/>
  <c r="DP68" s="1"/>
  <c r="CA68"/>
  <c r="CC64"/>
  <c r="DP64" s="1"/>
  <c r="CA64"/>
  <c r="CC60"/>
  <c r="DP60" s="1"/>
  <c r="CA60"/>
  <c r="CC56"/>
  <c r="DP56" s="1"/>
  <c r="CA56"/>
  <c r="CC52"/>
  <c r="DP52" s="1"/>
  <c r="CA52"/>
  <c r="CC48"/>
  <c r="DP48" s="1"/>
  <c r="CA48"/>
  <c r="CC44"/>
  <c r="DP44" s="1"/>
  <c r="CA44"/>
  <c r="CC40"/>
  <c r="DP40" s="1"/>
  <c r="CA40"/>
  <c r="BM36"/>
  <c r="CA36"/>
  <c r="BM32"/>
  <c r="CA32"/>
  <c r="BM11"/>
  <c r="CA11"/>
  <c r="CC205"/>
  <c r="DP205" s="1"/>
  <c r="CA205"/>
  <c r="CC201"/>
  <c r="DP201" s="1"/>
  <c r="CA201"/>
  <c r="CC197"/>
  <c r="DP197" s="1"/>
  <c r="CA197"/>
  <c r="CC193"/>
  <c r="DP193" s="1"/>
  <c r="CA193"/>
  <c r="CC189"/>
  <c r="DP189" s="1"/>
  <c r="CA189"/>
  <c r="CC185"/>
  <c r="DP185" s="1"/>
  <c r="CA185"/>
  <c r="CC181"/>
  <c r="DP181" s="1"/>
  <c r="CA181"/>
  <c r="CC177"/>
  <c r="DP177" s="1"/>
  <c r="CA177"/>
  <c r="CC173"/>
  <c r="DP173" s="1"/>
  <c r="CA173"/>
  <c r="CC169"/>
  <c r="DP169" s="1"/>
  <c r="CA169"/>
  <c r="CC165"/>
  <c r="DP165" s="1"/>
  <c r="CA165"/>
  <c r="CC161"/>
  <c r="DP161" s="1"/>
  <c r="CA161"/>
  <c r="CC157"/>
  <c r="DP157" s="1"/>
  <c r="CA157"/>
  <c r="CC153"/>
  <c r="DP153" s="1"/>
  <c r="CA153"/>
  <c r="CC149"/>
  <c r="DP149" s="1"/>
  <c r="CA149"/>
  <c r="CC145"/>
  <c r="DP145" s="1"/>
  <c r="CA145"/>
  <c r="CC141"/>
  <c r="DP141" s="1"/>
  <c r="CA141"/>
  <c r="CC137"/>
  <c r="DP137" s="1"/>
  <c r="CA137"/>
  <c r="CC133"/>
  <c r="DP133" s="1"/>
  <c r="CA133"/>
  <c r="CC129"/>
  <c r="DP129" s="1"/>
  <c r="CA129"/>
  <c r="CC125"/>
  <c r="DP125" s="1"/>
  <c r="CA125"/>
  <c r="CC121"/>
  <c r="DP121" s="1"/>
  <c r="CA121"/>
  <c r="CC117"/>
  <c r="DP117" s="1"/>
  <c r="CA117"/>
  <c r="CC113"/>
  <c r="DP113" s="1"/>
  <c r="CA113"/>
  <c r="CC109"/>
  <c r="DP109" s="1"/>
  <c r="CA109"/>
  <c r="CC105"/>
  <c r="DP105" s="1"/>
  <c r="CA105"/>
  <c r="CC101"/>
  <c r="DP101" s="1"/>
  <c r="CA101"/>
  <c r="CC97"/>
  <c r="DP97" s="1"/>
  <c r="CA97"/>
  <c r="CC93"/>
  <c r="DP93" s="1"/>
  <c r="CA93"/>
  <c r="CC89"/>
  <c r="DP89" s="1"/>
  <c r="CA89"/>
  <c r="CC85"/>
  <c r="DP85" s="1"/>
  <c r="CA85"/>
  <c r="CC81"/>
  <c r="DP81" s="1"/>
  <c r="CA81"/>
  <c r="CC77"/>
  <c r="DP77" s="1"/>
  <c r="CA77"/>
  <c r="CC73"/>
  <c r="DP73" s="1"/>
  <c r="CA73"/>
  <c r="CC69"/>
  <c r="DP69" s="1"/>
  <c r="CA69"/>
  <c r="CC65"/>
  <c r="DP65" s="1"/>
  <c r="CA65"/>
  <c r="CC61"/>
  <c r="DP61" s="1"/>
  <c r="CA61"/>
  <c r="CC57"/>
  <c r="DP57" s="1"/>
  <c r="CA57"/>
  <c r="CC53"/>
  <c r="DP53" s="1"/>
  <c r="CA53"/>
  <c r="CC49"/>
  <c r="DP49" s="1"/>
  <c r="CA49"/>
  <c r="CC45"/>
  <c r="DP45" s="1"/>
  <c r="CA45"/>
  <c r="CC41"/>
  <c r="DP41" s="1"/>
  <c r="CA41"/>
  <c r="CA35"/>
  <c r="BM31"/>
  <c r="CA31"/>
  <c r="BM27"/>
  <c r="CA27"/>
  <c r="BM23"/>
  <c r="CA23"/>
  <c r="BM19"/>
  <c r="CA19"/>
  <c r="BO206"/>
  <c r="DO206" s="1"/>
  <c r="BM206"/>
  <c r="BO202"/>
  <c r="DO202" s="1"/>
  <c r="BM202"/>
  <c r="BO198"/>
  <c r="DO198" s="1"/>
  <c r="BM198"/>
  <c r="BO194"/>
  <c r="DO194" s="1"/>
  <c r="BM194"/>
  <c r="BO190"/>
  <c r="DO190" s="1"/>
  <c r="BM190"/>
  <c r="BO186"/>
  <c r="DO186" s="1"/>
  <c r="BM186"/>
  <c r="BO182"/>
  <c r="DO182" s="1"/>
  <c r="BM182"/>
  <c r="BO178"/>
  <c r="DO178" s="1"/>
  <c r="BM178"/>
  <c r="BO174"/>
  <c r="DO174" s="1"/>
  <c r="BM174"/>
  <c r="BO170"/>
  <c r="DO170" s="1"/>
  <c r="BM170"/>
  <c r="BO166"/>
  <c r="DO166" s="1"/>
  <c r="BM166"/>
  <c r="BO162"/>
  <c r="DO162" s="1"/>
  <c r="BM162"/>
  <c r="BO158"/>
  <c r="DO158" s="1"/>
  <c r="BM158"/>
  <c r="BO154"/>
  <c r="DO154" s="1"/>
  <c r="BM154"/>
  <c r="BO150"/>
  <c r="DO150" s="1"/>
  <c r="BM150"/>
  <c r="BO146"/>
  <c r="DO146" s="1"/>
  <c r="BM146"/>
  <c r="BO142"/>
  <c r="DO142" s="1"/>
  <c r="BM142"/>
  <c r="BO138"/>
  <c r="DO138" s="1"/>
  <c r="BM138"/>
  <c r="BO134"/>
  <c r="DO134" s="1"/>
  <c r="BM134"/>
  <c r="BO130"/>
  <c r="DO130" s="1"/>
  <c r="BM130"/>
  <c r="BO126"/>
  <c r="DO126" s="1"/>
  <c r="BM126"/>
  <c r="BO122"/>
  <c r="DO122" s="1"/>
  <c r="BM122"/>
  <c r="BO118"/>
  <c r="DO118" s="1"/>
  <c r="BM118"/>
  <c r="BO114"/>
  <c r="DO114" s="1"/>
  <c r="BM114"/>
  <c r="BO110"/>
  <c r="DO110" s="1"/>
  <c r="BM110"/>
  <c r="BO106"/>
  <c r="DO106" s="1"/>
  <c r="BM106"/>
  <c r="BO102"/>
  <c r="DO102" s="1"/>
  <c r="BM102"/>
  <c r="BO98"/>
  <c r="DO98" s="1"/>
  <c r="BM98"/>
  <c r="BO94"/>
  <c r="DO94" s="1"/>
  <c r="BM94"/>
  <c r="BO90"/>
  <c r="DO90" s="1"/>
  <c r="BM90"/>
  <c r="BO86"/>
  <c r="DO86" s="1"/>
  <c r="BM86"/>
  <c r="BO82"/>
  <c r="DO82" s="1"/>
  <c r="BM82"/>
  <c r="BO78"/>
  <c r="DO78" s="1"/>
  <c r="BM78"/>
  <c r="BO74"/>
  <c r="DO74" s="1"/>
  <c r="BM74"/>
  <c r="BO70"/>
  <c r="DO70" s="1"/>
  <c r="BM70"/>
  <c r="BO66"/>
  <c r="DO66" s="1"/>
  <c r="BM66"/>
  <c r="BO62"/>
  <c r="DO62" s="1"/>
  <c r="BM62"/>
  <c r="BO58"/>
  <c r="DO58" s="1"/>
  <c r="BM58"/>
  <c r="BO54"/>
  <c r="DO54" s="1"/>
  <c r="BM54"/>
  <c r="BO50"/>
  <c r="DO50" s="1"/>
  <c r="BM50"/>
  <c r="BO46"/>
  <c r="DO46" s="1"/>
  <c r="BM46"/>
  <c r="BO42"/>
  <c r="DO42" s="1"/>
  <c r="BM42"/>
  <c r="BO38"/>
  <c r="DO38" s="1"/>
  <c r="BM38"/>
  <c r="AY34"/>
  <c r="BM34"/>
  <c r="AY30"/>
  <c r="BM30"/>
  <c r="AY26"/>
  <c r="BM26"/>
  <c r="AY22"/>
  <c r="BM22"/>
  <c r="AY18"/>
  <c r="BM18"/>
  <c r="BM17"/>
  <c r="BM16"/>
  <c r="AY14"/>
  <c r="BM14"/>
  <c r="BM13"/>
  <c r="AY9"/>
  <c r="BM9"/>
  <c r="BO203"/>
  <c r="DO203" s="1"/>
  <c r="BM203"/>
  <c r="BO199"/>
  <c r="DO199" s="1"/>
  <c r="BM199"/>
  <c r="BO195"/>
  <c r="DO195" s="1"/>
  <c r="BM195"/>
  <c r="BM191"/>
  <c r="BO191"/>
  <c r="DO191" s="1"/>
  <c r="BM187"/>
  <c r="BO187"/>
  <c r="DO187" s="1"/>
  <c r="BM183"/>
  <c r="BO183"/>
  <c r="DO183" s="1"/>
  <c r="BM179"/>
  <c r="BO179"/>
  <c r="DO179" s="1"/>
  <c r="BM175"/>
  <c r="BO175"/>
  <c r="DO175" s="1"/>
  <c r="BM171"/>
  <c r="BO171"/>
  <c r="DO171" s="1"/>
  <c r="BM167"/>
  <c r="BO167"/>
  <c r="DO167" s="1"/>
  <c r="BM163"/>
  <c r="BO163"/>
  <c r="DO163" s="1"/>
  <c r="BM159"/>
  <c r="BO159"/>
  <c r="DO159" s="1"/>
  <c r="BM155"/>
  <c r="BO155"/>
  <c r="DO155" s="1"/>
  <c r="BM151"/>
  <c r="BO151"/>
  <c r="DO151" s="1"/>
  <c r="BM147"/>
  <c r="BO147"/>
  <c r="DO147" s="1"/>
  <c r="BM143"/>
  <c r="BO143"/>
  <c r="DO143" s="1"/>
  <c r="BM139"/>
  <c r="BO139"/>
  <c r="DO139" s="1"/>
  <c r="BM135"/>
  <c r="BO135"/>
  <c r="DO135" s="1"/>
  <c r="BM131"/>
  <c r="BO131"/>
  <c r="DO131" s="1"/>
  <c r="BM127"/>
  <c r="BO127"/>
  <c r="DO127" s="1"/>
  <c r="BM123"/>
  <c r="BO123"/>
  <c r="DO123" s="1"/>
  <c r="BM119"/>
  <c r="BO119"/>
  <c r="DO119" s="1"/>
  <c r="BM115"/>
  <c r="BO115"/>
  <c r="DO115" s="1"/>
  <c r="BM111"/>
  <c r="BO111"/>
  <c r="DO111" s="1"/>
  <c r="BM107"/>
  <c r="BO107"/>
  <c r="DO107" s="1"/>
  <c r="BM103"/>
  <c r="BO103"/>
  <c r="DO103" s="1"/>
  <c r="BM99"/>
  <c r="BO99"/>
  <c r="DO99" s="1"/>
  <c r="BM95"/>
  <c r="BO95"/>
  <c r="DO95" s="1"/>
  <c r="BM91"/>
  <c r="BO91"/>
  <c r="DO91" s="1"/>
  <c r="BM87"/>
  <c r="BO87"/>
  <c r="DO87" s="1"/>
  <c r="BM83"/>
  <c r="BO83"/>
  <c r="DO83" s="1"/>
  <c r="BM79"/>
  <c r="BO79"/>
  <c r="DO79" s="1"/>
  <c r="BM75"/>
  <c r="BO75"/>
  <c r="DO75" s="1"/>
  <c r="BM71"/>
  <c r="BO71"/>
  <c r="DO71" s="1"/>
  <c r="BM67"/>
  <c r="BO67"/>
  <c r="DO67" s="1"/>
  <c r="BM63"/>
  <c r="BO63"/>
  <c r="DO63" s="1"/>
  <c r="BM59"/>
  <c r="BO59"/>
  <c r="DO59" s="1"/>
  <c r="BM55"/>
  <c r="BO55"/>
  <c r="DO55" s="1"/>
  <c r="BM51"/>
  <c r="BO51"/>
  <c r="DO51" s="1"/>
  <c r="BM47"/>
  <c r="BO47"/>
  <c r="DO47" s="1"/>
  <c r="BM43"/>
  <c r="BO43"/>
  <c r="DO43" s="1"/>
  <c r="BM39"/>
  <c r="BO39"/>
  <c r="DO39" s="1"/>
  <c r="BM37"/>
  <c r="BM33"/>
  <c r="BM29"/>
  <c r="BM25"/>
  <c r="BM21"/>
  <c r="AY10"/>
  <c r="BM10"/>
  <c r="BO204"/>
  <c r="DO204" s="1"/>
  <c r="BM204"/>
  <c r="BO200"/>
  <c r="DO200" s="1"/>
  <c r="BM200"/>
  <c r="BO196"/>
  <c r="DO196" s="1"/>
  <c r="BM196"/>
  <c r="BO192"/>
  <c r="DO192" s="1"/>
  <c r="BM192"/>
  <c r="BO188"/>
  <c r="DO188" s="1"/>
  <c r="BM188"/>
  <c r="BO184"/>
  <c r="DO184" s="1"/>
  <c r="BM184"/>
  <c r="BO180"/>
  <c r="DO180" s="1"/>
  <c r="BM180"/>
  <c r="BO176"/>
  <c r="DO176" s="1"/>
  <c r="BM176"/>
  <c r="BO172"/>
  <c r="DO172" s="1"/>
  <c r="BM172"/>
  <c r="BO168"/>
  <c r="DO168" s="1"/>
  <c r="BM168"/>
  <c r="BO164"/>
  <c r="DO164" s="1"/>
  <c r="BM164"/>
  <c r="BO160"/>
  <c r="DO160" s="1"/>
  <c r="BM160"/>
  <c r="BO156"/>
  <c r="DO156" s="1"/>
  <c r="BM156"/>
  <c r="BO152"/>
  <c r="DO152" s="1"/>
  <c r="BM152"/>
  <c r="BO148"/>
  <c r="DO148" s="1"/>
  <c r="BM148"/>
  <c r="BO144"/>
  <c r="DO144" s="1"/>
  <c r="BM144"/>
  <c r="BO140"/>
  <c r="DO140" s="1"/>
  <c r="BM140"/>
  <c r="BO136"/>
  <c r="DO136" s="1"/>
  <c r="BM136"/>
  <c r="BO132"/>
  <c r="DO132" s="1"/>
  <c r="BM132"/>
  <c r="BO128"/>
  <c r="DO128" s="1"/>
  <c r="BM128"/>
  <c r="BO124"/>
  <c r="DO124" s="1"/>
  <c r="BM124"/>
  <c r="BO120"/>
  <c r="DO120" s="1"/>
  <c r="BM120"/>
  <c r="BO116"/>
  <c r="DO116" s="1"/>
  <c r="BM116"/>
  <c r="BO112"/>
  <c r="DO112" s="1"/>
  <c r="BM112"/>
  <c r="BO108"/>
  <c r="DO108" s="1"/>
  <c r="BM108"/>
  <c r="BO104"/>
  <c r="DO104" s="1"/>
  <c r="BM104"/>
  <c r="BO100"/>
  <c r="DO100" s="1"/>
  <c r="BM100"/>
  <c r="BO96"/>
  <c r="DO96" s="1"/>
  <c r="BM96"/>
  <c r="BO92"/>
  <c r="DO92" s="1"/>
  <c r="BM92"/>
  <c r="BO88"/>
  <c r="DO88" s="1"/>
  <c r="BM88"/>
  <c r="BO84"/>
  <c r="DO84" s="1"/>
  <c r="BM84"/>
  <c r="BO80"/>
  <c r="DO80" s="1"/>
  <c r="BM80"/>
  <c r="BO76"/>
  <c r="DO76" s="1"/>
  <c r="BM76"/>
  <c r="BO72"/>
  <c r="DO72" s="1"/>
  <c r="BM72"/>
  <c r="BO68"/>
  <c r="DO68" s="1"/>
  <c r="BM68"/>
  <c r="BO64"/>
  <c r="DO64" s="1"/>
  <c r="BM64"/>
  <c r="BO60"/>
  <c r="DO60" s="1"/>
  <c r="BM60"/>
  <c r="BO56"/>
  <c r="DO56" s="1"/>
  <c r="BM56"/>
  <c r="BO52"/>
  <c r="DO52" s="1"/>
  <c r="BM52"/>
  <c r="BO48"/>
  <c r="DO48" s="1"/>
  <c r="BM48"/>
  <c r="BO44"/>
  <c r="DO44" s="1"/>
  <c r="BM44"/>
  <c r="BO40"/>
  <c r="DO40" s="1"/>
  <c r="BM40"/>
  <c r="BM28"/>
  <c r="BM24"/>
  <c r="BM20"/>
  <c r="BO205"/>
  <c r="DO205" s="1"/>
  <c r="BM205"/>
  <c r="BO201"/>
  <c r="DO201" s="1"/>
  <c r="BM201"/>
  <c r="BO197"/>
  <c r="DO197" s="1"/>
  <c r="BM197"/>
  <c r="BO193"/>
  <c r="DO193" s="1"/>
  <c r="BM193"/>
  <c r="BM189"/>
  <c r="BO189"/>
  <c r="DO189" s="1"/>
  <c r="BM185"/>
  <c r="BO185"/>
  <c r="DO185" s="1"/>
  <c r="BM181"/>
  <c r="BO181"/>
  <c r="DO181" s="1"/>
  <c r="BM177"/>
  <c r="BO177"/>
  <c r="DO177" s="1"/>
  <c r="BM173"/>
  <c r="BO173"/>
  <c r="DO173" s="1"/>
  <c r="BM169"/>
  <c r="BO169"/>
  <c r="DO169" s="1"/>
  <c r="BM165"/>
  <c r="BO165"/>
  <c r="DO165" s="1"/>
  <c r="BM161"/>
  <c r="BO161"/>
  <c r="DO161" s="1"/>
  <c r="BM157"/>
  <c r="BO157"/>
  <c r="DO157" s="1"/>
  <c r="BM153"/>
  <c r="BO153"/>
  <c r="DO153" s="1"/>
  <c r="BM149"/>
  <c r="BO149"/>
  <c r="DO149" s="1"/>
  <c r="BM145"/>
  <c r="BO145"/>
  <c r="DO145" s="1"/>
  <c r="BM141"/>
  <c r="BO141"/>
  <c r="DO141" s="1"/>
  <c r="BM137"/>
  <c r="BO137"/>
  <c r="DO137" s="1"/>
  <c r="BM133"/>
  <c r="BO133"/>
  <c r="DO133" s="1"/>
  <c r="BM129"/>
  <c r="BO129"/>
  <c r="DO129" s="1"/>
  <c r="BM125"/>
  <c r="BO125"/>
  <c r="DO125" s="1"/>
  <c r="BM121"/>
  <c r="BO121"/>
  <c r="DO121" s="1"/>
  <c r="BM117"/>
  <c r="BO117"/>
  <c r="DO117" s="1"/>
  <c r="BM113"/>
  <c r="BO113"/>
  <c r="DO113" s="1"/>
  <c r="BM109"/>
  <c r="BO109"/>
  <c r="DO109" s="1"/>
  <c r="BM105"/>
  <c r="BO105"/>
  <c r="DO105" s="1"/>
  <c r="BM101"/>
  <c r="BO101"/>
  <c r="DO101" s="1"/>
  <c r="BM97"/>
  <c r="BO97"/>
  <c r="DO97" s="1"/>
  <c r="BM93"/>
  <c r="BO93"/>
  <c r="DO93" s="1"/>
  <c r="BM89"/>
  <c r="BO89"/>
  <c r="DO89" s="1"/>
  <c r="BM85"/>
  <c r="BO85"/>
  <c r="DO85" s="1"/>
  <c r="BM81"/>
  <c r="BO81"/>
  <c r="DO81" s="1"/>
  <c r="BM77"/>
  <c r="BO77"/>
  <c r="DO77" s="1"/>
  <c r="BM73"/>
  <c r="BO73"/>
  <c r="DO73" s="1"/>
  <c r="BM69"/>
  <c r="BO69"/>
  <c r="DO69" s="1"/>
  <c r="BM65"/>
  <c r="BO65"/>
  <c r="DO65" s="1"/>
  <c r="BM61"/>
  <c r="BO61"/>
  <c r="DO61" s="1"/>
  <c r="BM57"/>
  <c r="BO57"/>
  <c r="DO57" s="1"/>
  <c r="BM53"/>
  <c r="BO53"/>
  <c r="DO53" s="1"/>
  <c r="BM49"/>
  <c r="BO49"/>
  <c r="DO49" s="1"/>
  <c r="BM45"/>
  <c r="BO45"/>
  <c r="DO45" s="1"/>
  <c r="BM41"/>
  <c r="BO41"/>
  <c r="DO41" s="1"/>
  <c r="AY35"/>
  <c r="BM35"/>
  <c r="BM12"/>
  <c r="AY8"/>
  <c r="BM8"/>
  <c r="AY206"/>
  <c r="BA206"/>
  <c r="DN206" s="1"/>
  <c r="BA186"/>
  <c r="DN186" s="1"/>
  <c r="AY186"/>
  <c r="BA182"/>
  <c r="DN182" s="1"/>
  <c r="AY182"/>
  <c r="BA178"/>
  <c r="DN178" s="1"/>
  <c r="AY178"/>
  <c r="BA174"/>
  <c r="DN174" s="1"/>
  <c r="AY174"/>
  <c r="BA170"/>
  <c r="DN170" s="1"/>
  <c r="AY170"/>
  <c r="BA166"/>
  <c r="DN166" s="1"/>
  <c r="AY166"/>
  <c r="BA162"/>
  <c r="DN162" s="1"/>
  <c r="AY162"/>
  <c r="BA158"/>
  <c r="DN158" s="1"/>
  <c r="AY158"/>
  <c r="BA154"/>
  <c r="DN154" s="1"/>
  <c r="AY154"/>
  <c r="BA150"/>
  <c r="DN150" s="1"/>
  <c r="AY150"/>
  <c r="BA146"/>
  <c r="DN146" s="1"/>
  <c r="AY146"/>
  <c r="BA142"/>
  <c r="DN142" s="1"/>
  <c r="AY142"/>
  <c r="BA138"/>
  <c r="DN138" s="1"/>
  <c r="AY138"/>
  <c r="BA134"/>
  <c r="DN134" s="1"/>
  <c r="AY134"/>
  <c r="BA130"/>
  <c r="DN130" s="1"/>
  <c r="AY130"/>
  <c r="BA126"/>
  <c r="DN126" s="1"/>
  <c r="AY126"/>
  <c r="BA122"/>
  <c r="DN122" s="1"/>
  <c r="AY122"/>
  <c r="BA118"/>
  <c r="DN118" s="1"/>
  <c r="AY118"/>
  <c r="BA114"/>
  <c r="DN114" s="1"/>
  <c r="AY114"/>
  <c r="BA110"/>
  <c r="DN110" s="1"/>
  <c r="AY110"/>
  <c r="BA106"/>
  <c r="DN106" s="1"/>
  <c r="AY106"/>
  <c r="BA102"/>
  <c r="DN102" s="1"/>
  <c r="AY102"/>
  <c r="BA98"/>
  <c r="DN98" s="1"/>
  <c r="AY98"/>
  <c r="BA94"/>
  <c r="DN94" s="1"/>
  <c r="AY94"/>
  <c r="BA90"/>
  <c r="DN90" s="1"/>
  <c r="AY90"/>
  <c r="BA86"/>
  <c r="DN86" s="1"/>
  <c r="AY86"/>
  <c r="BA82"/>
  <c r="DN82" s="1"/>
  <c r="AY82"/>
  <c r="BA78"/>
  <c r="DN78" s="1"/>
  <c r="AY78"/>
  <c r="BA74"/>
  <c r="DN74" s="1"/>
  <c r="AY74"/>
  <c r="BA70"/>
  <c r="DN70" s="1"/>
  <c r="AY70"/>
  <c r="BA66"/>
  <c r="DN66" s="1"/>
  <c r="AY66"/>
  <c r="BA62"/>
  <c r="DN62" s="1"/>
  <c r="AY62"/>
  <c r="BA58"/>
  <c r="DN58" s="1"/>
  <c r="AY58"/>
  <c r="BA54"/>
  <c r="DN54" s="1"/>
  <c r="AY54"/>
  <c r="BA50"/>
  <c r="DN50" s="1"/>
  <c r="AY50"/>
  <c r="BA46"/>
  <c r="DN46" s="1"/>
  <c r="AY46"/>
  <c r="BA42"/>
  <c r="DN42" s="1"/>
  <c r="AY42"/>
  <c r="BA38"/>
  <c r="DN38" s="1"/>
  <c r="AY38"/>
  <c r="AY17"/>
  <c r="AY16"/>
  <c r="AY15"/>
  <c r="AY13"/>
  <c r="BA203"/>
  <c r="DN203" s="1"/>
  <c r="AY203"/>
  <c r="BA199"/>
  <c r="DN199" s="1"/>
  <c r="AY199"/>
  <c r="BA195"/>
  <c r="DN195" s="1"/>
  <c r="AY195"/>
  <c r="AY191"/>
  <c r="BA191"/>
  <c r="DN191" s="1"/>
  <c r="AY187"/>
  <c r="BA187"/>
  <c r="DN187" s="1"/>
  <c r="AY183"/>
  <c r="BA183"/>
  <c r="DN183" s="1"/>
  <c r="AY179"/>
  <c r="BA179"/>
  <c r="DN179" s="1"/>
  <c r="AY175"/>
  <c r="BA175"/>
  <c r="DN175" s="1"/>
  <c r="AY171"/>
  <c r="BA171"/>
  <c r="DN171" s="1"/>
  <c r="AY167"/>
  <c r="BA167"/>
  <c r="DN167" s="1"/>
  <c r="AY163"/>
  <c r="BA163"/>
  <c r="DN163" s="1"/>
  <c r="AY159"/>
  <c r="BA159"/>
  <c r="DN159" s="1"/>
  <c r="AY155"/>
  <c r="BA155"/>
  <c r="DN155" s="1"/>
  <c r="AY151"/>
  <c r="BA151"/>
  <c r="DN151" s="1"/>
  <c r="AY147"/>
  <c r="BA147"/>
  <c r="DN147" s="1"/>
  <c r="AY143"/>
  <c r="BA143"/>
  <c r="DN143" s="1"/>
  <c r="AY139"/>
  <c r="BA139"/>
  <c r="DN139" s="1"/>
  <c r="AY135"/>
  <c r="BA135"/>
  <c r="DN135" s="1"/>
  <c r="AY131"/>
  <c r="BA131"/>
  <c r="DN131" s="1"/>
  <c r="AY127"/>
  <c r="BA127"/>
  <c r="DN127" s="1"/>
  <c r="AY123"/>
  <c r="BA123"/>
  <c r="DN123" s="1"/>
  <c r="AY119"/>
  <c r="BA119"/>
  <c r="DN119" s="1"/>
  <c r="AY115"/>
  <c r="BA115"/>
  <c r="DN115" s="1"/>
  <c r="AY111"/>
  <c r="BA111"/>
  <c r="DN111" s="1"/>
  <c r="AY107"/>
  <c r="BA107"/>
  <c r="DN107" s="1"/>
  <c r="AY103"/>
  <c r="BA103"/>
  <c r="DN103" s="1"/>
  <c r="AY99"/>
  <c r="BA99"/>
  <c r="DN99" s="1"/>
  <c r="AY95"/>
  <c r="BA95"/>
  <c r="DN95" s="1"/>
  <c r="AY91"/>
  <c r="BA91"/>
  <c r="DN91" s="1"/>
  <c r="AY87"/>
  <c r="BA87"/>
  <c r="DN87" s="1"/>
  <c r="AY83"/>
  <c r="BA83"/>
  <c r="DN83" s="1"/>
  <c r="AY79"/>
  <c r="BA79"/>
  <c r="DN79" s="1"/>
  <c r="AY75"/>
  <c r="BA75"/>
  <c r="DN75" s="1"/>
  <c r="AY71"/>
  <c r="BA71"/>
  <c r="DN71" s="1"/>
  <c r="AY67"/>
  <c r="BA67"/>
  <c r="DN67" s="1"/>
  <c r="AY63"/>
  <c r="BA63"/>
  <c r="DN63" s="1"/>
  <c r="AY59"/>
  <c r="BA59"/>
  <c r="DN59" s="1"/>
  <c r="AY55"/>
  <c r="BA55"/>
  <c r="DN55" s="1"/>
  <c r="AY51"/>
  <c r="BA51"/>
  <c r="DN51" s="1"/>
  <c r="AY47"/>
  <c r="BA47"/>
  <c r="DN47" s="1"/>
  <c r="AY43"/>
  <c r="BA43"/>
  <c r="DN43" s="1"/>
  <c r="AY39"/>
  <c r="BA39"/>
  <c r="DN39" s="1"/>
  <c r="AY37"/>
  <c r="AY33"/>
  <c r="AY29"/>
  <c r="AY25"/>
  <c r="AY21"/>
  <c r="AY202"/>
  <c r="BA202"/>
  <c r="DN202" s="1"/>
  <c r="AY194"/>
  <c r="BA194"/>
  <c r="DN194" s="1"/>
  <c r="AY7"/>
  <c r="BA7" s="1"/>
  <c r="AY204"/>
  <c r="BA204"/>
  <c r="DN204" s="1"/>
  <c r="AY200"/>
  <c r="BA200"/>
  <c r="DN200" s="1"/>
  <c r="AY196"/>
  <c r="BA196"/>
  <c r="DN196" s="1"/>
  <c r="AY192"/>
  <c r="BA192"/>
  <c r="DN192" s="1"/>
  <c r="BA188"/>
  <c r="DN188" s="1"/>
  <c r="AY188"/>
  <c r="BA184"/>
  <c r="DN184" s="1"/>
  <c r="AY184"/>
  <c r="BA180"/>
  <c r="DN180" s="1"/>
  <c r="AY180"/>
  <c r="BA176"/>
  <c r="DN176" s="1"/>
  <c r="AY176"/>
  <c r="BA172"/>
  <c r="DN172" s="1"/>
  <c r="AY172"/>
  <c r="BA168"/>
  <c r="DN168" s="1"/>
  <c r="AY168"/>
  <c r="BA164"/>
  <c r="DN164" s="1"/>
  <c r="AY164"/>
  <c r="BA160"/>
  <c r="DN160" s="1"/>
  <c r="AY160"/>
  <c r="BA156"/>
  <c r="DN156" s="1"/>
  <c r="AY156"/>
  <c r="BA152"/>
  <c r="DN152" s="1"/>
  <c r="AY152"/>
  <c r="BA148"/>
  <c r="DN148" s="1"/>
  <c r="AY148"/>
  <c r="BA144"/>
  <c r="DN144" s="1"/>
  <c r="AY144"/>
  <c r="BA140"/>
  <c r="DN140" s="1"/>
  <c r="AY140"/>
  <c r="BA136"/>
  <c r="DN136" s="1"/>
  <c r="AY136"/>
  <c r="BA132"/>
  <c r="DN132" s="1"/>
  <c r="AY132"/>
  <c r="BA128"/>
  <c r="DN128" s="1"/>
  <c r="AY128"/>
  <c r="BA124"/>
  <c r="DN124" s="1"/>
  <c r="AY124"/>
  <c r="BA120"/>
  <c r="DN120" s="1"/>
  <c r="AY120"/>
  <c r="BA116"/>
  <c r="DN116" s="1"/>
  <c r="AY116"/>
  <c r="BA112"/>
  <c r="DN112" s="1"/>
  <c r="AY112"/>
  <c r="BA108"/>
  <c r="DN108" s="1"/>
  <c r="AY108"/>
  <c r="BA104"/>
  <c r="DN104" s="1"/>
  <c r="AY104"/>
  <c r="BA100"/>
  <c r="DN100" s="1"/>
  <c r="AY100"/>
  <c r="BA96"/>
  <c r="DN96" s="1"/>
  <c r="AY96"/>
  <c r="BA92"/>
  <c r="DN92" s="1"/>
  <c r="AY92"/>
  <c r="BA88"/>
  <c r="DN88" s="1"/>
  <c r="AY88"/>
  <c r="BA84"/>
  <c r="DN84" s="1"/>
  <c r="AY84"/>
  <c r="BA80"/>
  <c r="DN80" s="1"/>
  <c r="AY80"/>
  <c r="BA76"/>
  <c r="DN76" s="1"/>
  <c r="AY76"/>
  <c r="BA72"/>
  <c r="DN72" s="1"/>
  <c r="AY72"/>
  <c r="BA68"/>
  <c r="DN68" s="1"/>
  <c r="AY68"/>
  <c r="BA64"/>
  <c r="DN64" s="1"/>
  <c r="AY64"/>
  <c r="BA60"/>
  <c r="DN60" s="1"/>
  <c r="AY60"/>
  <c r="BA56"/>
  <c r="DN56" s="1"/>
  <c r="AY56"/>
  <c r="BA52"/>
  <c r="DN52" s="1"/>
  <c r="AY52"/>
  <c r="BA48"/>
  <c r="DN48" s="1"/>
  <c r="AY48"/>
  <c r="BA44"/>
  <c r="DN44" s="1"/>
  <c r="AY44"/>
  <c r="BA40"/>
  <c r="DN40" s="1"/>
  <c r="AY40"/>
  <c r="AY36"/>
  <c r="AY32"/>
  <c r="AY28"/>
  <c r="AY24"/>
  <c r="AY20"/>
  <c r="AY11"/>
  <c r="AY198"/>
  <c r="BA198"/>
  <c r="DN198" s="1"/>
  <c r="BA190"/>
  <c r="DN190" s="1"/>
  <c r="AY190"/>
  <c r="BA205"/>
  <c r="DN205" s="1"/>
  <c r="AY205"/>
  <c r="BA201"/>
  <c r="DN201" s="1"/>
  <c r="AY201"/>
  <c r="BA197"/>
  <c r="DN197" s="1"/>
  <c r="AY197"/>
  <c r="BA193"/>
  <c r="DN193" s="1"/>
  <c r="AY193"/>
  <c r="AY189"/>
  <c r="BA189"/>
  <c r="DN189" s="1"/>
  <c r="AY185"/>
  <c r="BA185"/>
  <c r="DN185" s="1"/>
  <c r="AY181"/>
  <c r="BA181"/>
  <c r="DN181" s="1"/>
  <c r="AY177"/>
  <c r="BA177"/>
  <c r="DN177" s="1"/>
  <c r="AY173"/>
  <c r="BA173"/>
  <c r="DN173" s="1"/>
  <c r="AY169"/>
  <c r="BA169"/>
  <c r="DN169" s="1"/>
  <c r="AY165"/>
  <c r="BA165"/>
  <c r="DN165" s="1"/>
  <c r="AY161"/>
  <c r="BA161"/>
  <c r="DN161" s="1"/>
  <c r="AY157"/>
  <c r="BA157"/>
  <c r="DN157" s="1"/>
  <c r="AY153"/>
  <c r="BA153"/>
  <c r="DN153" s="1"/>
  <c r="AY149"/>
  <c r="BA149"/>
  <c r="DN149" s="1"/>
  <c r="AY145"/>
  <c r="BA145"/>
  <c r="DN145" s="1"/>
  <c r="AY141"/>
  <c r="BA141"/>
  <c r="DN141" s="1"/>
  <c r="AY137"/>
  <c r="BA137"/>
  <c r="DN137" s="1"/>
  <c r="AY133"/>
  <c r="BA133"/>
  <c r="DN133" s="1"/>
  <c r="AY129"/>
  <c r="BA129"/>
  <c r="DN129" s="1"/>
  <c r="AY125"/>
  <c r="BA125"/>
  <c r="DN125" s="1"/>
  <c r="AY121"/>
  <c r="BA121"/>
  <c r="DN121" s="1"/>
  <c r="AY117"/>
  <c r="BA117"/>
  <c r="DN117" s="1"/>
  <c r="AY113"/>
  <c r="BA113"/>
  <c r="DN113" s="1"/>
  <c r="AY109"/>
  <c r="BA109"/>
  <c r="DN109" s="1"/>
  <c r="AY105"/>
  <c r="BA105"/>
  <c r="DN105" s="1"/>
  <c r="AY101"/>
  <c r="BA101"/>
  <c r="DN101" s="1"/>
  <c r="AY97"/>
  <c r="BA97"/>
  <c r="DN97" s="1"/>
  <c r="AY93"/>
  <c r="BA93"/>
  <c r="DN93" s="1"/>
  <c r="AY89"/>
  <c r="BA89"/>
  <c r="DN89" s="1"/>
  <c r="AY85"/>
  <c r="BA85"/>
  <c r="DN85" s="1"/>
  <c r="AY81"/>
  <c r="BA81"/>
  <c r="DN81" s="1"/>
  <c r="AY77"/>
  <c r="BA77"/>
  <c r="DN77" s="1"/>
  <c r="AY73"/>
  <c r="BA73"/>
  <c r="DN73" s="1"/>
  <c r="AY69"/>
  <c r="BA69"/>
  <c r="DN69" s="1"/>
  <c r="AY65"/>
  <c r="BA65"/>
  <c r="DN65" s="1"/>
  <c r="AY61"/>
  <c r="BA61"/>
  <c r="DN61" s="1"/>
  <c r="AY57"/>
  <c r="BA57"/>
  <c r="DN57" s="1"/>
  <c r="AY53"/>
  <c r="BA53"/>
  <c r="DN53" s="1"/>
  <c r="AY49"/>
  <c r="BA49"/>
  <c r="DN49" s="1"/>
  <c r="AY45"/>
  <c r="BA45"/>
  <c r="DN45" s="1"/>
  <c r="AY41"/>
  <c r="BA41"/>
  <c r="DN41" s="1"/>
  <c r="AY31"/>
  <c r="AY27"/>
  <c r="AY23"/>
  <c r="AY19"/>
  <c r="AY12"/>
  <c r="AL206"/>
  <c r="DM206" s="1"/>
  <c r="AJ206"/>
  <c r="AJ202"/>
  <c r="AL202"/>
  <c r="DM202" s="1"/>
  <c r="AJ198"/>
  <c r="AL198"/>
  <c r="DM198" s="1"/>
  <c r="AJ194"/>
  <c r="AL194"/>
  <c r="DM194" s="1"/>
  <c r="AJ190"/>
  <c r="AL190"/>
  <c r="DM190" s="1"/>
  <c r="AJ186"/>
  <c r="AL186"/>
  <c r="DM186" s="1"/>
  <c r="AJ182"/>
  <c r="AL182"/>
  <c r="DM182" s="1"/>
  <c r="AJ178"/>
  <c r="AL178"/>
  <c r="DM178" s="1"/>
  <c r="AJ174"/>
  <c r="AL174"/>
  <c r="DM174" s="1"/>
  <c r="AJ170"/>
  <c r="AL170"/>
  <c r="DM170" s="1"/>
  <c r="AJ166"/>
  <c r="AL166"/>
  <c r="DM166" s="1"/>
  <c r="AJ162"/>
  <c r="AL162"/>
  <c r="DM162" s="1"/>
  <c r="AJ158"/>
  <c r="AL158"/>
  <c r="DM158" s="1"/>
  <c r="AJ154"/>
  <c r="AL154"/>
  <c r="DM154" s="1"/>
  <c r="AJ150"/>
  <c r="AL150"/>
  <c r="DM150" s="1"/>
  <c r="AJ146"/>
  <c r="AL146"/>
  <c r="DM146" s="1"/>
  <c r="AJ142"/>
  <c r="AL142"/>
  <c r="DM142" s="1"/>
  <c r="AJ138"/>
  <c r="AL138"/>
  <c r="DM138" s="1"/>
  <c r="AJ134"/>
  <c r="AL134"/>
  <c r="DM134" s="1"/>
  <c r="AJ130"/>
  <c r="AL130"/>
  <c r="DM130" s="1"/>
  <c r="AJ126"/>
  <c r="AL126"/>
  <c r="DM126" s="1"/>
  <c r="AL122"/>
  <c r="DM122" s="1"/>
  <c r="AJ122"/>
  <c r="AL118"/>
  <c r="DM118" s="1"/>
  <c r="AJ118"/>
  <c r="AL114"/>
  <c r="DM114" s="1"/>
  <c r="AJ114"/>
  <c r="AL110"/>
  <c r="DM110" s="1"/>
  <c r="AJ110"/>
  <c r="AL106"/>
  <c r="DM106" s="1"/>
  <c r="AJ106"/>
  <c r="AL102"/>
  <c r="DM102" s="1"/>
  <c r="AJ102"/>
  <c r="AL98"/>
  <c r="DM98" s="1"/>
  <c r="AJ98"/>
  <c r="AL94"/>
  <c r="DM94" s="1"/>
  <c r="AJ94"/>
  <c r="AL90"/>
  <c r="DM90" s="1"/>
  <c r="AJ90"/>
  <c r="AL86"/>
  <c r="DM86" s="1"/>
  <c r="AJ86"/>
  <c r="AL82"/>
  <c r="DM82" s="1"/>
  <c r="AJ82"/>
  <c r="AL78"/>
  <c r="DM78" s="1"/>
  <c r="AJ78"/>
  <c r="AL74"/>
  <c r="DM74" s="1"/>
  <c r="AJ74"/>
  <c r="AJ70"/>
  <c r="AL70"/>
  <c r="DM70" s="1"/>
  <c r="AJ66"/>
  <c r="AL66"/>
  <c r="DM66" s="1"/>
  <c r="AJ62"/>
  <c r="AL62"/>
  <c r="DM62" s="1"/>
  <c r="AL58"/>
  <c r="DM58" s="1"/>
  <c r="AJ58"/>
  <c r="AL54"/>
  <c r="DM54" s="1"/>
  <c r="AJ54"/>
  <c r="AJ50"/>
  <c r="AL50"/>
  <c r="DM50" s="1"/>
  <c r="AJ46"/>
  <c r="AL46"/>
  <c r="DM46" s="1"/>
  <c r="AL42"/>
  <c r="DM42" s="1"/>
  <c r="AJ42"/>
  <c r="AJ38"/>
  <c r="AL38"/>
  <c r="DM38" s="1"/>
  <c r="AJ17"/>
  <c r="AJ16"/>
  <c r="AJ15"/>
  <c r="AJ14"/>
  <c r="AJ13"/>
  <c r="AJ9"/>
  <c r="AJ203"/>
  <c r="AL203"/>
  <c r="DM203" s="1"/>
  <c r="AJ199"/>
  <c r="AL199"/>
  <c r="DM199" s="1"/>
  <c r="AJ195"/>
  <c r="AL195"/>
  <c r="DM195" s="1"/>
  <c r="AJ191"/>
  <c r="AL191"/>
  <c r="DM191" s="1"/>
  <c r="AJ187"/>
  <c r="AL187"/>
  <c r="DM187" s="1"/>
  <c r="AJ183"/>
  <c r="AL183"/>
  <c r="DM183" s="1"/>
  <c r="AJ179"/>
  <c r="AL179"/>
  <c r="DM179" s="1"/>
  <c r="AJ175"/>
  <c r="AL175"/>
  <c r="DM175" s="1"/>
  <c r="AJ171"/>
  <c r="AL171"/>
  <c r="DM171" s="1"/>
  <c r="AJ167"/>
  <c r="AL167"/>
  <c r="DM167" s="1"/>
  <c r="AJ163"/>
  <c r="AL163"/>
  <c r="DM163" s="1"/>
  <c r="AJ159"/>
  <c r="AL159"/>
  <c r="DM159" s="1"/>
  <c r="AJ155"/>
  <c r="AL155"/>
  <c r="DM155" s="1"/>
  <c r="AJ151"/>
  <c r="AL151"/>
  <c r="DM151" s="1"/>
  <c r="AJ147"/>
  <c r="AL147"/>
  <c r="DM147" s="1"/>
  <c r="AJ143"/>
  <c r="AL143"/>
  <c r="DM143" s="1"/>
  <c r="AJ139"/>
  <c r="AL139"/>
  <c r="DM139" s="1"/>
  <c r="AJ135"/>
  <c r="AL135"/>
  <c r="DM135" s="1"/>
  <c r="AJ131"/>
  <c r="AL131"/>
  <c r="DM131" s="1"/>
  <c r="AJ127"/>
  <c r="AL127"/>
  <c r="DM127" s="1"/>
  <c r="AJ123"/>
  <c r="AL123"/>
  <c r="DM123" s="1"/>
  <c r="AJ119"/>
  <c r="AL119"/>
  <c r="DM119" s="1"/>
  <c r="AJ115"/>
  <c r="AL115"/>
  <c r="DM115" s="1"/>
  <c r="AJ111"/>
  <c r="AL111"/>
  <c r="DM111" s="1"/>
  <c r="AJ107"/>
  <c r="AL107"/>
  <c r="DM107" s="1"/>
  <c r="AJ103"/>
  <c r="AL103"/>
  <c r="DM103" s="1"/>
  <c r="AJ99"/>
  <c r="AL99"/>
  <c r="DM99" s="1"/>
  <c r="AJ95"/>
  <c r="AL95"/>
  <c r="DM95" s="1"/>
  <c r="AL91"/>
  <c r="DM91" s="1"/>
  <c r="AJ91"/>
  <c r="AJ87"/>
  <c r="AL87"/>
  <c r="DM87" s="1"/>
  <c r="AJ83"/>
  <c r="AL83"/>
  <c r="DM83" s="1"/>
  <c r="AL79"/>
  <c r="DM79" s="1"/>
  <c r="AJ79"/>
  <c r="AL75"/>
  <c r="DM75" s="1"/>
  <c r="AJ75"/>
  <c r="AJ71"/>
  <c r="AL71"/>
  <c r="DM71" s="1"/>
  <c r="AL67"/>
  <c r="DM67" s="1"/>
  <c r="AJ67"/>
  <c r="AL63"/>
  <c r="DM63" s="1"/>
  <c r="AJ63"/>
  <c r="AL59"/>
  <c r="DM59" s="1"/>
  <c r="AJ59"/>
  <c r="AJ55"/>
  <c r="AL55"/>
  <c r="DM55" s="1"/>
  <c r="AL51"/>
  <c r="DM51" s="1"/>
  <c r="AJ51"/>
  <c r="AL47"/>
  <c r="DM47" s="1"/>
  <c r="AJ47"/>
  <c r="AJ43"/>
  <c r="AL43"/>
  <c r="DM43" s="1"/>
  <c r="AJ39"/>
  <c r="AL39"/>
  <c r="DM39" s="1"/>
  <c r="AJ10"/>
  <c r="AJ7"/>
  <c r="AL7" s="1"/>
  <c r="AJ204"/>
  <c r="AL204"/>
  <c r="DM204" s="1"/>
  <c r="AJ200"/>
  <c r="AL200"/>
  <c r="DM200" s="1"/>
  <c r="AL196"/>
  <c r="DM196" s="1"/>
  <c r="AJ196"/>
  <c r="AJ192"/>
  <c r="AL192"/>
  <c r="DM192" s="1"/>
  <c r="AL188"/>
  <c r="DM188" s="1"/>
  <c r="AJ188"/>
  <c r="AJ184"/>
  <c r="AL184"/>
  <c r="DM184" s="1"/>
  <c r="AL180"/>
  <c r="DM180" s="1"/>
  <c r="AJ180"/>
  <c r="AJ176"/>
  <c r="AL176"/>
  <c r="DM176" s="1"/>
  <c r="AL172"/>
  <c r="DM172" s="1"/>
  <c r="AJ172"/>
  <c r="AJ168"/>
  <c r="AL168"/>
  <c r="DM168" s="1"/>
  <c r="AL164"/>
  <c r="DM164" s="1"/>
  <c r="AJ164"/>
  <c r="AJ160"/>
  <c r="AL160"/>
  <c r="DM160" s="1"/>
  <c r="AL156"/>
  <c r="DM156" s="1"/>
  <c r="AJ156"/>
  <c r="AJ152"/>
  <c r="AL152"/>
  <c r="DM152" s="1"/>
  <c r="AL148"/>
  <c r="DM148" s="1"/>
  <c r="AJ148"/>
  <c r="AJ144"/>
  <c r="AL144"/>
  <c r="DM144" s="1"/>
  <c r="AL140"/>
  <c r="DM140" s="1"/>
  <c r="AJ140"/>
  <c r="AJ136"/>
  <c r="AL136"/>
  <c r="DM136" s="1"/>
  <c r="AL132"/>
  <c r="DM132" s="1"/>
  <c r="AJ132"/>
  <c r="AJ128"/>
  <c r="AL128"/>
  <c r="DM128" s="1"/>
  <c r="AL124"/>
  <c r="DM124" s="1"/>
  <c r="AJ124"/>
  <c r="AL120"/>
  <c r="DM120" s="1"/>
  <c r="AJ120"/>
  <c r="AL116"/>
  <c r="DM116" s="1"/>
  <c r="AJ116"/>
  <c r="AL112"/>
  <c r="DM112" s="1"/>
  <c r="AJ112"/>
  <c r="AL108"/>
  <c r="DM108" s="1"/>
  <c r="AJ108"/>
  <c r="AL104"/>
  <c r="DM104" s="1"/>
  <c r="AJ104"/>
  <c r="AL100"/>
  <c r="DM100" s="1"/>
  <c r="AJ100"/>
  <c r="AL96"/>
  <c r="DM96" s="1"/>
  <c r="AJ96"/>
  <c r="AL92"/>
  <c r="DM92" s="1"/>
  <c r="AJ92"/>
  <c r="AL88"/>
  <c r="DM88" s="1"/>
  <c r="AJ88"/>
  <c r="AL84"/>
  <c r="DM84" s="1"/>
  <c r="AJ84"/>
  <c r="AL80"/>
  <c r="DM80" s="1"/>
  <c r="AJ80"/>
  <c r="AL76"/>
  <c r="DM76" s="1"/>
  <c r="AJ76"/>
  <c r="AL72"/>
  <c r="DM72" s="1"/>
  <c r="AJ72"/>
  <c r="AL68"/>
  <c r="DM68" s="1"/>
  <c r="AJ68"/>
  <c r="AJ64"/>
  <c r="AL64"/>
  <c r="DM64" s="1"/>
  <c r="AJ60"/>
  <c r="AL60"/>
  <c r="DM60" s="1"/>
  <c r="AL56"/>
  <c r="DM56" s="1"/>
  <c r="AJ56"/>
  <c r="AL52"/>
  <c r="DM52" s="1"/>
  <c r="AJ52"/>
  <c r="AJ48"/>
  <c r="AL48"/>
  <c r="DM48" s="1"/>
  <c r="AJ44"/>
  <c r="AL44"/>
  <c r="DM44" s="1"/>
  <c r="AL40"/>
  <c r="DM40" s="1"/>
  <c r="AJ40"/>
  <c r="AJ11"/>
  <c r="AJ205"/>
  <c r="AL205"/>
  <c r="DM205" s="1"/>
  <c r="AJ201"/>
  <c r="AL201"/>
  <c r="DM201" s="1"/>
  <c r="AJ197"/>
  <c r="AL197"/>
  <c r="DM197" s="1"/>
  <c r="AJ193"/>
  <c r="AL193"/>
  <c r="DM193" s="1"/>
  <c r="AJ189"/>
  <c r="AL189"/>
  <c r="DM189" s="1"/>
  <c r="AJ185"/>
  <c r="AL185"/>
  <c r="DM185" s="1"/>
  <c r="AJ181"/>
  <c r="AL181"/>
  <c r="DM181" s="1"/>
  <c r="AJ177"/>
  <c r="AL177"/>
  <c r="DM177" s="1"/>
  <c r="AJ173"/>
  <c r="AL173"/>
  <c r="DM173" s="1"/>
  <c r="AJ169"/>
  <c r="AL169"/>
  <c r="DM169" s="1"/>
  <c r="AJ165"/>
  <c r="AL165"/>
  <c r="DM165" s="1"/>
  <c r="AJ161"/>
  <c r="AL161"/>
  <c r="DM161" s="1"/>
  <c r="AJ157"/>
  <c r="AL157"/>
  <c r="DM157" s="1"/>
  <c r="AJ153"/>
  <c r="AL153"/>
  <c r="DM153" s="1"/>
  <c r="AJ149"/>
  <c r="AL149"/>
  <c r="DM149" s="1"/>
  <c r="AJ145"/>
  <c r="AL145"/>
  <c r="DM145" s="1"/>
  <c r="AJ141"/>
  <c r="AL141"/>
  <c r="DM141" s="1"/>
  <c r="AJ137"/>
  <c r="AL137"/>
  <c r="DM137" s="1"/>
  <c r="AJ133"/>
  <c r="AL133"/>
  <c r="DM133" s="1"/>
  <c r="AJ129"/>
  <c r="AL129"/>
  <c r="DM129" s="1"/>
  <c r="AJ125"/>
  <c r="AL125"/>
  <c r="DM125" s="1"/>
  <c r="AJ121"/>
  <c r="AL121"/>
  <c r="DM121" s="1"/>
  <c r="AJ117"/>
  <c r="AL117"/>
  <c r="DM117" s="1"/>
  <c r="AJ113"/>
  <c r="AL113"/>
  <c r="DM113" s="1"/>
  <c r="AJ109"/>
  <c r="AL109"/>
  <c r="DM109" s="1"/>
  <c r="AJ105"/>
  <c r="AL105"/>
  <c r="DM105" s="1"/>
  <c r="AJ101"/>
  <c r="AL101"/>
  <c r="DM101" s="1"/>
  <c r="AJ97"/>
  <c r="AL97"/>
  <c r="DM97" s="1"/>
  <c r="AJ93"/>
  <c r="AL93"/>
  <c r="DM93" s="1"/>
  <c r="AJ89"/>
  <c r="AL89"/>
  <c r="DM89" s="1"/>
  <c r="AJ85"/>
  <c r="AL85"/>
  <c r="DM85" s="1"/>
  <c r="AJ81"/>
  <c r="AL81"/>
  <c r="DM81" s="1"/>
  <c r="AJ77"/>
  <c r="AL77"/>
  <c r="DM77" s="1"/>
  <c r="AJ73"/>
  <c r="AL73"/>
  <c r="DM73" s="1"/>
  <c r="AL69"/>
  <c r="DM69" s="1"/>
  <c r="AJ69"/>
  <c r="AJ65"/>
  <c r="AL65"/>
  <c r="DM65" s="1"/>
  <c r="AL61"/>
  <c r="DM61" s="1"/>
  <c r="AJ61"/>
  <c r="AJ57"/>
  <c r="AL57"/>
  <c r="DM57" s="1"/>
  <c r="AL53"/>
  <c r="DM53" s="1"/>
  <c r="AJ53"/>
  <c r="AJ49"/>
  <c r="AL49"/>
  <c r="DM49" s="1"/>
  <c r="AJ45"/>
  <c r="AL45"/>
  <c r="DM45" s="1"/>
  <c r="AJ41"/>
  <c r="AL41"/>
  <c r="DM41" s="1"/>
  <c r="AJ12"/>
  <c r="AJ8"/>
  <c r="AJ37"/>
  <c r="AJ33"/>
  <c r="AJ29"/>
  <c r="AJ25"/>
  <c r="AJ21"/>
  <c r="AJ34"/>
  <c r="AJ30"/>
  <c r="AJ26"/>
  <c r="AJ22"/>
  <c r="AJ18"/>
  <c r="AJ35"/>
  <c r="AJ31"/>
  <c r="AJ27"/>
  <c r="AJ23"/>
  <c r="AJ19"/>
  <c r="AJ36"/>
  <c r="AJ32"/>
  <c r="AJ28"/>
  <c r="AJ24"/>
  <c r="AJ20"/>
  <c r="V205"/>
  <c r="X205"/>
  <c r="DL205" s="1"/>
  <c r="V201"/>
  <c r="X201"/>
  <c r="DL201" s="1"/>
  <c r="V197"/>
  <c r="X197"/>
  <c r="DL197" s="1"/>
  <c r="V193"/>
  <c r="X193"/>
  <c r="DL193" s="1"/>
  <c r="V189"/>
  <c r="X189"/>
  <c r="DL189" s="1"/>
  <c r="V185"/>
  <c r="X185"/>
  <c r="DL185" s="1"/>
  <c r="V181"/>
  <c r="X181"/>
  <c r="DL181" s="1"/>
  <c r="V177"/>
  <c r="X177"/>
  <c r="DL177" s="1"/>
  <c r="V173"/>
  <c r="X173"/>
  <c r="DL173" s="1"/>
  <c r="V169"/>
  <c r="X169"/>
  <c r="DL169" s="1"/>
  <c r="V165"/>
  <c r="X165"/>
  <c r="DL165" s="1"/>
  <c r="V161"/>
  <c r="X161"/>
  <c r="DL161" s="1"/>
  <c r="V157"/>
  <c r="X157"/>
  <c r="DL157" s="1"/>
  <c r="V153"/>
  <c r="X153"/>
  <c r="DL153" s="1"/>
  <c r="V149"/>
  <c r="X149"/>
  <c r="DL149" s="1"/>
  <c r="V145"/>
  <c r="X145"/>
  <c r="DL145" s="1"/>
  <c r="V141"/>
  <c r="X141"/>
  <c r="DL141" s="1"/>
  <c r="V137"/>
  <c r="X137"/>
  <c r="DL137" s="1"/>
  <c r="V133"/>
  <c r="X133"/>
  <c r="DL133" s="1"/>
  <c r="V129"/>
  <c r="X129"/>
  <c r="DL129" s="1"/>
  <c r="V125"/>
  <c r="X125"/>
  <c r="DL125" s="1"/>
  <c r="V121"/>
  <c r="X121"/>
  <c r="DL121" s="1"/>
  <c r="V117"/>
  <c r="X117"/>
  <c r="DL117" s="1"/>
  <c r="V113"/>
  <c r="X113"/>
  <c r="DL113" s="1"/>
  <c r="V109"/>
  <c r="X109"/>
  <c r="DL109" s="1"/>
  <c r="V105"/>
  <c r="X105"/>
  <c r="DL105" s="1"/>
  <c r="V101"/>
  <c r="X101"/>
  <c r="DL101" s="1"/>
  <c r="V97"/>
  <c r="X97"/>
  <c r="DL97" s="1"/>
  <c r="V93"/>
  <c r="X93"/>
  <c r="DL93" s="1"/>
  <c r="V89"/>
  <c r="X89"/>
  <c r="DL89" s="1"/>
  <c r="V85"/>
  <c r="X85"/>
  <c r="DL85" s="1"/>
  <c r="V81"/>
  <c r="X81"/>
  <c r="DL81" s="1"/>
  <c r="V77"/>
  <c r="X77"/>
  <c r="DL77" s="1"/>
  <c r="V73"/>
  <c r="X73"/>
  <c r="DL73" s="1"/>
  <c r="V69"/>
  <c r="X69"/>
  <c r="DL69" s="1"/>
  <c r="V65"/>
  <c r="X65"/>
  <c r="DL65" s="1"/>
  <c r="V61"/>
  <c r="X61"/>
  <c r="DL61" s="1"/>
  <c r="V57"/>
  <c r="X57"/>
  <c r="DL57" s="1"/>
  <c r="V53"/>
  <c r="X53"/>
  <c r="DL53" s="1"/>
  <c r="V49"/>
  <c r="X49"/>
  <c r="DL49" s="1"/>
  <c r="V45"/>
  <c r="X45"/>
  <c r="DL45" s="1"/>
  <c r="V41"/>
  <c r="X41"/>
  <c r="DL41" s="1"/>
  <c r="V37"/>
  <c r="V33"/>
  <c r="V29"/>
  <c r="V25"/>
  <c r="V21"/>
  <c r="X21" s="1"/>
  <c r="DL21" s="1"/>
  <c r="V17"/>
  <c r="V13"/>
  <c r="V9"/>
  <c r="V206"/>
  <c r="X206"/>
  <c r="DL206" s="1"/>
  <c r="V202"/>
  <c r="X202"/>
  <c r="DL202" s="1"/>
  <c r="V198"/>
  <c r="X198"/>
  <c r="DL198" s="1"/>
  <c r="V194"/>
  <c r="X194"/>
  <c r="DL194" s="1"/>
  <c r="V190"/>
  <c r="X190"/>
  <c r="DL190" s="1"/>
  <c r="V186"/>
  <c r="X186"/>
  <c r="DL186" s="1"/>
  <c r="V182"/>
  <c r="X182"/>
  <c r="DL182" s="1"/>
  <c r="V178"/>
  <c r="X178"/>
  <c r="DL178" s="1"/>
  <c r="V174"/>
  <c r="X174"/>
  <c r="DL174" s="1"/>
  <c r="V170"/>
  <c r="X170"/>
  <c r="DL170" s="1"/>
  <c r="V166"/>
  <c r="X166"/>
  <c r="DL166" s="1"/>
  <c r="V162"/>
  <c r="X162"/>
  <c r="DL162" s="1"/>
  <c r="V158"/>
  <c r="X158"/>
  <c r="DL158" s="1"/>
  <c r="V154"/>
  <c r="X154"/>
  <c r="DL154" s="1"/>
  <c r="V150"/>
  <c r="X150"/>
  <c r="DL150" s="1"/>
  <c r="V146"/>
  <c r="X146"/>
  <c r="DL146" s="1"/>
  <c r="V142"/>
  <c r="X142"/>
  <c r="DL142" s="1"/>
  <c r="V138"/>
  <c r="X138"/>
  <c r="DL138" s="1"/>
  <c r="V134"/>
  <c r="X134"/>
  <c r="DL134" s="1"/>
  <c r="V130"/>
  <c r="X130"/>
  <c r="DL130" s="1"/>
  <c r="V126"/>
  <c r="X126"/>
  <c r="DL126" s="1"/>
  <c r="V122"/>
  <c r="X122"/>
  <c r="DL122" s="1"/>
  <c r="V118"/>
  <c r="X118"/>
  <c r="DL118" s="1"/>
  <c r="V114"/>
  <c r="X114"/>
  <c r="DL114" s="1"/>
  <c r="V110"/>
  <c r="X110"/>
  <c r="DL110" s="1"/>
  <c r="V106"/>
  <c r="X106"/>
  <c r="DL106" s="1"/>
  <c r="V102"/>
  <c r="X102"/>
  <c r="DL102" s="1"/>
  <c r="V98"/>
  <c r="X98"/>
  <c r="DL98" s="1"/>
  <c r="V94"/>
  <c r="X94"/>
  <c r="DL94" s="1"/>
  <c r="V90"/>
  <c r="X90"/>
  <c r="DL90" s="1"/>
  <c r="V86"/>
  <c r="X86"/>
  <c r="DL86" s="1"/>
  <c r="V82"/>
  <c r="X82"/>
  <c r="DL82" s="1"/>
  <c r="V78"/>
  <c r="X78"/>
  <c r="DL78" s="1"/>
  <c r="V74"/>
  <c r="X74"/>
  <c r="DL74" s="1"/>
  <c r="V70"/>
  <c r="X70"/>
  <c r="DL70" s="1"/>
  <c r="V66"/>
  <c r="X66"/>
  <c r="DL66" s="1"/>
  <c r="V62"/>
  <c r="X62"/>
  <c r="DL62" s="1"/>
  <c r="V58"/>
  <c r="X58"/>
  <c r="DL58" s="1"/>
  <c r="V54"/>
  <c r="X54"/>
  <c r="DL54" s="1"/>
  <c r="V50"/>
  <c r="X50"/>
  <c r="DL50" s="1"/>
  <c r="V46"/>
  <c r="X46"/>
  <c r="DL46" s="1"/>
  <c r="V42"/>
  <c r="X42"/>
  <c r="DL42" s="1"/>
  <c r="V38"/>
  <c r="X38"/>
  <c r="DL38" s="1"/>
  <c r="V34"/>
  <c r="V30"/>
  <c r="V26"/>
  <c r="V22"/>
  <c r="V18"/>
  <c r="V14"/>
  <c r="V10"/>
  <c r="V203"/>
  <c r="X203"/>
  <c r="DL203" s="1"/>
  <c r="V199"/>
  <c r="X199"/>
  <c r="DL199" s="1"/>
  <c r="V195"/>
  <c r="X195"/>
  <c r="DL195" s="1"/>
  <c r="V191"/>
  <c r="X191"/>
  <c r="DL191" s="1"/>
  <c r="V187"/>
  <c r="X187"/>
  <c r="DL187" s="1"/>
  <c r="V183"/>
  <c r="X183"/>
  <c r="DL183" s="1"/>
  <c r="V179"/>
  <c r="X179"/>
  <c r="DL179" s="1"/>
  <c r="V175"/>
  <c r="X175"/>
  <c r="DL175" s="1"/>
  <c r="V171"/>
  <c r="X171"/>
  <c r="DL171" s="1"/>
  <c r="V167"/>
  <c r="X167"/>
  <c r="DL167" s="1"/>
  <c r="V163"/>
  <c r="X163"/>
  <c r="DL163" s="1"/>
  <c r="V159"/>
  <c r="X159"/>
  <c r="DL159" s="1"/>
  <c r="V155"/>
  <c r="X155"/>
  <c r="DL155" s="1"/>
  <c r="V151"/>
  <c r="X151"/>
  <c r="DL151" s="1"/>
  <c r="V147"/>
  <c r="X147"/>
  <c r="DL147" s="1"/>
  <c r="V143"/>
  <c r="X143"/>
  <c r="DL143" s="1"/>
  <c r="V139"/>
  <c r="X139"/>
  <c r="DL139" s="1"/>
  <c r="V135"/>
  <c r="X135"/>
  <c r="DL135" s="1"/>
  <c r="V131"/>
  <c r="X131"/>
  <c r="DL131" s="1"/>
  <c r="V127"/>
  <c r="X127"/>
  <c r="DL127" s="1"/>
  <c r="V123"/>
  <c r="X123"/>
  <c r="DL123" s="1"/>
  <c r="V119"/>
  <c r="X119"/>
  <c r="DL119" s="1"/>
  <c r="V115"/>
  <c r="X115"/>
  <c r="DL115" s="1"/>
  <c r="V111"/>
  <c r="X111"/>
  <c r="DL111" s="1"/>
  <c r="V107"/>
  <c r="X107"/>
  <c r="DL107" s="1"/>
  <c r="V103"/>
  <c r="X103"/>
  <c r="DL103" s="1"/>
  <c r="V99"/>
  <c r="X99"/>
  <c r="DL99" s="1"/>
  <c r="V95"/>
  <c r="X95"/>
  <c r="DL95" s="1"/>
  <c r="V91"/>
  <c r="X91"/>
  <c r="DL91" s="1"/>
  <c r="V87"/>
  <c r="X87"/>
  <c r="DL87" s="1"/>
  <c r="V83"/>
  <c r="X83"/>
  <c r="DL83" s="1"/>
  <c r="V79"/>
  <c r="X79"/>
  <c r="DL79" s="1"/>
  <c r="V75"/>
  <c r="X75"/>
  <c r="DL75" s="1"/>
  <c r="V71"/>
  <c r="X71"/>
  <c r="DL71" s="1"/>
  <c r="V67"/>
  <c r="X67"/>
  <c r="DL67" s="1"/>
  <c r="V63"/>
  <c r="X63"/>
  <c r="DL63" s="1"/>
  <c r="V59"/>
  <c r="X59"/>
  <c r="DL59" s="1"/>
  <c r="V55"/>
  <c r="X55"/>
  <c r="DL55" s="1"/>
  <c r="V51"/>
  <c r="X51"/>
  <c r="DL51" s="1"/>
  <c r="V47"/>
  <c r="X47"/>
  <c r="DL47" s="1"/>
  <c r="V43"/>
  <c r="X43"/>
  <c r="DL43" s="1"/>
  <c r="V39"/>
  <c r="X39"/>
  <c r="DL39" s="1"/>
  <c r="V35"/>
  <c r="V31"/>
  <c r="V27"/>
  <c r="V23"/>
  <c r="V19"/>
  <c r="V15"/>
  <c r="V11"/>
  <c r="X204"/>
  <c r="DL204" s="1"/>
  <c r="V204"/>
  <c r="X200"/>
  <c r="DL200" s="1"/>
  <c r="V200"/>
  <c r="X196"/>
  <c r="DL196" s="1"/>
  <c r="V196"/>
  <c r="X192"/>
  <c r="DL192" s="1"/>
  <c r="V192"/>
  <c r="X188"/>
  <c r="DL188" s="1"/>
  <c r="V188"/>
  <c r="X184"/>
  <c r="DL184" s="1"/>
  <c r="V184"/>
  <c r="X180"/>
  <c r="DL180" s="1"/>
  <c r="V180"/>
  <c r="X176"/>
  <c r="DL176" s="1"/>
  <c r="V176"/>
  <c r="X172"/>
  <c r="DL172" s="1"/>
  <c r="V172"/>
  <c r="X168"/>
  <c r="DL168" s="1"/>
  <c r="V168"/>
  <c r="X164"/>
  <c r="DL164" s="1"/>
  <c r="V164"/>
  <c r="X160"/>
  <c r="DL160" s="1"/>
  <c r="V160"/>
  <c r="X156"/>
  <c r="DL156" s="1"/>
  <c r="V156"/>
  <c r="X152"/>
  <c r="DL152" s="1"/>
  <c r="V152"/>
  <c r="X148"/>
  <c r="DL148" s="1"/>
  <c r="V148"/>
  <c r="X144"/>
  <c r="DL144" s="1"/>
  <c r="V144"/>
  <c r="X140"/>
  <c r="DL140" s="1"/>
  <c r="V140"/>
  <c r="X136"/>
  <c r="DL136" s="1"/>
  <c r="V136"/>
  <c r="X132"/>
  <c r="DL132" s="1"/>
  <c r="V132"/>
  <c r="X128"/>
  <c r="DL128" s="1"/>
  <c r="V128"/>
  <c r="X124"/>
  <c r="DL124" s="1"/>
  <c r="V124"/>
  <c r="X120"/>
  <c r="DL120" s="1"/>
  <c r="V120"/>
  <c r="X116"/>
  <c r="DL116" s="1"/>
  <c r="V116"/>
  <c r="X112"/>
  <c r="DL112" s="1"/>
  <c r="V112"/>
  <c r="X108"/>
  <c r="DL108" s="1"/>
  <c r="V108"/>
  <c r="X104"/>
  <c r="DL104" s="1"/>
  <c r="V104"/>
  <c r="X100"/>
  <c r="DL100" s="1"/>
  <c r="V100"/>
  <c r="X96"/>
  <c r="DL96" s="1"/>
  <c r="V96"/>
  <c r="X92"/>
  <c r="DL92" s="1"/>
  <c r="V92"/>
  <c r="X88"/>
  <c r="DL88" s="1"/>
  <c r="V88"/>
  <c r="X84"/>
  <c r="DL84" s="1"/>
  <c r="V84"/>
  <c r="X80"/>
  <c r="DL80" s="1"/>
  <c r="V80"/>
  <c r="X76"/>
  <c r="DL76" s="1"/>
  <c r="V76"/>
  <c r="X72"/>
  <c r="DL72" s="1"/>
  <c r="V72"/>
  <c r="X68"/>
  <c r="DL68" s="1"/>
  <c r="V68"/>
  <c r="X64"/>
  <c r="DL64" s="1"/>
  <c r="V64"/>
  <c r="X60"/>
  <c r="DL60" s="1"/>
  <c r="V60"/>
  <c r="X56"/>
  <c r="DL56" s="1"/>
  <c r="V56"/>
  <c r="X52"/>
  <c r="DL52" s="1"/>
  <c r="V52"/>
  <c r="X48"/>
  <c r="DL48" s="1"/>
  <c r="V48"/>
  <c r="X44"/>
  <c r="DL44" s="1"/>
  <c r="V44"/>
  <c r="X40"/>
  <c r="DL40" s="1"/>
  <c r="V40"/>
  <c r="V36"/>
  <c r="V32"/>
  <c r="V28"/>
  <c r="V24"/>
  <c r="V20"/>
  <c r="V16"/>
  <c r="V12"/>
  <c r="V8"/>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U245" i="19" l="1"/>
  <c r="AA268"/>
  <c r="AW218"/>
  <c r="AW220"/>
  <c r="BA217"/>
  <c r="BA219"/>
  <c r="BC219"/>
  <c r="BC217"/>
  <c r="AX246"/>
  <c r="AV246"/>
  <c r="AW246"/>
  <c r="BB217"/>
  <c r="BB219"/>
  <c r="K256"/>
  <c r="X20" i="9"/>
  <c r="DL20" s="1"/>
  <c r="X16"/>
  <c r="DL16" s="1"/>
  <c r="X32"/>
  <c r="DL32" s="1"/>
  <c r="X19"/>
  <c r="DL19" s="1"/>
  <c r="X35"/>
  <c r="DL35" s="1"/>
  <c r="X22"/>
  <c r="DL22" s="1"/>
  <c r="X17"/>
  <c r="DL17" s="1"/>
  <c r="X33"/>
  <c r="DL33" s="1"/>
  <c r="AK28"/>
  <c r="AL28" s="1"/>
  <c r="DM28" s="1"/>
  <c r="AK23"/>
  <c r="AL23" s="1"/>
  <c r="DM23" s="1"/>
  <c r="AK18"/>
  <c r="AL18" s="1"/>
  <c r="DM18" s="1"/>
  <c r="AK34"/>
  <c r="AL34" s="1"/>
  <c r="DM34" s="1"/>
  <c r="AK33"/>
  <c r="AL33" s="1"/>
  <c r="DM33" s="1"/>
  <c r="AK11"/>
  <c r="AL11" s="1"/>
  <c r="DM11" s="1"/>
  <c r="AK13"/>
  <c r="AL13" s="1"/>
  <c r="DM13" s="1"/>
  <c r="AK17"/>
  <c r="AL17" s="1"/>
  <c r="DM17" s="1"/>
  <c r="AZ19"/>
  <c r="BA19" s="1"/>
  <c r="DN19" s="1"/>
  <c r="AZ11"/>
  <c r="BA11" s="1"/>
  <c r="DN11" s="1"/>
  <c r="AZ32"/>
  <c r="BA32" s="1"/>
  <c r="DN32" s="1"/>
  <c r="AZ25"/>
  <c r="BA25" s="1"/>
  <c r="DN25" s="1"/>
  <c r="AZ13"/>
  <c r="BA13" s="1"/>
  <c r="DN13" s="1"/>
  <c r="BN12"/>
  <c r="BO12" s="1"/>
  <c r="BN24"/>
  <c r="BO24" s="1"/>
  <c r="BN21"/>
  <c r="BO21" s="1"/>
  <c r="BN37"/>
  <c r="BO37" s="1"/>
  <c r="DO37" s="1"/>
  <c r="BN14"/>
  <c r="BO14" s="1"/>
  <c r="BN18"/>
  <c r="BO18" s="1"/>
  <c r="BN26"/>
  <c r="BO26" s="1"/>
  <c r="DO26" s="1"/>
  <c r="BN34"/>
  <c r="BO34" s="1"/>
  <c r="DO34" s="1"/>
  <c r="CB19"/>
  <c r="CC19" s="1"/>
  <c r="DP19" s="1"/>
  <c r="CB27"/>
  <c r="CC27" s="1"/>
  <c r="DP27" s="1"/>
  <c r="CB35"/>
  <c r="CC35" s="1"/>
  <c r="DP35" s="1"/>
  <c r="BN32"/>
  <c r="BO32" s="1"/>
  <c r="DO32" s="1"/>
  <c r="CB29"/>
  <c r="CC29" s="1"/>
  <c r="DP29" s="1"/>
  <c r="CB13"/>
  <c r="CC13" s="1"/>
  <c r="DP13" s="1"/>
  <c r="CB17"/>
  <c r="CC17" s="1"/>
  <c r="DP17" s="1"/>
  <c r="CB30"/>
  <c r="CC30" s="1"/>
  <c r="DP30" s="1"/>
  <c r="CQ8"/>
  <c r="CR8" s="1"/>
  <c r="DQ8" s="1"/>
  <c r="CQ19"/>
  <c r="CR19" s="1"/>
  <c r="DQ19" s="1"/>
  <c r="CQ35"/>
  <c r="CR35" s="1"/>
  <c r="DQ35" s="1"/>
  <c r="CQ20"/>
  <c r="CR20" s="1"/>
  <c r="DQ20" s="1"/>
  <c r="CQ28"/>
  <c r="CR28" s="1"/>
  <c r="DQ28" s="1"/>
  <c r="CQ15"/>
  <c r="CR15" s="1"/>
  <c r="DQ15" s="1"/>
  <c r="CQ25"/>
  <c r="CR25" s="1"/>
  <c r="DQ25" s="1"/>
  <c r="CQ33"/>
  <c r="CR33" s="1"/>
  <c r="DQ33" s="1"/>
  <c r="CQ13"/>
  <c r="CR13" s="1"/>
  <c r="DQ13" s="1"/>
  <c r="CQ17"/>
  <c r="CR17" s="1"/>
  <c r="DQ17" s="1"/>
  <c r="GM10"/>
  <c r="X55" i="19"/>
  <c r="S7" i="11"/>
  <c r="GM111" i="9"/>
  <c r="S108" i="11"/>
  <c r="GM9" i="9"/>
  <c r="H55" i="19"/>
  <c r="S6" i="11"/>
  <c r="S11"/>
  <c r="X115" i="19"/>
  <c r="S13" i="11"/>
  <c r="X145" i="19"/>
  <c r="X28" i="9"/>
  <c r="DL28" s="1"/>
  <c r="X31"/>
  <c r="DL31" s="1"/>
  <c r="X18"/>
  <c r="DL18" s="1"/>
  <c r="X29"/>
  <c r="DL29" s="1"/>
  <c r="AK24"/>
  <c r="AL24" s="1"/>
  <c r="DM24" s="1"/>
  <c r="AK19"/>
  <c r="AL19" s="1"/>
  <c r="DM19" s="1"/>
  <c r="AK35"/>
  <c r="AL35" s="1"/>
  <c r="DM35" s="1"/>
  <c r="AK30"/>
  <c r="AL30" s="1"/>
  <c r="DM30" s="1"/>
  <c r="AK29"/>
  <c r="AL29" s="1"/>
  <c r="DM29" s="1"/>
  <c r="AK12"/>
  <c r="AL12" s="1"/>
  <c r="DM12" s="1"/>
  <c r="AK9"/>
  <c r="AL9" s="1"/>
  <c r="DM9" s="1"/>
  <c r="AK16"/>
  <c r="AL16" s="1"/>
  <c r="DM16" s="1"/>
  <c r="AZ12"/>
  <c r="BA12" s="1"/>
  <c r="DN12" s="1"/>
  <c r="AZ31"/>
  <c r="BA31" s="1"/>
  <c r="DN31" s="1"/>
  <c r="AZ28"/>
  <c r="BA28" s="1"/>
  <c r="DN28" s="1"/>
  <c r="AZ21"/>
  <c r="BA21" s="1"/>
  <c r="DN21" s="1"/>
  <c r="AZ37"/>
  <c r="BA37" s="1"/>
  <c r="DN37" s="1"/>
  <c r="AZ17"/>
  <c r="BA17" s="1"/>
  <c r="DN17" s="1"/>
  <c r="AZ8"/>
  <c r="BA8" s="1"/>
  <c r="DN8" s="1"/>
  <c r="BN20"/>
  <c r="BO20" s="1"/>
  <c r="AZ10"/>
  <c r="BA10" s="1"/>
  <c r="DN10" s="1"/>
  <c r="BN33"/>
  <c r="BO33" s="1"/>
  <c r="DO33" s="1"/>
  <c r="BN13"/>
  <c r="BO13" s="1"/>
  <c r="BN17"/>
  <c r="BO17" s="1"/>
  <c r="AZ22"/>
  <c r="BA22" s="1"/>
  <c r="DN22" s="1"/>
  <c r="AZ30"/>
  <c r="BA30" s="1"/>
  <c r="DN30" s="1"/>
  <c r="BN23"/>
  <c r="BO23" s="1"/>
  <c r="BN31"/>
  <c r="BO31" s="1"/>
  <c r="DO31" s="1"/>
  <c r="CB32"/>
  <c r="CC32" s="1"/>
  <c r="DP32" s="1"/>
  <c r="CB25"/>
  <c r="CC25" s="1"/>
  <c r="DP25" s="1"/>
  <c r="CB9"/>
  <c r="CC9" s="1"/>
  <c r="DP9" s="1"/>
  <c r="BN15"/>
  <c r="BO15" s="1"/>
  <c r="CB26"/>
  <c r="CC26" s="1"/>
  <c r="DP26" s="1"/>
  <c r="CB12"/>
  <c r="CC12" s="1"/>
  <c r="DP12" s="1"/>
  <c r="CQ31"/>
  <c r="CR31" s="1"/>
  <c r="DQ31" s="1"/>
  <c r="CQ11"/>
  <c r="CR11" s="1"/>
  <c r="DQ11" s="1"/>
  <c r="CB24"/>
  <c r="CC24" s="1"/>
  <c r="DP24" s="1"/>
  <c r="CQ36"/>
  <c r="CR36" s="1"/>
  <c r="DQ36" s="1"/>
  <c r="CQ26"/>
  <c r="CR26" s="1"/>
  <c r="DQ26" s="1"/>
  <c r="CQ34"/>
  <c r="CR34" s="1"/>
  <c r="DQ34" s="1"/>
  <c r="S9" i="11"/>
  <c r="X85" i="19"/>
  <c r="GM65" i="9"/>
  <c r="S62" i="11"/>
  <c r="GM129" i="9"/>
  <c r="S126" i="11"/>
  <c r="H85" i="19"/>
  <c r="S8" i="11"/>
  <c r="GM121" i="9"/>
  <c r="GM52"/>
  <c r="GM68"/>
  <c r="GM84"/>
  <c r="GM100"/>
  <c r="GM116"/>
  <c r="X36"/>
  <c r="DL36" s="1"/>
  <c r="X12"/>
  <c r="DL12" s="1"/>
  <c r="X15"/>
  <c r="DL15" s="1"/>
  <c r="X34"/>
  <c r="DL34" s="1"/>
  <c r="X13"/>
  <c r="DL13" s="1"/>
  <c r="X8"/>
  <c r="DL8" s="1"/>
  <c r="X24"/>
  <c r="DL24" s="1"/>
  <c r="X11"/>
  <c r="DL11" s="1"/>
  <c r="X27"/>
  <c r="DL27" s="1"/>
  <c r="X14"/>
  <c r="DL14" s="1"/>
  <c r="X30"/>
  <c r="DL30" s="1"/>
  <c r="X9"/>
  <c r="DL9" s="1"/>
  <c r="X25"/>
  <c r="DL25" s="1"/>
  <c r="AK20"/>
  <c r="AL20" s="1"/>
  <c r="DM20" s="1"/>
  <c r="AK36"/>
  <c r="AL36" s="1"/>
  <c r="DM36" s="1"/>
  <c r="AK31"/>
  <c r="AL31" s="1"/>
  <c r="DM31" s="1"/>
  <c r="AK26"/>
  <c r="AL26" s="1"/>
  <c r="DM26" s="1"/>
  <c r="AK25"/>
  <c r="AL25" s="1"/>
  <c r="DM25" s="1"/>
  <c r="AK8"/>
  <c r="AL8" s="1"/>
  <c r="DM8" s="1"/>
  <c r="AK10"/>
  <c r="AL10" s="1"/>
  <c r="DM10" s="1"/>
  <c r="AK15"/>
  <c r="AL15" s="1"/>
  <c r="DM15" s="1"/>
  <c r="AZ27"/>
  <c r="BA27" s="1"/>
  <c r="DN27" s="1"/>
  <c r="AZ24"/>
  <c r="BA24" s="1"/>
  <c r="DN24" s="1"/>
  <c r="AZ33"/>
  <c r="BA33" s="1"/>
  <c r="DN33" s="1"/>
  <c r="AZ16"/>
  <c r="BA16" s="1"/>
  <c r="DN16" s="1"/>
  <c r="BN8"/>
  <c r="BO8" s="1"/>
  <c r="AZ35"/>
  <c r="BA35" s="1"/>
  <c r="DN35" s="1"/>
  <c r="BN10"/>
  <c r="BO10" s="1"/>
  <c r="BN29"/>
  <c r="BO29" s="1"/>
  <c r="DO29" s="1"/>
  <c r="AZ9"/>
  <c r="BA9" s="1"/>
  <c r="DN9" s="1"/>
  <c r="BN16"/>
  <c r="BO16" s="1"/>
  <c r="BN22"/>
  <c r="BO22" s="1"/>
  <c r="BN30"/>
  <c r="BO30" s="1"/>
  <c r="DO30" s="1"/>
  <c r="CB23"/>
  <c r="CC23" s="1"/>
  <c r="DP23" s="1"/>
  <c r="CB31"/>
  <c r="CC31" s="1"/>
  <c r="DP31" s="1"/>
  <c r="BN11"/>
  <c r="BO11" s="1"/>
  <c r="BN36"/>
  <c r="BO36" s="1"/>
  <c r="DO36" s="1"/>
  <c r="CB21"/>
  <c r="CC21" s="1"/>
  <c r="DP21" s="1"/>
  <c r="CB37"/>
  <c r="CC37" s="1"/>
  <c r="DP37" s="1"/>
  <c r="CB15"/>
  <c r="CC15" s="1"/>
  <c r="DP15" s="1"/>
  <c r="CB22"/>
  <c r="CC22" s="1"/>
  <c r="DP22" s="1"/>
  <c r="CQ12"/>
  <c r="CR12" s="1"/>
  <c r="DQ12" s="1"/>
  <c r="CQ27"/>
  <c r="CR27" s="1"/>
  <c r="DQ27" s="1"/>
  <c r="CQ24"/>
  <c r="CR24" s="1"/>
  <c r="DQ24" s="1"/>
  <c r="CQ32"/>
  <c r="CR32" s="1"/>
  <c r="DQ32" s="1"/>
  <c r="CB16"/>
  <c r="CC16" s="1"/>
  <c r="DP16" s="1"/>
  <c r="CQ21"/>
  <c r="CR21" s="1"/>
  <c r="DQ21" s="1"/>
  <c r="CQ29"/>
  <c r="CR29" s="1"/>
  <c r="DQ29" s="1"/>
  <c r="CQ37"/>
  <c r="CR37" s="1"/>
  <c r="DQ37" s="1"/>
  <c r="CQ9"/>
  <c r="CR9" s="1"/>
  <c r="DQ9" s="1"/>
  <c r="CQ14"/>
  <c r="CR14" s="1"/>
  <c r="DQ14" s="1"/>
  <c r="CQ18"/>
  <c r="CR18" s="1"/>
  <c r="DQ18" s="1"/>
  <c r="GM45"/>
  <c r="S42" i="11"/>
  <c r="GM61" i="9"/>
  <c r="S58" i="11"/>
  <c r="GM69" i="9"/>
  <c r="S66" i="11"/>
  <c r="GM93" i="9"/>
  <c r="S90" i="11"/>
  <c r="GM101" i="9"/>
  <c r="S98" i="11"/>
  <c r="GM109" i="9"/>
  <c r="S106" i="11"/>
  <c r="GM125" i="9"/>
  <c r="S122" i="11"/>
  <c r="GM133" i="9"/>
  <c r="S130" i="11"/>
  <c r="GM141" i="9"/>
  <c r="S138" i="11"/>
  <c r="GM13" i="9"/>
  <c r="P28" i="4"/>
  <c r="P28" i="18"/>
  <c r="S10" i="11"/>
  <c r="H115" i="19"/>
  <c r="S12" i="11"/>
  <c r="H145" i="19"/>
  <c r="GM17" i="9"/>
  <c r="S14" i="11"/>
  <c r="H175" i="19"/>
  <c r="X23" i="9"/>
  <c r="DL23" s="1"/>
  <c r="X10"/>
  <c r="DL10" s="1"/>
  <c r="X26"/>
  <c r="DL26" s="1"/>
  <c r="X37"/>
  <c r="DL37" s="1"/>
  <c r="AK32"/>
  <c r="AL32" s="1"/>
  <c r="DM32" s="1"/>
  <c r="AK27"/>
  <c r="AL27" s="1"/>
  <c r="DM27" s="1"/>
  <c r="AK22"/>
  <c r="AL22" s="1"/>
  <c r="DM22" s="1"/>
  <c r="AK21"/>
  <c r="AL21" s="1"/>
  <c r="DM21" s="1"/>
  <c r="AK37"/>
  <c r="AL37" s="1"/>
  <c r="DM37" s="1"/>
  <c r="AK14"/>
  <c r="AL14" s="1"/>
  <c r="DM14" s="1"/>
  <c r="AZ23"/>
  <c r="BA23" s="1"/>
  <c r="DN23" s="1"/>
  <c r="AZ20"/>
  <c r="BA20" s="1"/>
  <c r="DN20" s="1"/>
  <c r="AZ36"/>
  <c r="BA36" s="1"/>
  <c r="DN36" s="1"/>
  <c r="AZ29"/>
  <c r="BA29" s="1"/>
  <c r="DN29" s="1"/>
  <c r="AZ15"/>
  <c r="BA15" s="1"/>
  <c r="DN15" s="1"/>
  <c r="BN35"/>
  <c r="BO35" s="1"/>
  <c r="DO35" s="1"/>
  <c r="BN28"/>
  <c r="BO28" s="1"/>
  <c r="DO28" s="1"/>
  <c r="BN25"/>
  <c r="BO25" s="1"/>
  <c r="DO25" s="1"/>
  <c r="BN9"/>
  <c r="BO9" s="1"/>
  <c r="AZ14"/>
  <c r="BA14" s="1"/>
  <c r="DN14" s="1"/>
  <c r="AZ18"/>
  <c r="BA18" s="1"/>
  <c r="DN18" s="1"/>
  <c r="AZ26"/>
  <c r="BA26" s="1"/>
  <c r="DN26" s="1"/>
  <c r="AZ34"/>
  <c r="BA34" s="1"/>
  <c r="DN34" s="1"/>
  <c r="BN19"/>
  <c r="BO19" s="1"/>
  <c r="BN27"/>
  <c r="BO27" s="1"/>
  <c r="DO27" s="1"/>
  <c r="CB11"/>
  <c r="CC11" s="1"/>
  <c r="DP11" s="1"/>
  <c r="CB36"/>
  <c r="CC36" s="1"/>
  <c r="DP36" s="1"/>
  <c r="CB10"/>
  <c r="CC10" s="1"/>
  <c r="DP10" s="1"/>
  <c r="CB33"/>
  <c r="CC33" s="1"/>
  <c r="DP33" s="1"/>
  <c r="CB14"/>
  <c r="CC14" s="1"/>
  <c r="DP14" s="1"/>
  <c r="CB18"/>
  <c r="CC18" s="1"/>
  <c r="DP18" s="1"/>
  <c r="CB34"/>
  <c r="CC34" s="1"/>
  <c r="DP34" s="1"/>
  <c r="CB8"/>
  <c r="CC8" s="1"/>
  <c r="DP8" s="1"/>
  <c r="CQ23"/>
  <c r="CR23" s="1"/>
  <c r="DQ23" s="1"/>
  <c r="CB20"/>
  <c r="CC20" s="1"/>
  <c r="DP20" s="1"/>
  <c r="CB28"/>
  <c r="CC28" s="1"/>
  <c r="DP28" s="1"/>
  <c r="CQ10"/>
  <c r="CR10" s="1"/>
  <c r="DQ10" s="1"/>
  <c r="CQ16"/>
  <c r="CR16" s="1"/>
  <c r="DQ16" s="1"/>
  <c r="CQ22"/>
  <c r="CR22" s="1"/>
  <c r="DQ22" s="1"/>
  <c r="CQ30"/>
  <c r="CR30" s="1"/>
  <c r="DQ30" s="1"/>
  <c r="S5" i="11"/>
  <c r="X25" i="19"/>
  <c r="GM57" i="9"/>
  <c r="S54" i="11"/>
  <c r="GM89" i="9"/>
  <c r="S86" i="11"/>
  <c r="GM105" i="9"/>
  <c r="S102" i="11"/>
  <c r="GM137" i="9"/>
  <c r="S134" i="11"/>
  <c r="GM75" i="9"/>
  <c r="S72" i="11"/>
  <c r="O27" i="18"/>
  <c r="O27" i="4"/>
  <c r="C260" i="19"/>
  <c r="K254"/>
  <c r="K255"/>
  <c r="K257"/>
  <c r="DJ12" i="9"/>
  <c r="DK12" s="1"/>
  <c r="DR12" s="1"/>
  <c r="DJ27"/>
  <c r="DK27" s="1"/>
  <c r="DJ36"/>
  <c r="DK36" s="1"/>
  <c r="DJ17"/>
  <c r="DK17" s="1"/>
  <c r="DK8"/>
  <c r="DJ32"/>
  <c r="DK32" s="1"/>
  <c r="DJ7"/>
  <c r="DK7" s="1"/>
  <c r="DJ29"/>
  <c r="DK29" s="1"/>
  <c r="DJ37"/>
  <c r="DK37" s="1"/>
  <c r="DJ9"/>
  <c r="DK9" s="1"/>
  <c r="DR9" s="1"/>
  <c r="DJ14"/>
  <c r="DK14" s="1"/>
  <c r="DJ26"/>
  <c r="DK26" s="1"/>
  <c r="DJ34"/>
  <c r="DK34" s="1"/>
  <c r="DJ16"/>
  <c r="DK16" s="1"/>
  <c r="DJ35"/>
  <c r="DK35" s="1"/>
  <c r="DJ28"/>
  <c r="DK28" s="1"/>
  <c r="DJ18"/>
  <c r="DK18" s="1"/>
  <c r="DJ15"/>
  <c r="DK15" s="1"/>
  <c r="DJ19"/>
  <c r="DK19" s="1"/>
  <c r="DJ31"/>
  <c r="DK31" s="1"/>
  <c r="DJ24"/>
  <c r="DK24" s="1"/>
  <c r="DJ25"/>
  <c r="DK25" s="1"/>
  <c r="DJ33"/>
  <c r="DK33" s="1"/>
  <c r="DJ13"/>
  <c r="DK13" s="1"/>
  <c r="DJ30"/>
  <c r="DK30" s="1"/>
  <c r="K253" i="19"/>
  <c r="N260"/>
  <c r="K260"/>
  <c r="K258"/>
  <c r="O261"/>
  <c r="L278"/>
  <c r="X264"/>
  <c r="Z260"/>
  <c r="AB257"/>
  <c r="AD257" s="1"/>
  <c r="U255"/>
  <c r="AE253"/>
  <c r="S246"/>
  <c r="AF263"/>
  <c r="W260"/>
  <c r="W256"/>
  <c r="U254"/>
  <c r="X260"/>
  <c r="T258"/>
  <c r="AB255"/>
  <c r="AD255" s="1"/>
  <c r="AB253"/>
  <c r="AD253" s="1"/>
  <c r="AC260"/>
  <c r="AE256"/>
  <c r="X255"/>
  <c r="Z255" s="1"/>
  <c r="V262"/>
  <c r="V258"/>
  <c r="AE255"/>
  <c r="T254"/>
  <c r="S247"/>
  <c r="AE260"/>
  <c r="AB256"/>
  <c r="AD256" s="1"/>
  <c r="R268"/>
  <c r="AB260"/>
  <c r="X258"/>
  <c r="Z258" s="1"/>
  <c r="U257"/>
  <c r="T256"/>
  <c r="V254"/>
  <c r="W268"/>
  <c r="AD262"/>
  <c r="AE258"/>
  <c r="V257"/>
  <c r="W254"/>
  <c r="AF262"/>
  <c r="R260"/>
  <c r="V256"/>
  <c r="X254"/>
  <c r="Z254" s="1"/>
  <c r="S248"/>
  <c r="X262"/>
  <c r="W258"/>
  <c r="T257"/>
  <c r="AE254"/>
  <c r="AB245"/>
  <c r="X263"/>
  <c r="X256"/>
  <c r="Z256" s="1"/>
  <c r="R255"/>
  <c r="AB246"/>
  <c r="BB245" s="1"/>
  <c r="V264"/>
  <c r="U260"/>
  <c r="U256"/>
  <c r="AB254"/>
  <c r="AD254" s="1"/>
  <c r="T253"/>
  <c r="AD263"/>
  <c r="V260"/>
  <c r="W257"/>
  <c r="U253"/>
  <c r="V244"/>
  <c r="V263"/>
  <c r="AB258"/>
  <c r="AD258" s="1"/>
  <c r="X257"/>
  <c r="Z257" s="1"/>
  <c r="V255"/>
  <c r="V253"/>
  <c r="AC264"/>
  <c r="T260"/>
  <c r="AE257"/>
  <c r="W255"/>
  <c r="W253"/>
  <c r="Y260"/>
  <c r="U258"/>
  <c r="T255"/>
  <c r="X253"/>
  <c r="Z253" s="1"/>
  <c r="C258"/>
  <c r="H3" i="11"/>
  <c r="I4" i="9"/>
  <c r="G3" i="15"/>
  <c r="G2" i="11"/>
  <c r="DX41" i="9"/>
  <c r="DR41"/>
  <c r="DV41" s="1"/>
  <c r="DX57"/>
  <c r="DR57"/>
  <c r="DW57" s="1"/>
  <c r="DX73"/>
  <c r="DR73"/>
  <c r="DS73" s="1"/>
  <c r="DX89"/>
  <c r="DR89"/>
  <c r="DU89" s="1"/>
  <c r="DX101"/>
  <c r="DR101"/>
  <c r="DU101" s="1"/>
  <c r="DX117"/>
  <c r="DR117"/>
  <c r="DW117" s="1"/>
  <c r="DX133"/>
  <c r="DR133"/>
  <c r="DU133" s="1"/>
  <c r="DX149"/>
  <c r="DR149"/>
  <c r="DW149" s="1"/>
  <c r="DX165"/>
  <c r="DR165"/>
  <c r="DU165" s="1"/>
  <c r="DX181"/>
  <c r="DR181"/>
  <c r="DT181" s="1"/>
  <c r="DX197"/>
  <c r="DR197"/>
  <c r="DU197" s="1"/>
  <c r="DX52"/>
  <c r="DR52"/>
  <c r="DU52" s="1"/>
  <c r="DX68"/>
  <c r="DR68"/>
  <c r="DT68" s="1"/>
  <c r="DX84"/>
  <c r="DR84"/>
  <c r="DU84" s="1"/>
  <c r="DX100"/>
  <c r="DR100"/>
  <c r="DT100" s="1"/>
  <c r="DX116"/>
  <c r="DR116"/>
  <c r="DT116" s="1"/>
  <c r="DX132"/>
  <c r="DR132"/>
  <c r="DW132" s="1"/>
  <c r="DX148"/>
  <c r="DR148"/>
  <c r="DU148" s="1"/>
  <c r="DX164"/>
  <c r="DR164"/>
  <c r="DT164" s="1"/>
  <c r="DX180"/>
  <c r="DR180"/>
  <c r="DS180" s="1"/>
  <c r="DX196"/>
  <c r="DR196"/>
  <c r="DS196" s="1"/>
  <c r="DX10"/>
  <c r="DR10"/>
  <c r="DX47"/>
  <c r="DR47"/>
  <c r="DU47" s="1"/>
  <c r="DX63"/>
  <c r="DR63"/>
  <c r="DS63" s="1"/>
  <c r="DX79"/>
  <c r="DR79"/>
  <c r="DW79" s="1"/>
  <c r="DX95"/>
  <c r="DR95"/>
  <c r="DV95" s="1"/>
  <c r="DX107"/>
  <c r="DR107"/>
  <c r="DX123"/>
  <c r="DR123"/>
  <c r="DX139"/>
  <c r="DR139"/>
  <c r="DX155"/>
  <c r="DR155"/>
  <c r="DX171"/>
  <c r="DR171"/>
  <c r="DX187"/>
  <c r="DR187"/>
  <c r="DX203"/>
  <c r="DR203"/>
  <c r="DX42"/>
  <c r="DR42"/>
  <c r="DU42" s="1"/>
  <c r="DX58"/>
  <c r="DR58"/>
  <c r="DS58" s="1"/>
  <c r="DX74"/>
  <c r="DR74"/>
  <c r="DU74" s="1"/>
  <c r="DX90"/>
  <c r="DR90"/>
  <c r="DS90" s="1"/>
  <c r="DX106"/>
  <c r="DR106"/>
  <c r="DU106" s="1"/>
  <c r="DX122"/>
  <c r="DR122"/>
  <c r="DS122" s="1"/>
  <c r="DX138"/>
  <c r="DR138"/>
  <c r="DU138" s="1"/>
  <c r="DX154"/>
  <c r="DR154"/>
  <c r="DS154" s="1"/>
  <c r="DX170"/>
  <c r="DR170"/>
  <c r="DT170" s="1"/>
  <c r="DX186"/>
  <c r="DR186"/>
  <c r="DS186" s="1"/>
  <c r="DX202"/>
  <c r="DR202"/>
  <c r="DU202" s="1"/>
  <c r="DW52"/>
  <c r="DW68"/>
  <c r="DS84"/>
  <c r="DT47"/>
  <c r="DU63"/>
  <c r="DW95"/>
  <c r="DX23"/>
  <c r="DR23"/>
  <c r="DX45"/>
  <c r="DR45"/>
  <c r="DV45" s="1"/>
  <c r="DX61"/>
  <c r="DR61"/>
  <c r="DS61" s="1"/>
  <c r="DX77"/>
  <c r="DR77"/>
  <c r="DV77" s="1"/>
  <c r="DX93"/>
  <c r="DR93"/>
  <c r="DS93" s="1"/>
  <c r="DX105"/>
  <c r="DR105"/>
  <c r="DX121"/>
  <c r="DR121"/>
  <c r="DX137"/>
  <c r="DR137"/>
  <c r="DX153"/>
  <c r="DR153"/>
  <c r="DX169"/>
  <c r="DR169"/>
  <c r="DX185"/>
  <c r="DR185"/>
  <c r="DX201"/>
  <c r="DR201"/>
  <c r="DX40"/>
  <c r="DR40"/>
  <c r="DU40" s="1"/>
  <c r="DX56"/>
  <c r="DR56"/>
  <c r="DS56" s="1"/>
  <c r="DX72"/>
  <c r="DR72"/>
  <c r="DU72" s="1"/>
  <c r="DX88"/>
  <c r="DR88"/>
  <c r="DW88" s="1"/>
  <c r="DX104"/>
  <c r="DR104"/>
  <c r="DX120"/>
  <c r="DR120"/>
  <c r="DX136"/>
  <c r="DR136"/>
  <c r="DX152"/>
  <c r="DR152"/>
  <c r="DX168"/>
  <c r="DR168"/>
  <c r="DX184"/>
  <c r="DR184"/>
  <c r="DX200"/>
  <c r="DR200"/>
  <c r="DX21"/>
  <c r="DR21"/>
  <c r="DX51"/>
  <c r="DR51"/>
  <c r="DX67"/>
  <c r="DR67"/>
  <c r="DX83"/>
  <c r="DR83"/>
  <c r="DX111"/>
  <c r="DR111"/>
  <c r="DU111" s="1"/>
  <c r="DX127"/>
  <c r="DR127"/>
  <c r="DW127" s="1"/>
  <c r="DX143"/>
  <c r="DR143"/>
  <c r="DU143" s="1"/>
  <c r="DX159"/>
  <c r="DR159"/>
  <c r="DW159" s="1"/>
  <c r="DX175"/>
  <c r="DR175"/>
  <c r="DW175" s="1"/>
  <c r="DX191"/>
  <c r="DR191"/>
  <c r="DW191" s="1"/>
  <c r="DX46"/>
  <c r="DR46"/>
  <c r="DT46" s="1"/>
  <c r="DX62"/>
  <c r="DR62"/>
  <c r="DU62" s="1"/>
  <c r="DX78"/>
  <c r="DR78"/>
  <c r="DU78" s="1"/>
  <c r="DX94"/>
  <c r="DR94"/>
  <c r="DS94" s="1"/>
  <c r="DX110"/>
  <c r="DR110"/>
  <c r="DW110" s="1"/>
  <c r="DX126"/>
  <c r="DR126"/>
  <c r="DS126" s="1"/>
  <c r="DX142"/>
  <c r="DR142"/>
  <c r="DT142" s="1"/>
  <c r="DX158"/>
  <c r="DR158"/>
  <c r="DU158" s="1"/>
  <c r="DX174"/>
  <c r="DR174"/>
  <c r="DU174" s="1"/>
  <c r="DX190"/>
  <c r="DR190"/>
  <c r="DU190" s="1"/>
  <c r="DX206"/>
  <c r="DR206"/>
  <c r="DT206" s="1"/>
  <c r="DW40"/>
  <c r="DS100"/>
  <c r="DU116"/>
  <c r="DS116"/>
  <c r="DV116"/>
  <c r="DT132"/>
  <c r="DV132"/>
  <c r="DT148"/>
  <c r="DW148"/>
  <c r="DU164"/>
  <c r="DW164"/>
  <c r="DT180"/>
  <c r="DU180"/>
  <c r="DW180"/>
  <c r="DT196"/>
  <c r="DW196"/>
  <c r="DU46"/>
  <c r="DW46"/>
  <c r="DT62"/>
  <c r="DW62"/>
  <c r="DT78"/>
  <c r="DW78"/>
  <c r="DU94"/>
  <c r="DW94"/>
  <c r="DU110"/>
  <c r="DS110"/>
  <c r="DV110"/>
  <c r="DT126"/>
  <c r="DW126"/>
  <c r="DU142"/>
  <c r="DS142"/>
  <c r="DV142"/>
  <c r="DT158"/>
  <c r="DW158"/>
  <c r="DT174"/>
  <c r="DW174"/>
  <c r="DS174"/>
  <c r="DT190"/>
  <c r="DS190"/>
  <c r="DW190"/>
  <c r="DV190"/>
  <c r="DU206"/>
  <c r="DS206"/>
  <c r="DV206"/>
  <c r="DW41"/>
  <c r="DU41"/>
  <c r="DS57"/>
  <c r="DV57"/>
  <c r="DT57"/>
  <c r="DW73"/>
  <c r="DU73"/>
  <c r="DS89"/>
  <c r="DV89"/>
  <c r="DT89"/>
  <c r="DS105"/>
  <c r="DW105"/>
  <c r="DV105"/>
  <c r="DU105"/>
  <c r="DT105"/>
  <c r="DS121"/>
  <c r="DW121"/>
  <c r="DV121"/>
  <c r="DU121"/>
  <c r="DT121"/>
  <c r="DS137"/>
  <c r="DW137"/>
  <c r="DV137"/>
  <c r="DU137"/>
  <c r="DT137"/>
  <c r="DS153"/>
  <c r="DW153"/>
  <c r="DV153"/>
  <c r="DU153"/>
  <c r="DT153"/>
  <c r="DV169"/>
  <c r="DU169"/>
  <c r="DT169"/>
  <c r="DW169"/>
  <c r="DS169"/>
  <c r="DS185"/>
  <c r="DW185"/>
  <c r="DV185"/>
  <c r="DU185"/>
  <c r="DT185"/>
  <c r="DS201"/>
  <c r="DW201"/>
  <c r="DV201"/>
  <c r="DU201"/>
  <c r="DT201"/>
  <c r="DX49"/>
  <c r="DR49"/>
  <c r="DS49" s="1"/>
  <c r="DX65"/>
  <c r="DR65"/>
  <c r="DV65" s="1"/>
  <c r="DX81"/>
  <c r="DR81"/>
  <c r="DS81" s="1"/>
  <c r="DX109"/>
  <c r="DR109"/>
  <c r="DV109" s="1"/>
  <c r="DX125"/>
  <c r="DR125"/>
  <c r="DS125" s="1"/>
  <c r="DX141"/>
  <c r="DR141"/>
  <c r="DV141" s="1"/>
  <c r="DX157"/>
  <c r="DR157"/>
  <c r="DS157" s="1"/>
  <c r="DX173"/>
  <c r="DR173"/>
  <c r="DW173" s="1"/>
  <c r="DX189"/>
  <c r="DR189"/>
  <c r="DS189" s="1"/>
  <c r="DX205"/>
  <c r="DR205"/>
  <c r="DV205" s="1"/>
  <c r="DX11"/>
  <c r="DR11"/>
  <c r="DX44"/>
  <c r="DR44"/>
  <c r="DS44" s="1"/>
  <c r="DX60"/>
  <c r="DR60"/>
  <c r="DT60" s="1"/>
  <c r="DX76"/>
  <c r="DR76"/>
  <c r="DU76" s="1"/>
  <c r="DX92"/>
  <c r="DR92"/>
  <c r="DW92" s="1"/>
  <c r="DX108"/>
  <c r="DR108"/>
  <c r="DT108" s="1"/>
  <c r="DX124"/>
  <c r="DR124"/>
  <c r="DU124" s="1"/>
  <c r="DX140"/>
  <c r="DR140"/>
  <c r="DW140" s="1"/>
  <c r="DX156"/>
  <c r="DR156"/>
  <c r="DS156" s="1"/>
  <c r="DX172"/>
  <c r="DR172"/>
  <c r="DV172" s="1"/>
  <c r="DX188"/>
  <c r="DR188"/>
  <c r="DU188" s="1"/>
  <c r="DX204"/>
  <c r="DR204"/>
  <c r="DS204" s="1"/>
  <c r="DX39"/>
  <c r="DR39"/>
  <c r="DW39" s="1"/>
  <c r="DX55"/>
  <c r="DR55"/>
  <c r="DV55" s="1"/>
  <c r="DX71"/>
  <c r="DR71"/>
  <c r="DS71" s="1"/>
  <c r="DX87"/>
  <c r="DR87"/>
  <c r="DV87" s="1"/>
  <c r="DX99"/>
  <c r="DR99"/>
  <c r="DV99" s="1"/>
  <c r="DX115"/>
  <c r="DR115"/>
  <c r="DS115" s="1"/>
  <c r="DX131"/>
  <c r="DR131"/>
  <c r="DV131" s="1"/>
  <c r="DX147"/>
  <c r="DR147"/>
  <c r="DX163"/>
  <c r="DR163"/>
  <c r="DV163" s="1"/>
  <c r="DX179"/>
  <c r="DR179"/>
  <c r="DX195"/>
  <c r="DR195"/>
  <c r="DV195" s="1"/>
  <c r="DX50"/>
  <c r="DR50"/>
  <c r="DW50" s="1"/>
  <c r="DX66"/>
  <c r="DR66"/>
  <c r="DT66" s="1"/>
  <c r="DX82"/>
  <c r="DR82"/>
  <c r="DW82" s="1"/>
  <c r="DX114"/>
  <c r="DR114"/>
  <c r="DW114" s="1"/>
  <c r="DX130"/>
  <c r="DR130"/>
  <c r="DT130" s="1"/>
  <c r="DX146"/>
  <c r="DR146"/>
  <c r="DW146" s="1"/>
  <c r="DX162"/>
  <c r="DR162"/>
  <c r="DT162" s="1"/>
  <c r="DX178"/>
  <c r="DR178"/>
  <c r="DU178" s="1"/>
  <c r="DX194"/>
  <c r="DR194"/>
  <c r="DT194" s="1"/>
  <c r="DU104"/>
  <c r="DT104"/>
  <c r="DS104"/>
  <c r="DW104"/>
  <c r="DV104"/>
  <c r="DU120"/>
  <c r="DT120"/>
  <c r="DS120"/>
  <c r="DW120"/>
  <c r="DV120"/>
  <c r="DU136"/>
  <c r="DT136"/>
  <c r="DS136"/>
  <c r="DW136"/>
  <c r="DV136"/>
  <c r="DU152"/>
  <c r="DT152"/>
  <c r="DS152"/>
  <c r="DW152"/>
  <c r="DV152"/>
  <c r="DT168"/>
  <c r="DS168"/>
  <c r="DW168"/>
  <c r="DV168"/>
  <c r="DU168"/>
  <c r="DT184"/>
  <c r="DU184"/>
  <c r="DS184"/>
  <c r="DW184"/>
  <c r="DV184"/>
  <c r="DU200"/>
  <c r="DT200"/>
  <c r="DS200"/>
  <c r="DW200"/>
  <c r="DV200"/>
  <c r="DS51"/>
  <c r="DW51"/>
  <c r="DV51"/>
  <c r="DU51"/>
  <c r="DT51"/>
  <c r="DS67"/>
  <c r="DW67"/>
  <c r="DV67"/>
  <c r="DU67"/>
  <c r="DT67"/>
  <c r="DS83"/>
  <c r="DW83"/>
  <c r="DV83"/>
  <c r="DU83"/>
  <c r="DT83"/>
  <c r="DS107"/>
  <c r="DW107"/>
  <c r="DV107"/>
  <c r="DU107"/>
  <c r="DT107"/>
  <c r="DW115"/>
  <c r="DU115"/>
  <c r="DT115"/>
  <c r="DS123"/>
  <c r="DW123"/>
  <c r="DV123"/>
  <c r="DU123"/>
  <c r="DT123"/>
  <c r="DU131"/>
  <c r="DS139"/>
  <c r="DW139"/>
  <c r="DV139"/>
  <c r="DU139"/>
  <c r="DT139"/>
  <c r="DS147"/>
  <c r="DW147"/>
  <c r="DV147"/>
  <c r="DU147"/>
  <c r="DT147"/>
  <c r="DS155"/>
  <c r="DW155"/>
  <c r="DV155"/>
  <c r="DU155"/>
  <c r="DT155"/>
  <c r="DU163"/>
  <c r="DV171"/>
  <c r="DT171"/>
  <c r="DS171"/>
  <c r="DW171"/>
  <c r="DU171"/>
  <c r="DV179"/>
  <c r="DT179"/>
  <c r="DS179"/>
  <c r="DW179"/>
  <c r="DU179"/>
  <c r="DS187"/>
  <c r="DW187"/>
  <c r="DV187"/>
  <c r="DU187"/>
  <c r="DT187"/>
  <c r="DW195"/>
  <c r="DU195"/>
  <c r="DS203"/>
  <c r="DW203"/>
  <c r="DV203"/>
  <c r="DU203"/>
  <c r="DT203"/>
  <c r="DX53"/>
  <c r="DR53"/>
  <c r="DW53" s="1"/>
  <c r="DX69"/>
  <c r="DR69"/>
  <c r="DU69" s="1"/>
  <c r="DX85"/>
  <c r="DR85"/>
  <c r="DW85" s="1"/>
  <c r="DX97"/>
  <c r="DR97"/>
  <c r="DV97" s="1"/>
  <c r="DX113"/>
  <c r="DR113"/>
  <c r="DS113" s="1"/>
  <c r="DX129"/>
  <c r="DR129"/>
  <c r="DV129" s="1"/>
  <c r="DX145"/>
  <c r="DR145"/>
  <c r="DS145" s="1"/>
  <c r="DX161"/>
  <c r="DR161"/>
  <c r="DV161" s="1"/>
  <c r="DX177"/>
  <c r="DR177"/>
  <c r="DV177" s="1"/>
  <c r="DX193"/>
  <c r="DR193"/>
  <c r="DV193" s="1"/>
  <c r="DX20"/>
  <c r="DR20"/>
  <c r="DX48"/>
  <c r="DR48"/>
  <c r="DS48" s="1"/>
  <c r="DX64"/>
  <c r="DR64"/>
  <c r="DW64" s="1"/>
  <c r="DX80"/>
  <c r="DR80"/>
  <c r="DT80" s="1"/>
  <c r="DX96"/>
  <c r="DR96"/>
  <c r="DU96" s="1"/>
  <c r="DX112"/>
  <c r="DR112"/>
  <c r="DS112" s="1"/>
  <c r="DX128"/>
  <c r="DR128"/>
  <c r="DU128" s="1"/>
  <c r="DX144"/>
  <c r="DR144"/>
  <c r="DS144" s="1"/>
  <c r="DX160"/>
  <c r="DR160"/>
  <c r="DU160" s="1"/>
  <c r="DX176"/>
  <c r="DR176"/>
  <c r="DU176" s="1"/>
  <c r="DX192"/>
  <c r="DR192"/>
  <c r="DU192" s="1"/>
  <c r="DX43"/>
  <c r="DR43"/>
  <c r="DW43" s="1"/>
  <c r="DX59"/>
  <c r="DR59"/>
  <c r="DU59" s="1"/>
  <c r="DX75"/>
  <c r="DR75"/>
  <c r="DW75" s="1"/>
  <c r="DX91"/>
  <c r="DR91"/>
  <c r="DU91" s="1"/>
  <c r="DX103"/>
  <c r="DR103"/>
  <c r="DS103" s="1"/>
  <c r="DX119"/>
  <c r="DR119"/>
  <c r="DV119" s="1"/>
  <c r="DX135"/>
  <c r="DR135"/>
  <c r="DS135" s="1"/>
  <c r="DX151"/>
  <c r="DR151"/>
  <c r="DV151" s="1"/>
  <c r="DX167"/>
  <c r="DR167"/>
  <c r="DS167" s="1"/>
  <c r="DX183"/>
  <c r="DR183"/>
  <c r="DS183" s="1"/>
  <c r="DX199"/>
  <c r="DR199"/>
  <c r="DS199" s="1"/>
  <c r="DX22"/>
  <c r="DR22"/>
  <c r="DX38"/>
  <c r="DR38"/>
  <c r="DU38" s="1"/>
  <c r="DX54"/>
  <c r="DR54"/>
  <c r="DS54" s="1"/>
  <c r="DX70"/>
  <c r="DR70"/>
  <c r="DU70" s="1"/>
  <c r="DX86"/>
  <c r="DR86"/>
  <c r="DS86" s="1"/>
  <c r="DX98"/>
  <c r="DR98"/>
  <c r="DT98" s="1"/>
  <c r="DX102"/>
  <c r="DR102"/>
  <c r="DU102" s="1"/>
  <c r="DX118"/>
  <c r="DR118"/>
  <c r="DS118" s="1"/>
  <c r="DX134"/>
  <c r="DR134"/>
  <c r="DU134" s="1"/>
  <c r="DX150"/>
  <c r="DR150"/>
  <c r="DS150" s="1"/>
  <c r="DX166"/>
  <c r="DR166"/>
  <c r="DU166" s="1"/>
  <c r="DX182"/>
  <c r="DR182"/>
  <c r="DW182" s="1"/>
  <c r="DX198"/>
  <c r="DR198"/>
  <c r="DU198" s="1"/>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C8"/>
  <c r="D8"/>
  <c r="E8"/>
  <c r="F8"/>
  <c r="G8"/>
  <c r="H8"/>
  <c r="I8"/>
  <c r="J8"/>
  <c r="K8"/>
  <c r="B9"/>
  <c r="C9"/>
  <c r="D9"/>
  <c r="E9"/>
  <c r="F9"/>
  <c r="G9"/>
  <c r="H9"/>
  <c r="I9"/>
  <c r="J9"/>
  <c r="K9"/>
  <c r="B10"/>
  <c r="C10"/>
  <c r="D10"/>
  <c r="E10"/>
  <c r="F10"/>
  <c r="G10"/>
  <c r="H10"/>
  <c r="I10"/>
  <c r="J10"/>
  <c r="K10"/>
  <c r="B11"/>
  <c r="C11"/>
  <c r="D11"/>
  <c r="E11"/>
  <c r="F11"/>
  <c r="G11"/>
  <c r="H11"/>
  <c r="I11"/>
  <c r="J11"/>
  <c r="K11"/>
  <c r="B12"/>
  <c r="C12"/>
  <c r="D12"/>
  <c r="E12"/>
  <c r="F12"/>
  <c r="G12"/>
  <c r="H12"/>
  <c r="I12"/>
  <c r="J12"/>
  <c r="K12"/>
  <c r="B13"/>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C18"/>
  <c r="D18"/>
  <c r="E18"/>
  <c r="F18"/>
  <c r="G18"/>
  <c r="H18"/>
  <c r="I18"/>
  <c r="J18"/>
  <c r="K18"/>
  <c r="C19"/>
  <c r="D19"/>
  <c r="E19"/>
  <c r="F19"/>
  <c r="G19"/>
  <c r="H19"/>
  <c r="I19"/>
  <c r="J19"/>
  <c r="K19"/>
  <c r="C20"/>
  <c r="D20"/>
  <c r="E20"/>
  <c r="F20"/>
  <c r="G20"/>
  <c r="H20"/>
  <c r="I20"/>
  <c r="J20"/>
  <c r="K20"/>
  <c r="C21"/>
  <c r="D21"/>
  <c r="E21"/>
  <c r="F21"/>
  <c r="G21"/>
  <c r="H21"/>
  <c r="I21"/>
  <c r="J21"/>
  <c r="K21"/>
  <c r="C22"/>
  <c r="D22"/>
  <c r="E22"/>
  <c r="F22"/>
  <c r="G22"/>
  <c r="H22"/>
  <c r="I22"/>
  <c r="J22"/>
  <c r="K22"/>
  <c r="C23"/>
  <c r="D23"/>
  <c r="E23"/>
  <c r="F23"/>
  <c r="G23"/>
  <c r="H23"/>
  <c r="I23"/>
  <c r="J23"/>
  <c r="K23"/>
  <c r="C24"/>
  <c r="D24"/>
  <c r="E24"/>
  <c r="F24"/>
  <c r="G24"/>
  <c r="H24"/>
  <c r="I24"/>
  <c r="J24"/>
  <c r="K24"/>
  <c r="C25"/>
  <c r="D25"/>
  <c r="E25"/>
  <c r="F25"/>
  <c r="G25"/>
  <c r="H25"/>
  <c r="I25"/>
  <c r="J25"/>
  <c r="K25"/>
  <c r="C26"/>
  <c r="D26"/>
  <c r="E26"/>
  <c r="F26"/>
  <c r="G26"/>
  <c r="H26"/>
  <c r="I26"/>
  <c r="J26"/>
  <c r="K26"/>
  <c r="C27"/>
  <c r="D27"/>
  <c r="E27"/>
  <c r="F27"/>
  <c r="G27"/>
  <c r="H27"/>
  <c r="I27"/>
  <c r="J27"/>
  <c r="K27"/>
  <c r="C28"/>
  <c r="D28"/>
  <c r="E28"/>
  <c r="F28"/>
  <c r="G28"/>
  <c r="H28"/>
  <c r="I28"/>
  <c r="J28"/>
  <c r="K28"/>
  <c r="C29"/>
  <c r="D29"/>
  <c r="E29"/>
  <c r="F29"/>
  <c r="G29"/>
  <c r="H29"/>
  <c r="I29"/>
  <c r="J29"/>
  <c r="K29"/>
  <c r="C30"/>
  <c r="D30"/>
  <c r="E30"/>
  <c r="F30"/>
  <c r="G30"/>
  <c r="H30"/>
  <c r="I30"/>
  <c r="J30"/>
  <c r="K30"/>
  <c r="C31"/>
  <c r="D31"/>
  <c r="E31"/>
  <c r="F31"/>
  <c r="G31"/>
  <c r="H31"/>
  <c r="I31"/>
  <c r="J31"/>
  <c r="K31"/>
  <c r="C32"/>
  <c r="D32"/>
  <c r="E32"/>
  <c r="F32"/>
  <c r="G32"/>
  <c r="H32"/>
  <c r="I32"/>
  <c r="J32"/>
  <c r="K32"/>
  <c r="C33"/>
  <c r="D33"/>
  <c r="E33"/>
  <c r="F33"/>
  <c r="G33"/>
  <c r="H33"/>
  <c r="I33"/>
  <c r="J33"/>
  <c r="K33"/>
  <c r="C34"/>
  <c r="D34"/>
  <c r="E34"/>
  <c r="F34"/>
  <c r="G34"/>
  <c r="H34"/>
  <c r="I34"/>
  <c r="J34"/>
  <c r="K34"/>
  <c r="C35"/>
  <c r="D35"/>
  <c r="E35"/>
  <c r="F35"/>
  <c r="G35"/>
  <c r="H35"/>
  <c r="I35"/>
  <c r="J35"/>
  <c r="K35"/>
  <c r="C36"/>
  <c r="D36"/>
  <c r="E36"/>
  <c r="F36"/>
  <c r="G36"/>
  <c r="H36"/>
  <c r="I36"/>
  <c r="J36"/>
  <c r="K36"/>
  <c r="C37"/>
  <c r="D37"/>
  <c r="E37"/>
  <c r="F37"/>
  <c r="G37"/>
  <c r="H37"/>
  <c r="I37"/>
  <c r="J37"/>
  <c r="K37"/>
  <c r="B38"/>
  <c r="C38"/>
  <c r="D38"/>
  <c r="E38"/>
  <c r="F38"/>
  <c r="G38"/>
  <c r="H38"/>
  <c r="I38"/>
  <c r="J38"/>
  <c r="K38"/>
  <c r="B39"/>
  <c r="C39"/>
  <c r="D39"/>
  <c r="E39"/>
  <c r="F39"/>
  <c r="G39"/>
  <c r="H39"/>
  <c r="I39"/>
  <c r="J39"/>
  <c r="K39"/>
  <c r="B40"/>
  <c r="C40"/>
  <c r="D40"/>
  <c r="E40"/>
  <c r="F40"/>
  <c r="G40"/>
  <c r="H40"/>
  <c r="I40"/>
  <c r="J40"/>
  <c r="K40"/>
  <c r="B41"/>
  <c r="C41"/>
  <c r="D41"/>
  <c r="E41"/>
  <c r="F41"/>
  <c r="G41"/>
  <c r="H41"/>
  <c r="I41"/>
  <c r="J41"/>
  <c r="K41"/>
  <c r="B42"/>
  <c r="C42"/>
  <c r="D42"/>
  <c r="E42"/>
  <c r="F42"/>
  <c r="G42"/>
  <c r="H42"/>
  <c r="I42"/>
  <c r="J42"/>
  <c r="K42"/>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7"/>
  <c r="C47"/>
  <c r="D47"/>
  <c r="E47"/>
  <c r="F47"/>
  <c r="G47"/>
  <c r="H47"/>
  <c r="I47"/>
  <c r="J47"/>
  <c r="K47"/>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4"/>
  <c r="C54"/>
  <c r="D54"/>
  <c r="E54"/>
  <c r="F54"/>
  <c r="G54"/>
  <c r="H54"/>
  <c r="I54"/>
  <c r="J54"/>
  <c r="K54"/>
  <c r="B55"/>
  <c r="C55"/>
  <c r="D55"/>
  <c r="E55"/>
  <c r="F55"/>
  <c r="G55"/>
  <c r="H55"/>
  <c r="I55"/>
  <c r="J55"/>
  <c r="K55"/>
  <c r="B56"/>
  <c r="C56"/>
  <c r="D56"/>
  <c r="E56"/>
  <c r="F56"/>
  <c r="G56"/>
  <c r="H56"/>
  <c r="I56"/>
  <c r="J56"/>
  <c r="K56"/>
  <c r="B57"/>
  <c r="C57"/>
  <c r="D57"/>
  <c r="E57"/>
  <c r="F57"/>
  <c r="G57"/>
  <c r="H57"/>
  <c r="I57"/>
  <c r="J57"/>
  <c r="K57"/>
  <c r="B58"/>
  <c r="C58"/>
  <c r="D58"/>
  <c r="E58"/>
  <c r="F58"/>
  <c r="G58"/>
  <c r="H58"/>
  <c r="I58"/>
  <c r="J58"/>
  <c r="K58"/>
  <c r="B59"/>
  <c r="C59"/>
  <c r="D59"/>
  <c r="E59"/>
  <c r="F59"/>
  <c r="G59"/>
  <c r="H59"/>
  <c r="I59"/>
  <c r="J59"/>
  <c r="K59"/>
  <c r="B60"/>
  <c r="C60"/>
  <c r="D60"/>
  <c r="E60"/>
  <c r="F60"/>
  <c r="G60"/>
  <c r="H60"/>
  <c r="I60"/>
  <c r="J60"/>
  <c r="K60"/>
  <c r="B61"/>
  <c r="C61"/>
  <c r="D61"/>
  <c r="E61"/>
  <c r="F61"/>
  <c r="G61"/>
  <c r="H61"/>
  <c r="I61"/>
  <c r="J61"/>
  <c r="K61"/>
  <c r="B62"/>
  <c r="C62"/>
  <c r="D62"/>
  <c r="E62"/>
  <c r="F62"/>
  <c r="G62"/>
  <c r="H62"/>
  <c r="I62"/>
  <c r="J62"/>
  <c r="K62"/>
  <c r="B63"/>
  <c r="C63"/>
  <c r="D63"/>
  <c r="E63"/>
  <c r="F63"/>
  <c r="G63"/>
  <c r="H63"/>
  <c r="I63"/>
  <c r="J63"/>
  <c r="K63"/>
  <c r="B64"/>
  <c r="C64"/>
  <c r="D64"/>
  <c r="E64"/>
  <c r="F64"/>
  <c r="G64"/>
  <c r="H64"/>
  <c r="I64"/>
  <c r="J64"/>
  <c r="K64"/>
  <c r="B65"/>
  <c r="C65"/>
  <c r="D65"/>
  <c r="E65"/>
  <c r="F65"/>
  <c r="G65"/>
  <c r="H65"/>
  <c r="I65"/>
  <c r="J65"/>
  <c r="K65"/>
  <c r="B66"/>
  <c r="C66"/>
  <c r="D66"/>
  <c r="E66"/>
  <c r="F66"/>
  <c r="G66"/>
  <c r="H66"/>
  <c r="I66"/>
  <c r="J66"/>
  <c r="K66"/>
  <c r="B67"/>
  <c r="C67"/>
  <c r="D67"/>
  <c r="E67"/>
  <c r="F67"/>
  <c r="G67"/>
  <c r="H67"/>
  <c r="I67"/>
  <c r="J67"/>
  <c r="K67"/>
  <c r="B68"/>
  <c r="C68"/>
  <c r="D68"/>
  <c r="E68"/>
  <c r="F68"/>
  <c r="G68"/>
  <c r="H68"/>
  <c r="I68"/>
  <c r="J68"/>
  <c r="K68"/>
  <c r="B69"/>
  <c r="C69"/>
  <c r="D69"/>
  <c r="E69"/>
  <c r="F69"/>
  <c r="G69"/>
  <c r="H69"/>
  <c r="I69"/>
  <c r="J69"/>
  <c r="K69"/>
  <c r="B70"/>
  <c r="C70"/>
  <c r="D70"/>
  <c r="E70"/>
  <c r="F70"/>
  <c r="G70"/>
  <c r="H70"/>
  <c r="I70"/>
  <c r="J70"/>
  <c r="K70"/>
  <c r="B71"/>
  <c r="C71"/>
  <c r="D71"/>
  <c r="E71"/>
  <c r="F71"/>
  <c r="G71"/>
  <c r="H71"/>
  <c r="I71"/>
  <c r="J71"/>
  <c r="K71"/>
  <c r="B72"/>
  <c r="C72"/>
  <c r="D72"/>
  <c r="E72"/>
  <c r="F72"/>
  <c r="G72"/>
  <c r="H72"/>
  <c r="I72"/>
  <c r="J72"/>
  <c r="K72"/>
  <c r="B73"/>
  <c r="C73"/>
  <c r="D73"/>
  <c r="E73"/>
  <c r="F73"/>
  <c r="G73"/>
  <c r="H73"/>
  <c r="I73"/>
  <c r="J73"/>
  <c r="K73"/>
  <c r="B74"/>
  <c r="C74"/>
  <c r="D74"/>
  <c r="E74"/>
  <c r="F74"/>
  <c r="G74"/>
  <c r="H74"/>
  <c r="I74"/>
  <c r="J74"/>
  <c r="K74"/>
  <c r="B75"/>
  <c r="C75"/>
  <c r="D75"/>
  <c r="E75"/>
  <c r="F75"/>
  <c r="G75"/>
  <c r="H75"/>
  <c r="I75"/>
  <c r="J75"/>
  <c r="K75"/>
  <c r="B76"/>
  <c r="C76"/>
  <c r="D76"/>
  <c r="E76"/>
  <c r="F76"/>
  <c r="G76"/>
  <c r="H76"/>
  <c r="I76"/>
  <c r="J76"/>
  <c r="K76"/>
  <c r="B77"/>
  <c r="C77"/>
  <c r="D77"/>
  <c r="E77"/>
  <c r="F77"/>
  <c r="G77"/>
  <c r="H77"/>
  <c r="I77"/>
  <c r="J77"/>
  <c r="K77"/>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2"/>
  <c r="C82"/>
  <c r="D82"/>
  <c r="E82"/>
  <c r="F82"/>
  <c r="G82"/>
  <c r="H82"/>
  <c r="I82"/>
  <c r="J82"/>
  <c r="K82"/>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89"/>
  <c r="C89"/>
  <c r="D89"/>
  <c r="E89"/>
  <c r="F89"/>
  <c r="G89"/>
  <c r="H89"/>
  <c r="I89"/>
  <c r="J89"/>
  <c r="K89"/>
  <c r="B90"/>
  <c r="C90"/>
  <c r="D90"/>
  <c r="E90"/>
  <c r="F90"/>
  <c r="G90"/>
  <c r="H90"/>
  <c r="I90"/>
  <c r="J90"/>
  <c r="K90"/>
  <c r="B91"/>
  <c r="C91"/>
  <c r="D91"/>
  <c r="E91"/>
  <c r="F91"/>
  <c r="G91"/>
  <c r="H91"/>
  <c r="I91"/>
  <c r="J91"/>
  <c r="K91"/>
  <c r="B92"/>
  <c r="C92"/>
  <c r="D92"/>
  <c r="E92"/>
  <c r="F92"/>
  <c r="G92"/>
  <c r="H92"/>
  <c r="I92"/>
  <c r="J92"/>
  <c r="K92"/>
  <c r="B93"/>
  <c r="C93"/>
  <c r="D93"/>
  <c r="E93"/>
  <c r="F93"/>
  <c r="G93"/>
  <c r="H93"/>
  <c r="I93"/>
  <c r="J93"/>
  <c r="K93"/>
  <c r="B94"/>
  <c r="C94"/>
  <c r="D94"/>
  <c r="E94"/>
  <c r="F94"/>
  <c r="G94"/>
  <c r="H94"/>
  <c r="I94"/>
  <c r="J94"/>
  <c r="K94"/>
  <c r="B95"/>
  <c r="C95"/>
  <c r="D95"/>
  <c r="E95"/>
  <c r="F95"/>
  <c r="G95"/>
  <c r="H95"/>
  <c r="I95"/>
  <c r="J95"/>
  <c r="K95"/>
  <c r="B96"/>
  <c r="C96"/>
  <c r="D96"/>
  <c r="E96"/>
  <c r="F96"/>
  <c r="G96"/>
  <c r="H96"/>
  <c r="I96"/>
  <c r="J96"/>
  <c r="K96"/>
  <c r="B97"/>
  <c r="C97"/>
  <c r="D97"/>
  <c r="E97"/>
  <c r="F97"/>
  <c r="G97"/>
  <c r="H97"/>
  <c r="I97"/>
  <c r="J97"/>
  <c r="K97"/>
  <c r="B98"/>
  <c r="C98"/>
  <c r="D98"/>
  <c r="E98"/>
  <c r="F98"/>
  <c r="G98"/>
  <c r="H98"/>
  <c r="I98"/>
  <c r="J98"/>
  <c r="K98"/>
  <c r="B99"/>
  <c r="C99"/>
  <c r="D99"/>
  <c r="E99"/>
  <c r="F99"/>
  <c r="G99"/>
  <c r="H99"/>
  <c r="I99"/>
  <c r="J99"/>
  <c r="K99"/>
  <c r="B100"/>
  <c r="C100"/>
  <c r="D100"/>
  <c r="E100"/>
  <c r="F100"/>
  <c r="G100"/>
  <c r="H100"/>
  <c r="I100"/>
  <c r="J100"/>
  <c r="K100"/>
  <c r="B101"/>
  <c r="C101"/>
  <c r="D101"/>
  <c r="E101"/>
  <c r="F101"/>
  <c r="G101"/>
  <c r="H101"/>
  <c r="I101"/>
  <c r="J101"/>
  <c r="K101"/>
  <c r="B102"/>
  <c r="C102"/>
  <c r="D102"/>
  <c r="E102"/>
  <c r="F102"/>
  <c r="G102"/>
  <c r="H102"/>
  <c r="I102"/>
  <c r="J102"/>
  <c r="K102"/>
  <c r="B103"/>
  <c r="C103"/>
  <c r="D103"/>
  <c r="E103"/>
  <c r="F103"/>
  <c r="G103"/>
  <c r="H103"/>
  <c r="I103"/>
  <c r="J103"/>
  <c r="K103"/>
  <c r="B104"/>
  <c r="C104"/>
  <c r="D104"/>
  <c r="E104"/>
  <c r="F104"/>
  <c r="G104"/>
  <c r="H104"/>
  <c r="I104"/>
  <c r="J104"/>
  <c r="K104"/>
  <c r="B105"/>
  <c r="C105"/>
  <c r="D105"/>
  <c r="E105"/>
  <c r="F105"/>
  <c r="G105"/>
  <c r="H105"/>
  <c r="I105"/>
  <c r="J105"/>
  <c r="K105"/>
  <c r="B106"/>
  <c r="C106"/>
  <c r="D106"/>
  <c r="E106"/>
  <c r="F106"/>
  <c r="G106"/>
  <c r="H106"/>
  <c r="I106"/>
  <c r="J106"/>
  <c r="K106"/>
  <c r="B107"/>
  <c r="C107"/>
  <c r="D107"/>
  <c r="E107"/>
  <c r="F107"/>
  <c r="G107"/>
  <c r="H107"/>
  <c r="I107"/>
  <c r="J107"/>
  <c r="K107"/>
  <c r="B108"/>
  <c r="C108"/>
  <c r="D108"/>
  <c r="E108"/>
  <c r="F108"/>
  <c r="G108"/>
  <c r="H108"/>
  <c r="I108"/>
  <c r="J108"/>
  <c r="K108"/>
  <c r="B109"/>
  <c r="C109"/>
  <c r="D109"/>
  <c r="E109"/>
  <c r="F109"/>
  <c r="G109"/>
  <c r="H109"/>
  <c r="I109"/>
  <c r="J109"/>
  <c r="K109"/>
  <c r="B110"/>
  <c r="C110"/>
  <c r="D110"/>
  <c r="E110"/>
  <c r="F110"/>
  <c r="G110"/>
  <c r="H110"/>
  <c r="I110"/>
  <c r="J110"/>
  <c r="K110"/>
  <c r="B111"/>
  <c r="C111"/>
  <c r="D111"/>
  <c r="E111"/>
  <c r="F111"/>
  <c r="G111"/>
  <c r="H111"/>
  <c r="I111"/>
  <c r="J111"/>
  <c r="K111"/>
  <c r="B112"/>
  <c r="C112"/>
  <c r="D112"/>
  <c r="E112"/>
  <c r="F112"/>
  <c r="G112"/>
  <c r="H112"/>
  <c r="I112"/>
  <c r="J112"/>
  <c r="K112"/>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7"/>
  <c r="C117"/>
  <c r="D117"/>
  <c r="E117"/>
  <c r="F117"/>
  <c r="G117"/>
  <c r="H117"/>
  <c r="I117"/>
  <c r="J117"/>
  <c r="K117"/>
  <c r="B118"/>
  <c r="C118"/>
  <c r="D118"/>
  <c r="E118"/>
  <c r="F118"/>
  <c r="G118"/>
  <c r="H118"/>
  <c r="I118"/>
  <c r="J118"/>
  <c r="K118"/>
  <c r="B119"/>
  <c r="C119"/>
  <c r="D119"/>
  <c r="E119"/>
  <c r="F119"/>
  <c r="G119"/>
  <c r="H119"/>
  <c r="I119"/>
  <c r="J119"/>
  <c r="K119"/>
  <c r="B120"/>
  <c r="C120"/>
  <c r="D120"/>
  <c r="E120"/>
  <c r="F120"/>
  <c r="G120"/>
  <c r="H120"/>
  <c r="I120"/>
  <c r="J120"/>
  <c r="K120"/>
  <c r="B121"/>
  <c r="C121"/>
  <c r="D121"/>
  <c r="E121"/>
  <c r="F121"/>
  <c r="G121"/>
  <c r="H121"/>
  <c r="I121"/>
  <c r="J121"/>
  <c r="K121"/>
  <c r="B122"/>
  <c r="C122"/>
  <c r="D122"/>
  <c r="E122"/>
  <c r="F122"/>
  <c r="G122"/>
  <c r="H122"/>
  <c r="I122"/>
  <c r="J122"/>
  <c r="K122"/>
  <c r="B123"/>
  <c r="C123"/>
  <c r="D123"/>
  <c r="E123"/>
  <c r="F123"/>
  <c r="G123"/>
  <c r="H123"/>
  <c r="I123"/>
  <c r="J123"/>
  <c r="K123"/>
  <c r="B124"/>
  <c r="C124"/>
  <c r="D124"/>
  <c r="E124"/>
  <c r="F124"/>
  <c r="G124"/>
  <c r="H124"/>
  <c r="I124"/>
  <c r="J124"/>
  <c r="K124"/>
  <c r="B125"/>
  <c r="C125"/>
  <c r="D125"/>
  <c r="E125"/>
  <c r="F125"/>
  <c r="G125"/>
  <c r="H125"/>
  <c r="I125"/>
  <c r="J125"/>
  <c r="K125"/>
  <c r="B126"/>
  <c r="C126"/>
  <c r="D126"/>
  <c r="E126"/>
  <c r="F126"/>
  <c r="G126"/>
  <c r="H126"/>
  <c r="I126"/>
  <c r="J126"/>
  <c r="K126"/>
  <c r="B127"/>
  <c r="C127"/>
  <c r="D127"/>
  <c r="E127"/>
  <c r="F127"/>
  <c r="G127"/>
  <c r="H127"/>
  <c r="I127"/>
  <c r="J127"/>
  <c r="K127"/>
  <c r="B128"/>
  <c r="C128"/>
  <c r="D128"/>
  <c r="E128"/>
  <c r="F128"/>
  <c r="G128"/>
  <c r="H128"/>
  <c r="I128"/>
  <c r="J128"/>
  <c r="K128"/>
  <c r="B129"/>
  <c r="C129"/>
  <c r="D129"/>
  <c r="E129"/>
  <c r="F129"/>
  <c r="G129"/>
  <c r="H129"/>
  <c r="I129"/>
  <c r="J129"/>
  <c r="K129"/>
  <c r="B130"/>
  <c r="C130"/>
  <c r="D130"/>
  <c r="E130"/>
  <c r="F130"/>
  <c r="G130"/>
  <c r="H130"/>
  <c r="I130"/>
  <c r="J130"/>
  <c r="K130"/>
  <c r="B131"/>
  <c r="C131"/>
  <c r="D131"/>
  <c r="E131"/>
  <c r="F131"/>
  <c r="G131"/>
  <c r="H131"/>
  <c r="I131"/>
  <c r="J131"/>
  <c r="K131"/>
  <c r="B132"/>
  <c r="C132"/>
  <c r="D132"/>
  <c r="E132"/>
  <c r="F132"/>
  <c r="G132"/>
  <c r="H132"/>
  <c r="I132"/>
  <c r="J132"/>
  <c r="K132"/>
  <c r="B133"/>
  <c r="C133"/>
  <c r="D133"/>
  <c r="E133"/>
  <c r="F133"/>
  <c r="G133"/>
  <c r="H133"/>
  <c r="I133"/>
  <c r="J133"/>
  <c r="K133"/>
  <c r="B134"/>
  <c r="C134"/>
  <c r="D134"/>
  <c r="E134"/>
  <c r="F134"/>
  <c r="G134"/>
  <c r="H134"/>
  <c r="I134"/>
  <c r="J134"/>
  <c r="K134"/>
  <c r="B135"/>
  <c r="C135"/>
  <c r="D135"/>
  <c r="E135"/>
  <c r="F135"/>
  <c r="G135"/>
  <c r="H135"/>
  <c r="I135"/>
  <c r="J135"/>
  <c r="K135"/>
  <c r="B136"/>
  <c r="C136"/>
  <c r="D136"/>
  <c r="E136"/>
  <c r="F136"/>
  <c r="G136"/>
  <c r="H136"/>
  <c r="I136"/>
  <c r="J136"/>
  <c r="K136"/>
  <c r="B137"/>
  <c r="C137"/>
  <c r="D137"/>
  <c r="E137"/>
  <c r="F137"/>
  <c r="G137"/>
  <c r="H137"/>
  <c r="I137"/>
  <c r="J137"/>
  <c r="K137"/>
  <c r="B138"/>
  <c r="C138"/>
  <c r="D138"/>
  <c r="E138"/>
  <c r="F138"/>
  <c r="G138"/>
  <c r="H138"/>
  <c r="I138"/>
  <c r="J138"/>
  <c r="K138"/>
  <c r="B139"/>
  <c r="C139"/>
  <c r="D139"/>
  <c r="E139"/>
  <c r="F139"/>
  <c r="G139"/>
  <c r="H139"/>
  <c r="I139"/>
  <c r="J139"/>
  <c r="K139"/>
  <c r="B140"/>
  <c r="C140"/>
  <c r="D140"/>
  <c r="E140"/>
  <c r="F140"/>
  <c r="G140"/>
  <c r="H140"/>
  <c r="I140"/>
  <c r="J140"/>
  <c r="K140"/>
  <c r="B141"/>
  <c r="C141"/>
  <c r="D141"/>
  <c r="E141"/>
  <c r="F141"/>
  <c r="G141"/>
  <c r="H141"/>
  <c r="I141"/>
  <c r="J141"/>
  <c r="K141"/>
  <c r="B142"/>
  <c r="C142"/>
  <c r="D142"/>
  <c r="E142"/>
  <c r="F142"/>
  <c r="G142"/>
  <c r="H142"/>
  <c r="I142"/>
  <c r="J142"/>
  <c r="K142"/>
  <c r="B143"/>
  <c r="C143"/>
  <c r="D143"/>
  <c r="E143"/>
  <c r="F143"/>
  <c r="G143"/>
  <c r="H143"/>
  <c r="I143"/>
  <c r="J143"/>
  <c r="K143"/>
  <c r="B144"/>
  <c r="C144"/>
  <c r="D144"/>
  <c r="E144"/>
  <c r="F144"/>
  <c r="G144"/>
  <c r="H144"/>
  <c r="I144"/>
  <c r="J144"/>
  <c r="K144"/>
  <c r="B145"/>
  <c r="C145"/>
  <c r="D145"/>
  <c r="E145"/>
  <c r="F145"/>
  <c r="G145"/>
  <c r="H145"/>
  <c r="I145"/>
  <c r="J145"/>
  <c r="K145"/>
  <c r="B146"/>
  <c r="C146"/>
  <c r="D146"/>
  <c r="E146"/>
  <c r="F146"/>
  <c r="G146"/>
  <c r="H146"/>
  <c r="I146"/>
  <c r="J146"/>
  <c r="K146"/>
  <c r="B147"/>
  <c r="C147"/>
  <c r="D147"/>
  <c r="E147"/>
  <c r="F147"/>
  <c r="G147"/>
  <c r="H147"/>
  <c r="I147"/>
  <c r="J147"/>
  <c r="K147"/>
  <c r="B148"/>
  <c r="C148"/>
  <c r="D148"/>
  <c r="E148"/>
  <c r="F148"/>
  <c r="G148"/>
  <c r="H148"/>
  <c r="I148"/>
  <c r="J148"/>
  <c r="K148"/>
  <c r="B149"/>
  <c r="C149"/>
  <c r="D149"/>
  <c r="E149"/>
  <c r="F149"/>
  <c r="G149"/>
  <c r="H149"/>
  <c r="I149"/>
  <c r="J149"/>
  <c r="K149"/>
  <c r="B150"/>
  <c r="C150"/>
  <c r="D150"/>
  <c r="E150"/>
  <c r="F150"/>
  <c r="G150"/>
  <c r="H150"/>
  <c r="I150"/>
  <c r="J150"/>
  <c r="K150"/>
  <c r="B151"/>
  <c r="C151"/>
  <c r="D151"/>
  <c r="E151"/>
  <c r="F151"/>
  <c r="G151"/>
  <c r="H151"/>
  <c r="I151"/>
  <c r="J151"/>
  <c r="K151"/>
  <c r="B152"/>
  <c r="C152"/>
  <c r="D152"/>
  <c r="E152"/>
  <c r="F152"/>
  <c r="G152"/>
  <c r="H152"/>
  <c r="I152"/>
  <c r="J152"/>
  <c r="K152"/>
  <c r="B153"/>
  <c r="C153"/>
  <c r="D153"/>
  <c r="E153"/>
  <c r="F153"/>
  <c r="G153"/>
  <c r="H153"/>
  <c r="I153"/>
  <c r="J153"/>
  <c r="K153"/>
  <c r="B154"/>
  <c r="C154"/>
  <c r="D154"/>
  <c r="E154"/>
  <c r="F154"/>
  <c r="G154"/>
  <c r="H154"/>
  <c r="I154"/>
  <c r="J154"/>
  <c r="K154"/>
  <c r="B155"/>
  <c r="C155"/>
  <c r="D155"/>
  <c r="E155"/>
  <c r="F155"/>
  <c r="G155"/>
  <c r="H155"/>
  <c r="I155"/>
  <c r="J155"/>
  <c r="K155"/>
  <c r="B156"/>
  <c r="C156"/>
  <c r="D156"/>
  <c r="E156"/>
  <c r="F156"/>
  <c r="G156"/>
  <c r="H156"/>
  <c r="I156"/>
  <c r="J156"/>
  <c r="K156"/>
  <c r="B157"/>
  <c r="C157"/>
  <c r="D157"/>
  <c r="E157"/>
  <c r="F157"/>
  <c r="G157"/>
  <c r="H157"/>
  <c r="I157"/>
  <c r="J157"/>
  <c r="K157"/>
  <c r="B158"/>
  <c r="C158"/>
  <c r="D158"/>
  <c r="E158"/>
  <c r="F158"/>
  <c r="G158"/>
  <c r="H158"/>
  <c r="I158"/>
  <c r="J158"/>
  <c r="K158"/>
  <c r="B159"/>
  <c r="C159"/>
  <c r="D159"/>
  <c r="E159"/>
  <c r="F159"/>
  <c r="G159"/>
  <c r="H159"/>
  <c r="I159"/>
  <c r="J159"/>
  <c r="K159"/>
  <c r="B160"/>
  <c r="C160"/>
  <c r="D160"/>
  <c r="E160"/>
  <c r="F160"/>
  <c r="G160"/>
  <c r="H160"/>
  <c r="I160"/>
  <c r="J160"/>
  <c r="K160"/>
  <c r="B161"/>
  <c r="C161"/>
  <c r="D161"/>
  <c r="E161"/>
  <c r="F161"/>
  <c r="G161"/>
  <c r="H161"/>
  <c r="I161"/>
  <c r="J161"/>
  <c r="K161"/>
  <c r="B162"/>
  <c r="C162"/>
  <c r="D162"/>
  <c r="E162"/>
  <c r="F162"/>
  <c r="G162"/>
  <c r="H162"/>
  <c r="I162"/>
  <c r="J162"/>
  <c r="K162"/>
  <c r="B163"/>
  <c r="C163"/>
  <c r="D163"/>
  <c r="E163"/>
  <c r="F163"/>
  <c r="G163"/>
  <c r="H163"/>
  <c r="I163"/>
  <c r="J163"/>
  <c r="K163"/>
  <c r="B164"/>
  <c r="C164"/>
  <c r="D164"/>
  <c r="E164"/>
  <c r="F164"/>
  <c r="G164"/>
  <c r="H164"/>
  <c r="I164"/>
  <c r="J164"/>
  <c r="K164"/>
  <c r="B165"/>
  <c r="C165"/>
  <c r="D165"/>
  <c r="E165"/>
  <c r="F165"/>
  <c r="G165"/>
  <c r="H165"/>
  <c r="I165"/>
  <c r="J165"/>
  <c r="K165"/>
  <c r="B166"/>
  <c r="C166"/>
  <c r="D166"/>
  <c r="E166"/>
  <c r="F166"/>
  <c r="G166"/>
  <c r="H166"/>
  <c r="I166"/>
  <c r="J166"/>
  <c r="K166"/>
  <c r="B167"/>
  <c r="C167"/>
  <c r="D167"/>
  <c r="E167"/>
  <c r="F167"/>
  <c r="G167"/>
  <c r="H167"/>
  <c r="I167"/>
  <c r="J167"/>
  <c r="K167"/>
  <c r="B168"/>
  <c r="C168"/>
  <c r="D168"/>
  <c r="E168"/>
  <c r="F168"/>
  <c r="G168"/>
  <c r="H168"/>
  <c r="I168"/>
  <c r="J168"/>
  <c r="K168"/>
  <c r="B169"/>
  <c r="C169"/>
  <c r="D169"/>
  <c r="E169"/>
  <c r="F169"/>
  <c r="G169"/>
  <c r="H169"/>
  <c r="I169"/>
  <c r="J169"/>
  <c r="K169"/>
  <c r="B170"/>
  <c r="C170"/>
  <c r="D170"/>
  <c r="E170"/>
  <c r="F170"/>
  <c r="G170"/>
  <c r="H170"/>
  <c r="I170"/>
  <c r="J170"/>
  <c r="K170"/>
  <c r="B171"/>
  <c r="C171"/>
  <c r="D171"/>
  <c r="E171"/>
  <c r="F171"/>
  <c r="G171"/>
  <c r="H171"/>
  <c r="I171"/>
  <c r="J171"/>
  <c r="K171"/>
  <c r="B172"/>
  <c r="C172"/>
  <c r="D172"/>
  <c r="E172"/>
  <c r="F172"/>
  <c r="G172"/>
  <c r="H172"/>
  <c r="I172"/>
  <c r="J172"/>
  <c r="K172"/>
  <c r="B173"/>
  <c r="C173"/>
  <c r="D173"/>
  <c r="E173"/>
  <c r="F173"/>
  <c r="G173"/>
  <c r="H173"/>
  <c r="I173"/>
  <c r="J173"/>
  <c r="K173"/>
  <c r="B174"/>
  <c r="C174"/>
  <c r="D174"/>
  <c r="E174"/>
  <c r="F174"/>
  <c r="G174"/>
  <c r="H174"/>
  <c r="I174"/>
  <c r="J174"/>
  <c r="K174"/>
  <c r="B175"/>
  <c r="C175"/>
  <c r="D175"/>
  <c r="E175"/>
  <c r="F175"/>
  <c r="G175"/>
  <c r="H175"/>
  <c r="I175"/>
  <c r="J175"/>
  <c r="K175"/>
  <c r="B176"/>
  <c r="C176"/>
  <c r="D176"/>
  <c r="E176"/>
  <c r="F176"/>
  <c r="G176"/>
  <c r="H176"/>
  <c r="I176"/>
  <c r="J176"/>
  <c r="K176"/>
  <c r="B177"/>
  <c r="C177"/>
  <c r="D177"/>
  <c r="E177"/>
  <c r="F177"/>
  <c r="G177"/>
  <c r="H177"/>
  <c r="I177"/>
  <c r="J177"/>
  <c r="K177"/>
  <c r="B178"/>
  <c r="C178"/>
  <c r="D178"/>
  <c r="E178"/>
  <c r="F178"/>
  <c r="G178"/>
  <c r="H178"/>
  <c r="I178"/>
  <c r="J178"/>
  <c r="K178"/>
  <c r="B179"/>
  <c r="C179"/>
  <c r="D179"/>
  <c r="E179"/>
  <c r="F179"/>
  <c r="G179"/>
  <c r="H179"/>
  <c r="I179"/>
  <c r="J179"/>
  <c r="K179"/>
  <c r="B180"/>
  <c r="C180"/>
  <c r="D180"/>
  <c r="E180"/>
  <c r="F180"/>
  <c r="G180"/>
  <c r="H180"/>
  <c r="I180"/>
  <c r="J180"/>
  <c r="K180"/>
  <c r="B181"/>
  <c r="C181"/>
  <c r="D181"/>
  <c r="E181"/>
  <c r="F181"/>
  <c r="G181"/>
  <c r="H181"/>
  <c r="I181"/>
  <c r="J181"/>
  <c r="K181"/>
  <c r="B182"/>
  <c r="C182"/>
  <c r="D182"/>
  <c r="E182"/>
  <c r="F182"/>
  <c r="G182"/>
  <c r="H182"/>
  <c r="I182"/>
  <c r="J182"/>
  <c r="K182"/>
  <c r="B183"/>
  <c r="C183"/>
  <c r="D183"/>
  <c r="E183"/>
  <c r="F183"/>
  <c r="G183"/>
  <c r="H183"/>
  <c r="I183"/>
  <c r="J183"/>
  <c r="K183"/>
  <c r="B184"/>
  <c r="C184"/>
  <c r="D184"/>
  <c r="E184"/>
  <c r="F184"/>
  <c r="G184"/>
  <c r="H184"/>
  <c r="I184"/>
  <c r="J184"/>
  <c r="K184"/>
  <c r="B185"/>
  <c r="C185"/>
  <c r="D185"/>
  <c r="E185"/>
  <c r="F185"/>
  <c r="G185"/>
  <c r="H185"/>
  <c r="I185"/>
  <c r="J185"/>
  <c r="K185"/>
  <c r="B186"/>
  <c r="C186"/>
  <c r="D186"/>
  <c r="E186"/>
  <c r="F186"/>
  <c r="G186"/>
  <c r="H186"/>
  <c r="I186"/>
  <c r="J186"/>
  <c r="K186"/>
  <c r="B187"/>
  <c r="C187"/>
  <c r="D187"/>
  <c r="E187"/>
  <c r="F187"/>
  <c r="G187"/>
  <c r="H187"/>
  <c r="I187"/>
  <c r="J187"/>
  <c r="K187"/>
  <c r="B188"/>
  <c r="C188"/>
  <c r="D188"/>
  <c r="E188"/>
  <c r="F188"/>
  <c r="G188"/>
  <c r="H188"/>
  <c r="I188"/>
  <c r="J188"/>
  <c r="K188"/>
  <c r="B189"/>
  <c r="C189"/>
  <c r="D189"/>
  <c r="E189"/>
  <c r="F189"/>
  <c r="G189"/>
  <c r="H189"/>
  <c r="I189"/>
  <c r="J189"/>
  <c r="K189"/>
  <c r="B190"/>
  <c r="C190"/>
  <c r="D190"/>
  <c r="E190"/>
  <c r="F190"/>
  <c r="G190"/>
  <c r="H190"/>
  <c r="I190"/>
  <c r="J190"/>
  <c r="K190"/>
  <c r="B191"/>
  <c r="C191"/>
  <c r="D191"/>
  <c r="E191"/>
  <c r="F191"/>
  <c r="G191"/>
  <c r="H191"/>
  <c r="I191"/>
  <c r="J191"/>
  <c r="K191"/>
  <c r="B192"/>
  <c r="C192"/>
  <c r="D192"/>
  <c r="E192"/>
  <c r="F192"/>
  <c r="G192"/>
  <c r="H192"/>
  <c r="I192"/>
  <c r="J192"/>
  <c r="K192"/>
  <c r="B193"/>
  <c r="C193"/>
  <c r="D193"/>
  <c r="E193"/>
  <c r="F193"/>
  <c r="G193"/>
  <c r="H193"/>
  <c r="I193"/>
  <c r="J193"/>
  <c r="K193"/>
  <c r="B194"/>
  <c r="C194"/>
  <c r="D194"/>
  <c r="E194"/>
  <c r="F194"/>
  <c r="G194"/>
  <c r="H194"/>
  <c r="I194"/>
  <c r="J194"/>
  <c r="K194"/>
  <c r="B195"/>
  <c r="C195"/>
  <c r="D195"/>
  <c r="E195"/>
  <c r="F195"/>
  <c r="G195"/>
  <c r="H195"/>
  <c r="I195"/>
  <c r="J195"/>
  <c r="K195"/>
  <c r="B196"/>
  <c r="C196"/>
  <c r="D196"/>
  <c r="E196"/>
  <c r="F196"/>
  <c r="G196"/>
  <c r="H196"/>
  <c r="I196"/>
  <c r="J196"/>
  <c r="K196"/>
  <c r="B197"/>
  <c r="C197"/>
  <c r="D197"/>
  <c r="E197"/>
  <c r="F197"/>
  <c r="G197"/>
  <c r="H197"/>
  <c r="I197"/>
  <c r="J197"/>
  <c r="K197"/>
  <c r="B198"/>
  <c r="C198"/>
  <c r="D198"/>
  <c r="E198"/>
  <c r="F198"/>
  <c r="G198"/>
  <c r="H198"/>
  <c r="I198"/>
  <c r="J198"/>
  <c r="K198"/>
  <c r="B199"/>
  <c r="C199"/>
  <c r="D199"/>
  <c r="E199"/>
  <c r="F199"/>
  <c r="G199"/>
  <c r="H199"/>
  <c r="I199"/>
  <c r="J199"/>
  <c r="K199"/>
  <c r="B200"/>
  <c r="C200"/>
  <c r="D200"/>
  <c r="E200"/>
  <c r="F200"/>
  <c r="G200"/>
  <c r="H200"/>
  <c r="I200"/>
  <c r="J200"/>
  <c r="K200"/>
  <c r="B201"/>
  <c r="C201"/>
  <c r="D201"/>
  <c r="E201"/>
  <c r="F201"/>
  <c r="G201"/>
  <c r="H201"/>
  <c r="I201"/>
  <c r="J201"/>
  <c r="K201"/>
  <c r="B202"/>
  <c r="C202"/>
  <c r="D202"/>
  <c r="E202"/>
  <c r="F202"/>
  <c r="G202"/>
  <c r="H202"/>
  <c r="I202"/>
  <c r="J202"/>
  <c r="K202"/>
  <c r="B203"/>
  <c r="C203"/>
  <c r="D203"/>
  <c r="E203"/>
  <c r="F203"/>
  <c r="G203"/>
  <c r="H203"/>
  <c r="I203"/>
  <c r="J203"/>
  <c r="K203"/>
  <c r="B204"/>
  <c r="C204"/>
  <c r="D204"/>
  <c r="E204"/>
  <c r="F204"/>
  <c r="G204"/>
  <c r="H204"/>
  <c r="I204"/>
  <c r="J204"/>
  <c r="K204"/>
  <c r="B205"/>
  <c r="C205"/>
  <c r="D205"/>
  <c r="E205"/>
  <c r="F205"/>
  <c r="G205"/>
  <c r="H205"/>
  <c r="I205"/>
  <c r="J205"/>
  <c r="K205"/>
  <c r="B206"/>
  <c r="C206"/>
  <c r="D206"/>
  <c r="E206"/>
  <c r="F206"/>
  <c r="G206"/>
  <c r="H206"/>
  <c r="I206"/>
  <c r="J206"/>
  <c r="K206"/>
  <c r="A2"/>
  <c r="C3"/>
  <c r="B1" i="3"/>
  <c r="C7" i="8"/>
  <c r="D7"/>
  <c r="B7"/>
  <c r="E275" i="19" l="1"/>
  <c r="K298"/>
  <c r="DW206" i="9"/>
  <c r="DV174"/>
  <c r="DS158"/>
  <c r="DW142"/>
  <c r="DV126"/>
  <c r="DU126"/>
  <c r="DT110"/>
  <c r="DT94"/>
  <c r="DS78"/>
  <c r="DS62"/>
  <c r="DS46"/>
  <c r="DV158"/>
  <c r="DV94"/>
  <c r="DV78"/>
  <c r="DV46"/>
  <c r="DT40"/>
  <c r="DV115"/>
  <c r="DU99"/>
  <c r="DU95"/>
  <c r="DW63"/>
  <c r="DV79"/>
  <c r="L217" i="19"/>
  <c r="BB220"/>
  <c r="BA246"/>
  <c r="BB246"/>
  <c r="BC246"/>
  <c r="AX247"/>
  <c r="AX249"/>
  <c r="AV249"/>
  <c r="AV247"/>
  <c r="AW247"/>
  <c r="AW249"/>
  <c r="BB218"/>
  <c r="AB217" s="1"/>
  <c r="AD260"/>
  <c r="DO23" i="9"/>
  <c r="DO13"/>
  <c r="DO14"/>
  <c r="DO12"/>
  <c r="DO22"/>
  <c r="DO8"/>
  <c r="DO15"/>
  <c r="DO17"/>
  <c r="DO20"/>
  <c r="DO18"/>
  <c r="DO24"/>
  <c r="DO19"/>
  <c r="DW21"/>
  <c r="DO11"/>
  <c r="DO10"/>
  <c r="DS10" s="1"/>
  <c r="DO9"/>
  <c r="DO16"/>
  <c r="DO21"/>
  <c r="DV21" s="1"/>
  <c r="DU11"/>
  <c r="DW89"/>
  <c r="DV73"/>
  <c r="DU57"/>
  <c r="DT41"/>
  <c r="DS41"/>
  <c r="DV196"/>
  <c r="DU196"/>
  <c r="DV180"/>
  <c r="DS164"/>
  <c r="DS148"/>
  <c r="DS132"/>
  <c r="DW116"/>
  <c r="DW100"/>
  <c r="DT95"/>
  <c r="DS95"/>
  <c r="DV63"/>
  <c r="DW84"/>
  <c r="DV52"/>
  <c r="DT22"/>
  <c r="DS20"/>
  <c r="DT73"/>
  <c r="DV164"/>
  <c r="DV148"/>
  <c r="DU132"/>
  <c r="DS23"/>
  <c r="DT63"/>
  <c r="DT84"/>
  <c r="DT52"/>
  <c r="S258" i="19"/>
  <c r="AA255"/>
  <c r="DT195" i="9"/>
  <c r="DS195"/>
  <c r="DT163"/>
  <c r="DS163"/>
  <c r="DT131"/>
  <c r="DS131"/>
  <c r="DT99"/>
  <c r="DS99"/>
  <c r="DU79"/>
  <c r="DS47"/>
  <c r="DV68"/>
  <c r="DW163"/>
  <c r="DW131"/>
  <c r="DW99"/>
  <c r="DV100"/>
  <c r="DU100"/>
  <c r="DT79"/>
  <c r="DS79"/>
  <c r="DW47"/>
  <c r="DU68"/>
  <c r="DV47"/>
  <c r="DS68"/>
  <c r="AE261" i="19"/>
  <c r="DV20" i="9"/>
  <c r="DR30"/>
  <c r="DX30"/>
  <c r="DR24"/>
  <c r="DT24" s="1"/>
  <c r="DX24"/>
  <c r="DR18"/>
  <c r="DT18" s="1"/>
  <c r="DX18"/>
  <c r="DX34"/>
  <c r="DR34"/>
  <c r="DR37"/>
  <c r="DV37" s="1"/>
  <c r="DX37"/>
  <c r="DX8"/>
  <c r="DR8"/>
  <c r="DU12"/>
  <c r="DX12"/>
  <c r="DR25"/>
  <c r="DV25" s="1"/>
  <c r="DX25"/>
  <c r="DR15"/>
  <c r="DX15"/>
  <c r="DR16"/>
  <c r="DX16"/>
  <c r="DX9"/>
  <c r="DX32"/>
  <c r="DR32"/>
  <c r="DU32" s="1"/>
  <c r="DR27"/>
  <c r="DU27" s="1"/>
  <c r="DX27"/>
  <c r="DR33"/>
  <c r="DU33" s="1"/>
  <c r="DX33"/>
  <c r="DR19"/>
  <c r="DX19"/>
  <c r="DR35"/>
  <c r="DV35" s="1"/>
  <c r="DX35"/>
  <c r="DR14"/>
  <c r="DW14" s="1"/>
  <c r="DX14"/>
  <c r="DR36"/>
  <c r="DX36"/>
  <c r="DX13"/>
  <c r="DR13"/>
  <c r="DR31"/>
  <c r="DX31"/>
  <c r="DR28"/>
  <c r="DT28" s="1"/>
  <c r="DX28"/>
  <c r="DR26"/>
  <c r="DX26"/>
  <c r="DR29"/>
  <c r="DW29" s="1"/>
  <c r="DX29"/>
  <c r="DR17"/>
  <c r="DW17" s="1"/>
  <c r="DX17"/>
  <c r="DV62"/>
  <c r="DS40"/>
  <c r="DV84"/>
  <c r="DS52"/>
  <c r="DV40"/>
  <c r="AA253" i="19"/>
  <c r="AA254"/>
  <c r="AA257"/>
  <c r="AA256"/>
  <c r="AA258"/>
  <c r="AA260"/>
  <c r="S260"/>
  <c r="G298"/>
  <c r="F274"/>
  <c r="L276"/>
  <c r="AW275" s="1"/>
  <c r="A271"/>
  <c r="A272" s="1"/>
  <c r="A273" s="1"/>
  <c r="A274" s="1"/>
  <c r="D283"/>
  <c r="O286"/>
  <c r="H290"/>
  <c r="P293"/>
  <c r="AB278"/>
  <c r="B285"/>
  <c r="D286"/>
  <c r="E288"/>
  <c r="F292"/>
  <c r="F283"/>
  <c r="G286"/>
  <c r="H287"/>
  <c r="J287" s="1"/>
  <c r="F290"/>
  <c r="C276"/>
  <c r="O283"/>
  <c r="E285"/>
  <c r="G287"/>
  <c r="G288"/>
  <c r="M290"/>
  <c r="L284"/>
  <c r="N284" s="1"/>
  <c r="E286"/>
  <c r="D290"/>
  <c r="F293"/>
  <c r="B298"/>
  <c r="F284"/>
  <c r="O287"/>
  <c r="O290"/>
  <c r="C277"/>
  <c r="F285"/>
  <c r="D287"/>
  <c r="B290"/>
  <c r="H294"/>
  <c r="F286"/>
  <c r="I290"/>
  <c r="G284"/>
  <c r="H285"/>
  <c r="F288"/>
  <c r="H292"/>
  <c r="L283"/>
  <c r="N283" s="1"/>
  <c r="L285"/>
  <c r="N285" s="1"/>
  <c r="E287"/>
  <c r="G290"/>
  <c r="N293"/>
  <c r="L275"/>
  <c r="O284"/>
  <c r="H288"/>
  <c r="J288" s="1"/>
  <c r="N292"/>
  <c r="E283"/>
  <c r="H284"/>
  <c r="J284" s="1"/>
  <c r="O285"/>
  <c r="E290"/>
  <c r="F294"/>
  <c r="H283"/>
  <c r="J283" s="1"/>
  <c r="D285"/>
  <c r="F287"/>
  <c r="L290"/>
  <c r="M294"/>
  <c r="G283"/>
  <c r="G285"/>
  <c r="H286"/>
  <c r="J286" s="1"/>
  <c r="K286" s="1"/>
  <c r="O288"/>
  <c r="P292"/>
  <c r="A275"/>
  <c r="A276" s="1"/>
  <c r="A277" s="1"/>
  <c r="A278" s="1"/>
  <c r="A279" s="1"/>
  <c r="A280" s="1"/>
  <c r="A281" s="1"/>
  <c r="A282" s="1"/>
  <c r="A283" s="1"/>
  <c r="A284" s="1"/>
  <c r="A285" s="1"/>
  <c r="A286" s="1"/>
  <c r="A287" s="1"/>
  <c r="A288" s="1"/>
  <c r="A289" s="1"/>
  <c r="A290" s="1"/>
  <c r="A291" s="1"/>
  <c r="A292" s="1"/>
  <c r="A293" s="1"/>
  <c r="A294" s="1"/>
  <c r="A295" s="1"/>
  <c r="A296" s="1"/>
  <c r="A297" s="1"/>
  <c r="A298" s="1"/>
  <c r="A299" s="1"/>
  <c r="E284"/>
  <c r="L286"/>
  <c r="N286" s="1"/>
  <c r="D288"/>
  <c r="J290"/>
  <c r="C278"/>
  <c r="D284"/>
  <c r="J285"/>
  <c r="L287"/>
  <c r="N287" s="1"/>
  <c r="L288"/>
  <c r="N288" s="1"/>
  <c r="H293"/>
  <c r="F7" i="12"/>
  <c r="F6" i="11"/>
  <c r="C3" i="15"/>
  <c r="C3" i="11"/>
  <c r="F3" i="15"/>
  <c r="F2" i="11"/>
  <c r="A3"/>
  <c r="A3" i="15"/>
  <c r="D3"/>
  <c r="D2" i="11"/>
  <c r="B3" i="15"/>
  <c r="B3" i="11"/>
  <c r="DW20" i="9"/>
  <c r="DS18"/>
  <c r="GK35"/>
  <c r="GL35"/>
  <c r="S32" i="11" s="1"/>
  <c r="GK31" i="9"/>
  <c r="GL31"/>
  <c r="S28" i="11" s="1"/>
  <c r="GK27" i="9"/>
  <c r="GL27"/>
  <c r="S24" i="11" s="1"/>
  <c r="GK23" i="9"/>
  <c r="D265" i="19" s="1"/>
  <c r="GL23" i="9"/>
  <c r="GK19"/>
  <c r="D205" i="19" s="1"/>
  <c r="GL19" i="9"/>
  <c r="GK36"/>
  <c r="GL36"/>
  <c r="S33" i="11" s="1"/>
  <c r="GK32" i="9"/>
  <c r="GL32"/>
  <c r="S29" i="11" s="1"/>
  <c r="GK28" i="9"/>
  <c r="GL28"/>
  <c r="S25" i="11" s="1"/>
  <c r="GK24" i="9"/>
  <c r="T265" i="19" s="1"/>
  <c r="GL24" i="9"/>
  <c r="GK20"/>
  <c r="T205" i="19" s="1"/>
  <c r="GL20" i="9"/>
  <c r="GK37"/>
  <c r="GL37"/>
  <c r="S34" i="11" s="1"/>
  <c r="GK33" i="9"/>
  <c r="GL33"/>
  <c r="S30" i="11" s="1"/>
  <c r="GK29" i="9"/>
  <c r="GL29"/>
  <c r="S26" i="11" s="1"/>
  <c r="GK25" i="9"/>
  <c r="D295" i="19" s="1"/>
  <c r="GL25" i="9"/>
  <c r="S22" i="11" s="1"/>
  <c r="GK21" i="9"/>
  <c r="D235" i="19" s="1"/>
  <c r="GL21" i="9"/>
  <c r="GK34"/>
  <c r="GL34"/>
  <c r="S31" i="11" s="1"/>
  <c r="GK30" i="9"/>
  <c r="GL30"/>
  <c r="S27" i="11" s="1"/>
  <c r="GK26" i="9"/>
  <c r="GM26" s="1"/>
  <c r="GL26"/>
  <c r="S23" i="11" s="1"/>
  <c r="GK22" i="9"/>
  <c r="T235" i="19" s="1"/>
  <c r="GL22" i="9"/>
  <c r="GK18"/>
  <c r="GL18"/>
  <c r="DU18"/>
  <c r="DT8"/>
  <c r="DT20"/>
  <c r="DS37"/>
  <c r="DT37"/>
  <c r="DW18"/>
  <c r="DV18"/>
  <c r="DU20"/>
  <c r="DU37"/>
  <c r="DT91"/>
  <c r="DS91"/>
  <c r="DV75"/>
  <c r="DT59"/>
  <c r="DS59"/>
  <c r="DV43"/>
  <c r="DT192"/>
  <c r="DS176"/>
  <c r="DT160"/>
  <c r="DW144"/>
  <c r="DT128"/>
  <c r="DW112"/>
  <c r="DT96"/>
  <c r="DS80"/>
  <c r="DW48"/>
  <c r="DU193"/>
  <c r="DT177"/>
  <c r="DU161"/>
  <c r="DW145"/>
  <c r="DU129"/>
  <c r="DW113"/>
  <c r="DU97"/>
  <c r="DW81"/>
  <c r="DU65"/>
  <c r="DW49"/>
  <c r="DU25"/>
  <c r="DT198"/>
  <c r="DU182"/>
  <c r="DT166"/>
  <c r="DW150"/>
  <c r="DT134"/>
  <c r="DW118"/>
  <c r="DT102"/>
  <c r="DW86"/>
  <c r="DT70"/>
  <c r="DW54"/>
  <c r="DT38"/>
  <c r="DS22"/>
  <c r="DU35"/>
  <c r="DT32"/>
  <c r="DV39"/>
  <c r="DW204"/>
  <c r="DT188"/>
  <c r="DV92"/>
  <c r="DU92"/>
  <c r="DT76"/>
  <c r="DS60"/>
  <c r="DW44"/>
  <c r="DV64"/>
  <c r="DU64"/>
  <c r="DV29"/>
  <c r="DV17"/>
  <c r="DW199"/>
  <c r="DV191"/>
  <c r="DW183"/>
  <c r="DU175"/>
  <c r="DV175"/>
  <c r="DV167"/>
  <c r="DV159"/>
  <c r="DU151"/>
  <c r="DT143"/>
  <c r="DS143"/>
  <c r="DW135"/>
  <c r="DV127"/>
  <c r="DU119"/>
  <c r="DT111"/>
  <c r="DS111"/>
  <c r="DW103"/>
  <c r="DU87"/>
  <c r="DW71"/>
  <c r="DU55"/>
  <c r="DW23"/>
  <c r="DU172"/>
  <c r="DW156"/>
  <c r="DV140"/>
  <c r="DU140"/>
  <c r="DT124"/>
  <c r="DS108"/>
  <c r="DW56"/>
  <c r="DT12"/>
  <c r="DS12"/>
  <c r="DU205"/>
  <c r="DT197"/>
  <c r="DS197"/>
  <c r="DW189"/>
  <c r="DW181"/>
  <c r="DU173"/>
  <c r="DT165"/>
  <c r="DS165"/>
  <c r="DW157"/>
  <c r="DV149"/>
  <c r="DU141"/>
  <c r="DT133"/>
  <c r="DS133"/>
  <c r="DW125"/>
  <c r="DV117"/>
  <c r="DU109"/>
  <c r="DT101"/>
  <c r="DS101"/>
  <c r="DW93"/>
  <c r="DV85"/>
  <c r="DU77"/>
  <c r="DT69"/>
  <c r="DS69"/>
  <c r="DW61"/>
  <c r="DV53"/>
  <c r="DU45"/>
  <c r="DT33"/>
  <c r="DS33"/>
  <c r="DT202"/>
  <c r="DS194"/>
  <c r="DW186"/>
  <c r="DS178"/>
  <c r="DT178"/>
  <c r="DV170"/>
  <c r="DS162"/>
  <c r="DW154"/>
  <c r="DV146"/>
  <c r="DU146"/>
  <c r="DT138"/>
  <c r="DS130"/>
  <c r="DW122"/>
  <c r="DV114"/>
  <c r="DU114"/>
  <c r="DT106"/>
  <c r="DS98"/>
  <c r="DW90"/>
  <c r="DV82"/>
  <c r="DU82"/>
  <c r="DT74"/>
  <c r="DS66"/>
  <c r="DW58"/>
  <c r="DV50"/>
  <c r="DU50"/>
  <c r="DT42"/>
  <c r="DV14"/>
  <c r="DT27"/>
  <c r="DS27"/>
  <c r="DT11"/>
  <c r="DS24"/>
  <c r="DS8"/>
  <c r="DV88"/>
  <c r="DU88"/>
  <c r="DT72"/>
  <c r="DS28"/>
  <c r="DW91"/>
  <c r="DU75"/>
  <c r="DW59"/>
  <c r="DU43"/>
  <c r="DS192"/>
  <c r="DW176"/>
  <c r="DT176"/>
  <c r="DS160"/>
  <c r="DV144"/>
  <c r="DU144"/>
  <c r="DS128"/>
  <c r="DV112"/>
  <c r="DU112"/>
  <c r="DS96"/>
  <c r="DW80"/>
  <c r="DV48"/>
  <c r="DU48"/>
  <c r="DT193"/>
  <c r="DS193"/>
  <c r="DW177"/>
  <c r="DT161"/>
  <c r="DS161"/>
  <c r="DV145"/>
  <c r="DT129"/>
  <c r="DS129"/>
  <c r="DV113"/>
  <c r="DT97"/>
  <c r="DS97"/>
  <c r="DV81"/>
  <c r="DT65"/>
  <c r="DS65"/>
  <c r="DV49"/>
  <c r="DT25"/>
  <c r="DS25"/>
  <c r="DS198"/>
  <c r="DS182"/>
  <c r="DT182"/>
  <c r="DS166"/>
  <c r="DV150"/>
  <c r="DU150"/>
  <c r="DS134"/>
  <c r="DV118"/>
  <c r="DU118"/>
  <c r="DS102"/>
  <c r="DV86"/>
  <c r="DU86"/>
  <c r="DS70"/>
  <c r="DV54"/>
  <c r="DU54"/>
  <c r="DS38"/>
  <c r="DW22"/>
  <c r="DT35"/>
  <c r="DS35"/>
  <c r="DS32"/>
  <c r="DU39"/>
  <c r="DV204"/>
  <c r="DU204"/>
  <c r="DS188"/>
  <c r="DT92"/>
  <c r="DS76"/>
  <c r="DW60"/>
  <c r="DV44"/>
  <c r="DU44"/>
  <c r="DT64"/>
  <c r="DU29"/>
  <c r="DU17"/>
  <c r="DT17"/>
  <c r="DV199"/>
  <c r="DU191"/>
  <c r="DU183"/>
  <c r="DV183"/>
  <c r="DT175"/>
  <c r="DU167"/>
  <c r="DU159"/>
  <c r="DT151"/>
  <c r="DS151"/>
  <c r="DW143"/>
  <c r="DV135"/>
  <c r="DU127"/>
  <c r="DT119"/>
  <c r="DS119"/>
  <c r="DW111"/>
  <c r="DV103"/>
  <c r="DT87"/>
  <c r="DS87"/>
  <c r="DV71"/>
  <c r="DT55"/>
  <c r="DS55"/>
  <c r="DV23"/>
  <c r="DS172"/>
  <c r="DV156"/>
  <c r="DU156"/>
  <c r="DT140"/>
  <c r="DS124"/>
  <c r="DW108"/>
  <c r="DV56"/>
  <c r="DU56"/>
  <c r="DW12"/>
  <c r="DT205"/>
  <c r="DS205"/>
  <c r="DW197"/>
  <c r="DV189"/>
  <c r="DU181"/>
  <c r="DS173"/>
  <c r="DV173"/>
  <c r="DW165"/>
  <c r="DV157"/>
  <c r="DU149"/>
  <c r="DT141"/>
  <c r="DS141"/>
  <c r="DW133"/>
  <c r="DV125"/>
  <c r="DU117"/>
  <c r="DT109"/>
  <c r="DS109"/>
  <c r="DW101"/>
  <c r="DV93"/>
  <c r="DU85"/>
  <c r="DT77"/>
  <c r="DS77"/>
  <c r="DW69"/>
  <c r="DV61"/>
  <c r="DU53"/>
  <c r="DT45"/>
  <c r="DS45"/>
  <c r="DW33"/>
  <c r="DS202"/>
  <c r="DW194"/>
  <c r="DV186"/>
  <c r="DU186"/>
  <c r="DV178"/>
  <c r="DW170"/>
  <c r="DW162"/>
  <c r="DV154"/>
  <c r="DU154"/>
  <c r="DT146"/>
  <c r="DS138"/>
  <c r="DW130"/>
  <c r="DV122"/>
  <c r="DU122"/>
  <c r="DT114"/>
  <c r="DS106"/>
  <c r="DW98"/>
  <c r="DV90"/>
  <c r="DU90"/>
  <c r="DT82"/>
  <c r="DS74"/>
  <c r="DW66"/>
  <c r="DV58"/>
  <c r="DU58"/>
  <c r="DT50"/>
  <c r="DS42"/>
  <c r="DU14"/>
  <c r="DT14"/>
  <c r="DW27"/>
  <c r="DS11"/>
  <c r="DW24"/>
  <c r="DT88"/>
  <c r="DS72"/>
  <c r="DW28"/>
  <c r="DW37"/>
  <c r="DY37" s="1"/>
  <c r="DV91"/>
  <c r="DT75"/>
  <c r="DS75"/>
  <c r="DV59"/>
  <c r="DT43"/>
  <c r="DS43"/>
  <c r="DW192"/>
  <c r="DV176"/>
  <c r="DW160"/>
  <c r="DT144"/>
  <c r="DW128"/>
  <c r="DT112"/>
  <c r="DW96"/>
  <c r="DV80"/>
  <c r="DU80"/>
  <c r="DT48"/>
  <c r="DW193"/>
  <c r="DU177"/>
  <c r="DW161"/>
  <c r="DU145"/>
  <c r="DW129"/>
  <c r="DU113"/>
  <c r="DW97"/>
  <c r="DU81"/>
  <c r="DW65"/>
  <c r="DU49"/>
  <c r="DW25"/>
  <c r="DW198"/>
  <c r="DV182"/>
  <c r="DW166"/>
  <c r="DT150"/>
  <c r="DW134"/>
  <c r="DT118"/>
  <c r="DW102"/>
  <c r="DT86"/>
  <c r="DW70"/>
  <c r="DT54"/>
  <c r="DW38"/>
  <c r="DV22"/>
  <c r="DU22"/>
  <c r="DW35"/>
  <c r="DW32"/>
  <c r="DT39"/>
  <c r="DS39"/>
  <c r="DT204"/>
  <c r="DW188"/>
  <c r="DS92"/>
  <c r="DW76"/>
  <c r="DV60"/>
  <c r="DU60"/>
  <c r="DT44"/>
  <c r="DS64"/>
  <c r="DT29"/>
  <c r="DS29"/>
  <c r="DS17"/>
  <c r="DU199"/>
  <c r="DT191"/>
  <c r="DS191"/>
  <c r="DT183"/>
  <c r="DS175"/>
  <c r="DT167"/>
  <c r="DT159"/>
  <c r="DS159"/>
  <c r="DW151"/>
  <c r="DV143"/>
  <c r="DU135"/>
  <c r="DT127"/>
  <c r="DS127"/>
  <c r="DW119"/>
  <c r="DV111"/>
  <c r="DU103"/>
  <c r="DW87"/>
  <c r="DU71"/>
  <c r="DW55"/>
  <c r="DU23"/>
  <c r="DW172"/>
  <c r="DT172"/>
  <c r="DT156"/>
  <c r="DS140"/>
  <c r="DW124"/>
  <c r="DV108"/>
  <c r="DU108"/>
  <c r="DT56"/>
  <c r="DV12"/>
  <c r="DW205"/>
  <c r="DV197"/>
  <c r="DU189"/>
  <c r="DS181"/>
  <c r="DV181"/>
  <c r="DT173"/>
  <c r="DV165"/>
  <c r="DU157"/>
  <c r="DT149"/>
  <c r="DS149"/>
  <c r="DW141"/>
  <c r="DV133"/>
  <c r="DU125"/>
  <c r="DT117"/>
  <c r="DS117"/>
  <c r="DW109"/>
  <c r="DV101"/>
  <c r="DU93"/>
  <c r="DT85"/>
  <c r="DS85"/>
  <c r="DW77"/>
  <c r="DV69"/>
  <c r="DU61"/>
  <c r="DT53"/>
  <c r="DS53"/>
  <c r="DW45"/>
  <c r="DV33"/>
  <c r="DW202"/>
  <c r="DV194"/>
  <c r="DU194"/>
  <c r="DT186"/>
  <c r="DW178"/>
  <c r="DU170"/>
  <c r="DV162"/>
  <c r="DU162"/>
  <c r="DT154"/>
  <c r="DS146"/>
  <c r="DW138"/>
  <c r="DV130"/>
  <c r="DU130"/>
  <c r="DT122"/>
  <c r="DS114"/>
  <c r="DW106"/>
  <c r="DV98"/>
  <c r="DU98"/>
  <c r="DT90"/>
  <c r="DS82"/>
  <c r="DW74"/>
  <c r="DV66"/>
  <c r="DU66"/>
  <c r="DT58"/>
  <c r="DS50"/>
  <c r="DW42"/>
  <c r="DS14"/>
  <c r="DV27"/>
  <c r="DW11"/>
  <c r="DV24"/>
  <c r="DU24"/>
  <c r="DS88"/>
  <c r="DW72"/>
  <c r="DV28"/>
  <c r="DU28"/>
  <c r="DV192"/>
  <c r="DV160"/>
  <c r="DV128"/>
  <c r="DV96"/>
  <c r="DS177"/>
  <c r="DT145"/>
  <c r="DT113"/>
  <c r="DT81"/>
  <c r="DT49"/>
  <c r="DV198"/>
  <c r="DV166"/>
  <c r="DV134"/>
  <c r="DV102"/>
  <c r="DV70"/>
  <c r="DV38"/>
  <c r="DV32"/>
  <c r="DV188"/>
  <c r="DV76"/>
  <c r="DT199"/>
  <c r="DW167"/>
  <c r="DT135"/>
  <c r="DT103"/>
  <c r="DT71"/>
  <c r="DT23"/>
  <c r="DV124"/>
  <c r="DT189"/>
  <c r="DT157"/>
  <c r="DT125"/>
  <c r="DT93"/>
  <c r="DT61"/>
  <c r="DV202"/>
  <c r="DS170"/>
  <c r="DV138"/>
  <c r="DV106"/>
  <c r="DV74"/>
  <c r="DV42"/>
  <c r="DV11"/>
  <c r="DV72"/>
  <c r="DY20"/>
  <c r="J5" i="7"/>
  <c r="G16"/>
  <c r="AG2" i="8" s="1"/>
  <c r="BP3" i="9" s="1"/>
  <c r="AJ12" i="20" s="1"/>
  <c r="G19" i="7"/>
  <c r="U275" i="19" l="1"/>
  <c r="AA298"/>
  <c r="DT21" i="9"/>
  <c r="DS21"/>
  <c r="AW248" i="19"/>
  <c r="AV276"/>
  <c r="AX276"/>
  <c r="AW276"/>
  <c r="BA249"/>
  <c r="BA247"/>
  <c r="AW250"/>
  <c r="BB249"/>
  <c r="BB247"/>
  <c r="BC249"/>
  <c r="BC247"/>
  <c r="K284"/>
  <c r="C288"/>
  <c r="S19" i="11"/>
  <c r="X235" i="19"/>
  <c r="S18" i="11"/>
  <c r="H235" i="19"/>
  <c r="S21" i="11"/>
  <c r="X265" i="19"/>
  <c r="S16" i="11"/>
  <c r="H205" i="19"/>
  <c r="DT10" i="9"/>
  <c r="GM18"/>
  <c r="T175" i="19"/>
  <c r="DU10" i="9"/>
  <c r="S15" i="11"/>
  <c r="X175" i="19"/>
  <c r="S17" i="11"/>
  <c r="X205" i="19"/>
  <c r="S20" i="11"/>
  <c r="H265" i="19"/>
  <c r="DU21" i="9"/>
  <c r="DW10"/>
  <c r="DV10"/>
  <c r="H295" i="19"/>
  <c r="B257"/>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K285" i="19"/>
  <c r="K287"/>
  <c r="K283"/>
  <c r="K288"/>
  <c r="O291"/>
  <c r="N290"/>
  <c r="K290"/>
  <c r="AF292"/>
  <c r="R290"/>
  <c r="V286"/>
  <c r="X284"/>
  <c r="Z284" s="1"/>
  <c r="S278"/>
  <c r="X292"/>
  <c r="W288"/>
  <c r="T287"/>
  <c r="AE284"/>
  <c r="AB275"/>
  <c r="X293"/>
  <c r="X286"/>
  <c r="Z286" s="1"/>
  <c r="R285"/>
  <c r="AB276"/>
  <c r="BB275" s="1"/>
  <c r="V294"/>
  <c r="U290"/>
  <c r="U286"/>
  <c r="T285"/>
  <c r="X283"/>
  <c r="Z283" s="1"/>
  <c r="AD293"/>
  <c r="V290"/>
  <c r="W287"/>
  <c r="U283"/>
  <c r="V274"/>
  <c r="V293"/>
  <c r="AB288"/>
  <c r="AD288" s="1"/>
  <c r="X287"/>
  <c r="Z287" s="1"/>
  <c r="V285"/>
  <c r="V283"/>
  <c r="AC294"/>
  <c r="T290"/>
  <c r="AE287"/>
  <c r="W285"/>
  <c r="W283"/>
  <c r="X295"/>
  <c r="Y290"/>
  <c r="U288"/>
  <c r="X285"/>
  <c r="Z285" s="1"/>
  <c r="X294"/>
  <c r="Z290"/>
  <c r="AB287"/>
  <c r="AD287" s="1"/>
  <c r="U285"/>
  <c r="AE283"/>
  <c r="S276"/>
  <c r="AF293"/>
  <c r="W290"/>
  <c r="W286"/>
  <c r="U284"/>
  <c r="T295"/>
  <c r="X290"/>
  <c r="T288"/>
  <c r="AB285"/>
  <c r="AD285" s="1"/>
  <c r="AB283"/>
  <c r="AD283" s="1"/>
  <c r="AC290"/>
  <c r="AE286"/>
  <c r="W284"/>
  <c r="V292"/>
  <c r="V288"/>
  <c r="AE285"/>
  <c r="T284"/>
  <c r="S277"/>
  <c r="AE290"/>
  <c r="AB286"/>
  <c r="AD286" s="1"/>
  <c r="R298"/>
  <c r="AB290"/>
  <c r="X288"/>
  <c r="Z288" s="1"/>
  <c r="U287"/>
  <c r="T286"/>
  <c r="V284"/>
  <c r="W298"/>
  <c r="AD292"/>
  <c r="AE288"/>
  <c r="V287"/>
  <c r="AB284"/>
  <c r="AD284" s="1"/>
  <c r="T283"/>
  <c r="C290"/>
  <c r="B17"/>
  <c r="R17"/>
  <c r="CJ208" i="9"/>
  <c r="O3" i="15"/>
  <c r="DY18" i="9"/>
  <c r="FY18" s="1"/>
  <c r="AF173" i="19" s="1"/>
  <c r="GM34" i="9"/>
  <c r="GM20"/>
  <c r="DY23"/>
  <c r="DY14"/>
  <c r="FY14" s="1"/>
  <c r="AF113" i="19" s="1"/>
  <c r="DY17" i="9"/>
  <c r="FY17" s="1"/>
  <c r="P173" i="19" s="1"/>
  <c r="GM22" i="9"/>
  <c r="GM30"/>
  <c r="GM24"/>
  <c r="GM32"/>
  <c r="GM19"/>
  <c r="GM27"/>
  <c r="GM28"/>
  <c r="GM36"/>
  <c r="GM23"/>
  <c r="GM31"/>
  <c r="GM35"/>
  <c r="FY20"/>
  <c r="AF203" i="19" s="1"/>
  <c r="GM21" i="9"/>
  <c r="GM29"/>
  <c r="GM37"/>
  <c r="GM25"/>
  <c r="GM33"/>
  <c r="DY32"/>
  <c r="DY25"/>
  <c r="DY28"/>
  <c r="DY27"/>
  <c r="DY29"/>
  <c r="DY11"/>
  <c r="DY35"/>
  <c r="DY24"/>
  <c r="DY33"/>
  <c r="DY12"/>
  <c r="DY22"/>
  <c r="G22" i="7"/>
  <c r="DY21" i="9" l="1"/>
  <c r="FY21" s="1"/>
  <c r="P233" i="19" s="1"/>
  <c r="L247"/>
  <c r="DY10" i="9"/>
  <c r="FY10" s="1"/>
  <c r="AF53" i="19" s="1"/>
  <c r="AF233"/>
  <c r="BB250"/>
  <c r="BB248"/>
  <c r="AB247" s="1"/>
  <c r="AV279"/>
  <c r="AV277"/>
  <c r="BA276"/>
  <c r="BB276"/>
  <c r="BC276"/>
  <c r="AX277"/>
  <c r="AX279"/>
  <c r="AW277"/>
  <c r="AW279"/>
  <c r="S290"/>
  <c r="AA286"/>
  <c r="AA285"/>
  <c r="DY19" i="9"/>
  <c r="FY19" s="1"/>
  <c r="P203" i="19" s="1"/>
  <c r="DY8" i="9"/>
  <c r="FY8" s="1"/>
  <c r="AF23" i="19" s="1"/>
  <c r="DY30" i="9"/>
  <c r="DY15"/>
  <c r="FY15" s="1"/>
  <c r="P143" i="19" s="1"/>
  <c r="DY16" i="9"/>
  <c r="FY16" s="1"/>
  <c r="AF143" i="19" s="1"/>
  <c r="DY34" i="9"/>
  <c r="DY26"/>
  <c r="DY9"/>
  <c r="DY36"/>
  <c r="DY31"/>
  <c r="DY13"/>
  <c r="FY13" s="1"/>
  <c r="P113" i="19" s="1"/>
  <c r="AA283"/>
  <c r="AA290"/>
  <c r="AE291"/>
  <c r="AA284"/>
  <c r="AA287"/>
  <c r="AD290"/>
  <c r="AA288"/>
  <c r="S288"/>
  <c r="CJ209" i="9"/>
  <c r="A13" i="6" s="1"/>
  <c r="B13"/>
  <c r="FY12" i="9"/>
  <c r="AF83" i="19" s="1"/>
  <c r="FY11" i="9"/>
  <c r="P83" i="19" s="1"/>
  <c r="G17" i="7"/>
  <c r="AL2" i="8" s="1"/>
  <c r="CE3" i="9" s="1"/>
  <c r="AJ13" i="20" s="1"/>
  <c r="G15" i="7"/>
  <c r="AB2" i="8" s="1"/>
  <c r="BB3" i="9" s="1"/>
  <c r="AJ11" i="20" s="1"/>
  <c r="G8" i="7"/>
  <c r="Q2" i="8" s="1"/>
  <c r="Y3" i="9" s="1"/>
  <c r="AJ9" i="20" s="1"/>
  <c r="G7" i="7"/>
  <c r="L2" i="8" s="1"/>
  <c r="K3" i="9" s="1"/>
  <c r="AJ8" i="20" s="1"/>
  <c r="AW280" i="19" l="1"/>
  <c r="BC279"/>
  <c r="BC277"/>
  <c r="BA279"/>
  <c r="BA277"/>
  <c r="BB279"/>
  <c r="BB277"/>
  <c r="AW278"/>
  <c r="L277" s="1"/>
  <c r="B286"/>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R27" i="1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R27" i="4" l="1"/>
  <c r="P45" i="19"/>
  <c r="M7" i="15"/>
  <c r="BB280" i="19"/>
  <c r="BB278"/>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B277" i="19" l="1"/>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FJ208" i="9" l="1"/>
  <c r="I173" i="19" s="1"/>
  <c r="AJ18" i="20"/>
  <c r="FB208" i="9"/>
  <c r="AJ17" i="20"/>
  <c r="I293" i="19"/>
  <c r="Y233"/>
  <c r="I263"/>
  <c r="I203"/>
  <c r="I143"/>
  <c r="O25" i="4"/>
  <c r="Y263" i="19"/>
  <c r="Y203"/>
  <c r="Y83"/>
  <c r="Y53"/>
  <c r="I53"/>
  <c r="R293"/>
  <c r="R233"/>
  <c r="R173"/>
  <c r="R113"/>
  <c r="R53"/>
  <c r="B23"/>
  <c r="K25" i="18"/>
  <c r="B293" i="19"/>
  <c r="B233"/>
  <c r="B173"/>
  <c r="B113"/>
  <c r="B53"/>
  <c r="R263"/>
  <c r="R203"/>
  <c r="R143"/>
  <c r="R83"/>
  <c r="R23"/>
  <c r="K25" i="4"/>
  <c r="B263" i="19"/>
  <c r="B203"/>
  <c r="B143"/>
  <c r="B83"/>
  <c r="AR209" i="9"/>
  <c r="A8" i="6" s="1"/>
  <c r="AM209" i="9"/>
  <c r="BC209"/>
  <c r="A9" i="6" s="1"/>
  <c r="GC3" i="9"/>
  <c r="EL3"/>
  <c r="GI20"/>
  <c r="GI16"/>
  <c r="GI12"/>
  <c r="GI8"/>
  <c r="GI7"/>
  <c r="GJ7" s="1"/>
  <c r="GI21"/>
  <c r="GI17"/>
  <c r="GI13"/>
  <c r="GI9"/>
  <c r="GJ9" s="1"/>
  <c r="GG9" s="1"/>
  <c r="H54" i="19" s="1"/>
  <c r="GI18" i="9"/>
  <c r="GJ18" s="1"/>
  <c r="GG18" s="1"/>
  <c r="X174" i="19" s="1"/>
  <c r="GI14" i="9"/>
  <c r="GI10"/>
  <c r="GI19"/>
  <c r="GJ19" s="1"/>
  <c r="GG19" s="1"/>
  <c r="H204" i="19" s="1"/>
  <c r="GI15" i="9"/>
  <c r="GI11"/>
  <c r="GJ16"/>
  <c r="GG16" s="1"/>
  <c r="X144" i="19" s="1"/>
  <c r="GJ14" i="9"/>
  <c r="GG14" s="1"/>
  <c r="X114" i="19" s="1"/>
  <c r="GJ21" i="9"/>
  <c r="GG21" s="1"/>
  <c r="GJ20"/>
  <c r="GG20" s="1"/>
  <c r="X204" i="19" s="1"/>
  <c r="GJ13" i="9"/>
  <c r="GJ10"/>
  <c r="GG10" s="1"/>
  <c r="X54" i="19" s="1"/>
  <c r="GJ11" i="9"/>
  <c r="GG11" s="1"/>
  <c r="H84" i="19" s="1"/>
  <c r="GJ12" i="9"/>
  <c r="GG12" s="1"/>
  <c r="X84" i="19" s="1"/>
  <c r="GJ17" i="9"/>
  <c r="GG17" s="1"/>
  <c r="H174" i="19" s="1"/>
  <c r="GJ15" i="9"/>
  <c r="GG15" s="1"/>
  <c r="H144" i="19" s="1"/>
  <c r="GJ8" i="9"/>
  <c r="GG8" s="1"/>
  <c r="X24" i="19" s="1"/>
  <c r="FX7" i="9"/>
  <c r="FZ7"/>
  <c r="GA7"/>
  <c r="FT17"/>
  <c r="FQ17" s="1"/>
  <c r="H173" i="19" s="1"/>
  <c r="FT13" i="9"/>
  <c r="FT16"/>
  <c r="FQ16" s="1"/>
  <c r="X143" i="19" s="1"/>
  <c r="FT21" i="9"/>
  <c r="FQ21" s="1"/>
  <c r="FT8"/>
  <c r="FQ8" s="1"/>
  <c r="X23" i="19" s="1"/>
  <c r="FT14" i="9"/>
  <c r="FQ14" s="1"/>
  <c r="X113" i="19" s="1"/>
  <c r="FT12" i="9"/>
  <c r="FQ12" s="1"/>
  <c r="X83" i="19" s="1"/>
  <c r="FT18" i="9"/>
  <c r="FQ18" s="1"/>
  <c r="X173" i="19" s="1"/>
  <c r="FT9" i="9"/>
  <c r="FQ9" s="1"/>
  <c r="H53" i="19" s="1"/>
  <c r="FT10" i="9"/>
  <c r="FQ10" s="1"/>
  <c r="X53" i="19" s="1"/>
  <c r="FT11" i="9"/>
  <c r="FQ11" s="1"/>
  <c r="H83" i="19" s="1"/>
  <c r="FT15" i="9"/>
  <c r="FQ15" s="1"/>
  <c r="H143" i="19" s="1"/>
  <c r="FT7" i="9"/>
  <c r="FT20"/>
  <c r="FQ20" s="1"/>
  <c r="X203" i="19" s="1"/>
  <c r="FT19" i="9"/>
  <c r="FQ19" s="1"/>
  <c r="H203" i="19" s="1"/>
  <c r="FA15" i="9"/>
  <c r="EX15" s="1"/>
  <c r="P142" i="19" s="1"/>
  <c r="FA21" i="9"/>
  <c r="EX21" s="1"/>
  <c r="FA11"/>
  <c r="EX11" s="1"/>
  <c r="P82" i="19" s="1"/>
  <c r="FA16" i="9"/>
  <c r="EX16" s="1"/>
  <c r="AF142" i="19" s="1"/>
  <c r="FA9" i="9"/>
  <c r="EX9" s="1"/>
  <c r="P52" i="19" s="1"/>
  <c r="FA20" i="9"/>
  <c r="EX20" s="1"/>
  <c r="AF202" i="19" s="1"/>
  <c r="FA8" i="9"/>
  <c r="EX8" s="1"/>
  <c r="AF22" i="19" s="1"/>
  <c r="FA17" i="9"/>
  <c r="EX17" s="1"/>
  <c r="P172" i="19" s="1"/>
  <c r="FA13" i="9"/>
  <c r="FA12"/>
  <c r="EX12" s="1"/>
  <c r="AF82" i="19" s="1"/>
  <c r="FA18" i="9"/>
  <c r="EX18" s="1"/>
  <c r="AF172" i="19" s="1"/>
  <c r="FA14" i="9"/>
  <c r="EX14" s="1"/>
  <c r="AF112" i="19" s="1"/>
  <c r="FA10" i="9"/>
  <c r="EX10" s="1"/>
  <c r="AF52" i="19" s="1"/>
  <c r="FA19" i="9"/>
  <c r="EX19" s="1"/>
  <c r="P202" i="19" s="1"/>
  <c r="EK16" i="9"/>
  <c r="EH16" s="1"/>
  <c r="X142" i="19" s="1"/>
  <c r="EK9" i="9"/>
  <c r="EH9" s="1"/>
  <c r="H52" i="19" s="1"/>
  <c r="EK19" i="9"/>
  <c r="EH19" s="1"/>
  <c r="H202" i="19" s="1"/>
  <c r="EK18" i="9"/>
  <c r="EH18" s="1"/>
  <c r="X172" i="19" s="1"/>
  <c r="EK14" i="9"/>
  <c r="EH14" s="1"/>
  <c r="X112" i="19" s="1"/>
  <c r="EK10" i="9"/>
  <c r="EH10" s="1"/>
  <c r="X52" i="19" s="1"/>
  <c r="EK11" i="9"/>
  <c r="EH11" s="1"/>
  <c r="H82" i="19" s="1"/>
  <c r="EK17" i="9"/>
  <c r="EH17" s="1"/>
  <c r="H172" i="19" s="1"/>
  <c r="EK15" i="9"/>
  <c r="EH15" s="1"/>
  <c r="H142" i="19" s="1"/>
  <c r="EK20" i="9"/>
  <c r="EH20" s="1"/>
  <c r="X202" i="19" s="1"/>
  <c r="EK8" i="9"/>
  <c r="EH8" s="1"/>
  <c r="X22" i="19" s="1"/>
  <c r="EK13" i="9"/>
  <c r="EK21"/>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Y173" i="19" l="1"/>
  <c r="I233"/>
  <c r="Y23"/>
  <c r="I113"/>
  <c r="Y143"/>
  <c r="I83"/>
  <c r="I23"/>
  <c r="Y293"/>
  <c r="Y113"/>
  <c r="O25" i="18"/>
  <c r="EL208" i="9"/>
  <c r="AJ16" i="20"/>
  <c r="FU208" i="9"/>
  <c r="AJ19" i="20"/>
  <c r="J6" s="1"/>
  <c r="H232" i="19"/>
  <c r="X232"/>
  <c r="H233"/>
  <c r="X233"/>
  <c r="P232"/>
  <c r="AF232"/>
  <c r="H234"/>
  <c r="X234"/>
  <c r="GG13" i="9"/>
  <c r="S27" i="4"/>
  <c r="S27" i="18"/>
  <c r="EX13" i="9"/>
  <c r="J27" i="18" s="1"/>
  <c r="G27"/>
  <c r="G27" i="4"/>
  <c r="EH13" i="9"/>
  <c r="B27" i="4"/>
  <c r="B27" i="18"/>
  <c r="FQ13" i="9"/>
  <c r="H113" i="19" s="1"/>
  <c r="K27" i="4"/>
  <c r="K27" i="18"/>
  <c r="I262" i="19"/>
  <c r="I202"/>
  <c r="I142"/>
  <c r="I82"/>
  <c r="Y22"/>
  <c r="I22"/>
  <c r="G25" i="4"/>
  <c r="Y262" i="19"/>
  <c r="Y202"/>
  <c r="Y142"/>
  <c r="Y82"/>
  <c r="I292"/>
  <c r="I232"/>
  <c r="I172"/>
  <c r="I112"/>
  <c r="Y52"/>
  <c r="I52"/>
  <c r="G25" i="18"/>
  <c r="Y292" i="19"/>
  <c r="Y232"/>
  <c r="Y172"/>
  <c r="Y112"/>
  <c r="B264"/>
  <c r="B204"/>
  <c r="B144"/>
  <c r="B84"/>
  <c r="S25" i="4"/>
  <c r="R294" i="19"/>
  <c r="R234"/>
  <c r="R174"/>
  <c r="R114"/>
  <c r="R54"/>
  <c r="B294"/>
  <c r="B234"/>
  <c r="B174"/>
  <c r="B114"/>
  <c r="B54"/>
  <c r="S25" i="18"/>
  <c r="B24" i="19"/>
  <c r="R264"/>
  <c r="R204"/>
  <c r="R144"/>
  <c r="R84"/>
  <c r="R24"/>
  <c r="U27" i="4"/>
  <c r="V27" i="18"/>
  <c r="H114" i="19"/>
  <c r="J27" i="4"/>
  <c r="F27"/>
  <c r="F27" i="18"/>
  <c r="H112" i="19"/>
  <c r="N27" i="4"/>
  <c r="GB7" i="9"/>
  <c r="DG6"/>
  <c r="DF6"/>
  <c r="HE5"/>
  <c r="IW6"/>
  <c r="HB5"/>
  <c r="IV6"/>
  <c r="HH5"/>
  <c r="T3" i="12"/>
  <c r="Y6" i="9"/>
  <c r="O5" i="20" l="1"/>
  <c r="P5"/>
  <c r="J5"/>
  <c r="M6"/>
  <c r="K6"/>
  <c r="N5"/>
  <c r="L6"/>
  <c r="N27" i="18"/>
  <c r="P112" i="19"/>
  <c r="DH6" i="9"/>
  <c r="S3" i="12"/>
  <c r="R3"/>
  <c r="AY2" i="8"/>
  <c r="DZ3" i="9" l="1"/>
  <c r="A206" i="8"/>
  <c r="A8"/>
  <c r="A7"/>
  <c r="DZ208" i="9" l="1"/>
  <c r="B292" i="19" s="1"/>
  <c r="AJ15" i="20"/>
  <c r="R292" i="19"/>
  <c r="R232"/>
  <c r="R52"/>
  <c r="G7" i="8"/>
  <c r="B22" i="19" l="1"/>
  <c r="B202"/>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M186" i="20" l="1"/>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45"/>
  <c r="R81"/>
  <c r="R126"/>
  <c r="R62"/>
  <c r="R47"/>
  <c r="R152"/>
  <c r="R197"/>
  <c r="R133"/>
  <c r="R114"/>
  <c r="R50"/>
  <c r="R35"/>
  <c r="S35" s="1"/>
  <c r="R204"/>
  <c r="R12"/>
  <c r="S12" s="1"/>
  <c r="R185"/>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R140" i="20" l="1"/>
  <c r="R100"/>
  <c r="R121"/>
  <c r="R163"/>
  <c r="R69"/>
  <c r="R88"/>
  <c r="R175"/>
  <c r="R17"/>
  <c r="R57"/>
  <c r="R76"/>
  <c r="R99"/>
  <c r="R178"/>
  <c r="R24"/>
  <c r="R111"/>
  <c r="R190"/>
  <c r="R36"/>
  <c r="R59"/>
  <c r="R74"/>
  <c r="R77"/>
  <c r="R41"/>
  <c r="R124"/>
  <c r="R147"/>
  <c r="R53"/>
  <c r="R136"/>
  <c r="R159"/>
  <c r="R65"/>
  <c r="R84"/>
  <c r="R171"/>
  <c r="R61"/>
  <c r="R89"/>
  <c r="R172"/>
  <c r="R18"/>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R108"/>
  <c r="R195"/>
  <c r="R37"/>
  <c r="R120"/>
  <c r="R143"/>
  <c r="R158"/>
  <c r="R68"/>
  <c r="R91"/>
  <c r="R170"/>
  <c r="R73"/>
  <c r="R92"/>
  <c r="R179"/>
  <c r="R21"/>
  <c r="R104"/>
  <c r="R191"/>
  <c r="R206"/>
  <c r="R52"/>
  <c r="R75"/>
  <c r="R90"/>
  <c r="R157"/>
  <c r="R192"/>
  <c r="R38"/>
  <c r="S38" s="1"/>
  <c r="R112"/>
  <c r="R199"/>
  <c r="R32"/>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T140"/>
  <c r="T35"/>
  <c r="T163"/>
  <c r="T129"/>
  <c r="T20"/>
  <c r="T148"/>
  <c r="T107"/>
  <c r="T58"/>
  <c r="T25"/>
  <c r="T153"/>
  <c r="T108"/>
  <c r="T67"/>
  <c r="T195"/>
  <c r="T142"/>
  <c r="T57"/>
  <c r="T185"/>
  <c r="T76"/>
  <c r="T204"/>
  <c r="T99"/>
  <c r="T50"/>
  <c r="T65"/>
  <c r="T193"/>
  <c r="T84"/>
  <c r="T43"/>
  <c r="T171"/>
  <c r="T122"/>
  <c r="S18"/>
  <c r="S20"/>
  <c r="S24"/>
  <c r="U24" s="1"/>
  <c r="S36"/>
  <c r="T29"/>
  <c r="T157"/>
  <c r="T112"/>
  <c r="T71"/>
  <c r="T199"/>
  <c r="T41"/>
  <c r="T169"/>
  <c r="T124"/>
  <c r="T19"/>
  <c r="T147"/>
  <c r="T34"/>
  <c r="T162"/>
  <c r="T117"/>
  <c r="T72"/>
  <c r="T200"/>
  <c r="T95"/>
  <c r="T46"/>
  <c r="T113"/>
  <c r="T68"/>
  <c r="T196"/>
  <c r="T91"/>
  <c r="T42"/>
  <c r="S19"/>
  <c r="S31"/>
  <c r="T97"/>
  <c r="T52"/>
  <c r="T180"/>
  <c r="T75"/>
  <c r="T203"/>
  <c r="T90"/>
  <c r="S25"/>
  <c r="S37"/>
  <c r="S23"/>
  <c r="U23" s="1"/>
  <c r="V23" s="1"/>
  <c r="T125"/>
  <c r="T16"/>
  <c r="T144"/>
  <c r="T103"/>
  <c r="T54"/>
  <c r="T182"/>
  <c r="T73"/>
  <c r="T201"/>
  <c r="T92"/>
  <c r="T51"/>
  <c r="T179"/>
  <c r="T130"/>
  <c r="T21"/>
  <c r="T149"/>
  <c r="T104"/>
  <c r="T63"/>
  <c r="T191"/>
  <c r="T78"/>
  <c r="T206"/>
  <c r="T81"/>
  <c r="T36"/>
  <c r="T164"/>
  <c r="T123"/>
  <c r="T10"/>
  <c r="T138"/>
  <c r="S9"/>
  <c r="S28"/>
  <c r="S11"/>
  <c r="S26"/>
  <c r="W23"/>
  <c r="T102"/>
  <c r="T190"/>
  <c r="T186"/>
  <c r="S13"/>
  <c r="U13" s="1"/>
  <c r="S34"/>
  <c r="S27"/>
  <c r="S29"/>
  <c r="U25"/>
  <c r="V25" s="1"/>
  <c r="U37"/>
  <c r="V37" s="1"/>
  <c r="U12"/>
  <c r="V12" s="1"/>
  <c r="U35"/>
  <c r="V35" s="1"/>
  <c r="S10"/>
  <c r="S32"/>
  <c r="U32" s="1"/>
  <c r="T93"/>
  <c r="T48"/>
  <c r="T176"/>
  <c r="T135"/>
  <c r="T22"/>
  <c r="T150"/>
  <c r="T105"/>
  <c r="T60"/>
  <c r="T188"/>
  <c r="T83"/>
  <c r="T8"/>
  <c r="T53"/>
  <c r="T181"/>
  <c r="T136"/>
  <c r="T31"/>
  <c r="U31" s="1"/>
  <c r="V31" s="1"/>
  <c r="T159"/>
  <c r="T110"/>
  <c r="T49"/>
  <c r="T177"/>
  <c r="T132"/>
  <c r="T27"/>
  <c r="U27" s="1"/>
  <c r="V27" s="1"/>
  <c r="T155"/>
  <c r="T106"/>
  <c r="S8"/>
  <c r="T134"/>
  <c r="T82"/>
  <c r="T158"/>
  <c r="T33"/>
  <c r="T161"/>
  <c r="T116"/>
  <c r="T11"/>
  <c r="U11" s="1"/>
  <c r="V11" s="1"/>
  <c r="T139"/>
  <c r="T26"/>
  <c r="S15"/>
  <c r="U15" s="1"/>
  <c r="V15" s="1"/>
  <c r="S30"/>
  <c r="U30" s="1"/>
  <c r="V30" s="1"/>
  <c r="T61"/>
  <c r="T189"/>
  <c r="T80"/>
  <c r="T39"/>
  <c r="T167"/>
  <c r="T9"/>
  <c r="T137"/>
  <c r="T28"/>
  <c r="U28" s="1"/>
  <c r="V28" s="1"/>
  <c r="T156"/>
  <c r="T115"/>
  <c r="T66"/>
  <c r="T194"/>
  <c r="T85"/>
  <c r="T40"/>
  <c r="T168"/>
  <c r="T127"/>
  <c r="T14"/>
  <c r="T17"/>
  <c r="U17" s="1"/>
  <c r="V17" s="1"/>
  <c r="T145"/>
  <c r="T100"/>
  <c r="T59"/>
  <c r="T187"/>
  <c r="T74"/>
  <c r="T202"/>
  <c r="S14"/>
  <c r="S33"/>
  <c r="S22"/>
  <c r="T114"/>
  <c r="U34"/>
  <c r="V34" s="1"/>
  <c r="U36"/>
  <c r="V36" s="1"/>
  <c r="S16"/>
  <c r="U16" s="1"/>
  <c r="V16" s="1"/>
  <c r="S21"/>
  <c r="U21" s="1"/>
  <c r="JY207" i="9"/>
  <c r="KA207" s="1"/>
  <c r="JT207"/>
  <c r="JV207"/>
  <c r="JW207"/>
  <c r="JX207"/>
  <c r="JS207"/>
  <c r="JR207"/>
  <c r="JQ207"/>
  <c r="JU207"/>
  <c r="U9" i="20" l="1"/>
  <c r="V9" s="1"/>
  <c r="U10"/>
  <c r="V10" s="1"/>
  <c r="U18"/>
  <c r="V18" s="1"/>
  <c r="U20"/>
  <c r="V20" s="1"/>
  <c r="U26"/>
  <c r="V26" s="1"/>
  <c r="U8"/>
  <c r="V8" s="1"/>
  <c r="U38"/>
  <c r="V38" s="1"/>
  <c r="U14"/>
  <c r="V14" s="1"/>
  <c r="U33"/>
  <c r="V33" s="1"/>
  <c r="U19"/>
  <c r="W19" s="1"/>
  <c r="U29"/>
  <c r="W29" s="1"/>
  <c r="U22"/>
  <c r="V22" s="1"/>
  <c r="W36"/>
  <c r="V21"/>
  <c r="W21"/>
  <c r="V13"/>
  <c r="W13"/>
  <c r="V24"/>
  <c r="W24"/>
  <c r="V32"/>
  <c r="W32"/>
  <c r="W37"/>
  <c r="W27"/>
  <c r="W18"/>
  <c r="W35"/>
  <c r="W28"/>
  <c r="W16"/>
  <c r="W38"/>
  <c r="W15"/>
  <c r="W25"/>
  <c r="W11"/>
  <c r="W20"/>
  <c r="W12"/>
  <c r="W30"/>
  <c r="W17"/>
  <c r="W26"/>
  <c r="W33"/>
  <c r="W31"/>
  <c r="W34"/>
  <c r="A5" i="12"/>
  <c r="A4" i="11"/>
  <c r="H220" i="20" l="1"/>
  <c r="W9"/>
  <c r="W10"/>
  <c r="W8"/>
  <c r="V19"/>
  <c r="H213" s="1"/>
  <c r="H211"/>
  <c r="V29"/>
  <c r="H215"/>
  <c r="H219"/>
  <c r="H217"/>
  <c r="W22"/>
  <c r="H218"/>
  <c r="H216"/>
  <c r="W14"/>
  <c r="J4" i="9"/>
  <c r="N213" i="20" l="1"/>
  <c r="J213"/>
  <c r="L213"/>
  <c r="CK6" i="9"/>
  <c r="CI6"/>
  <c r="CE6"/>
  <c r="BV6"/>
  <c r="BT6"/>
  <c r="BP6"/>
  <c r="BH6"/>
  <c r="BF6"/>
  <c r="BB6"/>
  <c r="P213" i="20" l="1"/>
  <c r="H214" s="1"/>
  <c r="CM6" i="9"/>
  <c r="CN6"/>
  <c r="CH6"/>
  <c r="CJ6" s="1"/>
  <c r="CL6" s="1"/>
  <c r="CR6"/>
  <c r="CP6"/>
  <c r="BS6"/>
  <c r="BU6" s="1"/>
  <c r="BW6" s="1"/>
  <c r="BX6"/>
  <c r="BY6"/>
  <c r="CA6"/>
  <c r="CC6"/>
  <c r="BM6"/>
  <c r="BO6"/>
  <c r="BJ6"/>
  <c r="BE6"/>
  <c r="BG6" s="1"/>
  <c r="BI6" s="1"/>
  <c r="BL6"/>
  <c r="CO6" l="1"/>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I131" i="12" l="1"/>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I192" i="12" l="1"/>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M5" i="11"/>
  <c r="BM199"/>
  <c r="BM195"/>
  <c r="BM191"/>
  <c r="BM187"/>
  <c r="BM183"/>
  <c r="BM179"/>
  <c r="BM175"/>
  <c r="BM171"/>
  <c r="BM167"/>
  <c r="BM163"/>
  <c r="BM159"/>
  <c r="BM155"/>
  <c r="BM151"/>
  <c r="BM147"/>
  <c r="BM143"/>
  <c r="BM139"/>
  <c r="BM135"/>
  <c r="BM131"/>
  <c r="BM127"/>
  <c r="BM123"/>
  <c r="BM119"/>
  <c r="BM115"/>
  <c r="BM111"/>
  <c r="BM107"/>
  <c r="BM103"/>
  <c r="BM99"/>
  <c r="BM95"/>
  <c r="BM91"/>
  <c r="BM87"/>
  <c r="BM83"/>
  <c r="BM79"/>
  <c r="BM75"/>
  <c r="BM71"/>
  <c r="BM67"/>
  <c r="BM63"/>
  <c r="BM59"/>
  <c r="BM55"/>
  <c r="BM51"/>
  <c r="BM47"/>
  <c r="BM43"/>
  <c r="BM39"/>
  <c r="BM35"/>
  <c r="BM31"/>
  <c r="BM27"/>
  <c r="BM23"/>
  <c r="BM19"/>
  <c r="BM15"/>
  <c r="BM11"/>
  <c r="BM7"/>
  <c r="BM200"/>
  <c r="BM196"/>
  <c r="BM192"/>
  <c r="BM188"/>
  <c r="BM184"/>
  <c r="BM180"/>
  <c r="BM176"/>
  <c r="BM172"/>
  <c r="BM168"/>
  <c r="BM164"/>
  <c r="BM160"/>
  <c r="BM156"/>
  <c r="BM152"/>
  <c r="BM148"/>
  <c r="BM144"/>
  <c r="BM140"/>
  <c r="BM136"/>
  <c r="BM132"/>
  <c r="BM128"/>
  <c r="BM124"/>
  <c r="BM120"/>
  <c r="BM116"/>
  <c r="BM112"/>
  <c r="BM108"/>
  <c r="BM104"/>
  <c r="BM100"/>
  <c r="BM96"/>
  <c r="BM92"/>
  <c r="BM88"/>
  <c r="BM84"/>
  <c r="BM80"/>
  <c r="BM76"/>
  <c r="BM72"/>
  <c r="BM68"/>
  <c r="BM64"/>
  <c r="BM60"/>
  <c r="BM56"/>
  <c r="BM52"/>
  <c r="BM48"/>
  <c r="BM44"/>
  <c r="BM40"/>
  <c r="BM36"/>
  <c r="BM32"/>
  <c r="BM28"/>
  <c r="BM24"/>
  <c r="BM20"/>
  <c r="BM16"/>
  <c r="BM12"/>
  <c r="BM8"/>
  <c r="BM201"/>
  <c r="BM197"/>
  <c r="BM193"/>
  <c r="BM189"/>
  <c r="BM185"/>
  <c r="BM181"/>
  <c r="BM177"/>
  <c r="BM173"/>
  <c r="BM169"/>
  <c r="BM165"/>
  <c r="BM161"/>
  <c r="BM157"/>
  <c r="BM153"/>
  <c r="BM149"/>
  <c r="BM145"/>
  <c r="BM141"/>
  <c r="BM137"/>
  <c r="BM133"/>
  <c r="BM129"/>
  <c r="BM125"/>
  <c r="BM121"/>
  <c r="BM117"/>
  <c r="BM113"/>
  <c r="BM109"/>
  <c r="BM105"/>
  <c r="BM101"/>
  <c r="BM97"/>
  <c r="BM93"/>
  <c r="BM89"/>
  <c r="BM85"/>
  <c r="BM81"/>
  <c r="BM77"/>
  <c r="BM73"/>
  <c r="BM69"/>
  <c r="BM65"/>
  <c r="BM61"/>
  <c r="BM57"/>
  <c r="BM53"/>
  <c r="BM49"/>
  <c r="BM45"/>
  <c r="BM41"/>
  <c r="BM37"/>
  <c r="BM33"/>
  <c r="BM29"/>
  <c r="BM25"/>
  <c r="BM21"/>
  <c r="BM17"/>
  <c r="BM13"/>
  <c r="BM9"/>
  <c r="BM203"/>
  <c r="BM202"/>
  <c r="BM198"/>
  <c r="BM194"/>
  <c r="BM190"/>
  <c r="BM186"/>
  <c r="BM182"/>
  <c r="BM178"/>
  <c r="BM174"/>
  <c r="BM170"/>
  <c r="BM166"/>
  <c r="BM162"/>
  <c r="BM158"/>
  <c r="BM154"/>
  <c r="BM150"/>
  <c r="BM146"/>
  <c r="BM142"/>
  <c r="BM138"/>
  <c r="BM134"/>
  <c r="BM130"/>
  <c r="BM126"/>
  <c r="BM122"/>
  <c r="BM118"/>
  <c r="BM114"/>
  <c r="BM110"/>
  <c r="BM106"/>
  <c r="BM102"/>
  <c r="BM98"/>
  <c r="BM94"/>
  <c r="BM90"/>
  <c r="BM86"/>
  <c r="BM82"/>
  <c r="BM78"/>
  <c r="BM74"/>
  <c r="BM70"/>
  <c r="BM66"/>
  <c r="BM62"/>
  <c r="BM58"/>
  <c r="BM54"/>
  <c r="BM50"/>
  <c r="BM46"/>
  <c r="BM42"/>
  <c r="BM38"/>
  <c r="BM34"/>
  <c r="BM30"/>
  <c r="BM26"/>
  <c r="BM22"/>
  <c r="BM18"/>
  <c r="BM14"/>
  <c r="BM10"/>
  <c r="BM6"/>
  <c r="B15" i="18"/>
  <c r="A7" i="6"/>
  <c r="I127" i="12" l="1"/>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T152" i="12" l="1"/>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E147"/>
  <c r="HE143"/>
  <c r="HE47"/>
  <c r="O45" i="15" s="1"/>
  <c r="HE203" i="9"/>
  <c r="HE171"/>
  <c r="O169" i="15" s="1"/>
  <c r="HE91" i="9"/>
  <c r="HE43"/>
  <c r="HF139"/>
  <c r="HE164"/>
  <c r="O162" i="15" s="1"/>
  <c r="HE100" i="9"/>
  <c r="HE201"/>
  <c r="O199" i="15" s="1"/>
  <c r="HE185" i="9"/>
  <c r="HE158"/>
  <c r="HE110"/>
  <c r="HE78"/>
  <c r="HE46"/>
  <c r="HH103"/>
  <c r="HE176"/>
  <c r="HE160"/>
  <c r="O158" i="15" s="1"/>
  <c r="HE144" i="9"/>
  <c r="HE80"/>
  <c r="HE48"/>
  <c r="HE197"/>
  <c r="HE181"/>
  <c r="HE149"/>
  <c r="HE133"/>
  <c r="HE122"/>
  <c r="HE106"/>
  <c r="O104" i="15" s="1"/>
  <c r="HE74" i="9"/>
  <c r="HE206"/>
  <c r="HE204"/>
  <c r="O202" i="15" s="1"/>
  <c r="HE177" i="9"/>
  <c r="HE113"/>
  <c r="HE81"/>
  <c r="HE198"/>
  <c r="HE182"/>
  <c r="HE134"/>
  <c r="HE86"/>
  <c r="HE54"/>
  <c r="HE136"/>
  <c r="HE120"/>
  <c r="HE104"/>
  <c r="HE157"/>
  <c r="O155" i="15" s="1"/>
  <c r="HE194" i="9"/>
  <c r="HE178"/>
  <c r="HE146"/>
  <c r="HE114"/>
  <c r="O112" i="15" s="1"/>
  <c r="HE82" i="9"/>
  <c r="HE66"/>
  <c r="O64" i="15" s="1"/>
  <c r="HI54" i="9"/>
  <c r="HI198"/>
  <c r="HB116"/>
  <c r="HB100"/>
  <c r="N98" i="15" s="1"/>
  <c r="HB201" i="9"/>
  <c r="N199" i="15" s="1"/>
  <c r="HB41" i="9"/>
  <c r="HB158"/>
  <c r="HB199"/>
  <c r="N197" i="15" s="1"/>
  <c r="HB183" i="9"/>
  <c r="HB167"/>
  <c r="HB119"/>
  <c r="HB160"/>
  <c r="HB128"/>
  <c r="HB112"/>
  <c r="N110" i="15" s="1"/>
  <c r="HB80" i="9"/>
  <c r="HB64"/>
  <c r="N62" i="15" s="1"/>
  <c r="HB48" i="9"/>
  <c r="HB197"/>
  <c r="HB101"/>
  <c r="HB170"/>
  <c r="HB154"/>
  <c r="HB138"/>
  <c r="N136" i="15" s="1"/>
  <c r="HB106" i="9"/>
  <c r="HB179"/>
  <c r="N177" i="15" s="1"/>
  <c r="HB163" i="9"/>
  <c r="HB147"/>
  <c r="HB67"/>
  <c r="HB51"/>
  <c r="HB204"/>
  <c r="N202" i="15" s="1"/>
  <c r="HB172" i="9"/>
  <c r="HB76"/>
  <c r="HB60"/>
  <c r="HB177"/>
  <c r="N175" i="15" s="1"/>
  <c r="HB145" i="9"/>
  <c r="HB113"/>
  <c r="HB81"/>
  <c r="HB198"/>
  <c r="N196" i="15" s="1"/>
  <c r="HB150" i="9"/>
  <c r="HB134"/>
  <c r="HB118"/>
  <c r="N116" i="15" s="1"/>
  <c r="HB102" i="9"/>
  <c r="N100" i="15" s="1"/>
  <c r="HB86" i="9"/>
  <c r="HB70"/>
  <c r="HB175"/>
  <c r="N173" i="15" s="1"/>
  <c r="HB159" i="9"/>
  <c r="N157" i="15" s="1"/>
  <c r="HB127" i="9"/>
  <c r="HB111"/>
  <c r="HB200"/>
  <c r="N198" i="15" s="1"/>
  <c r="HB168" i="9"/>
  <c r="N166" i="15" s="1"/>
  <c r="HB120" i="9"/>
  <c r="HB104"/>
  <c r="HB72"/>
  <c r="HB56"/>
  <c r="HB40"/>
  <c r="N38" i="15" s="1"/>
  <c r="HB189" i="9"/>
  <c r="HB173"/>
  <c r="HB109"/>
  <c r="HB61"/>
  <c r="N59" i="15" s="1"/>
  <c r="HB162" i="9"/>
  <c r="HB130"/>
  <c r="N128" i="15" s="1"/>
  <c r="HB98" i="9"/>
  <c r="HB82"/>
  <c r="HB66"/>
  <c r="HB203"/>
  <c r="N201" i="15" s="1"/>
  <c r="HB187" i="9"/>
  <c r="HB171"/>
  <c r="N169" i="15" s="1"/>
  <c r="HB123" i="9"/>
  <c r="HB75"/>
  <c r="N73" i="15" s="1"/>
  <c r="HB43" i="9"/>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N39"/>
  <c r="GN104"/>
  <c r="GN68"/>
  <c r="GN119"/>
  <c r="GN91"/>
  <c r="GN192"/>
  <c r="GN180"/>
  <c r="GN160"/>
  <c r="GN202"/>
  <c r="GN142"/>
  <c r="GN114"/>
  <c r="GN94"/>
  <c r="GN74"/>
  <c r="GN66"/>
  <c r="GN115"/>
  <c r="GN107"/>
  <c r="GN63"/>
  <c r="GN148"/>
  <c r="GN116"/>
  <c r="GN201"/>
  <c r="GN189"/>
  <c r="GN173"/>
  <c r="GN161"/>
  <c r="GN178"/>
  <c r="GN154"/>
  <c r="GN86"/>
  <c r="GN50"/>
  <c r="GN38"/>
  <c r="GN187"/>
  <c r="GN175"/>
  <c r="GN143"/>
  <c r="GN79"/>
  <c r="GN67"/>
  <c r="GN55"/>
  <c r="GN47"/>
  <c r="GN69"/>
  <c r="GN156"/>
  <c r="GN132"/>
  <c r="GN124"/>
  <c r="GN88"/>
  <c r="GN44"/>
  <c r="GN113"/>
  <c r="GN97"/>
  <c r="GN77"/>
  <c r="GN45"/>
  <c r="GN117"/>
  <c r="GN190"/>
  <c r="GN174"/>
  <c r="GN150"/>
  <c r="GN138"/>
  <c r="GN106"/>
  <c r="GN183"/>
  <c r="GN171"/>
  <c r="GN184"/>
  <c r="GN186"/>
  <c r="GN166"/>
  <c r="GN70"/>
  <c r="GN163"/>
  <c r="GN151"/>
  <c r="GN206"/>
  <c r="GN188"/>
  <c r="GN176"/>
  <c r="GN152"/>
  <c r="GN140"/>
  <c r="GN92"/>
  <c r="GN80"/>
  <c r="GN122"/>
  <c r="GN108"/>
  <c r="GN185"/>
  <c r="GN194"/>
  <c r="GN58"/>
  <c r="GN195"/>
  <c r="GN123"/>
  <c r="GN75"/>
  <c r="GN196"/>
  <c r="GN105"/>
  <c r="GN73"/>
  <c r="GN177"/>
  <c r="GN149"/>
  <c r="GN164"/>
  <c r="GN84"/>
  <c r="GN40"/>
  <c r="GN61"/>
  <c r="GN41"/>
  <c r="GN133"/>
  <c r="GN52"/>
  <c r="GN193"/>
  <c r="GN198"/>
  <c r="GN199"/>
  <c r="GN131"/>
  <c r="GN99"/>
  <c r="GN172"/>
  <c r="GN100"/>
  <c r="GN56"/>
  <c r="GN158"/>
  <c r="GN118"/>
  <c r="GN87"/>
  <c r="GN204"/>
  <c r="GN134"/>
  <c r="GN98"/>
  <c r="GN42"/>
  <c r="GN167"/>
  <c r="GN155"/>
  <c r="GN43"/>
  <c r="GN144"/>
  <c r="GN165"/>
  <c r="GN157"/>
  <c r="GN130"/>
  <c r="GN102"/>
  <c r="GN82"/>
  <c r="GN147"/>
  <c r="GN51"/>
  <c r="GN168"/>
  <c r="GN85"/>
  <c r="GN53"/>
  <c r="GN101"/>
  <c r="GN81"/>
  <c r="GN76"/>
  <c r="GN64"/>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GP178"/>
  <c r="HF154"/>
  <c r="GZ146"/>
  <c r="HC146"/>
  <c r="GS138"/>
  <c r="GR138"/>
  <c r="GS134"/>
  <c r="GR134"/>
  <c r="GO86"/>
  <c r="HF82"/>
  <c r="HC82"/>
  <c r="HI151"/>
  <c r="HI135"/>
  <c r="HI115"/>
  <c r="HF109"/>
  <c r="HF198"/>
  <c r="HI178"/>
  <c r="GS154"/>
  <c r="GR154"/>
  <c r="HI146"/>
  <c r="HF138"/>
  <c r="HC134"/>
  <c r="HI86"/>
  <c r="GR82"/>
  <c r="GS82"/>
  <c r="HI70"/>
  <c r="GP66"/>
  <c r="HF110"/>
  <c r="HI62"/>
  <c r="GZ117"/>
  <c r="HC41"/>
  <c r="GZ198"/>
  <c r="GR178"/>
  <c r="GS178"/>
  <c r="HF178"/>
  <c r="GZ154"/>
  <c r="HF134"/>
  <c r="GZ134"/>
  <c r="HC86"/>
  <c r="GZ86"/>
  <c r="GZ70"/>
  <c r="HI66"/>
  <c r="HI139"/>
  <c r="HF123"/>
  <c r="HI168"/>
  <c r="GZ116"/>
  <c r="HF197"/>
  <c r="GZ178"/>
  <c r="HI154"/>
  <c r="GS146"/>
  <c r="GR146"/>
  <c r="HI138"/>
  <c r="HI134"/>
  <c r="HF86"/>
  <c r="GZ82"/>
  <c r="HI82"/>
  <c r="HF70"/>
  <c r="HC70"/>
  <c r="GZ66"/>
  <c r="HC46"/>
  <c r="GP46"/>
  <c r="HI175"/>
  <c r="HC167"/>
  <c r="GZ111"/>
  <c r="HC111"/>
  <c r="GZ91"/>
  <c r="HI75"/>
  <c r="GR71"/>
  <c r="GS71"/>
  <c r="GZ71"/>
  <c r="HC51"/>
  <c r="HF51"/>
  <c r="GZ206"/>
  <c r="GZ164"/>
  <c r="GZ124"/>
  <c r="HF124"/>
  <c r="HI104"/>
  <c r="GZ100"/>
  <c r="HF80"/>
  <c r="GR80"/>
  <c r="GS80"/>
  <c r="HC60"/>
  <c r="GZ52"/>
  <c r="HI52"/>
  <c r="GR48"/>
  <c r="GS48"/>
  <c r="GS40"/>
  <c r="GR40"/>
  <c r="GZ193"/>
  <c r="GP173"/>
  <c r="HI173"/>
  <c r="HI125"/>
  <c r="HF113"/>
  <c r="HI174"/>
  <c r="HI150"/>
  <c r="HF150"/>
  <c r="GZ118"/>
  <c r="HI114"/>
  <c r="GS106"/>
  <c r="GR106"/>
  <c r="HI98"/>
  <c r="GZ78"/>
  <c r="HF50"/>
  <c r="GZ199"/>
  <c r="GR187"/>
  <c r="GS187"/>
  <c r="GO187"/>
  <c r="GZ183"/>
  <c r="GR151"/>
  <c r="GS151"/>
  <c r="HC147"/>
  <c r="HI127"/>
  <c r="GZ123"/>
  <c r="HC123"/>
  <c r="HI47"/>
  <c r="HF180"/>
  <c r="HI180"/>
  <c r="GZ160"/>
  <c r="HF152"/>
  <c r="HI152"/>
  <c r="HF120"/>
  <c r="GR116"/>
  <c r="GS116"/>
  <c r="HI92"/>
  <c r="HI56"/>
  <c r="HI197"/>
  <c r="HF161"/>
  <c r="GZ157"/>
  <c r="HI145"/>
  <c r="HI129"/>
  <c r="HF121"/>
  <c r="GZ93"/>
  <c r="GR81"/>
  <c r="GS81"/>
  <c r="GR182"/>
  <c r="GS182"/>
  <c r="GR170"/>
  <c r="GS170"/>
  <c r="HC170"/>
  <c r="GR162"/>
  <c r="GS162"/>
  <c r="HF162"/>
  <c r="GR130"/>
  <c r="GS130"/>
  <c r="HI126"/>
  <c r="GZ110"/>
  <c r="GR74"/>
  <c r="GS74"/>
  <c r="HI171"/>
  <c r="GZ115"/>
  <c r="HF107"/>
  <c r="GP95"/>
  <c r="HF87"/>
  <c r="HF67"/>
  <c r="HC39"/>
  <c r="HC188"/>
  <c r="HI188"/>
  <c r="HI184"/>
  <c r="HC140"/>
  <c r="GZ140"/>
  <c r="GZ96"/>
  <c r="HI88"/>
  <c r="GS68"/>
  <c r="GR68"/>
  <c r="GS205"/>
  <c r="GR205"/>
  <c r="GS165"/>
  <c r="GR165"/>
  <c r="HI141"/>
  <c r="HI137"/>
  <c r="GP61"/>
  <c r="HI45"/>
  <c r="GR45"/>
  <c r="GS45"/>
  <c r="HF151"/>
  <c r="HI116"/>
  <c r="GZ190"/>
  <c r="HI186"/>
  <c r="GR186"/>
  <c r="GS186"/>
  <c r="HI166"/>
  <c r="HI142"/>
  <c r="HI102"/>
  <c r="GS94"/>
  <c r="GR94"/>
  <c r="HF42"/>
  <c r="HC195"/>
  <c r="HC139"/>
  <c r="GZ83"/>
  <c r="GR79"/>
  <c r="GS79"/>
  <c r="HI79"/>
  <c r="HF63"/>
  <c r="HI196"/>
  <c r="HF192"/>
  <c r="HI172"/>
  <c r="HF148"/>
  <c r="HI148"/>
  <c r="HF108"/>
  <c r="HC108"/>
  <c r="GP44"/>
  <c r="GO153"/>
  <c r="HC105"/>
  <c r="HI105"/>
  <c r="HI89"/>
  <c r="HI85"/>
  <c r="GR77"/>
  <c r="GS77"/>
  <c r="GR57"/>
  <c r="GS57"/>
  <c r="HC49"/>
  <c r="GS46"/>
  <c r="GR46"/>
  <c r="GR175"/>
  <c r="GS175"/>
  <c r="GR167"/>
  <c r="GS167"/>
  <c r="GS163"/>
  <c r="GR163"/>
  <c r="GZ131"/>
  <c r="HC131"/>
  <c r="HI91"/>
  <c r="HC71"/>
  <c r="HF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HF147"/>
  <c r="GZ143"/>
  <c r="HC127"/>
  <c r="HF127"/>
  <c r="GR47"/>
  <c r="GS47"/>
  <c r="HC160"/>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O190"/>
  <c r="GR190"/>
  <c r="GS190"/>
  <c r="HF186"/>
  <c r="GP142"/>
  <c r="GR142"/>
  <c r="GS142"/>
  <c r="GO94"/>
  <c r="GR58"/>
  <c r="GS58"/>
  <c r="HC42"/>
  <c r="HI42"/>
  <c r="GR191"/>
  <c r="GS191"/>
  <c r="HI179"/>
  <c r="GS179"/>
  <c r="GR179"/>
  <c r="GZ139"/>
  <c r="HC83"/>
  <c r="GR83"/>
  <c r="GS83"/>
  <c r="HI63"/>
  <c r="HC63"/>
  <c r="GZ59"/>
  <c r="HI59"/>
  <c r="HI55"/>
  <c r="GP196"/>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C43"/>
  <c r="HF43"/>
  <c r="GR206"/>
  <c r="GS206"/>
  <c r="HI204"/>
  <c r="HI176"/>
  <c r="GR176"/>
  <c r="GS176"/>
  <c r="HI164"/>
  <c r="HC132"/>
  <c r="GZ132"/>
  <c r="GZ128"/>
  <c r="GR124"/>
  <c r="GS124"/>
  <c r="GZ112"/>
  <c r="GR104"/>
  <c r="GS104"/>
  <c r="HF100"/>
  <c r="HI100"/>
  <c r="GZ76"/>
  <c r="GP64"/>
  <c r="GS60"/>
  <c r="GR60"/>
  <c r="GO193"/>
  <c r="GZ189"/>
  <c r="HI189"/>
  <c r="GS177"/>
  <c r="GR177"/>
  <c r="HF177"/>
  <c r="HF173"/>
  <c r="GS125"/>
  <c r="GR125"/>
  <c r="GZ125"/>
  <c r="GP113"/>
  <c r="GZ113"/>
  <c r="HF143"/>
  <c r="HC174"/>
  <c r="GZ174"/>
  <c r="HI158"/>
  <c r="HC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HF149"/>
  <c r="GR145"/>
  <c r="GS145"/>
  <c r="GZ145"/>
  <c r="HI133"/>
  <c r="GR129"/>
  <c r="GS129"/>
  <c r="GZ121"/>
  <c r="GZ109"/>
  <c r="HF93"/>
  <c r="HC81"/>
  <c r="HF73"/>
  <c r="HI159"/>
  <c r="GZ185"/>
  <c r="HF182"/>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O42"/>
  <c r="GZ42"/>
  <c r="HI195"/>
  <c r="HF179"/>
  <c r="GP179"/>
  <c r="GR155"/>
  <c r="GS155"/>
  <c r="GR139"/>
  <c r="GS139"/>
  <c r="GP135"/>
  <c r="GS99"/>
  <c r="GR99"/>
  <c r="GP83"/>
  <c r="HC79"/>
  <c r="HC59"/>
  <c r="HC55"/>
  <c r="GO192"/>
  <c r="GZ192"/>
  <c r="GR172"/>
  <c r="GS172"/>
  <c r="HI108"/>
  <c r="GS72"/>
  <c r="GR72"/>
  <c r="HC44"/>
  <c r="GZ44"/>
  <c r="GR169"/>
  <c r="GS169"/>
  <c r="HF153"/>
  <c r="GZ101"/>
  <c r="GS101"/>
  <c r="GR101"/>
  <c r="GR89"/>
  <c r="GS89"/>
  <c r="HI77"/>
  <c r="HI65"/>
  <c r="HI57"/>
  <c r="HF57"/>
  <c r="HI49"/>
  <c r="HI46"/>
  <c r="GZ175"/>
  <c r="HF111"/>
  <c r="GS91"/>
  <c r="GR91"/>
  <c r="GZ75"/>
  <c r="GS51"/>
  <c r="GR51"/>
  <c r="GS204"/>
  <c r="GR204"/>
  <c r="GO176"/>
  <c r="HC176"/>
  <c r="GR164"/>
  <c r="GS164"/>
  <c r="HC164"/>
  <c r="GR132"/>
  <c r="GS132"/>
  <c r="HF132"/>
  <c r="HI128"/>
  <c r="GR112"/>
  <c r="GS112"/>
  <c r="HF112"/>
  <c r="GP104"/>
  <c r="GR100"/>
  <c r="GS100"/>
  <c r="GZ80"/>
  <c r="HI80"/>
  <c r="HC52"/>
  <c r="HF52"/>
  <c r="HC48"/>
  <c r="HI40"/>
  <c r="GZ40"/>
  <c r="HC193"/>
  <c r="HC173"/>
  <c r="HI113"/>
  <c r="HF158"/>
  <c r="GZ158"/>
  <c r="GZ150"/>
  <c r="HC150"/>
  <c r="GZ114"/>
  <c r="HC114"/>
  <c r="HI106"/>
  <c r="HF98"/>
  <c r="GS78"/>
  <c r="GR78"/>
  <c r="GS50"/>
  <c r="GR50"/>
  <c r="HI38"/>
  <c r="HF203"/>
  <c r="GZ187"/>
  <c r="HF183"/>
  <c r="HI183"/>
  <c r="GR159"/>
  <c r="GS159"/>
  <c r="HI147"/>
  <c r="GR147"/>
  <c r="GS147"/>
  <c r="GP143"/>
  <c r="GZ127"/>
  <c r="GZ119"/>
  <c r="GO47"/>
  <c r="GZ180"/>
  <c r="GZ152"/>
  <c r="GP152"/>
  <c r="GR120"/>
  <c r="GS120"/>
  <c r="GO92"/>
  <c r="HF84"/>
  <c r="GZ56"/>
  <c r="GP201"/>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HF74"/>
  <c r="GR62"/>
  <c r="GS62"/>
  <c r="HF54"/>
  <c r="GR171"/>
  <c r="GS171"/>
  <c r="GR107"/>
  <c r="GS107"/>
  <c r="HF95"/>
  <c r="HI87"/>
  <c r="GS67"/>
  <c r="GR67"/>
  <c r="HI39"/>
  <c r="GZ188"/>
  <c r="HC184"/>
  <c r="HI140"/>
  <c r="HF136"/>
  <c r="HC96"/>
  <c r="GP88"/>
  <c r="HF68"/>
  <c r="HI68"/>
  <c r="GP205"/>
  <c r="HC205"/>
  <c r="HC141"/>
  <c r="HC137"/>
  <c r="HF137"/>
  <c r="GO97"/>
  <c r="GS97"/>
  <c r="GR97"/>
  <c r="HF69"/>
  <c r="GR61"/>
  <c r="GS61"/>
  <c r="GP45"/>
  <c r="GR143"/>
  <c r="GS143"/>
  <c r="HF56"/>
  <c r="HI201"/>
  <c r="HF202"/>
  <c r="HF190"/>
  <c r="GO186"/>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HC72"/>
  <c r="GR44"/>
  <c r="GS44"/>
  <c r="HI153"/>
  <c r="HI101"/>
  <c r="HC89"/>
  <c r="HF89"/>
  <c r="HC85"/>
  <c r="HF85"/>
  <c r="HF77"/>
  <c r="HC65"/>
  <c r="GS49"/>
  <c r="GR49"/>
  <c r="L146" i="12" l="1"/>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S77" s="1"/>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S96" s="1"/>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S198" s="1"/>
  <c r="L126" i="12"/>
  <c r="L126" i="15"/>
  <c r="HA53" i="9"/>
  <c r="M51" i="15"/>
  <c r="GZ85" i="9"/>
  <c r="M83" i="15"/>
  <c r="HA195" i="9"/>
  <c r="M193" i="15"/>
  <c r="GZ166" i="9"/>
  <c r="M164" i="15"/>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S164"/>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S83" s="1"/>
  <c r="K80" i="12"/>
  <c r="K80" i="15"/>
  <c r="K163" i="12"/>
  <c r="K163" i="15"/>
  <c r="S163" s="1"/>
  <c r="K165" i="12"/>
  <c r="K165" i="15"/>
  <c r="K202" i="12"/>
  <c r="K202" i="15"/>
  <c r="S202" s="1"/>
  <c r="K54" i="12"/>
  <c r="K54" i="15"/>
  <c r="S54" s="1"/>
  <c r="K129" i="12"/>
  <c r="K129" i="15"/>
  <c r="S129" s="1"/>
  <c r="K50" i="12"/>
  <c r="K50" i="15"/>
  <c r="K38" i="12"/>
  <c r="K38" i="15"/>
  <c r="S38" s="1"/>
  <c r="K175" i="12"/>
  <c r="K175" i="15"/>
  <c r="K73" i="12"/>
  <c r="K73" i="15"/>
  <c r="K192" i="12"/>
  <c r="K192" i="15"/>
  <c r="K78" i="12"/>
  <c r="K78" i="15"/>
  <c r="K174" i="12"/>
  <c r="K174" i="15"/>
  <c r="K161" i="12"/>
  <c r="K161" i="15"/>
  <c r="S161" s="1"/>
  <c r="K182" i="12"/>
  <c r="K182" i="15"/>
  <c r="K136" i="12"/>
  <c r="K136" i="15"/>
  <c r="S136" s="1"/>
  <c r="K115" i="12"/>
  <c r="K115" i="15"/>
  <c r="S115" s="1"/>
  <c r="K111" i="12"/>
  <c r="K111" i="15"/>
  <c r="K130" i="12"/>
  <c r="K130" i="15"/>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80" s="1"/>
  <c r="S175" i="12"/>
  <c r="O175" i="15"/>
  <c r="S179" i="12"/>
  <c r="O179" i="15"/>
  <c r="S142" i="12"/>
  <c r="O142" i="15"/>
  <c r="S44" i="12"/>
  <c r="O44" i="15"/>
  <c r="S183" i="12"/>
  <c r="O183" i="15"/>
  <c r="S201" i="12"/>
  <c r="O201" i="15"/>
  <c r="S69" i="12"/>
  <c r="O69" i="15"/>
  <c r="S138"/>
  <c r="L52" i="12"/>
  <c r="L52" i="15"/>
  <c r="L62" i="12"/>
  <c r="L62" i="15"/>
  <c r="L50" i="12"/>
  <c r="L50" i="15"/>
  <c r="L94" i="12"/>
  <c r="L94" i="15"/>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S60" s="1"/>
  <c r="K143" i="12"/>
  <c r="K143" i="15"/>
  <c r="S143" s="1"/>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S156" s="1"/>
  <c r="K97" i="12"/>
  <c r="K97" i="15"/>
  <c r="S97" s="1"/>
  <c r="K191" i="12"/>
  <c r="K191" i="15"/>
  <c r="S191" s="1"/>
  <c r="K59" i="12"/>
  <c r="K59" i="15"/>
  <c r="S59" s="1"/>
  <c r="K147" i="12"/>
  <c r="K147" i="15"/>
  <c r="K194" i="12"/>
  <c r="K194" i="15"/>
  <c r="K56" i="12"/>
  <c r="K56" i="15"/>
  <c r="K120" i="12"/>
  <c r="K120" i="15"/>
  <c r="S120" s="1"/>
  <c r="K150" i="12"/>
  <c r="K150" i="15"/>
  <c r="S150" s="1"/>
  <c r="K149" i="12"/>
  <c r="K149" i="15"/>
  <c r="S149" s="1"/>
  <c r="K184" i="12"/>
  <c r="K184" i="15"/>
  <c r="S184" s="1"/>
  <c r="K104" i="12"/>
  <c r="K104" i="15"/>
  <c r="S104" s="1"/>
  <c r="K188" i="12"/>
  <c r="K188" i="15"/>
  <c r="S188" s="1"/>
  <c r="K95" i="12"/>
  <c r="K95" i="15"/>
  <c r="S95" s="1"/>
  <c r="K122" i="12"/>
  <c r="K122" i="15"/>
  <c r="S122" s="1"/>
  <c r="K45" i="12"/>
  <c r="K45" i="15"/>
  <c r="S45" s="1"/>
  <c r="K141" i="12"/>
  <c r="K141" i="15"/>
  <c r="S141" s="1"/>
  <c r="K48" i="12"/>
  <c r="K48" i="15"/>
  <c r="S48" s="1"/>
  <c r="K159" i="12"/>
  <c r="K159" i="15"/>
  <c r="S159" s="1"/>
  <c r="K114" i="12"/>
  <c r="K114" i="15"/>
  <c r="S114" s="1"/>
  <c r="K113" i="12"/>
  <c r="K113" i="15"/>
  <c r="S113" s="1"/>
  <c r="K112" i="12"/>
  <c r="K112" i="15"/>
  <c r="S112" s="1"/>
  <c r="K178" i="12"/>
  <c r="K178" i="15"/>
  <c r="S178" s="1"/>
  <c r="K66" i="12"/>
  <c r="K66" i="15"/>
  <c r="S66" s="1"/>
  <c r="K101" i="12"/>
  <c r="K101" i="15"/>
  <c r="K144" i="12"/>
  <c r="K144" i="15"/>
  <c r="S144" s="1"/>
  <c r="R171" i="12"/>
  <c r="N171" i="15"/>
  <c r="R70" i="12"/>
  <c r="N70" i="15"/>
  <c r="S70" s="1"/>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80"/>
  <c r="S174"/>
  <c r="S40"/>
  <c r="S92"/>
  <c r="S170"/>
  <c r="S130"/>
  <c r="S37"/>
  <c r="S46"/>
  <c r="S162"/>
  <c r="S166"/>
  <c r="S172"/>
  <c r="S82"/>
  <c r="S124"/>
  <c r="S200"/>
  <c r="S182"/>
  <c r="S204"/>
  <c r="S186"/>
  <c r="S42"/>
  <c r="S44"/>
  <c r="GP41" i="9"/>
  <c r="GP120"/>
  <c r="GO197"/>
  <c r="GP174"/>
  <c r="GO160"/>
  <c r="GP79"/>
  <c r="GP107"/>
  <c r="GO45"/>
  <c r="GO205"/>
  <c r="GP39"/>
  <c r="GO170"/>
  <c r="GP133"/>
  <c r="GO60"/>
  <c r="GO188"/>
  <c r="HF185"/>
  <c r="HC56"/>
  <c r="HC98"/>
  <c r="HC163"/>
  <c r="GP63"/>
  <c r="GO123"/>
  <c r="HC183"/>
  <c r="GP202"/>
  <c r="GO87"/>
  <c r="GO73"/>
  <c r="GP185"/>
  <c r="GO70"/>
  <c r="AR42" i="15"/>
  <c r="Q41" i="11" s="1"/>
  <c r="GP188" i="9"/>
  <c r="GP92"/>
  <c r="HC128"/>
  <c r="HF46"/>
  <c r="HC187"/>
  <c r="HF181"/>
  <c r="GO185"/>
  <c r="GO84"/>
  <c r="GP100"/>
  <c r="HC154"/>
  <c r="GP70"/>
  <c r="GP67"/>
  <c r="GP171"/>
  <c r="GP199"/>
  <c r="GP150"/>
  <c r="GP156"/>
  <c r="GP123"/>
  <c r="GO44"/>
  <c r="GP144"/>
  <c r="GP73"/>
  <c r="HC109"/>
  <c r="GP187"/>
  <c r="GO91"/>
  <c r="GO154"/>
  <c r="HF194"/>
  <c r="HX120"/>
  <c r="N117" i="11" s="1"/>
  <c r="J118" i="12"/>
  <c r="L117" i="11"/>
  <c r="HX152" i="9"/>
  <c r="N149" i="11" s="1"/>
  <c r="J150" i="12"/>
  <c r="L149" i="11"/>
  <c r="HX79" i="9"/>
  <c r="N76" i="11" s="1"/>
  <c r="J77" i="12"/>
  <c r="L76" i="11"/>
  <c r="HX111" i="9"/>
  <c r="N108" i="11" s="1"/>
  <c r="J109" i="12"/>
  <c r="L108" i="11"/>
  <c r="HX143" i="9"/>
  <c r="N140" i="11" s="1"/>
  <c r="J141" i="12"/>
  <c r="L140" i="11"/>
  <c r="HX110" i="9"/>
  <c r="N107" i="11" s="1"/>
  <c r="J108" i="12"/>
  <c r="L107" i="11"/>
  <c r="HX142" i="9"/>
  <c r="N139" i="11" s="1"/>
  <c r="J140" i="12"/>
  <c r="L139" i="11"/>
  <c r="HX198" i="9"/>
  <c r="N195" i="11" s="1"/>
  <c r="J196" i="12"/>
  <c r="L195" i="11"/>
  <c r="HX65" i="9"/>
  <c r="N62" i="11" s="1"/>
  <c r="J63" i="12"/>
  <c r="L62" i="11"/>
  <c r="HX97" i="9"/>
  <c r="N94" i="11" s="1"/>
  <c r="J95" i="12"/>
  <c r="L94" i="11"/>
  <c r="HX129" i="9"/>
  <c r="N126" i="11" s="1"/>
  <c r="J127" i="12"/>
  <c r="L126" i="11"/>
  <c r="HX192" i="9"/>
  <c r="N189" i="11" s="1"/>
  <c r="J190" i="12"/>
  <c r="L189" i="11"/>
  <c r="HX40" i="9"/>
  <c r="N37" i="11" s="1"/>
  <c r="J38" i="12"/>
  <c r="L37" i="11"/>
  <c r="HX168" i="9"/>
  <c r="N165" i="11" s="1"/>
  <c r="J166" i="12"/>
  <c r="L165" i="11"/>
  <c r="HX199" i="9"/>
  <c r="N196" i="11" s="1"/>
  <c r="J197" i="12"/>
  <c r="L196" i="11"/>
  <c r="HX158" i="9"/>
  <c r="N155" i="11" s="1"/>
  <c r="J156" i="12"/>
  <c r="L155" i="11"/>
  <c r="HX177" i="9"/>
  <c r="N174" i="11" s="1"/>
  <c r="J175" i="12"/>
  <c r="L174" i="11"/>
  <c r="HX44" i="9"/>
  <c r="N41" i="11" s="1"/>
  <c r="J42" i="12"/>
  <c r="L41" i="11"/>
  <c r="HX76" i="9"/>
  <c r="N73" i="11" s="1"/>
  <c r="J74" i="12"/>
  <c r="L73" i="11"/>
  <c r="HX108" i="9"/>
  <c r="N105" i="11" s="1"/>
  <c r="J106" i="12"/>
  <c r="L105" i="11"/>
  <c r="HX140" i="9"/>
  <c r="N137" i="11" s="1"/>
  <c r="J138" i="12"/>
  <c r="L137" i="11"/>
  <c r="HX172" i="9"/>
  <c r="N169" i="11" s="1"/>
  <c r="J170" i="12"/>
  <c r="L169" i="11"/>
  <c r="HX204" i="9"/>
  <c r="N201" i="11" s="1"/>
  <c r="J202" i="12"/>
  <c r="L201" i="11"/>
  <c r="HX67" i="9"/>
  <c r="N64" i="11" s="1"/>
  <c r="J65" i="12"/>
  <c r="L64" i="11"/>
  <c r="HX99" i="9"/>
  <c r="N96" i="11" s="1"/>
  <c r="J97" i="12"/>
  <c r="L96" i="11"/>
  <c r="HX131" i="9"/>
  <c r="N128" i="11" s="1"/>
  <c r="J129" i="12"/>
  <c r="L128" i="11"/>
  <c r="HX163" i="9"/>
  <c r="N160" i="11" s="1"/>
  <c r="J161" i="12"/>
  <c r="L160" i="11"/>
  <c r="HX195" i="9"/>
  <c r="N192" i="11" s="1"/>
  <c r="J193" i="12"/>
  <c r="L192" i="11"/>
  <c r="HX58" i="9"/>
  <c r="N55" i="11" s="1"/>
  <c r="J56" i="12"/>
  <c r="L55" i="11"/>
  <c r="HX90" i="9"/>
  <c r="N87" i="11" s="1"/>
  <c r="J88" i="12"/>
  <c r="L87" i="11"/>
  <c r="HX122" i="9"/>
  <c r="N119" i="11" s="1"/>
  <c r="J120" i="12"/>
  <c r="L119" i="11"/>
  <c r="HX154" i="9"/>
  <c r="N151" i="11" s="1"/>
  <c r="J152" i="12"/>
  <c r="L151" i="11"/>
  <c r="HX186" i="9"/>
  <c r="N183" i="11" s="1"/>
  <c r="J184" i="12"/>
  <c r="L183" i="11"/>
  <c r="HX45" i="9"/>
  <c r="N42" i="11" s="1"/>
  <c r="J43" i="12"/>
  <c r="L42" i="11"/>
  <c r="HX77" i="9"/>
  <c r="N74" i="11" s="1"/>
  <c r="J75" i="12"/>
  <c r="L74" i="11"/>
  <c r="HX109" i="9"/>
  <c r="N106" i="11" s="1"/>
  <c r="J107" i="12"/>
  <c r="L106" i="11"/>
  <c r="HX141" i="9"/>
  <c r="N138" i="11" s="1"/>
  <c r="J139" i="12"/>
  <c r="L138" i="11"/>
  <c r="HX173" i="9"/>
  <c r="N170" i="11" s="1"/>
  <c r="J171" i="12"/>
  <c r="L170" i="11"/>
  <c r="HX112" i="9"/>
  <c r="N109" i="11" s="1"/>
  <c r="J110" i="12"/>
  <c r="L109" i="11"/>
  <c r="HX183" i="9"/>
  <c r="N180" i="11" s="1"/>
  <c r="J181" i="12"/>
  <c r="L180" i="11"/>
  <c r="HX167" i="9"/>
  <c r="N164" i="11" s="1"/>
  <c r="J165" i="12"/>
  <c r="L164" i="11"/>
  <c r="HX38" i="9"/>
  <c r="N35" i="11" s="1"/>
  <c r="J36" i="12"/>
  <c r="L35" i="11"/>
  <c r="HX88" i="9"/>
  <c r="N85" i="11" s="1"/>
  <c r="J86" i="12"/>
  <c r="L85" i="11"/>
  <c r="HX144" i="9"/>
  <c r="N141" i="11" s="1"/>
  <c r="J142" i="12"/>
  <c r="L141" i="11"/>
  <c r="HX71" i="9"/>
  <c r="N68" i="11" s="1"/>
  <c r="J69" i="12"/>
  <c r="L68" i="11"/>
  <c r="HX103" i="9"/>
  <c r="N100" i="11" s="1"/>
  <c r="J101" i="12"/>
  <c r="L100" i="11"/>
  <c r="HX135" i="9"/>
  <c r="N132" i="11" s="1"/>
  <c r="J133" i="12"/>
  <c r="L132" i="11"/>
  <c r="HX175" i="9"/>
  <c r="N172" i="11" s="1"/>
  <c r="J173" i="12"/>
  <c r="L172" i="11"/>
  <c r="HX102" i="9"/>
  <c r="N99" i="11" s="1"/>
  <c r="J100" i="12"/>
  <c r="L99" i="11"/>
  <c r="HX134" i="9"/>
  <c r="N131" i="11" s="1"/>
  <c r="J132" i="12"/>
  <c r="L131" i="11"/>
  <c r="HX190" i="9"/>
  <c r="N187" i="11" s="1"/>
  <c r="J188" i="12"/>
  <c r="L187" i="11"/>
  <c r="HX57" i="9"/>
  <c r="N54" i="11" s="1"/>
  <c r="J55" i="12"/>
  <c r="L54" i="11"/>
  <c r="HX89" i="9"/>
  <c r="N86" i="11" s="1"/>
  <c r="J87" i="12"/>
  <c r="L86" i="11"/>
  <c r="HX121" i="9"/>
  <c r="N118" i="11" s="1"/>
  <c r="J119" i="12"/>
  <c r="L118" i="11"/>
  <c r="HX64" i="9"/>
  <c r="N61" i="11" s="1"/>
  <c r="J62" i="12"/>
  <c r="L61" i="11"/>
  <c r="HX205" i="9"/>
  <c r="N202" i="11" s="1"/>
  <c r="J203" i="12"/>
  <c r="L202" i="11"/>
  <c r="HX104" i="9"/>
  <c r="N101" i="11" s="1"/>
  <c r="J102" i="12"/>
  <c r="L101" i="11"/>
  <c r="HX47" i="9"/>
  <c r="N44" i="11" s="1"/>
  <c r="J45" i="12"/>
  <c r="L44" i="11"/>
  <c r="HX62" i="9"/>
  <c r="N59" i="11" s="1"/>
  <c r="J60" i="12"/>
  <c r="L59" i="11"/>
  <c r="HX153" i="9"/>
  <c r="N150" i="11" s="1"/>
  <c r="J151" i="12"/>
  <c r="L150" i="11"/>
  <c r="HX185" i="9"/>
  <c r="N182" i="11" s="1"/>
  <c r="J183" i="12"/>
  <c r="L182" i="11"/>
  <c r="HX52" i="9"/>
  <c r="N49" i="11" s="1"/>
  <c r="J50" i="12"/>
  <c r="L49" i="11"/>
  <c r="HX84" i="9"/>
  <c r="N81" i="11" s="1"/>
  <c r="J82" i="12"/>
  <c r="L81" i="11"/>
  <c r="HX116" i="9"/>
  <c r="N113" i="11" s="1"/>
  <c r="J114" i="12"/>
  <c r="L113" i="11"/>
  <c r="HX148" i="9"/>
  <c r="N145" i="11" s="1"/>
  <c r="J146" i="12"/>
  <c r="L145" i="11"/>
  <c r="HX180" i="9"/>
  <c r="N177" i="11" s="1"/>
  <c r="J178" i="12"/>
  <c r="L177" i="11"/>
  <c r="HX43" i="9"/>
  <c r="N40" i="11" s="1"/>
  <c r="J41" i="12"/>
  <c r="L40" i="11"/>
  <c r="HX75" i="9"/>
  <c r="N72" i="11" s="1"/>
  <c r="J73" i="12"/>
  <c r="L72" i="11"/>
  <c r="HX107" i="9"/>
  <c r="N104" i="11" s="1"/>
  <c r="J105" i="12"/>
  <c r="L104" i="11"/>
  <c r="HX139" i="9"/>
  <c r="N136" i="11" s="1"/>
  <c r="J137" i="12"/>
  <c r="L136" i="11"/>
  <c r="HX171" i="9"/>
  <c r="N168" i="11" s="1"/>
  <c r="J169" i="12"/>
  <c r="L168" i="11"/>
  <c r="HX203" i="9"/>
  <c r="N200" i="11" s="1"/>
  <c r="J201" i="12"/>
  <c r="L200" i="11"/>
  <c r="HX66" i="9"/>
  <c r="N63" i="11" s="1"/>
  <c r="J64" i="12"/>
  <c r="L63" i="11"/>
  <c r="HX98" i="9"/>
  <c r="N95" i="11" s="1"/>
  <c r="J96" i="12"/>
  <c r="L95" i="11"/>
  <c r="HX130" i="9"/>
  <c r="N127" i="11" s="1"/>
  <c r="J128" i="12"/>
  <c r="L127" i="11"/>
  <c r="HX162" i="9"/>
  <c r="N159" i="11" s="1"/>
  <c r="J160" i="12"/>
  <c r="L159" i="11"/>
  <c r="HX194" i="9"/>
  <c r="N191" i="11" s="1"/>
  <c r="J192" i="12"/>
  <c r="L191" i="11"/>
  <c r="HX53" i="9"/>
  <c r="N50" i="11" s="1"/>
  <c r="J51" i="12"/>
  <c r="L50" i="11"/>
  <c r="HX85" i="9"/>
  <c r="N82" i="11" s="1"/>
  <c r="J83" i="12"/>
  <c r="L82" i="11"/>
  <c r="HX117" i="9"/>
  <c r="N114" i="11" s="1"/>
  <c r="J115" i="12"/>
  <c r="L114" i="11"/>
  <c r="HX149" i="9"/>
  <c r="N146" i="11" s="1"/>
  <c r="J147" i="12"/>
  <c r="L146" i="11"/>
  <c r="HX181" i="9"/>
  <c r="N178" i="11" s="1"/>
  <c r="J179" i="12"/>
  <c r="L178" i="11"/>
  <c r="HX145" i="9"/>
  <c r="N142" i="11" s="1"/>
  <c r="J143" i="12"/>
  <c r="L142" i="11"/>
  <c r="HX55" i="9"/>
  <c r="N52" i="11" s="1"/>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N77" i="11" s="1"/>
  <c r="J78" i="12"/>
  <c r="L77" i="11"/>
  <c r="HX136" i="9"/>
  <c r="N133" i="11" s="1"/>
  <c r="J134" i="12"/>
  <c r="L133" i="11"/>
  <c r="HX63" i="9"/>
  <c r="N60" i="11" s="1"/>
  <c r="J61" i="12"/>
  <c r="L60" i="11"/>
  <c r="HX95" i="9"/>
  <c r="N92" i="11" s="1"/>
  <c r="J93" i="12"/>
  <c r="L92" i="11"/>
  <c r="HX127" i="9"/>
  <c r="N124" i="11" s="1"/>
  <c r="J125" i="12"/>
  <c r="L124" i="11"/>
  <c r="HX94" i="9"/>
  <c r="N91" i="11" s="1"/>
  <c r="J92" i="12"/>
  <c r="L91" i="11"/>
  <c r="HX126" i="9"/>
  <c r="N123" i="11" s="1"/>
  <c r="J124" i="12"/>
  <c r="L123" i="11"/>
  <c r="HX182" i="9"/>
  <c r="N179" i="11" s="1"/>
  <c r="J180" i="12"/>
  <c r="L179" i="11"/>
  <c r="HX49" i="9"/>
  <c r="N46" i="11" s="1"/>
  <c r="J47" i="12"/>
  <c r="L46" i="11"/>
  <c r="HX81" i="9"/>
  <c r="N78" i="11" s="1"/>
  <c r="J79" i="12"/>
  <c r="L78" i="11"/>
  <c r="HX113" i="9"/>
  <c r="N110" i="11" s="1"/>
  <c r="J111" i="12"/>
  <c r="L110" i="11"/>
  <c r="HX176" i="9"/>
  <c r="N173" i="11" s="1"/>
  <c r="J174" i="12"/>
  <c r="L173" i="11"/>
  <c r="HX159" i="9"/>
  <c r="N156" i="11" s="1"/>
  <c r="J157" i="12"/>
  <c r="L156" i="11"/>
  <c r="HX56" i="9"/>
  <c r="N53" i="11" s="1"/>
  <c r="J54" i="12"/>
  <c r="L53" i="11"/>
  <c r="HX39" i="9"/>
  <c r="N36" i="11" s="1"/>
  <c r="J37" i="12"/>
  <c r="L36" i="11"/>
  <c r="HX70" i="9"/>
  <c r="N67" i="11" s="1"/>
  <c r="J68" i="12"/>
  <c r="L67" i="11"/>
  <c r="HX161" i="9"/>
  <c r="N158" i="11" s="1"/>
  <c r="J159" i="12"/>
  <c r="L158" i="11"/>
  <c r="HX193" i="9"/>
  <c r="N190" i="11" s="1"/>
  <c r="J191" i="12"/>
  <c r="L190" i="11"/>
  <c r="HX60" i="9"/>
  <c r="N57" i="11" s="1"/>
  <c r="J58" i="12"/>
  <c r="L57" i="11"/>
  <c r="HX92" i="9"/>
  <c r="N89" i="11" s="1"/>
  <c r="J90" i="12"/>
  <c r="L89" i="11"/>
  <c r="HX124" i="9"/>
  <c r="N121" i="11" s="1"/>
  <c r="J122" i="12"/>
  <c r="L121" i="11"/>
  <c r="HX156" i="9"/>
  <c r="N153" i="11" s="1"/>
  <c r="J154" i="12"/>
  <c r="L153" i="11"/>
  <c r="HX188" i="9"/>
  <c r="N185" i="11" s="1"/>
  <c r="J186" i="12"/>
  <c r="L185" i="11"/>
  <c r="HX51" i="9"/>
  <c r="N48" i="11" s="1"/>
  <c r="J49" i="12"/>
  <c r="L48" i="11"/>
  <c r="HX83" i="9"/>
  <c r="N80" i="11" s="1"/>
  <c r="J81" i="12"/>
  <c r="L80" i="11"/>
  <c r="HX115" i="9"/>
  <c r="N112" i="11" s="1"/>
  <c r="J113" i="12"/>
  <c r="L112" i="11"/>
  <c r="HX147" i="9"/>
  <c r="N144" i="11" s="1"/>
  <c r="J145" i="12"/>
  <c r="L144" i="11"/>
  <c r="HX179" i="9"/>
  <c r="N176" i="11" s="1"/>
  <c r="J177" i="12"/>
  <c r="L176" i="11"/>
  <c r="HX42" i="9"/>
  <c r="N39" i="11" s="1"/>
  <c r="J40" i="12"/>
  <c r="L39" i="11"/>
  <c r="HX74" i="9"/>
  <c r="N71" i="11" s="1"/>
  <c r="J72" i="12"/>
  <c r="L71" i="11"/>
  <c r="HX106" i="9"/>
  <c r="N103" i="11" s="1"/>
  <c r="J104" i="12"/>
  <c r="L103" i="11"/>
  <c r="HX138" i="9"/>
  <c r="N135" i="11" s="1"/>
  <c r="J136" i="12"/>
  <c r="L135" i="11"/>
  <c r="HX170" i="9"/>
  <c r="N167" i="11" s="1"/>
  <c r="J168" i="12"/>
  <c r="L167" i="11"/>
  <c r="HX202" i="9"/>
  <c r="N199" i="11" s="1"/>
  <c r="J200" i="12"/>
  <c r="L199" i="11"/>
  <c r="HX61" i="9"/>
  <c r="N58" i="11" s="1"/>
  <c r="J59" i="12"/>
  <c r="L58" i="11"/>
  <c r="HX93" i="9"/>
  <c r="N90" i="11" s="1"/>
  <c r="J91" i="12"/>
  <c r="L90" i="11"/>
  <c r="HX125" i="9"/>
  <c r="N122" i="11" s="1"/>
  <c r="J123" i="12"/>
  <c r="L122" i="11"/>
  <c r="HX157" i="9"/>
  <c r="N154" i="11" s="1"/>
  <c r="J155" i="12"/>
  <c r="L154" i="11"/>
  <c r="HX189" i="9"/>
  <c r="N186" i="11" s="1"/>
  <c r="J187" i="12"/>
  <c r="L186" i="11"/>
  <c r="HX166" i="9"/>
  <c r="N163" i="11" s="1"/>
  <c r="J164" i="12"/>
  <c r="L163" i="11"/>
  <c r="HX96" i="9"/>
  <c r="N93" i="11" s="1"/>
  <c r="J94" i="12"/>
  <c r="L93" i="11"/>
  <c r="HX150" i="9"/>
  <c r="N147" i="11" s="1"/>
  <c r="J148" i="12"/>
  <c r="L147" i="11"/>
  <c r="HX72" i="9"/>
  <c r="N69" i="11" s="1"/>
  <c r="J70" i="12"/>
  <c r="L69" i="11"/>
  <c r="HX128" i="9"/>
  <c r="N125" i="11" s="1"/>
  <c r="J126" i="12"/>
  <c r="L125" i="11"/>
  <c r="HX184" i="9"/>
  <c r="N181" i="11" s="1"/>
  <c r="J182" i="12"/>
  <c r="L181" i="11"/>
  <c r="HX87" i="9"/>
  <c r="N84" i="11" s="1"/>
  <c r="J85" i="12"/>
  <c r="L84" i="11"/>
  <c r="HX119" i="9"/>
  <c r="N116" i="11" s="1"/>
  <c r="J117" i="12"/>
  <c r="L116" i="11"/>
  <c r="HX151" i="9"/>
  <c r="N148" i="11" s="1"/>
  <c r="J149" i="12"/>
  <c r="L148" i="11"/>
  <c r="HX46" i="9"/>
  <c r="N43" i="11" s="1"/>
  <c r="J44" i="12"/>
  <c r="L43" i="11"/>
  <c r="HX118" i="9"/>
  <c r="N115" i="11" s="1"/>
  <c r="J116" i="12"/>
  <c r="L115" i="11"/>
  <c r="HX174" i="9"/>
  <c r="N171" i="11" s="1"/>
  <c r="J172" i="12"/>
  <c r="L171" i="11"/>
  <c r="HX41" i="9"/>
  <c r="N38" i="11" s="1"/>
  <c r="J39" i="12"/>
  <c r="L38" i="11"/>
  <c r="HX73" i="9"/>
  <c r="N70" i="11" s="1"/>
  <c r="J71" i="12"/>
  <c r="L70" i="11"/>
  <c r="HX105" i="9"/>
  <c r="N102" i="11" s="1"/>
  <c r="J103" i="12"/>
  <c r="L102" i="11"/>
  <c r="HX137" i="9"/>
  <c r="N134" i="11" s="1"/>
  <c r="J135" i="12"/>
  <c r="L134" i="11"/>
  <c r="HX54" i="9"/>
  <c r="N51" i="11" s="1"/>
  <c r="J52" i="12"/>
  <c r="L51" i="11"/>
  <c r="HX48" i="9"/>
  <c r="N45" i="11" s="1"/>
  <c r="J46" i="12"/>
  <c r="L45" i="11"/>
  <c r="HX200" i="9"/>
  <c r="N197" i="11" s="1"/>
  <c r="J198" i="12"/>
  <c r="L197" i="11"/>
  <c r="HX191" i="9"/>
  <c r="N188" i="11" s="1"/>
  <c r="J189" i="12"/>
  <c r="L188" i="11"/>
  <c r="HX78" i="9"/>
  <c r="N75" i="11" s="1"/>
  <c r="J76" i="12"/>
  <c r="L75" i="11"/>
  <c r="HX169" i="9"/>
  <c r="N166" i="11" s="1"/>
  <c r="J167" i="12"/>
  <c r="L166" i="11"/>
  <c r="HX201" i="9"/>
  <c r="N198" i="11" s="1"/>
  <c r="J199" i="12"/>
  <c r="L198" i="11"/>
  <c r="HX68" i="9"/>
  <c r="N65" i="11" s="1"/>
  <c r="J66" i="12"/>
  <c r="L65" i="11"/>
  <c r="HX100" i="9"/>
  <c r="N97" i="11" s="1"/>
  <c r="J98" i="12"/>
  <c r="L97" i="11"/>
  <c r="HX132" i="9"/>
  <c r="N129" i="11" s="1"/>
  <c r="J130" i="12"/>
  <c r="L129" i="11"/>
  <c r="HX164" i="9"/>
  <c r="N161" i="11" s="1"/>
  <c r="J162" i="12"/>
  <c r="L161" i="11"/>
  <c r="HX196" i="9"/>
  <c r="N193" i="11" s="1"/>
  <c r="J194" i="12"/>
  <c r="L193" i="11"/>
  <c r="HX59" i="9"/>
  <c r="N56" i="11" s="1"/>
  <c r="J57" i="12"/>
  <c r="L56" i="11"/>
  <c r="HX91" i="9"/>
  <c r="N88" i="11" s="1"/>
  <c r="J89" i="12"/>
  <c r="L88" i="11"/>
  <c r="HX123" i="9"/>
  <c r="N120" i="11" s="1"/>
  <c r="J121" i="12"/>
  <c r="L120" i="11"/>
  <c r="HX155" i="9"/>
  <c r="N152" i="11" s="1"/>
  <c r="J153" i="12"/>
  <c r="L152" i="11"/>
  <c r="HX187" i="9"/>
  <c r="N184" i="11" s="1"/>
  <c r="J185" i="12"/>
  <c r="L184" i="11"/>
  <c r="HX50" i="9"/>
  <c r="N47" i="11" s="1"/>
  <c r="J48" i="12"/>
  <c r="L47" i="11"/>
  <c r="HX82" i="9"/>
  <c r="N79" i="11" s="1"/>
  <c r="J80" i="12"/>
  <c r="L79" i="11"/>
  <c r="HX114" i="9"/>
  <c r="N111" i="11" s="1"/>
  <c r="J112" i="12"/>
  <c r="L111" i="11"/>
  <c r="HX146" i="9"/>
  <c r="N143" i="11" s="1"/>
  <c r="J144" i="12"/>
  <c r="L143" i="11"/>
  <c r="HX178" i="9"/>
  <c r="N175" i="11" s="1"/>
  <c r="J176" i="12"/>
  <c r="L175" i="11"/>
  <c r="HX206" i="9"/>
  <c r="N203" i="11" s="1"/>
  <c r="J204" i="12"/>
  <c r="L203" i="11"/>
  <c r="HX69" i="9"/>
  <c r="N66" i="11" s="1"/>
  <c r="J67" i="12"/>
  <c r="L66" i="11"/>
  <c r="HX101" i="9"/>
  <c r="N98" i="11" s="1"/>
  <c r="J99" i="12"/>
  <c r="L98" i="11"/>
  <c r="HX133" i="9"/>
  <c r="N130" i="11" s="1"/>
  <c r="J131" i="12"/>
  <c r="L130" i="11"/>
  <c r="HX165" i="9"/>
  <c r="N162" i="11" s="1"/>
  <c r="J163" i="12"/>
  <c r="L162" i="11"/>
  <c r="HX197" i="9"/>
  <c r="N194" i="11" s="1"/>
  <c r="J195" i="12"/>
  <c r="L194" i="11"/>
  <c r="HX160" i="9"/>
  <c r="N157" i="11" s="1"/>
  <c r="J158" i="12"/>
  <c r="L157" i="11"/>
  <c r="HX86" i="9"/>
  <c r="N83" i="11" s="1"/>
  <c r="J84" i="12"/>
  <c r="L83" i="11"/>
  <c r="GP97" i="9"/>
  <c r="GP47"/>
  <c r="GO106"/>
  <c r="GP114"/>
  <c r="GO128"/>
  <c r="GP190"/>
  <c r="GP124"/>
  <c r="HF133"/>
  <c r="GP147"/>
  <c r="HC116"/>
  <c r="AR60" i="15"/>
  <c r="Q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Q136" i="11" s="1"/>
  <c r="AR150" i="15"/>
  <c r="Q149" i="11" s="1"/>
  <c r="AR149" i="15"/>
  <c r="Q148" i="11" s="1"/>
  <c r="AR173" i="15"/>
  <c r="Q172" i="11" s="1"/>
  <c r="AR48" i="15"/>
  <c r="Q47" i="11" s="1"/>
  <c r="AR122" i="15"/>
  <c r="Q121" i="11" s="1"/>
  <c r="AR186" i="15"/>
  <c r="Q185" i="11" s="1"/>
  <c r="AR154" i="15"/>
  <c r="Q153" i="11" s="1"/>
  <c r="AR188" i="15"/>
  <c r="Q187" i="11" s="1"/>
  <c r="HC175" i="9"/>
  <c r="GP148"/>
  <c r="GO88"/>
  <c r="GO201"/>
  <c r="GO111"/>
  <c r="GO105"/>
  <c r="GP192"/>
  <c r="GO179"/>
  <c r="GO107"/>
  <c r="GO175"/>
  <c r="GO38"/>
  <c r="GP76"/>
  <c r="GO66"/>
  <c r="AR190" i="15"/>
  <c r="Q189" i="11" s="1"/>
  <c r="GO104" i="9"/>
  <c r="GO135"/>
  <c r="GP160"/>
  <c r="GO113"/>
  <c r="GP48"/>
  <c r="GP94"/>
  <c r="GO142"/>
  <c r="GP69"/>
  <c r="GP184"/>
  <c r="GO95"/>
  <c r="GO173"/>
  <c r="GP163"/>
  <c r="GP86"/>
  <c r="GO178"/>
  <c r="AR172" i="15"/>
  <c r="Q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AP130" i="15"/>
  <c r="GP177" i="9"/>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Q177" i="11" s="1"/>
  <c r="GZ108" i="9"/>
  <c r="GO39"/>
  <c r="GO189"/>
  <c r="GO63"/>
  <c r="GP68"/>
  <c r="GP159"/>
  <c r="GZ45"/>
  <c r="GO74"/>
  <c r="GO180"/>
  <c r="GP154"/>
  <c r="GZ184"/>
  <c r="GP116"/>
  <c r="GZ65"/>
  <c r="GZ201"/>
  <c r="GO68"/>
  <c r="GO159"/>
  <c r="GZ41"/>
  <c r="GP74"/>
  <c r="GP180"/>
  <c r="GP50"/>
  <c r="GP146"/>
  <c r="AO172" i="15"/>
  <c r="AP60"/>
  <c r="AO60"/>
  <c r="AP150"/>
  <c r="AO150"/>
  <c r="AP42"/>
  <c r="AP149"/>
  <c r="AO149"/>
  <c r="AO190"/>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AP173"/>
  <c r="AO173"/>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Q118" i="11" s="1"/>
  <c r="AR203" i="15"/>
  <c r="Q202" i="11" s="1"/>
  <c r="GP127" i="9"/>
  <c r="GP128"/>
  <c r="GZ49"/>
  <c r="GP139"/>
  <c r="GO49"/>
  <c r="GO144"/>
  <c r="GP168"/>
  <c r="GP59"/>
  <c r="GP87"/>
  <c r="GP90"/>
  <c r="GO147"/>
  <c r="AR82" i="15"/>
  <c r="Q81" i="11" s="1"/>
  <c r="AR123" i="15"/>
  <c r="Q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JO101" s="1"/>
  <c r="HD80"/>
  <c r="HD119"/>
  <c r="HD158"/>
  <c r="HD116"/>
  <c r="JO116" s="1"/>
  <c r="HG146"/>
  <c r="HG104"/>
  <c r="HG86"/>
  <c r="HG81"/>
  <c r="HG206"/>
  <c r="HG133"/>
  <c r="HG48"/>
  <c r="HG176"/>
  <c r="JO176" s="1"/>
  <c r="HG110"/>
  <c r="HG100"/>
  <c r="HG203"/>
  <c r="HG71"/>
  <c r="HD75"/>
  <c r="HD203"/>
  <c r="HD130"/>
  <c r="HD173"/>
  <c r="JO173" s="1"/>
  <c r="HD72"/>
  <c r="HD200"/>
  <c r="HD175"/>
  <c r="HD118"/>
  <c r="HD81"/>
  <c r="HD60"/>
  <c r="HD51"/>
  <c r="HD179"/>
  <c r="JO179" s="1"/>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Q120" i="11" s="1"/>
  <c r="AR45" i="15"/>
  <c r="Q44" i="11" s="1"/>
  <c r="HC168" i="9"/>
  <c r="JN98"/>
  <c r="JN194"/>
  <c r="JN91"/>
  <c r="AP180" i="15"/>
  <c r="AR183"/>
  <c r="Q182" i="11" s="1"/>
  <c r="JN143" i="9"/>
  <c r="JN114"/>
  <c r="HI103"/>
  <c r="AR152" i="15"/>
  <c r="Q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Q55" i="11" s="1"/>
  <c r="JN202" i="9"/>
  <c r="AP66" i="15"/>
  <c r="JN108" i="9"/>
  <c r="JN89"/>
  <c r="AR92" i="15"/>
  <c r="Q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Q93" i="11" s="1"/>
  <c r="AR146" i="15"/>
  <c r="Q145" i="11" s="1"/>
  <c r="AR164" i="15"/>
  <c r="Q163" i="11" s="1"/>
  <c r="AR37" i="15"/>
  <c r="Q36" i="11" s="1"/>
  <c r="AR184" i="15"/>
  <c r="Q183" i="11" s="1"/>
  <c r="AR140" i="15"/>
  <c r="Q139" i="11" s="1"/>
  <c r="AR57" i="15"/>
  <c r="Q56" i="11" s="1"/>
  <c r="AR51" i="15"/>
  <c r="Q50" i="11" s="1"/>
  <c r="AR105" i="15"/>
  <c r="Q104" i="11" s="1"/>
  <c r="JO184" i="9"/>
  <c r="AR194" i="15"/>
  <c r="Q193" i="11" s="1"/>
  <c r="JN140" i="9"/>
  <c r="JN64"/>
  <c r="JN44"/>
  <c r="JN205"/>
  <c r="JN152"/>
  <c r="JN193"/>
  <c r="JN84"/>
  <c r="JN156"/>
  <c r="JN192"/>
  <c r="JN124"/>
  <c r="JN88"/>
  <c r="JN121"/>
  <c r="JN50"/>
  <c r="JN117"/>
  <c r="JN175"/>
  <c r="JN73"/>
  <c r="JN131"/>
  <c r="JN190"/>
  <c r="JN125"/>
  <c r="S148" i="15" l="1"/>
  <c r="S94"/>
  <c r="S56"/>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Q158" i="11" s="1"/>
  <c r="AR67" i="15"/>
  <c r="Q66" i="11" s="1"/>
  <c r="JO56" i="9"/>
  <c r="JO132"/>
  <c r="JO177"/>
  <c r="JN180"/>
  <c r="JN93"/>
  <c r="JT93" s="1"/>
  <c r="AO178" i="15"/>
  <c r="AO42"/>
  <c r="JO40" i="9"/>
  <c r="JO117"/>
  <c r="JO64"/>
  <c r="JO107"/>
  <c r="JO62"/>
  <c r="JO45"/>
  <c r="JO41"/>
  <c r="JO67"/>
  <c r="JO130"/>
  <c r="AR135" i="15"/>
  <c r="Q134" i="11" s="1"/>
  <c r="AR166" i="15"/>
  <c r="Q165" i="11" s="1"/>
  <c r="JO191" i="9"/>
  <c r="AP83" i="15"/>
  <c r="JO44" i="9"/>
  <c r="JO178"/>
  <c r="JO180"/>
  <c r="JO85"/>
  <c r="JO68"/>
  <c r="AP38" i="15"/>
  <c r="AO74"/>
  <c r="AP181"/>
  <c r="AP172"/>
  <c r="JO71" i="9"/>
  <c r="JO73"/>
  <c r="AR98" i="15"/>
  <c r="Q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O150" i="11"/>
  <c r="O155"/>
  <c r="O99"/>
  <c r="O94"/>
  <c r="O92"/>
  <c r="O124"/>
  <c r="O134"/>
  <c r="O97"/>
  <c r="O145"/>
  <c r="O86"/>
  <c r="O85"/>
  <c r="O148"/>
  <c r="O201"/>
  <c r="O172"/>
  <c r="O130"/>
  <c r="O123"/>
  <c r="O120"/>
  <c r="O128"/>
  <c r="O88"/>
  <c r="O154"/>
  <c r="O106"/>
  <c r="O121"/>
  <c r="O200"/>
  <c r="O141"/>
  <c r="O174"/>
  <c r="O179"/>
  <c r="O167"/>
  <c r="O73"/>
  <c r="O168"/>
  <c r="O104"/>
  <c r="O178"/>
  <c r="O129"/>
  <c r="O118"/>
  <c r="O115"/>
  <c r="O79"/>
  <c r="O74"/>
  <c r="O36"/>
  <c r="O182"/>
  <c r="O46"/>
  <c r="O53"/>
  <c r="O113"/>
  <c r="O93"/>
  <c r="O41"/>
  <c r="O108"/>
  <c r="O186"/>
  <c r="O161"/>
  <c r="O176"/>
  <c r="O107"/>
  <c r="O45"/>
  <c r="O103"/>
  <c r="O63"/>
  <c r="O117"/>
  <c r="O68"/>
  <c r="O57"/>
  <c r="O65"/>
  <c r="O127"/>
  <c r="O110"/>
  <c r="O100"/>
  <c r="O188"/>
  <c r="O38"/>
  <c r="O169"/>
  <c r="O60"/>
  <c r="O90"/>
  <c r="O55"/>
  <c r="O89"/>
  <c r="O39"/>
  <c r="O64"/>
  <c r="O163"/>
  <c r="O80"/>
  <c r="O102"/>
  <c r="O147"/>
  <c r="O91"/>
  <c r="O48"/>
  <c r="O137"/>
  <c r="O196"/>
  <c r="O56"/>
  <c r="O170"/>
  <c r="O81"/>
  <c r="O156"/>
  <c r="O75"/>
  <c r="O202"/>
  <c r="O180"/>
  <c r="O112"/>
  <c r="O50"/>
  <c r="O153"/>
  <c r="O191"/>
  <c r="O152"/>
  <c r="O44"/>
  <c r="O105"/>
  <c r="O125"/>
  <c r="O98"/>
  <c r="O187"/>
  <c r="O139"/>
  <c r="O82"/>
  <c r="O183"/>
  <c r="O136"/>
  <c r="O198"/>
  <c r="O146"/>
  <c r="O143"/>
  <c r="O159"/>
  <c r="O61"/>
  <c r="O135"/>
  <c r="O71"/>
  <c r="O165"/>
  <c r="O126"/>
  <c r="O67"/>
  <c r="O84"/>
  <c r="O184"/>
  <c r="O42"/>
  <c r="O181"/>
  <c r="O192"/>
  <c r="O160"/>
  <c r="O157"/>
  <c r="O83"/>
  <c r="O62"/>
  <c r="O87"/>
  <c r="O40"/>
  <c r="O66"/>
  <c r="O194"/>
  <c r="O109"/>
  <c r="O78"/>
  <c r="O171"/>
  <c r="O111"/>
  <c r="O144"/>
  <c r="O185"/>
  <c r="O203"/>
  <c r="O131"/>
  <c r="O140"/>
  <c r="O166"/>
  <c r="O59"/>
  <c r="O72"/>
  <c r="O197"/>
  <c r="O189"/>
  <c r="O175"/>
  <c r="O114"/>
  <c r="O190"/>
  <c r="O77"/>
  <c r="O164"/>
  <c r="O52"/>
  <c r="O119"/>
  <c r="O133"/>
  <c r="O70"/>
  <c r="O149"/>
  <c r="O199"/>
  <c r="O47"/>
  <c r="O49"/>
  <c r="O69"/>
  <c r="O96"/>
  <c r="O101"/>
  <c r="O158"/>
  <c r="O37"/>
  <c r="O132"/>
  <c r="O43"/>
  <c r="O58"/>
  <c r="O116"/>
  <c r="O162"/>
  <c r="O138"/>
  <c r="O54"/>
  <c r="O173"/>
  <c r="O95"/>
  <c r="O76"/>
  <c r="O195"/>
  <c r="O51"/>
  <c r="O193"/>
  <c r="O142"/>
  <c r="O177"/>
  <c r="O151"/>
  <c r="O122"/>
  <c r="AR170" i="15"/>
  <c r="Q169" i="11" s="1"/>
  <c r="AR39" i="15"/>
  <c r="Q38" i="11" s="1"/>
  <c r="JO146" i="9"/>
  <c r="JO189"/>
  <c r="JO163"/>
  <c r="JN52"/>
  <c r="JX52" s="1"/>
  <c r="AP190" i="15"/>
  <c r="AR55"/>
  <c r="Q54" i="11" s="1"/>
  <c r="AR187" i="15"/>
  <c r="Q186" i="11" s="1"/>
  <c r="AR167" i="15"/>
  <c r="Q166" i="11" s="1"/>
  <c r="AR77" i="15"/>
  <c r="Q76" i="11" s="1"/>
  <c r="JN159" i="9"/>
  <c r="JZ159" s="1"/>
  <c r="AR153" i="15"/>
  <c r="Q152" i="11" s="1"/>
  <c r="AR118" i="15"/>
  <c r="Q117" i="11" s="1"/>
  <c r="AR43" i="15"/>
  <c r="Q42" i="11" s="1"/>
  <c r="AR59" i="15"/>
  <c r="Q58" i="11" s="1"/>
  <c r="AR65" i="15"/>
  <c r="Q64" i="11" s="1"/>
  <c r="AR95" i="15"/>
  <c r="Q94" i="11" s="1"/>
  <c r="AR101" i="15"/>
  <c r="Q100" i="11" s="1"/>
  <c r="AR169" i="15"/>
  <c r="Q168" i="11" s="1"/>
  <c r="AR131" i="15"/>
  <c r="Q130" i="11" s="1"/>
  <c r="AR104" i="15"/>
  <c r="Q103" i="11" s="1"/>
  <c r="AR158" i="15"/>
  <c r="Q157" i="11" s="1"/>
  <c r="AR86" i="15"/>
  <c r="Q85" i="11" s="1"/>
  <c r="AR189" i="15"/>
  <c r="Q188" i="11" s="1"/>
  <c r="AR179" i="15"/>
  <c r="Q178" i="11" s="1"/>
  <c r="AR168" i="15"/>
  <c r="Q167" i="11" s="1"/>
  <c r="AR52" i="15"/>
  <c r="Q51" i="11" s="1"/>
  <c r="AR62" i="15"/>
  <c r="Q61" i="11" s="1"/>
  <c r="AR71" i="15"/>
  <c r="Q70" i="11" s="1"/>
  <c r="AR79" i="15"/>
  <c r="Q78" i="11" s="1"/>
  <c r="AR125" i="15"/>
  <c r="Q124" i="11" s="1"/>
  <c r="AR201" i="15"/>
  <c r="Q200" i="11" s="1"/>
  <c r="AR134" i="15"/>
  <c r="Q133" i="11" s="1"/>
  <c r="AR112" i="15"/>
  <c r="Q111" i="11" s="1"/>
  <c r="AR61" i="15"/>
  <c r="Q60" i="11" s="1"/>
  <c r="AR110" i="15"/>
  <c r="Q109" i="11" s="1"/>
  <c r="AR106" i="15"/>
  <c r="Q105" i="11" s="1"/>
  <c r="AR180" i="15"/>
  <c r="Q179" i="11" s="1"/>
  <c r="AR196" i="15"/>
  <c r="Q195" i="11" s="1"/>
  <c r="AR103" i="15"/>
  <c r="Q102" i="11" s="1"/>
  <c r="AR204" i="15"/>
  <c r="Q203" i="11" s="1"/>
  <c r="AR175" i="15"/>
  <c r="Q174" i="11" s="1"/>
  <c r="AR89" i="15"/>
  <c r="Q88" i="11" s="1"/>
  <c r="AR199" i="15"/>
  <c r="Q198" i="11" s="1"/>
  <c r="AR117" i="15"/>
  <c r="Q116" i="11" s="1"/>
  <c r="AR157" i="15"/>
  <c r="Q156" i="11" s="1"/>
  <c r="AR141" i="15"/>
  <c r="Q140" i="11" s="1"/>
  <c r="JN129" i="9"/>
  <c r="JW129" s="1"/>
  <c r="AR127" i="15"/>
  <c r="Q126" i="11" s="1"/>
  <c r="JN126" i="9"/>
  <c r="JZ126" s="1"/>
  <c r="AR124" i="15"/>
  <c r="Q123" i="11" s="1"/>
  <c r="AR53" i="15"/>
  <c r="Q52" i="11" s="1"/>
  <c r="AR63" i="15"/>
  <c r="Q62" i="11" s="1"/>
  <c r="AR76" i="15"/>
  <c r="Q75" i="11" s="1"/>
  <c r="AR156" i="15"/>
  <c r="Q155" i="11" s="1"/>
  <c r="AR143" i="15"/>
  <c r="Q142" i="11" s="1"/>
  <c r="AR126" i="15"/>
  <c r="Q125" i="11" s="1"/>
  <c r="AR145" i="15"/>
  <c r="Q144" i="11" s="1"/>
  <c r="AR44" i="15"/>
  <c r="Q43" i="11" s="1"/>
  <c r="AR47" i="15"/>
  <c r="Q46" i="11" s="1"/>
  <c r="AR70" i="15"/>
  <c r="Q69" i="11" s="1"/>
  <c r="AR128" i="15"/>
  <c r="Q127" i="11" s="1"/>
  <c r="AR165" i="15"/>
  <c r="Q164" i="11" s="1"/>
  <c r="AR38" i="15"/>
  <c r="Q37" i="11" s="1"/>
  <c r="AR78" i="15"/>
  <c r="Q77" i="11" s="1"/>
  <c r="AR74" i="15"/>
  <c r="Q73" i="11" s="1"/>
  <c r="AR91" i="15"/>
  <c r="Q90" i="11" s="1"/>
  <c r="AR161" i="15"/>
  <c r="Q160" i="11" s="1"/>
  <c r="AR83" i="15"/>
  <c r="Q82" i="11" s="1"/>
  <c r="AR111" i="15"/>
  <c r="Q110" i="11" s="1"/>
  <c r="AR181" i="15"/>
  <c r="Q180" i="11" s="1"/>
  <c r="AR84" i="15"/>
  <c r="Q83" i="11" s="1"/>
  <c r="AR177" i="15"/>
  <c r="Q176" i="11" s="1"/>
  <c r="AR93" i="15"/>
  <c r="Q92" i="11" s="1"/>
  <c r="AR102" i="15"/>
  <c r="Q101" i="11" s="1"/>
  <c r="AR176" i="15"/>
  <c r="Q175" i="11" s="1"/>
  <c r="JN141" i="9"/>
  <c r="AR139" i="15"/>
  <c r="Q138" i="11" s="1"/>
  <c r="AP113" i="15"/>
  <c r="AR113"/>
  <c r="Q112" i="11" s="1"/>
  <c r="AR130" i="15"/>
  <c r="Q129" i="11" s="1"/>
  <c r="AR174" i="15"/>
  <c r="Q173" i="11" s="1"/>
  <c r="AR182" i="15"/>
  <c r="Q181" i="11" s="1"/>
  <c r="AR151" i="15"/>
  <c r="Q150" i="11" s="1"/>
  <c r="AR75" i="15"/>
  <c r="Q74" i="11" s="1"/>
  <c r="AR193" i="15"/>
  <c r="Q192" i="11" s="1"/>
  <c r="AR155" i="15"/>
  <c r="Q154" i="11" s="1"/>
  <c r="AR100" i="15"/>
  <c r="Q99" i="11" s="1"/>
  <c r="AR191" i="15"/>
  <c r="Q190" i="11" s="1"/>
  <c r="AR197" i="15"/>
  <c r="Q196" i="11" s="1"/>
  <c r="AR97" i="15"/>
  <c r="Q96" i="11" s="1"/>
  <c r="AR58" i="15"/>
  <c r="Q57" i="11" s="1"/>
  <c r="AR46" i="15"/>
  <c r="Q45" i="11" s="1"/>
  <c r="AR114" i="15"/>
  <c r="Q113" i="11" s="1"/>
  <c r="AR138" i="15"/>
  <c r="Q137" i="11" s="1"/>
  <c r="AR73" i="15"/>
  <c r="Q72" i="11" s="1"/>
  <c r="AR109" i="15"/>
  <c r="Q108" i="11" s="1"/>
  <c r="AR54" i="15"/>
  <c r="Q53" i="11" s="1"/>
  <c r="AR41" i="15"/>
  <c r="Q40" i="11" s="1"/>
  <c r="AR162" i="15"/>
  <c r="Q161" i="11" s="1"/>
  <c r="AR90" i="15"/>
  <c r="Q89" i="11" s="1"/>
  <c r="AR116" i="15"/>
  <c r="Q115" i="11" s="1"/>
  <c r="AR49" i="15"/>
  <c r="Q48" i="11" s="1"/>
  <c r="AR144" i="15"/>
  <c r="Q143" i="11" s="1"/>
  <c r="AR120" i="15"/>
  <c r="Q119" i="11" s="1"/>
  <c r="AR147" i="15"/>
  <c r="Q146" i="11" s="1"/>
  <c r="AR64" i="15"/>
  <c r="Q63" i="11" s="1"/>
  <c r="AR185" i="15"/>
  <c r="Q184" i="11" s="1"/>
  <c r="AR148" i="15"/>
  <c r="Q147" i="11" s="1"/>
  <c r="JN42" i="9"/>
  <c r="JZ42" s="1"/>
  <c r="AR40" i="15"/>
  <c r="Q39" i="11" s="1"/>
  <c r="JN90" i="9"/>
  <c r="JS90" s="1"/>
  <c r="AR88" i="15"/>
  <c r="Q87" i="11" s="1"/>
  <c r="JN83" i="9"/>
  <c r="JQ83" s="1"/>
  <c r="AR81" i="15"/>
  <c r="Q80" i="11" s="1"/>
  <c r="AO129" i="15"/>
  <c r="AR129"/>
  <c r="Q128" i="11" s="1"/>
  <c r="AO115" i="15"/>
  <c r="AR115"/>
  <c r="Q114" i="11" s="1"/>
  <c r="AP163" i="15"/>
  <c r="AR163"/>
  <c r="Q162" i="11" s="1"/>
  <c r="AR87" i="15"/>
  <c r="Q86" i="11" s="1"/>
  <c r="AR195" i="15"/>
  <c r="Q194" i="11" s="1"/>
  <c r="AR142" i="15"/>
  <c r="Q141" i="11" s="1"/>
  <c r="AR69" i="15"/>
  <c r="Q68" i="11" s="1"/>
  <c r="AR108" i="15"/>
  <c r="Q107" i="11" s="1"/>
  <c r="AR132" i="15"/>
  <c r="Q131" i="11" s="1"/>
  <c r="AR85" i="15"/>
  <c r="Q84" i="11" s="1"/>
  <c r="AR107" i="15"/>
  <c r="Q106" i="11" s="1"/>
  <c r="AR160" i="15"/>
  <c r="Q159" i="11" s="1"/>
  <c r="AR99" i="15"/>
  <c r="Q98" i="11" s="1"/>
  <c r="AR66" i="15"/>
  <c r="Q65" i="11" s="1"/>
  <c r="AR72" i="15"/>
  <c r="Q71" i="11" s="1"/>
  <c r="AR80" i="15"/>
  <c r="Q79" i="11" s="1"/>
  <c r="AR198" i="15"/>
  <c r="Q197" i="11" s="1"/>
  <c r="AR192" i="15"/>
  <c r="Q191" i="11" s="1"/>
  <c r="AR50" i="15"/>
  <c r="Q49" i="11" s="1"/>
  <c r="AR68" i="15"/>
  <c r="Q67" i="11" s="1"/>
  <c r="AR136" i="15"/>
  <c r="Q135" i="11" s="1"/>
  <c r="AR96" i="15"/>
  <c r="Q95" i="11" s="1"/>
  <c r="AR171" i="15"/>
  <c r="Q170" i="11" s="1"/>
  <c r="AR202" i="15"/>
  <c r="Q201" i="11" s="1"/>
  <c r="AR133" i="15"/>
  <c r="Q132" i="11" s="1"/>
  <c r="AR200" i="15"/>
  <c r="Q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O74"/>
  <c r="JN128"/>
  <c r="JT128" s="1"/>
  <c r="JN110"/>
  <c r="JW110" s="1"/>
  <c r="JN87"/>
  <c r="AP162" i="15"/>
  <c r="JO153" i="9"/>
  <c r="AP54" i="15"/>
  <c r="JN197" i="9"/>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W119"/>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Z128"/>
  <c r="JX128"/>
  <c r="JZ101"/>
  <c r="JW101"/>
  <c r="JS165"/>
  <c r="JZ165"/>
  <c r="JX165"/>
  <c r="JW165"/>
  <c r="JV165"/>
  <c r="JZ194"/>
  <c r="JX194"/>
  <c r="JW194"/>
  <c r="JV194"/>
  <c r="JX115"/>
  <c r="JW115"/>
  <c r="JT188"/>
  <c r="JZ188"/>
  <c r="JX188"/>
  <c r="JW188"/>
  <c r="JV188"/>
  <c r="JZ93"/>
  <c r="JX93"/>
  <c r="JW93"/>
  <c r="JV93"/>
  <c r="JY174"/>
  <c r="KA174" s="1"/>
  <c r="JZ174"/>
  <c r="JX174"/>
  <c r="JW174"/>
  <c r="JV174"/>
  <c r="JZ87"/>
  <c r="JX87"/>
  <c r="JW87"/>
  <c r="JV87"/>
  <c r="JZ116"/>
  <c r="JV116"/>
  <c r="JZ129"/>
  <c r="JV129"/>
  <c r="JZ84"/>
  <c r="JX84"/>
  <c r="JW84"/>
  <c r="JV84"/>
  <c r="JV58"/>
  <c r="JZ190"/>
  <c r="JX190"/>
  <c r="JW190"/>
  <c r="JV190"/>
  <c r="JZ131"/>
  <c r="JX131"/>
  <c r="JW131"/>
  <c r="JV131"/>
  <c r="JZ117"/>
  <c r="JX117"/>
  <c r="JW117"/>
  <c r="JV117"/>
  <c r="JW70"/>
  <c r="JZ121"/>
  <c r="JX121"/>
  <c r="JW121"/>
  <c r="JV121"/>
  <c r="JV132"/>
  <c r="JZ52"/>
  <c r="JW52"/>
  <c r="JV5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X141"/>
  <c r="JW141"/>
  <c r="JV141"/>
  <c r="JZ197"/>
  <c r="JX197"/>
  <c r="JW197"/>
  <c r="JV197"/>
  <c r="JZ182"/>
  <c r="JX182"/>
  <c r="JZ175"/>
  <c r="JX175"/>
  <c r="JW175"/>
  <c r="JV175"/>
  <c r="JZ49"/>
  <c r="JX159"/>
  <c r="JW159"/>
  <c r="JV159"/>
  <c r="JX42"/>
  <c r="JY192"/>
  <c r="KA192" s="1"/>
  <c r="JZ192"/>
  <c r="JX192"/>
  <c r="JW192"/>
  <c r="JV192"/>
  <c r="JY193"/>
  <c r="KA193" s="1"/>
  <c r="JZ193"/>
  <c r="JX193"/>
  <c r="JW193"/>
  <c r="JV193"/>
  <c r="JZ44"/>
  <c r="JX44"/>
  <c r="JW44"/>
  <c r="JV44"/>
  <c r="JZ176"/>
  <c r="JX176"/>
  <c r="JW176"/>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Z90"/>
  <c r="JX90"/>
  <c r="JY89"/>
  <c r="KA89" s="1"/>
  <c r="JZ89"/>
  <c r="JX89"/>
  <c r="JW89"/>
  <c r="JV89"/>
  <c r="JZ201"/>
  <c r="JW201"/>
  <c r="JZ54"/>
  <c r="JW54"/>
  <c r="JV54"/>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T115"/>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Y115"/>
  <c r="KA115" s="1"/>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Y54"/>
  <c r="KA54" s="1"/>
  <c r="JU54"/>
  <c r="JR54"/>
  <c r="JY202"/>
  <c r="KA202" s="1"/>
  <c r="JS202"/>
  <c r="JU202"/>
  <c r="JR202"/>
  <c r="JT63"/>
  <c r="JQ63"/>
  <c r="JY63"/>
  <c r="KA63" s="1"/>
  <c r="JR63"/>
  <c r="JN142"/>
  <c r="JN41"/>
  <c r="JQ98"/>
  <c r="JT90"/>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U115"/>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R128"/>
  <c r="JU156"/>
  <c r="JU84"/>
  <c r="JT124"/>
  <c r="JQ124"/>
  <c r="JY124"/>
  <c r="KA124" s="1"/>
  <c r="JQ156"/>
  <c r="JS140"/>
  <c r="JT84"/>
  <c r="JU91"/>
  <c r="JY44"/>
  <c r="KA44" s="1"/>
  <c r="JS192"/>
  <c r="JS156"/>
  <c r="JR141"/>
  <c r="JR64"/>
  <c r="JQ192"/>
  <c r="JR84"/>
  <c r="JR44"/>
  <c r="JY84"/>
  <c r="KA84" s="1"/>
  <c r="JS91"/>
  <c r="JY64"/>
  <c r="KA64" s="1"/>
  <c r="JU192"/>
  <c r="JT192"/>
  <c r="JQ84"/>
  <c r="JT91"/>
  <c r="JY91"/>
  <c r="KA91" s="1"/>
  <c r="JU44"/>
  <c r="JQ128"/>
  <c r="JY128"/>
  <c r="KA128" s="1"/>
  <c r="JU64"/>
  <c r="JU140"/>
  <c r="JU141"/>
  <c r="JR192"/>
  <c r="JS84"/>
  <c r="JR91"/>
  <c r="JT44"/>
  <c r="JS128"/>
  <c r="JT64"/>
  <c r="JY141"/>
  <c r="KA141" s="1"/>
  <c r="JS44"/>
  <c r="JS64"/>
  <c r="JY140"/>
  <c r="KA140" s="1"/>
  <c r="JT141"/>
  <c r="JS141"/>
  <c r="JQ44"/>
  <c r="JQ64"/>
  <c r="JR140"/>
  <c r="JQ141"/>
  <c r="JS124"/>
  <c r="JR156"/>
  <c r="JU128"/>
  <c r="JT108"/>
  <c r="JT140"/>
  <c r="JQ140"/>
  <c r="JR87"/>
  <c r="JT132"/>
  <c r="JT193"/>
  <c r="JT176"/>
  <c r="JU88"/>
  <c r="JU52"/>
  <c r="JU152"/>
  <c r="JT205"/>
  <c r="JR132"/>
  <c r="JR88"/>
  <c r="JT52"/>
  <c r="JR152"/>
  <c r="JS205"/>
  <c r="JU108"/>
  <c r="JR191"/>
  <c r="JY132"/>
  <c r="KA132" s="1"/>
  <c r="JY88"/>
  <c r="KA88" s="1"/>
  <c r="JS193"/>
  <c r="JY152"/>
  <c r="KA152" s="1"/>
  <c r="JQ87"/>
  <c r="JQ132"/>
  <c r="JQ88"/>
  <c r="JR52"/>
  <c r="JQ193"/>
  <c r="JQ152"/>
  <c r="JQ205"/>
  <c r="JT87"/>
  <c r="JT160"/>
  <c r="JY108"/>
  <c r="KA108" s="1"/>
  <c r="JS132"/>
  <c r="JS88"/>
  <c r="JY52"/>
  <c r="KA52" s="1"/>
  <c r="JS152"/>
  <c r="JY87"/>
  <c r="KA87" s="1"/>
  <c r="JR108"/>
  <c r="JU176"/>
  <c r="JQ101"/>
  <c r="JQ191"/>
  <c r="JS52"/>
  <c r="JR193"/>
  <c r="JR205"/>
  <c r="JU87"/>
  <c r="JY160"/>
  <c r="KA160" s="1"/>
  <c r="JS108"/>
  <c r="JR176"/>
  <c r="JY191"/>
  <c r="KA191" s="1"/>
  <c r="JQ52"/>
  <c r="JU193"/>
  <c r="JU205"/>
  <c r="JS87"/>
  <c r="JR160"/>
  <c r="JQ108"/>
  <c r="JY176"/>
  <c r="KA176" s="1"/>
  <c r="JT191"/>
  <c r="JS176"/>
  <c r="JR101"/>
  <c r="JU191"/>
  <c r="JQ176"/>
  <c r="JY101"/>
  <c r="KA101" s="1"/>
  <c r="JS191"/>
  <c r="JT101"/>
  <c r="JY180"/>
  <c r="KA180" s="1"/>
  <c r="JT180"/>
  <c r="JS180"/>
  <c r="JR180"/>
  <c r="JQ180"/>
  <c r="JU180"/>
  <c r="JY119"/>
  <c r="KA119" s="1"/>
  <c r="JQ119"/>
  <c r="JU119"/>
  <c r="JT119"/>
  <c r="JS119"/>
  <c r="JR119"/>
  <c r="JR182"/>
  <c r="JQ182"/>
  <c r="JU182"/>
  <c r="JS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Y94"/>
  <c r="KA94" s="1"/>
  <c r="JQ94"/>
  <c r="JU94"/>
  <c r="JT94"/>
  <c r="JY184"/>
  <c r="KA184" s="1"/>
  <c r="JQ184"/>
  <c r="JY50"/>
  <c r="KA50" s="1"/>
  <c r="JR50"/>
  <c r="JQ50"/>
  <c r="JU50"/>
  <c r="JT50"/>
  <c r="JS50"/>
  <c r="JY159"/>
  <c r="KA159" s="1"/>
  <c r="JQ159"/>
  <c r="JU159"/>
  <c r="JT159"/>
  <c r="JS159"/>
  <c r="JR159"/>
  <c r="JY129"/>
  <c r="KA129" s="1"/>
  <c r="JS129"/>
  <c r="JR129"/>
  <c r="JQ129"/>
  <c r="JU129"/>
  <c r="JT129"/>
  <c r="JY58"/>
  <c r="KA58" s="1"/>
  <c r="JR58"/>
  <c r="JQ58"/>
  <c r="JT58"/>
  <c r="JS58"/>
  <c r="JY197"/>
  <c r="KA197" s="1"/>
  <c r="JS197"/>
  <c r="JR197"/>
  <c r="JQ197"/>
  <c r="JU197"/>
  <c r="JT197"/>
  <c r="JY204"/>
  <c r="KA204" s="1"/>
  <c r="JT204"/>
  <c r="JS204"/>
  <c r="JR204"/>
  <c r="JQ204"/>
  <c r="JU204"/>
  <c r="JY116"/>
  <c r="KA116" s="1"/>
  <c r="JT116"/>
  <c r="JS116"/>
  <c r="JR116"/>
  <c r="JQ116"/>
  <c r="JU116"/>
  <c r="JY117"/>
  <c r="KA117" s="1"/>
  <c r="JS117"/>
  <c r="JR117"/>
  <c r="JQ117"/>
  <c r="JU117"/>
  <c r="JT117"/>
  <c r="JY49"/>
  <c r="KA49" s="1"/>
  <c r="JS49"/>
  <c r="JR49"/>
  <c r="JQ49"/>
  <c r="JU49"/>
  <c r="JT49"/>
  <c r="JY70"/>
  <c r="KA70" s="1"/>
  <c r="JR70"/>
  <c r="JQ70"/>
  <c r="JU70"/>
  <c r="JT70"/>
  <c r="JS70"/>
  <c r="JH6"/>
  <c r="JG6"/>
  <c r="JV164" l="1"/>
  <c r="JV201"/>
  <c r="JV90"/>
  <c r="JX132"/>
  <c r="JV101"/>
  <c r="JV110"/>
  <c r="JY90"/>
  <c r="KA90" s="1"/>
  <c r="JW132"/>
  <c r="JS101"/>
  <c r="JV78"/>
  <c r="JW42"/>
  <c r="JX49"/>
  <c r="JV70"/>
  <c r="JV119"/>
  <c r="JR83"/>
  <c r="JY83"/>
  <c r="KA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JU90"/>
  <c r="JZ160"/>
  <c r="JR90"/>
  <c r="HZ204"/>
  <c r="IA204"/>
  <c r="R201" i="11" s="1"/>
  <c r="IA58" i="9"/>
  <c r="R55" i="11" s="1"/>
  <c r="HZ58" i="9"/>
  <c r="IA159"/>
  <c r="R156" i="11" s="1"/>
  <c r="HZ159" i="9"/>
  <c r="IA42"/>
  <c r="R39" i="11" s="1"/>
  <c r="HZ42" i="9"/>
  <c r="IA206"/>
  <c r="R203" i="11" s="1"/>
  <c r="HZ206" i="9"/>
  <c r="IA131"/>
  <c r="R128" i="11" s="1"/>
  <c r="HZ131" i="9"/>
  <c r="HZ160"/>
  <c r="IA160"/>
  <c r="R157" i="11" s="1"/>
  <c r="HZ152" i="9"/>
  <c r="IA152"/>
  <c r="R149" i="11" s="1"/>
  <c r="IA70" i="9"/>
  <c r="R67" i="11" s="1"/>
  <c r="HZ70" i="9"/>
  <c r="IA117"/>
  <c r="R114" i="11" s="1"/>
  <c r="HZ117" i="9"/>
  <c r="IA146"/>
  <c r="R143" i="11" s="1"/>
  <c r="HZ146" i="9"/>
  <c r="HZ182"/>
  <c r="IA101"/>
  <c r="R98" i="11" s="1"/>
  <c r="HZ101" i="9"/>
  <c r="HZ52"/>
  <c r="IA52"/>
  <c r="R49" i="11" s="1"/>
  <c r="HZ132" i="9"/>
  <c r="IA132"/>
  <c r="R129" i="11" s="1"/>
  <c r="HZ140" i="9"/>
  <c r="IA140"/>
  <c r="R137" i="11" s="1"/>
  <c r="IA91" i="9"/>
  <c r="R88" i="11" s="1"/>
  <c r="HZ91" i="9"/>
  <c r="HZ124"/>
  <c r="IA124"/>
  <c r="R121" i="11" s="1"/>
  <c r="IA126" i="9"/>
  <c r="R123" i="11" s="1"/>
  <c r="HZ126" i="9"/>
  <c r="IA151"/>
  <c r="R148" i="11" s="1"/>
  <c r="HZ151" i="9"/>
  <c r="HZ60"/>
  <c r="IA60"/>
  <c r="R57" i="11" s="1"/>
  <c r="IA157" i="9"/>
  <c r="R154" i="11" s="1"/>
  <c r="HZ157" i="9"/>
  <c r="IA197"/>
  <c r="R194" i="11" s="1"/>
  <c r="HZ197" i="9"/>
  <c r="IA94"/>
  <c r="R91" i="11" s="1"/>
  <c r="HZ94" i="9"/>
  <c r="IA190"/>
  <c r="R187" i="11" s="1"/>
  <c r="HZ190" i="9"/>
  <c r="HZ133"/>
  <c r="HZ108"/>
  <c r="IA108"/>
  <c r="R105" i="11" s="1"/>
  <c r="HZ88" i="9"/>
  <c r="IA88"/>
  <c r="R85" i="11" s="1"/>
  <c r="IA141" i="9"/>
  <c r="R138" i="11" s="1"/>
  <c r="HZ141" i="9"/>
  <c r="HZ84"/>
  <c r="IA84"/>
  <c r="R81" i="11" s="1"/>
  <c r="HZ44" i="9"/>
  <c r="IA44"/>
  <c r="R41" i="11" s="1"/>
  <c r="IA194" i="9"/>
  <c r="R191" i="11" s="1"/>
  <c r="HZ194" i="9"/>
  <c r="IA143"/>
  <c r="R140" i="11" s="1"/>
  <c r="HZ143" i="9"/>
  <c r="IA139"/>
  <c r="R136" i="11" s="1"/>
  <c r="HZ139" i="9"/>
  <c r="IA98"/>
  <c r="R95" i="11" s="1"/>
  <c r="HZ98" i="9"/>
  <c r="IA202"/>
  <c r="R199" i="11" s="1"/>
  <c r="HZ202" i="9"/>
  <c r="IA54"/>
  <c r="R51" i="11" s="1"/>
  <c r="HZ54" i="9"/>
  <c r="IA109"/>
  <c r="R106" i="11" s="1"/>
  <c r="HZ109" i="9"/>
  <c r="IA163"/>
  <c r="R160" i="11" s="1"/>
  <c r="HZ163" i="9"/>
  <c r="IA111"/>
  <c r="R108" i="11" s="1"/>
  <c r="HZ111" i="9"/>
  <c r="HZ192"/>
  <c r="IA192"/>
  <c r="R189" i="11" s="1"/>
  <c r="IA205" i="9"/>
  <c r="R202" i="11" s="1"/>
  <c r="HZ205" i="9"/>
  <c r="IA83"/>
  <c r="R80" i="11" s="1"/>
  <c r="HZ83" i="9"/>
  <c r="IA129"/>
  <c r="R126" i="11" s="1"/>
  <c r="HZ129" i="9"/>
  <c r="IA50"/>
  <c r="R47" i="11" s="1"/>
  <c r="HZ50" i="9"/>
  <c r="IA121"/>
  <c r="R118" i="11" s="1"/>
  <c r="HZ121" i="9"/>
  <c r="IA175"/>
  <c r="R172" i="11" s="1"/>
  <c r="HZ175" i="9"/>
  <c r="HZ92"/>
  <c r="IA92"/>
  <c r="R89" i="11" s="1"/>
  <c r="IA125" i="9"/>
  <c r="R122" i="11" s="1"/>
  <c r="HZ125" i="9"/>
  <c r="HZ176"/>
  <c r="IA176"/>
  <c r="R173" i="11" s="1"/>
  <c r="IA43" i="9"/>
  <c r="R40" i="11" s="1"/>
  <c r="HZ43" i="9"/>
  <c r="IA49"/>
  <c r="R46" i="11" s="1"/>
  <c r="HZ49" i="9"/>
  <c r="HZ116"/>
  <c r="IA116"/>
  <c r="R113" i="11" s="1"/>
  <c r="IA110" i="9"/>
  <c r="R107" i="11" s="1"/>
  <c r="HZ110" i="9"/>
  <c r="IA78"/>
  <c r="R75" i="11" s="1"/>
  <c r="HZ78" i="9"/>
  <c r="IA119"/>
  <c r="R116" i="11" s="1"/>
  <c r="HZ119" i="9"/>
  <c r="IA191"/>
  <c r="R188" i="11" s="1"/>
  <c r="HZ191" i="9"/>
  <c r="IA87"/>
  <c r="R84" i="11" s="1"/>
  <c r="HZ87" i="9"/>
  <c r="IA189"/>
  <c r="R186" i="11" s="1"/>
  <c r="HZ189" i="9"/>
  <c r="IA135"/>
  <c r="R132" i="11" s="1"/>
  <c r="HZ135" i="9"/>
  <c r="IA195"/>
  <c r="R192" i="11" s="1"/>
  <c r="HZ195" i="9"/>
  <c r="IA107"/>
  <c r="R104" i="11" s="1"/>
  <c r="HZ107" i="9"/>
  <c r="IA115"/>
  <c r="R112" i="11" s="1"/>
  <c r="HZ115" i="9"/>
  <c r="HZ172"/>
  <c r="IA172"/>
  <c r="R169" i="11" s="1"/>
  <c r="IA90" i="9"/>
  <c r="R87" i="11" s="1"/>
  <c r="HZ90" i="9"/>
  <c r="IA193"/>
  <c r="R190" i="11" s="1"/>
  <c r="HZ193" i="9"/>
  <c r="HZ156"/>
  <c r="IA156"/>
  <c r="R153" i="11" s="1"/>
  <c r="HZ188" i="9"/>
  <c r="IA188"/>
  <c r="R185" i="11" s="1"/>
  <c r="HZ184" i="9"/>
  <c r="IA184"/>
  <c r="R181" i="11" s="1"/>
  <c r="IA73" i="9"/>
  <c r="R70" i="11" s="1"/>
  <c r="HZ73" i="9"/>
  <c r="IA114"/>
  <c r="R111" i="11" s="1"/>
  <c r="HZ114" i="9"/>
  <c r="IA201"/>
  <c r="R198" i="11" s="1"/>
  <c r="HZ201" i="9"/>
  <c r="HZ180"/>
  <c r="IA180"/>
  <c r="R177" i="11" s="1"/>
  <c r="HZ128" i="9"/>
  <c r="IA128"/>
  <c r="R125" i="11" s="1"/>
  <c r="HZ64" i="9"/>
  <c r="IA64"/>
  <c r="R61" i="11" s="1"/>
  <c r="IA165" i="9"/>
  <c r="R162" i="11" s="1"/>
  <c r="HZ165" i="9"/>
  <c r="IA69"/>
  <c r="R66" i="11" s="1"/>
  <c r="HZ69" i="9"/>
  <c r="IA93"/>
  <c r="R90" i="11" s="1"/>
  <c r="HZ93" i="9"/>
  <c r="IA63"/>
  <c r="R60" i="11" s="1"/>
  <c r="HZ63" i="9"/>
  <c r="IA203"/>
  <c r="R200" i="11" s="1"/>
  <c r="HZ203" i="9"/>
  <c r="IA62"/>
  <c r="R59" i="11" s="1"/>
  <c r="HZ62" i="9"/>
  <c r="IA89"/>
  <c r="R86" i="11" s="1"/>
  <c r="HZ89" i="9"/>
  <c r="IA174"/>
  <c r="R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46"/>
  <c r="IB116"/>
  <c r="IB204"/>
  <c r="IB159"/>
  <c r="IB184"/>
  <c r="IB163"/>
  <c r="IB195"/>
  <c r="IB119"/>
  <c r="IB180"/>
  <c r="IB189"/>
  <c r="IB157"/>
  <c r="IB197"/>
  <c r="IB175"/>
  <c r="JA6"/>
  <c r="IZ6"/>
  <c r="D4" i="12"/>
  <c r="C4"/>
  <c r="B4"/>
  <c r="A4"/>
  <c r="F4"/>
  <c r="E4"/>
  <c r="G4"/>
  <c r="BY206" i="11"/>
  <c r="BX206"/>
  <c r="BW206"/>
  <c r="BV206"/>
  <c r="BU206"/>
  <c r="BT206"/>
  <c r="BS206"/>
  <c r="BR206"/>
  <c r="BQ206"/>
  <c r="BP206"/>
  <c r="BO206"/>
  <c r="BN206"/>
  <c r="BN205"/>
  <c r="BM3"/>
  <c r="R179" l="1"/>
  <c r="BT179" s="1"/>
  <c r="IB182" i="9"/>
  <c r="IB203"/>
  <c r="IB165"/>
  <c r="IB193"/>
  <c r="IB107"/>
  <c r="IB110"/>
  <c r="IB121"/>
  <c r="IB129"/>
  <c r="IB205"/>
  <c r="IB111"/>
  <c r="IB202"/>
  <c r="IB194"/>
  <c r="IB131"/>
  <c r="IB128"/>
  <c r="IB117"/>
  <c r="IB172"/>
  <c r="IB151"/>
  <c r="R130" i="11"/>
  <c r="IB133" i="9"/>
  <c r="BU128" i="11"/>
  <c r="BY128"/>
  <c r="BQ128"/>
  <c r="BX128"/>
  <c r="BW128"/>
  <c r="BV128"/>
  <c r="BT128"/>
  <c r="BS128"/>
  <c r="BR128"/>
  <c r="BP128"/>
  <c r="BO128"/>
  <c r="BN128"/>
  <c r="BO104"/>
  <c r="BN104"/>
  <c r="BY104"/>
  <c r="BX104"/>
  <c r="BQ104"/>
  <c r="BU104"/>
  <c r="BT104"/>
  <c r="BW104"/>
  <c r="BV104"/>
  <c r="BP104"/>
  <c r="BS104"/>
  <c r="BR104"/>
  <c r="BY126"/>
  <c r="BQ126"/>
  <c r="BX126"/>
  <c r="BW126"/>
  <c r="BT126"/>
  <c r="BS126"/>
  <c r="BP126"/>
  <c r="BV126"/>
  <c r="BR126"/>
  <c r="BN126"/>
  <c r="BO126"/>
  <c r="BU126"/>
  <c r="BY154"/>
  <c r="BU154"/>
  <c r="BQ154"/>
  <c r="BX154"/>
  <c r="BW154"/>
  <c r="BV154"/>
  <c r="BT154"/>
  <c r="BS154"/>
  <c r="BR154"/>
  <c r="BP154"/>
  <c r="BO154"/>
  <c r="BN154"/>
  <c r="BX186"/>
  <c r="BW186"/>
  <c r="BV186"/>
  <c r="BT186"/>
  <c r="BS186"/>
  <c r="BR186"/>
  <c r="BP186"/>
  <c r="BO186"/>
  <c r="BN186"/>
  <c r="BY186"/>
  <c r="BQ186"/>
  <c r="BU186"/>
  <c r="BX116"/>
  <c r="BW116"/>
  <c r="BV116"/>
  <c r="BT116"/>
  <c r="BS116"/>
  <c r="BR116"/>
  <c r="BP116"/>
  <c r="BO116"/>
  <c r="BN116"/>
  <c r="BY116"/>
  <c r="BU116"/>
  <c r="BQ116"/>
  <c r="BQ160"/>
  <c r="BU160"/>
  <c r="BY160"/>
  <c r="BX160"/>
  <c r="BW160"/>
  <c r="BV160"/>
  <c r="BT160"/>
  <c r="BS160"/>
  <c r="BR160"/>
  <c r="BP160"/>
  <c r="BO160"/>
  <c r="BN160"/>
  <c r="BX156"/>
  <c r="BW156"/>
  <c r="BV156"/>
  <c r="BT156"/>
  <c r="BS156"/>
  <c r="BR156"/>
  <c r="BP156"/>
  <c r="BO156"/>
  <c r="BN156"/>
  <c r="BQ156"/>
  <c r="BY156"/>
  <c r="BU156"/>
  <c r="BO201"/>
  <c r="BN201"/>
  <c r="BY201"/>
  <c r="BX201"/>
  <c r="BU201"/>
  <c r="BQ201"/>
  <c r="BT201"/>
  <c r="BW201"/>
  <c r="BV201"/>
  <c r="BP201"/>
  <c r="BS201"/>
  <c r="BR201"/>
  <c r="BX179"/>
  <c r="BW179"/>
  <c r="BR179"/>
  <c r="BO107"/>
  <c r="BR107"/>
  <c r="BY107"/>
  <c r="BX107"/>
  <c r="BN107"/>
  <c r="BU107"/>
  <c r="BT107"/>
  <c r="BW107"/>
  <c r="BQ107"/>
  <c r="BP107"/>
  <c r="BS107"/>
  <c r="BV107"/>
  <c r="BO198"/>
  <c r="BR198"/>
  <c r="BY198"/>
  <c r="BX198"/>
  <c r="BN198"/>
  <c r="BU198"/>
  <c r="BT198"/>
  <c r="BW198"/>
  <c r="BQ198"/>
  <c r="BP198"/>
  <c r="BS198"/>
  <c r="BV198"/>
  <c r="BU111"/>
  <c r="BN111"/>
  <c r="BY111"/>
  <c r="BX111"/>
  <c r="BW111"/>
  <c r="BQ111"/>
  <c r="BT111"/>
  <c r="BS111"/>
  <c r="BV111"/>
  <c r="BP111"/>
  <c r="BO111"/>
  <c r="BR111"/>
  <c r="BX153"/>
  <c r="BW153"/>
  <c r="BV153"/>
  <c r="BT153"/>
  <c r="BS153"/>
  <c r="BR153"/>
  <c r="BP153"/>
  <c r="BO153"/>
  <c r="BN153"/>
  <c r="BU153"/>
  <c r="BQ153"/>
  <c r="BY153"/>
  <c r="BY185"/>
  <c r="BN185"/>
  <c r="BQ185"/>
  <c r="BX185"/>
  <c r="BW185"/>
  <c r="BU185"/>
  <c r="BT185"/>
  <c r="BS185"/>
  <c r="BV185"/>
  <c r="BP185"/>
  <c r="BO185"/>
  <c r="BR185"/>
  <c r="BY191"/>
  <c r="BU191"/>
  <c r="BQ191"/>
  <c r="BX191"/>
  <c r="BW191"/>
  <c r="BV191"/>
  <c r="BT191"/>
  <c r="BS191"/>
  <c r="BR191"/>
  <c r="BP191"/>
  <c r="BO191"/>
  <c r="BN191"/>
  <c r="BX199"/>
  <c r="BW199"/>
  <c r="BV199"/>
  <c r="BT199"/>
  <c r="BS199"/>
  <c r="BR199"/>
  <c r="BP199"/>
  <c r="BO199"/>
  <c r="BN199"/>
  <c r="BU199"/>
  <c r="BQ199"/>
  <c r="BY199"/>
  <c r="BX112"/>
  <c r="BW112"/>
  <c r="BY112"/>
  <c r="BT112"/>
  <c r="BS112"/>
  <c r="BV112"/>
  <c r="BP112"/>
  <c r="BO112"/>
  <c r="BR112"/>
  <c r="BU112"/>
  <c r="BN112"/>
  <c r="BQ112"/>
  <c r="BY140"/>
  <c r="BN140"/>
  <c r="BQ140"/>
  <c r="BX140"/>
  <c r="BW140"/>
  <c r="BU140"/>
  <c r="BT140"/>
  <c r="BS140"/>
  <c r="BV140"/>
  <c r="BP140"/>
  <c r="BO140"/>
  <c r="BR140"/>
  <c r="BX189"/>
  <c r="BW189"/>
  <c r="BU189"/>
  <c r="BT189"/>
  <c r="BS189"/>
  <c r="BV189"/>
  <c r="BP189"/>
  <c r="BO189"/>
  <c r="BR189"/>
  <c r="BY189"/>
  <c r="BN189"/>
  <c r="BQ189"/>
  <c r="BX171"/>
  <c r="BW171"/>
  <c r="BV171"/>
  <c r="BT171"/>
  <c r="BS171"/>
  <c r="BR171"/>
  <c r="BP171"/>
  <c r="BO171"/>
  <c r="BN171"/>
  <c r="BQ171"/>
  <c r="BY171"/>
  <c r="BU171"/>
  <c r="BX172"/>
  <c r="BW172"/>
  <c r="BY172"/>
  <c r="BT172"/>
  <c r="BS172"/>
  <c r="BV172"/>
  <c r="BP172"/>
  <c r="BO172"/>
  <c r="BR172"/>
  <c r="BU172"/>
  <c r="BN172"/>
  <c r="BQ172"/>
  <c r="BX130"/>
  <c r="BW130"/>
  <c r="BV130"/>
  <c r="BT130"/>
  <c r="BS130"/>
  <c r="BR130"/>
  <c r="BP130"/>
  <c r="BO130"/>
  <c r="BN130"/>
  <c r="BY130"/>
  <c r="BQ130"/>
  <c r="BU130"/>
  <c r="BQ194"/>
  <c r="BU194"/>
  <c r="BY194"/>
  <c r="BX194"/>
  <c r="BW194"/>
  <c r="BV194"/>
  <c r="BT194"/>
  <c r="BS194"/>
  <c r="BR194"/>
  <c r="BP194"/>
  <c r="BO194"/>
  <c r="BN194"/>
  <c r="BY114"/>
  <c r="BQ114"/>
  <c r="BU114"/>
  <c r="BX114"/>
  <c r="BW114"/>
  <c r="BV114"/>
  <c r="BT114"/>
  <c r="BS114"/>
  <c r="BR114"/>
  <c r="BP114"/>
  <c r="BO114"/>
  <c r="BN114"/>
  <c r="BO177"/>
  <c r="BN177"/>
  <c r="BU177"/>
  <c r="BX177"/>
  <c r="BQ177"/>
  <c r="BY177"/>
  <c r="BT177"/>
  <c r="BW177"/>
  <c r="BV177"/>
  <c r="BP177"/>
  <c r="BS177"/>
  <c r="BR177"/>
  <c r="BY192"/>
  <c r="BN192"/>
  <c r="BQ192"/>
  <c r="BX192"/>
  <c r="BW192"/>
  <c r="BU192"/>
  <c r="BT192"/>
  <c r="BS192"/>
  <c r="BV192"/>
  <c r="BP192"/>
  <c r="BO192"/>
  <c r="BR192"/>
  <c r="BY181"/>
  <c r="BQ181"/>
  <c r="BU181"/>
  <c r="BX181"/>
  <c r="BW181"/>
  <c r="BV181"/>
  <c r="BT181"/>
  <c r="BS181"/>
  <c r="BR181"/>
  <c r="BP181"/>
  <c r="BO181"/>
  <c r="BN181"/>
  <c r="BX169"/>
  <c r="BW169"/>
  <c r="BV169"/>
  <c r="BT169"/>
  <c r="BS169"/>
  <c r="BR169"/>
  <c r="BP169"/>
  <c r="BO169"/>
  <c r="BN169"/>
  <c r="BY169"/>
  <c r="BU169"/>
  <c r="BQ169"/>
  <c r="BY113"/>
  <c r="BN113"/>
  <c r="BQ113"/>
  <c r="BX113"/>
  <c r="BW113"/>
  <c r="BU113"/>
  <c r="BT113"/>
  <c r="BS113"/>
  <c r="BV113"/>
  <c r="BP113"/>
  <c r="BO113"/>
  <c r="BR113"/>
  <c r="BU143"/>
  <c r="BY143"/>
  <c r="BQ143"/>
  <c r="BX143"/>
  <c r="BW143"/>
  <c r="BV143"/>
  <c r="BT143"/>
  <c r="BS143"/>
  <c r="BR143"/>
  <c r="BP143"/>
  <c r="BO143"/>
  <c r="BN143"/>
  <c r="BY122"/>
  <c r="BQ122"/>
  <c r="BU122"/>
  <c r="BX122"/>
  <c r="BW122"/>
  <c r="BV122"/>
  <c r="BT122"/>
  <c r="BS122"/>
  <c r="BR122"/>
  <c r="BP122"/>
  <c r="BO122"/>
  <c r="BN122"/>
  <c r="BQ118"/>
  <c r="BN118"/>
  <c r="BY118"/>
  <c r="BX118"/>
  <c r="BW118"/>
  <c r="BU118"/>
  <c r="BT118"/>
  <c r="BS118"/>
  <c r="BV118"/>
  <c r="BP118"/>
  <c r="BO118"/>
  <c r="BR118"/>
  <c r="BX187"/>
  <c r="BU187"/>
  <c r="BQ187"/>
  <c r="BT187"/>
  <c r="BW187"/>
  <c r="BV187"/>
  <c r="BP187"/>
  <c r="BS187"/>
  <c r="BR187"/>
  <c r="BO187"/>
  <c r="BN187"/>
  <c r="BY187"/>
  <c r="BO105"/>
  <c r="BR105"/>
  <c r="BY105"/>
  <c r="BX105"/>
  <c r="BN105"/>
  <c r="BU105"/>
  <c r="BT105"/>
  <c r="BW105"/>
  <c r="BQ105"/>
  <c r="BP105"/>
  <c r="BS105"/>
  <c r="BV105"/>
  <c r="BX108"/>
  <c r="BN108"/>
  <c r="BU108"/>
  <c r="BT108"/>
  <c r="BW108"/>
  <c r="BQ108"/>
  <c r="BP108"/>
  <c r="BS108"/>
  <c r="BV108"/>
  <c r="BO108"/>
  <c r="BR108"/>
  <c r="BY108"/>
  <c r="BQ202"/>
  <c r="BY202"/>
  <c r="BU202"/>
  <c r="BX202"/>
  <c r="BW202"/>
  <c r="BV202"/>
  <c r="BT202"/>
  <c r="BS202"/>
  <c r="BR202"/>
  <c r="BP202"/>
  <c r="BO202"/>
  <c r="BN202"/>
  <c r="BY190"/>
  <c r="BQ190"/>
  <c r="BU190"/>
  <c r="BX190"/>
  <c r="BW190"/>
  <c r="BV190"/>
  <c r="BT190"/>
  <c r="BS190"/>
  <c r="BR190"/>
  <c r="BP190"/>
  <c r="BO190"/>
  <c r="BN190"/>
  <c r="IA95" i="9"/>
  <c r="R92" i="11" s="1"/>
  <c r="HZ95" i="9"/>
  <c r="IA186"/>
  <c r="R183" i="11" s="1"/>
  <c r="HZ186" i="9"/>
  <c r="HZ56"/>
  <c r="IA56"/>
  <c r="R53" i="11" s="1"/>
  <c r="HZ168" i="9"/>
  <c r="IA168"/>
  <c r="R165" i="11" s="1"/>
  <c r="IA147" i="9"/>
  <c r="R144" i="11" s="1"/>
  <c r="HZ147" i="9"/>
  <c r="IA99"/>
  <c r="R96" i="11" s="1"/>
  <c r="HZ99" i="9"/>
  <c r="HZ136"/>
  <c r="IA136"/>
  <c r="R133" i="11" s="1"/>
  <c r="IA45" i="9"/>
  <c r="R42" i="11" s="1"/>
  <c r="HZ45" i="9"/>
  <c r="HZ76"/>
  <c r="IA76"/>
  <c r="R73" i="11" s="1"/>
  <c r="IA74" i="9"/>
  <c r="R71" i="11" s="1"/>
  <c r="HZ74" i="9"/>
  <c r="IA53"/>
  <c r="R50" i="11" s="1"/>
  <c r="HZ53" i="9"/>
  <c r="IA65"/>
  <c r="R62" i="11" s="1"/>
  <c r="HZ65" i="9"/>
  <c r="HZ68"/>
  <c r="IA68"/>
  <c r="R65" i="11" s="1"/>
  <c r="HZ144" i="9"/>
  <c r="IA144"/>
  <c r="R141" i="11" s="1"/>
  <c r="HZ40" i="9"/>
  <c r="IA40"/>
  <c r="R37" i="11" s="1"/>
  <c r="IA47" i="9"/>
  <c r="R44" i="11" s="1"/>
  <c r="HZ47" i="9"/>
  <c r="IA155"/>
  <c r="R152" i="11" s="1"/>
  <c r="HZ155" i="9"/>
  <c r="IA67"/>
  <c r="R64" i="11" s="1"/>
  <c r="HZ67" i="9"/>
  <c r="HZ104"/>
  <c r="IA104"/>
  <c r="R101" i="11" s="1"/>
  <c r="IA154" i="9"/>
  <c r="R151" i="11" s="1"/>
  <c r="HZ154" i="9"/>
  <c r="IA79"/>
  <c r="R76" i="11" s="1"/>
  <c r="HZ79" i="9"/>
  <c r="IA81"/>
  <c r="R78" i="11" s="1"/>
  <c r="HZ81" i="9"/>
  <c r="IA162"/>
  <c r="R159" i="11" s="1"/>
  <c r="HZ162" i="9"/>
  <c r="IA75"/>
  <c r="R72" i="11" s="1"/>
  <c r="HZ75" i="9"/>
  <c r="IA41"/>
  <c r="R38" i="11" s="1"/>
  <c r="HZ41" i="9"/>
  <c r="IA46"/>
  <c r="R43" i="11" s="1"/>
  <c r="HZ46" i="9"/>
  <c r="IA199"/>
  <c r="R196" i="11" s="1"/>
  <c r="HZ199" i="9"/>
  <c r="IA103"/>
  <c r="R100" i="11" s="1"/>
  <c r="HZ103" i="9"/>
  <c r="HZ96"/>
  <c r="IA96"/>
  <c r="R93" i="11" s="1"/>
  <c r="HZ100" i="9"/>
  <c r="IA100"/>
  <c r="R97" i="11" s="1"/>
  <c r="HZ120" i="9"/>
  <c r="IA120"/>
  <c r="R117" i="11" s="1"/>
  <c r="IA169" i="9"/>
  <c r="R166" i="11" s="1"/>
  <c r="HZ169" i="9"/>
  <c r="HZ112"/>
  <c r="IA112"/>
  <c r="R109" i="11" s="1"/>
  <c r="IA185" i="9"/>
  <c r="R182" i="11" s="1"/>
  <c r="HZ185" i="9"/>
  <c r="IA198"/>
  <c r="R195" i="11" s="1"/>
  <c r="HZ198" i="9"/>
  <c r="IA183"/>
  <c r="R180" i="11" s="1"/>
  <c r="HZ183" i="9"/>
  <c r="IA179"/>
  <c r="R176" i="11" s="1"/>
  <c r="HZ179" i="9"/>
  <c r="IA158"/>
  <c r="R155" i="11" s="1"/>
  <c r="HZ158" i="9"/>
  <c r="IA177"/>
  <c r="R174" i="11" s="1"/>
  <c r="HZ177" i="9"/>
  <c r="IA149"/>
  <c r="R146" i="11" s="1"/>
  <c r="HZ149" i="9"/>
  <c r="IA66"/>
  <c r="R63" i="11" s="1"/>
  <c r="HZ66" i="9"/>
  <c r="HZ72"/>
  <c r="IA72"/>
  <c r="R69" i="11" s="1"/>
  <c r="IA178" i="9"/>
  <c r="R175" i="11" s="1"/>
  <c r="HZ178" i="9"/>
  <c r="IA170"/>
  <c r="R167" i="11" s="1"/>
  <c r="HZ170" i="9"/>
  <c r="HZ164"/>
  <c r="IA164"/>
  <c r="R161" i="11" s="1"/>
  <c r="IA181" i="9"/>
  <c r="R178" i="11" s="1"/>
  <c r="HZ181" i="9"/>
  <c r="IA86"/>
  <c r="R83" i="11" s="1"/>
  <c r="HZ86" i="9"/>
  <c r="IA166"/>
  <c r="R163" i="11" s="1"/>
  <c r="HZ166" i="9"/>
  <c r="IA55"/>
  <c r="R52" i="11" s="1"/>
  <c r="HZ55" i="9"/>
  <c r="IA134"/>
  <c r="R131" i="11" s="1"/>
  <c r="HZ134" i="9"/>
  <c r="IA173"/>
  <c r="R170" i="11" s="1"/>
  <c r="HZ173" i="9"/>
  <c r="IA142"/>
  <c r="R139" i="11" s="1"/>
  <c r="HZ142" i="9"/>
  <c r="IA82"/>
  <c r="R79" i="11" s="1"/>
  <c r="HZ82" i="9"/>
  <c r="IA167"/>
  <c r="R164" i="11" s="1"/>
  <c r="HZ167" i="9"/>
  <c r="HZ48"/>
  <c r="IA48"/>
  <c r="R45" i="11" s="1"/>
  <c r="IA123" i="9"/>
  <c r="R120" i="11" s="1"/>
  <c r="HZ123" i="9"/>
  <c r="IA51"/>
  <c r="R48" i="11" s="1"/>
  <c r="HZ51" i="9"/>
  <c r="HZ148"/>
  <c r="IA148"/>
  <c r="R145" i="11" s="1"/>
  <c r="IA171" i="9"/>
  <c r="R168" i="11" s="1"/>
  <c r="HZ171" i="9"/>
  <c r="IA153"/>
  <c r="R150" i="11" s="1"/>
  <c r="HZ153" i="9"/>
  <c r="IA122"/>
  <c r="R119" i="11" s="1"/>
  <c r="HZ122" i="9"/>
  <c r="HZ80"/>
  <c r="IA80"/>
  <c r="R77" i="11" s="1"/>
  <c r="HZ196" i="9"/>
  <c r="IA196"/>
  <c r="R193" i="11" s="1"/>
  <c r="IA106" i="9"/>
  <c r="R103" i="11" s="1"/>
  <c r="HZ106" i="9"/>
  <c r="IB188"/>
  <c r="IA59"/>
  <c r="R56" i="11" s="1"/>
  <c r="HZ59" i="9"/>
  <c r="IA61"/>
  <c r="R58" i="11" s="1"/>
  <c r="HZ61" i="9"/>
  <c r="IA187"/>
  <c r="R184" i="11" s="1"/>
  <c r="HZ187" i="9"/>
  <c r="IA113"/>
  <c r="R110" i="11" s="1"/>
  <c r="HZ113" i="9"/>
  <c r="IA85"/>
  <c r="R82" i="11" s="1"/>
  <c r="HZ85" i="9"/>
  <c r="IA105"/>
  <c r="R102" i="11" s="1"/>
  <c r="HZ105" i="9"/>
  <c r="IA57"/>
  <c r="R54" i="11" s="1"/>
  <c r="HZ57" i="9"/>
  <c r="HZ200"/>
  <c r="IA200"/>
  <c r="R197" i="11" s="1"/>
  <c r="IA137" i="9"/>
  <c r="R134" i="11" s="1"/>
  <c r="HZ137" i="9"/>
  <c r="IA39"/>
  <c r="R36" i="11" s="1"/>
  <c r="HZ39" i="9"/>
  <c r="IA77"/>
  <c r="R74" i="11" s="1"/>
  <c r="HZ77" i="9"/>
  <c r="IA71"/>
  <c r="R68" i="11" s="1"/>
  <c r="HZ71" i="9"/>
  <c r="IA145"/>
  <c r="R142" i="11" s="1"/>
  <c r="HZ145" i="9"/>
  <c r="IA150"/>
  <c r="R147" i="11" s="1"/>
  <c r="HZ150" i="9"/>
  <c r="IA97"/>
  <c r="R94" i="11" s="1"/>
  <c r="HZ97" i="9"/>
  <c r="IA118"/>
  <c r="R115" i="11" s="1"/>
  <c r="HZ118" i="9"/>
  <c r="IA138"/>
  <c r="R135" i="11" s="1"/>
  <c r="HZ138" i="9"/>
  <c r="IA127"/>
  <c r="R124" i="11" s="1"/>
  <c r="HZ127" i="9"/>
  <c r="IA130"/>
  <c r="R127" i="11" s="1"/>
  <c r="HZ130" i="9"/>
  <c r="IA161"/>
  <c r="R158" i="11" s="1"/>
  <c r="HZ161" i="9"/>
  <c r="IA102"/>
  <c r="R99" i="11" s="1"/>
  <c r="HZ102" i="9"/>
  <c r="IB124"/>
  <c r="IB160"/>
  <c r="IB176"/>
  <c r="IB135"/>
  <c r="IB141"/>
  <c r="IB126"/>
  <c r="IB152"/>
  <c r="IB191"/>
  <c r="IB140"/>
  <c r="IB139"/>
  <c r="IB109"/>
  <c r="IB158"/>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IB168" l="1"/>
  <c r="IB40"/>
  <c r="IB45"/>
  <c r="IB186"/>
  <c r="IB99"/>
  <c r="IB81"/>
  <c r="IB46"/>
  <c r="BO179" i="11"/>
  <c r="BV179"/>
  <c r="BY179"/>
  <c r="BN179"/>
  <c r="BP179"/>
  <c r="BU179"/>
  <c r="IB59" i="9"/>
  <c r="BQ179" i="11"/>
  <c r="BS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X135" i="11"/>
  <c r="BW135"/>
  <c r="BV135"/>
  <c r="BT135"/>
  <c r="BS135"/>
  <c r="BR135"/>
  <c r="BP135"/>
  <c r="BO135"/>
  <c r="BN135"/>
  <c r="BY135"/>
  <c r="BU135"/>
  <c r="BQ135"/>
  <c r="BU115"/>
  <c r="BN115"/>
  <c r="BY115"/>
  <c r="BX115"/>
  <c r="BW115"/>
  <c r="BQ115"/>
  <c r="BT115"/>
  <c r="BS115"/>
  <c r="BV115"/>
  <c r="BP115"/>
  <c r="BO115"/>
  <c r="BR115"/>
  <c r="BU163"/>
  <c r="BN163"/>
  <c r="BQ163"/>
  <c r="BX163"/>
  <c r="BW163"/>
  <c r="BY163"/>
  <c r="BT163"/>
  <c r="BS163"/>
  <c r="BV163"/>
  <c r="BP163"/>
  <c r="BO163"/>
  <c r="BR163"/>
  <c r="BQ139"/>
  <c r="BY139"/>
  <c r="BU139"/>
  <c r="BX139"/>
  <c r="BW139"/>
  <c r="BV139"/>
  <c r="BT139"/>
  <c r="BS139"/>
  <c r="BR139"/>
  <c r="BP139"/>
  <c r="BO139"/>
  <c r="BN139"/>
  <c r="BO131"/>
  <c r="BN131"/>
  <c r="BQ131"/>
  <c r="BX131"/>
  <c r="BU131"/>
  <c r="BY131"/>
  <c r="BT131"/>
  <c r="BW131"/>
  <c r="BV131"/>
  <c r="BP131"/>
  <c r="BS131"/>
  <c r="BR131"/>
  <c r="BO138"/>
  <c r="BN138"/>
  <c r="BY138"/>
  <c r="BX138"/>
  <c r="BU138"/>
  <c r="BQ138"/>
  <c r="BT138"/>
  <c r="BW138"/>
  <c r="BV138"/>
  <c r="BP138"/>
  <c r="BS138"/>
  <c r="BR138"/>
  <c r="BX162"/>
  <c r="BW162"/>
  <c r="BV162"/>
  <c r="BT162"/>
  <c r="BS162"/>
  <c r="BR162"/>
  <c r="BP162"/>
  <c r="BO162"/>
  <c r="BN162"/>
  <c r="BU162"/>
  <c r="BY162"/>
  <c r="BQ162"/>
  <c r="BX137"/>
  <c r="BW137"/>
  <c r="BV137"/>
  <c r="BT137"/>
  <c r="BS137"/>
  <c r="BR137"/>
  <c r="BP137"/>
  <c r="BO137"/>
  <c r="BN137"/>
  <c r="BY137"/>
  <c r="BQ137"/>
  <c r="BU137"/>
  <c r="BX119"/>
  <c r="BW119"/>
  <c r="BV119"/>
  <c r="BT119"/>
  <c r="BS119"/>
  <c r="BR119"/>
  <c r="BP119"/>
  <c r="BO119"/>
  <c r="BN119"/>
  <c r="BY119"/>
  <c r="BQ119"/>
  <c r="BU119"/>
  <c r="BY168"/>
  <c r="BQ168"/>
  <c r="BU168"/>
  <c r="BX168"/>
  <c r="BW168"/>
  <c r="BV168"/>
  <c r="BT168"/>
  <c r="BS168"/>
  <c r="BR168"/>
  <c r="BP168"/>
  <c r="BO168"/>
  <c r="BN168"/>
  <c r="BU175"/>
  <c r="BY175"/>
  <c r="BQ175"/>
  <c r="BX175"/>
  <c r="BW175"/>
  <c r="BV175"/>
  <c r="BT175"/>
  <c r="BS175"/>
  <c r="BR175"/>
  <c r="BP175"/>
  <c r="BO175"/>
  <c r="BN175"/>
  <c r="BX159"/>
  <c r="BU159"/>
  <c r="BY159"/>
  <c r="BT159"/>
  <c r="BW159"/>
  <c r="BV159"/>
  <c r="BP159"/>
  <c r="BS159"/>
  <c r="BR159"/>
  <c r="BO159"/>
  <c r="BN159"/>
  <c r="BQ159"/>
  <c r="BQ152"/>
  <c r="BN152"/>
  <c r="BU152"/>
  <c r="BX152"/>
  <c r="BW152"/>
  <c r="BY152"/>
  <c r="BT152"/>
  <c r="BS152"/>
  <c r="BV152"/>
  <c r="BP152"/>
  <c r="BO152"/>
  <c r="BR152"/>
  <c r="BY125"/>
  <c r="BN125"/>
  <c r="BQ125"/>
  <c r="BX125"/>
  <c r="BW125"/>
  <c r="BU125"/>
  <c r="BT125"/>
  <c r="BS125"/>
  <c r="BV125"/>
  <c r="BP125"/>
  <c r="BO125"/>
  <c r="BR125"/>
  <c r="BY200"/>
  <c r="BQ200"/>
  <c r="BU200"/>
  <c r="BX200"/>
  <c r="BW200"/>
  <c r="BV200"/>
  <c r="BT200"/>
  <c r="BS200"/>
  <c r="BR200"/>
  <c r="BP200"/>
  <c r="BO200"/>
  <c r="BN200"/>
  <c r="BO164"/>
  <c r="BN164"/>
  <c r="BU164"/>
  <c r="BX164"/>
  <c r="BQ164"/>
  <c r="BY164"/>
  <c r="BT164"/>
  <c r="BW164"/>
  <c r="BV164"/>
  <c r="BP164"/>
  <c r="BS164"/>
  <c r="BR164"/>
  <c r="BX149"/>
  <c r="BW149"/>
  <c r="BV149"/>
  <c r="BT149"/>
  <c r="BS149"/>
  <c r="BR149"/>
  <c r="BP149"/>
  <c r="BO149"/>
  <c r="BN149"/>
  <c r="BY149"/>
  <c r="BQ149"/>
  <c r="BU149"/>
  <c r="BX165"/>
  <c r="BW165"/>
  <c r="BV165"/>
  <c r="BT165"/>
  <c r="BS165"/>
  <c r="BR165"/>
  <c r="BP165"/>
  <c r="BO165"/>
  <c r="BN165"/>
  <c r="BQ165"/>
  <c r="BU165"/>
  <c r="BY165"/>
  <c r="BY136"/>
  <c r="BN136"/>
  <c r="BQ136"/>
  <c r="BX136"/>
  <c r="BW136"/>
  <c r="BU136"/>
  <c r="BT136"/>
  <c r="BS136"/>
  <c r="BV136"/>
  <c r="BP136"/>
  <c r="BO136"/>
  <c r="BR136"/>
  <c r="BX148"/>
  <c r="BW148"/>
  <c r="BY148"/>
  <c r="BT148"/>
  <c r="BS148"/>
  <c r="BV148"/>
  <c r="BP148"/>
  <c r="BO148"/>
  <c r="BR148"/>
  <c r="BU148"/>
  <c r="BN148"/>
  <c r="BQ148"/>
  <c r="BQ178"/>
  <c r="BW178"/>
  <c r="BV178"/>
  <c r="BX178"/>
  <c r="BS178"/>
  <c r="BR178"/>
  <c r="BT178"/>
  <c r="BO178"/>
  <c r="BN178"/>
  <c r="BP178"/>
  <c r="BY178"/>
  <c r="BU178"/>
  <c r="BQ161"/>
  <c r="BY161"/>
  <c r="BU161"/>
  <c r="BX161"/>
  <c r="BW161"/>
  <c r="BV161"/>
  <c r="BT161"/>
  <c r="BS161"/>
  <c r="BR161"/>
  <c r="BP161"/>
  <c r="BO161"/>
  <c r="BN161"/>
  <c r="BO127"/>
  <c r="BN127"/>
  <c r="BY127"/>
  <c r="BX127"/>
  <c r="BU127"/>
  <c r="BQ127"/>
  <c r="BT127"/>
  <c r="BW127"/>
  <c r="BV127"/>
  <c r="BP127"/>
  <c r="BS127"/>
  <c r="BR127"/>
  <c r="BX142"/>
  <c r="BU142"/>
  <c r="BQ142"/>
  <c r="BT142"/>
  <c r="BW142"/>
  <c r="BV142"/>
  <c r="BP142"/>
  <c r="BS142"/>
  <c r="BR142"/>
  <c r="BO142"/>
  <c r="BN142"/>
  <c r="BY142"/>
  <c r="BX193"/>
  <c r="BQ193"/>
  <c r="BY193"/>
  <c r="BT193"/>
  <c r="BW193"/>
  <c r="BV193"/>
  <c r="BP193"/>
  <c r="BS193"/>
  <c r="BR193"/>
  <c r="BO193"/>
  <c r="BN193"/>
  <c r="BU193"/>
  <c r="BU157"/>
  <c r="BN157"/>
  <c r="BQ157"/>
  <c r="BX157"/>
  <c r="BW157"/>
  <c r="BY157"/>
  <c r="BT157"/>
  <c r="BS157"/>
  <c r="BV157"/>
  <c r="BP157"/>
  <c r="BO157"/>
  <c r="BR157"/>
  <c r="BX121"/>
  <c r="BW121"/>
  <c r="BY121"/>
  <c r="BT121"/>
  <c r="BS121"/>
  <c r="BV121"/>
  <c r="BP121"/>
  <c r="BO121"/>
  <c r="BR121"/>
  <c r="BU121"/>
  <c r="BN121"/>
  <c r="BQ121"/>
  <c r="BY129"/>
  <c r="BN129"/>
  <c r="BU129"/>
  <c r="BX129"/>
  <c r="BW129"/>
  <c r="BQ129"/>
  <c r="BT129"/>
  <c r="BS129"/>
  <c r="BV129"/>
  <c r="BP129"/>
  <c r="BO129"/>
  <c r="BR129"/>
  <c r="BO106"/>
  <c r="BR106"/>
  <c r="BY106"/>
  <c r="BX106"/>
  <c r="BN106"/>
  <c r="BU106"/>
  <c r="BT106"/>
  <c r="BW106"/>
  <c r="BQ106"/>
  <c r="BP106"/>
  <c r="BS106"/>
  <c r="BV106"/>
  <c r="BX188"/>
  <c r="BW188"/>
  <c r="BV188"/>
  <c r="BT188"/>
  <c r="BS188"/>
  <c r="BR188"/>
  <c r="BP188"/>
  <c r="BO188"/>
  <c r="BN188"/>
  <c r="BQ188"/>
  <c r="BY188"/>
  <c r="BU188"/>
  <c r="BX134"/>
  <c r="BW134"/>
  <c r="BU134"/>
  <c r="BT134"/>
  <c r="BS134"/>
  <c r="BV134"/>
  <c r="BP134"/>
  <c r="BO134"/>
  <c r="BR134"/>
  <c r="BY134"/>
  <c r="BN134"/>
  <c r="BQ134"/>
  <c r="BX110"/>
  <c r="BN110"/>
  <c r="BU110"/>
  <c r="BT110"/>
  <c r="BW110"/>
  <c r="BQ110"/>
  <c r="BP110"/>
  <c r="BS110"/>
  <c r="BV110"/>
  <c r="BO110"/>
  <c r="BR110"/>
  <c r="BY110"/>
  <c r="BX166"/>
  <c r="BW166"/>
  <c r="BV166"/>
  <c r="BT166"/>
  <c r="BS166"/>
  <c r="BR166"/>
  <c r="BP166"/>
  <c r="BO166"/>
  <c r="BN166"/>
  <c r="BQ166"/>
  <c r="BY166"/>
  <c r="BU166"/>
  <c r="BO155"/>
  <c r="BN155"/>
  <c r="BU155"/>
  <c r="BX155"/>
  <c r="BY155"/>
  <c r="BQ155"/>
  <c r="BT155"/>
  <c r="BW155"/>
  <c r="BV155"/>
  <c r="BP155"/>
  <c r="BS155"/>
  <c r="BR155"/>
  <c r="BU103"/>
  <c r="BN103"/>
  <c r="BY103"/>
  <c r="BX103"/>
  <c r="BW103"/>
  <c r="BQ103"/>
  <c r="BT103"/>
  <c r="BS103"/>
  <c r="BV103"/>
  <c r="BP103"/>
  <c r="BO103"/>
  <c r="BR103"/>
  <c r="BO150"/>
  <c r="BN150"/>
  <c r="BY150"/>
  <c r="BX150"/>
  <c r="BU150"/>
  <c r="BQ150"/>
  <c r="BT150"/>
  <c r="BW150"/>
  <c r="BV150"/>
  <c r="BP150"/>
  <c r="BS150"/>
  <c r="BR150"/>
  <c r="BO146"/>
  <c r="BN146"/>
  <c r="BY146"/>
  <c r="BX146"/>
  <c r="BU146"/>
  <c r="BQ146"/>
  <c r="BT146"/>
  <c r="BW146"/>
  <c r="BV146"/>
  <c r="BP146"/>
  <c r="BS146"/>
  <c r="BR146"/>
  <c r="BX173"/>
  <c r="BW173"/>
  <c r="BV173"/>
  <c r="BT173"/>
  <c r="BS173"/>
  <c r="BR173"/>
  <c r="BP173"/>
  <c r="BO173"/>
  <c r="BN173"/>
  <c r="BY173"/>
  <c r="BQ173"/>
  <c r="BU173"/>
  <c r="BX120"/>
  <c r="BW120"/>
  <c r="BV120"/>
  <c r="BT120"/>
  <c r="BS120"/>
  <c r="BR120"/>
  <c r="BP120"/>
  <c r="BO120"/>
  <c r="BN120"/>
  <c r="BQ120"/>
  <c r="BY120"/>
  <c r="BU120"/>
  <c r="BU196"/>
  <c r="BN196"/>
  <c r="BQ196"/>
  <c r="BX196"/>
  <c r="BW196"/>
  <c r="BY196"/>
  <c r="BT196"/>
  <c r="BS196"/>
  <c r="BV196"/>
  <c r="BP196"/>
  <c r="BO196"/>
  <c r="BR196"/>
  <c r="BX123"/>
  <c r="BU123"/>
  <c r="BQ123"/>
  <c r="BT123"/>
  <c r="BW123"/>
  <c r="BV123"/>
  <c r="BP123"/>
  <c r="BS123"/>
  <c r="BR123"/>
  <c r="BO123"/>
  <c r="BN123"/>
  <c r="BY123"/>
  <c r="BQ132"/>
  <c r="BY132"/>
  <c r="BU132"/>
  <c r="BX132"/>
  <c r="BW132"/>
  <c r="BV132"/>
  <c r="BT132"/>
  <c r="BS132"/>
  <c r="BR132"/>
  <c r="BP132"/>
  <c r="BO132"/>
  <c r="BN132"/>
  <c r="BX151"/>
  <c r="BW151"/>
  <c r="BV151"/>
  <c r="BT151"/>
  <c r="BS151"/>
  <c r="BR151"/>
  <c r="BP151"/>
  <c r="BO151"/>
  <c r="BN151"/>
  <c r="BQ151"/>
  <c r="BY151"/>
  <c r="BU151"/>
  <c r="BY141"/>
  <c r="BQ141"/>
  <c r="BU141"/>
  <c r="BX141"/>
  <c r="BW141"/>
  <c r="BV141"/>
  <c r="BT141"/>
  <c r="BS141"/>
  <c r="BR141"/>
  <c r="BP141"/>
  <c r="BO141"/>
  <c r="BN141"/>
  <c r="BY145"/>
  <c r="BQ145"/>
  <c r="BU145"/>
  <c r="BX145"/>
  <c r="BW145"/>
  <c r="BV145"/>
  <c r="BT145"/>
  <c r="BS145"/>
  <c r="BR145"/>
  <c r="BP145"/>
  <c r="BO145"/>
  <c r="BN145"/>
  <c r="BY167"/>
  <c r="BN167"/>
  <c r="BU167"/>
  <c r="BX167"/>
  <c r="BW167"/>
  <c r="BQ167"/>
  <c r="BT167"/>
  <c r="BS167"/>
  <c r="BV167"/>
  <c r="BP167"/>
  <c r="BO167"/>
  <c r="BR167"/>
  <c r="BY158"/>
  <c r="BQ158"/>
  <c r="BU158"/>
  <c r="BX158"/>
  <c r="BW158"/>
  <c r="BV158"/>
  <c r="BT158"/>
  <c r="BS158"/>
  <c r="BR158"/>
  <c r="BP158"/>
  <c r="BO158"/>
  <c r="BN158"/>
  <c r="BX124"/>
  <c r="BW124"/>
  <c r="BV124"/>
  <c r="BT124"/>
  <c r="BS124"/>
  <c r="BR124"/>
  <c r="BP124"/>
  <c r="BO124"/>
  <c r="BN124"/>
  <c r="BU124"/>
  <c r="BY124"/>
  <c r="BQ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O99" i="11" l="1"/>
  <c r="BR99"/>
  <c r="BY99"/>
  <c r="BX99"/>
  <c r="BN99"/>
  <c r="BU99"/>
  <c r="BT99"/>
  <c r="BW99"/>
  <c r="BQ99"/>
  <c r="BP99"/>
  <c r="BS99"/>
  <c r="BV99"/>
  <c r="BO96"/>
  <c r="BR96"/>
  <c r="BY96"/>
  <c r="BX96"/>
  <c r="BN96"/>
  <c r="BU96"/>
  <c r="BT96"/>
  <c r="BW96"/>
  <c r="BQ96"/>
  <c r="BP96"/>
  <c r="BS96"/>
  <c r="BV96"/>
  <c r="BO37"/>
  <c r="BR37"/>
  <c r="BQ37"/>
  <c r="BX37"/>
  <c r="BN37"/>
  <c r="BU37"/>
  <c r="BT37"/>
  <c r="BW37"/>
  <c r="BY37"/>
  <c r="BP37"/>
  <c r="BS37"/>
  <c r="BV37"/>
  <c r="BX91"/>
  <c r="BN91"/>
  <c r="BQ91"/>
  <c r="BT91"/>
  <c r="BW91"/>
  <c r="BU91"/>
  <c r="BP91"/>
  <c r="BS91"/>
  <c r="BV91"/>
  <c r="BO91"/>
  <c r="BR91"/>
  <c r="BY91"/>
  <c r="BO75"/>
  <c r="BR75"/>
  <c r="BY75"/>
  <c r="BX75"/>
  <c r="BN75"/>
  <c r="BQ75"/>
  <c r="BT75"/>
  <c r="BW75"/>
  <c r="BU75"/>
  <c r="BP75"/>
  <c r="BS75"/>
  <c r="BV75"/>
  <c r="BO88"/>
  <c r="BR88"/>
  <c r="BQ88"/>
  <c r="BX88"/>
  <c r="BN88"/>
  <c r="BU88"/>
  <c r="BT88"/>
  <c r="BW88"/>
  <c r="BY88"/>
  <c r="BP88"/>
  <c r="BS88"/>
  <c r="BV88"/>
  <c r="BO72"/>
  <c r="BR72"/>
  <c r="BQ72"/>
  <c r="BX72"/>
  <c r="BN72"/>
  <c r="BU72"/>
  <c r="BT72"/>
  <c r="BW72"/>
  <c r="BY72"/>
  <c r="BP72"/>
  <c r="BS72"/>
  <c r="BV72"/>
  <c r="BO40"/>
  <c r="BR40"/>
  <c r="BQ40"/>
  <c r="BX40"/>
  <c r="BN40"/>
  <c r="BU40"/>
  <c r="BT40"/>
  <c r="BW40"/>
  <c r="BY40"/>
  <c r="BP40"/>
  <c r="BS40"/>
  <c r="BV40"/>
  <c r="BO53"/>
  <c r="BR53"/>
  <c r="BQ53"/>
  <c r="BX53"/>
  <c r="BN53"/>
  <c r="BU53"/>
  <c r="BT53"/>
  <c r="BW53"/>
  <c r="BY53"/>
  <c r="BP53"/>
  <c r="BS53"/>
  <c r="BV53"/>
  <c r="BO54"/>
  <c r="BR54"/>
  <c r="BU54"/>
  <c r="BX54"/>
  <c r="BN54"/>
  <c r="BY54"/>
  <c r="BT54"/>
  <c r="BW54"/>
  <c r="BQ54"/>
  <c r="BP54"/>
  <c r="BS54"/>
  <c r="BV54"/>
  <c r="BO97"/>
  <c r="BR97"/>
  <c r="BY97"/>
  <c r="BX97"/>
  <c r="BN97"/>
  <c r="BU97"/>
  <c r="BT97"/>
  <c r="BW97"/>
  <c r="BQ97"/>
  <c r="BP97"/>
  <c r="BS97"/>
  <c r="BV97"/>
  <c r="BX81"/>
  <c r="BN81"/>
  <c r="BU81"/>
  <c r="BT81"/>
  <c r="BW81"/>
  <c r="BY81"/>
  <c r="BP81"/>
  <c r="BS81"/>
  <c r="BV81"/>
  <c r="BO81"/>
  <c r="BR81"/>
  <c r="BQ81"/>
  <c r="BO55"/>
  <c r="BR55"/>
  <c r="BY55"/>
  <c r="BX55"/>
  <c r="BN55"/>
  <c r="BQ55"/>
  <c r="BT55"/>
  <c r="BW55"/>
  <c r="BU55"/>
  <c r="BP55"/>
  <c r="BS55"/>
  <c r="BV55"/>
  <c r="BX98"/>
  <c r="BN98"/>
  <c r="BU98"/>
  <c r="BT98"/>
  <c r="BW98"/>
  <c r="BQ98"/>
  <c r="BP98"/>
  <c r="BS98"/>
  <c r="BV98"/>
  <c r="BO98"/>
  <c r="BR98"/>
  <c r="BY98"/>
  <c r="BO82"/>
  <c r="BR82"/>
  <c r="BU82"/>
  <c r="BX82"/>
  <c r="BN82"/>
  <c r="BY82"/>
  <c r="BT82"/>
  <c r="BW82"/>
  <c r="BQ82"/>
  <c r="BP82"/>
  <c r="BS82"/>
  <c r="BV82"/>
  <c r="BO64"/>
  <c r="BR64"/>
  <c r="BQ64"/>
  <c r="BX64"/>
  <c r="BN64"/>
  <c r="BU64"/>
  <c r="BT64"/>
  <c r="BW64"/>
  <c r="BY64"/>
  <c r="BP64"/>
  <c r="BS64"/>
  <c r="BV64"/>
  <c r="BO73"/>
  <c r="BR73"/>
  <c r="BQ73"/>
  <c r="BX73"/>
  <c r="BN73"/>
  <c r="BU73"/>
  <c r="BT73"/>
  <c r="BW73"/>
  <c r="BY73"/>
  <c r="BP73"/>
  <c r="BS73"/>
  <c r="BV73"/>
  <c r="BO47"/>
  <c r="BR47"/>
  <c r="BY47"/>
  <c r="BX47"/>
  <c r="BN47"/>
  <c r="BQ47"/>
  <c r="BT47"/>
  <c r="BW47"/>
  <c r="BU47"/>
  <c r="BP47"/>
  <c r="BS47"/>
  <c r="BV47"/>
  <c r="BO117"/>
  <c r="BN117"/>
  <c r="BU117"/>
  <c r="BX117"/>
  <c r="BY117"/>
  <c r="BQ117"/>
  <c r="BT117"/>
  <c r="BW117"/>
  <c r="BV117"/>
  <c r="BP117"/>
  <c r="BS117"/>
  <c r="BR117"/>
  <c r="BO109"/>
  <c r="BR109"/>
  <c r="BY109"/>
  <c r="BX109"/>
  <c r="BN109"/>
  <c r="BU109"/>
  <c r="BT109"/>
  <c r="BW109"/>
  <c r="BQ109"/>
  <c r="BP109"/>
  <c r="BS109"/>
  <c r="BV109"/>
  <c r="BX174"/>
  <c r="BU174"/>
  <c r="BQ174"/>
  <c r="BT174"/>
  <c r="BW174"/>
  <c r="BV174"/>
  <c r="BP174"/>
  <c r="BS174"/>
  <c r="BR174"/>
  <c r="BO174"/>
  <c r="BN174"/>
  <c r="BY174"/>
  <c r="BO95"/>
  <c r="BR95"/>
  <c r="BY95"/>
  <c r="BX95"/>
  <c r="BN95"/>
  <c r="BU95"/>
  <c r="BT95"/>
  <c r="BW95"/>
  <c r="BQ95"/>
  <c r="BP95"/>
  <c r="BS95"/>
  <c r="BV95"/>
  <c r="BO79"/>
  <c r="BR79"/>
  <c r="BY79"/>
  <c r="BX79"/>
  <c r="BN79"/>
  <c r="BQ79"/>
  <c r="BT79"/>
  <c r="BW79"/>
  <c r="BU79"/>
  <c r="BP79"/>
  <c r="BS79"/>
  <c r="BV79"/>
  <c r="BO51"/>
  <c r="BR51"/>
  <c r="BY51"/>
  <c r="BX51"/>
  <c r="BN51"/>
  <c r="BQ51"/>
  <c r="BT51"/>
  <c r="BW51"/>
  <c r="BU51"/>
  <c r="BP51"/>
  <c r="BS51"/>
  <c r="BV51"/>
  <c r="BO92"/>
  <c r="BR92"/>
  <c r="BQ92"/>
  <c r="BX92"/>
  <c r="BN92"/>
  <c r="BU92"/>
  <c r="BT92"/>
  <c r="BW92"/>
  <c r="BY92"/>
  <c r="BP92"/>
  <c r="BS92"/>
  <c r="BV92"/>
  <c r="BX76"/>
  <c r="BN76"/>
  <c r="BU76"/>
  <c r="BT76"/>
  <c r="BW76"/>
  <c r="BY76"/>
  <c r="BP76"/>
  <c r="BS76"/>
  <c r="BV76"/>
  <c r="BO76"/>
  <c r="BR76"/>
  <c r="BQ76"/>
  <c r="BO52"/>
  <c r="BR52"/>
  <c r="BQ52"/>
  <c r="BX52"/>
  <c r="BN52"/>
  <c r="BU52"/>
  <c r="BT52"/>
  <c r="BW52"/>
  <c r="BY52"/>
  <c r="BP52"/>
  <c r="BS52"/>
  <c r="BV52"/>
  <c r="BX61"/>
  <c r="BN61"/>
  <c r="BU61"/>
  <c r="BT61"/>
  <c r="BW61"/>
  <c r="BY61"/>
  <c r="BP61"/>
  <c r="BS61"/>
  <c r="BV61"/>
  <c r="BO61"/>
  <c r="BR61"/>
  <c r="BQ61"/>
  <c r="BX62"/>
  <c r="BN62"/>
  <c r="BY62"/>
  <c r="BT62"/>
  <c r="BW62"/>
  <c r="BQ62"/>
  <c r="BP62"/>
  <c r="BS62"/>
  <c r="BV62"/>
  <c r="BO62"/>
  <c r="BR62"/>
  <c r="BU62"/>
  <c r="BO101"/>
  <c r="BR101"/>
  <c r="BY101"/>
  <c r="BX101"/>
  <c r="BN101"/>
  <c r="BU101"/>
  <c r="BT101"/>
  <c r="BW101"/>
  <c r="BQ101"/>
  <c r="BP101"/>
  <c r="BS101"/>
  <c r="BV101"/>
  <c r="BX85"/>
  <c r="BN85"/>
  <c r="BU85"/>
  <c r="BT85"/>
  <c r="BW85"/>
  <c r="BY85"/>
  <c r="BP85"/>
  <c r="BS85"/>
  <c r="BV85"/>
  <c r="BO85"/>
  <c r="BR85"/>
  <c r="BQ85"/>
  <c r="BO63"/>
  <c r="BR63"/>
  <c r="BY63"/>
  <c r="BX63"/>
  <c r="BN63"/>
  <c r="BQ63"/>
  <c r="BT63"/>
  <c r="BW63"/>
  <c r="BU63"/>
  <c r="BP63"/>
  <c r="BS63"/>
  <c r="BV63"/>
  <c r="BX102"/>
  <c r="BN102"/>
  <c r="BU102"/>
  <c r="BT102"/>
  <c r="BW102"/>
  <c r="BQ102"/>
  <c r="BP102"/>
  <c r="BS102"/>
  <c r="BV102"/>
  <c r="BO102"/>
  <c r="BR102"/>
  <c r="BY102"/>
  <c r="BO86"/>
  <c r="BR86"/>
  <c r="BU86"/>
  <c r="BX86"/>
  <c r="BN86"/>
  <c r="BY86"/>
  <c r="BT86"/>
  <c r="BW86"/>
  <c r="BQ86"/>
  <c r="BP86"/>
  <c r="BS86"/>
  <c r="BV86"/>
  <c r="BO70"/>
  <c r="BR70"/>
  <c r="BU70"/>
  <c r="BX70"/>
  <c r="BN70"/>
  <c r="BY70"/>
  <c r="BT70"/>
  <c r="BW70"/>
  <c r="BQ70"/>
  <c r="BP70"/>
  <c r="BS70"/>
  <c r="BV70"/>
  <c r="BO46"/>
  <c r="BR46"/>
  <c r="BU46"/>
  <c r="BX46"/>
  <c r="BN46"/>
  <c r="BY46"/>
  <c r="BT46"/>
  <c r="BW46"/>
  <c r="BQ46"/>
  <c r="BP46"/>
  <c r="BS46"/>
  <c r="BV46"/>
  <c r="BO49"/>
  <c r="BR49"/>
  <c r="BQ49"/>
  <c r="BX49"/>
  <c r="BN49"/>
  <c r="BU49"/>
  <c r="BT49"/>
  <c r="BW49"/>
  <c r="BY49"/>
  <c r="BP49"/>
  <c r="BS49"/>
  <c r="BV49"/>
  <c r="BY197"/>
  <c r="BQ197"/>
  <c r="BU197"/>
  <c r="BX197"/>
  <c r="BW197"/>
  <c r="BV197"/>
  <c r="BT197"/>
  <c r="BS197"/>
  <c r="BR197"/>
  <c r="BP197"/>
  <c r="BO197"/>
  <c r="BN197"/>
  <c r="BX170"/>
  <c r="BU170"/>
  <c r="BQ170"/>
  <c r="BT170"/>
  <c r="BW170"/>
  <c r="BV170"/>
  <c r="BP170"/>
  <c r="BS170"/>
  <c r="BR170"/>
  <c r="BO170"/>
  <c r="BN170"/>
  <c r="BY170"/>
  <c r="BX176"/>
  <c r="BW176"/>
  <c r="BU176"/>
  <c r="BT176"/>
  <c r="BS176"/>
  <c r="BV176"/>
  <c r="BP176"/>
  <c r="BO176"/>
  <c r="BR176"/>
  <c r="BY176"/>
  <c r="BN176"/>
  <c r="BQ176"/>
  <c r="BO58"/>
  <c r="BR58"/>
  <c r="BU58"/>
  <c r="BX58"/>
  <c r="BN58"/>
  <c r="BY58"/>
  <c r="BT58"/>
  <c r="BW58"/>
  <c r="BQ58"/>
  <c r="BP58"/>
  <c r="BS58"/>
  <c r="BV58"/>
  <c r="BX59"/>
  <c r="BN59"/>
  <c r="BQ59"/>
  <c r="BT59"/>
  <c r="BW59"/>
  <c r="BU59"/>
  <c r="BP59"/>
  <c r="BS59"/>
  <c r="BV59"/>
  <c r="BO59"/>
  <c r="BR59"/>
  <c r="BY59"/>
  <c r="BX80"/>
  <c r="BN80"/>
  <c r="BU80"/>
  <c r="BT80"/>
  <c r="BW80"/>
  <c r="BY80"/>
  <c r="BP80"/>
  <c r="BS80"/>
  <c r="BV80"/>
  <c r="BO80"/>
  <c r="BR80"/>
  <c r="BQ80"/>
  <c r="BO60"/>
  <c r="BR60"/>
  <c r="BQ60"/>
  <c r="BX60"/>
  <c r="BN60"/>
  <c r="BU60"/>
  <c r="BT60"/>
  <c r="BW60"/>
  <c r="BY60"/>
  <c r="BP60"/>
  <c r="BS60"/>
  <c r="BV60"/>
  <c r="BO69"/>
  <c r="BR69"/>
  <c r="BQ69"/>
  <c r="BX69"/>
  <c r="BN69"/>
  <c r="BU69"/>
  <c r="BT69"/>
  <c r="BW69"/>
  <c r="BY69"/>
  <c r="BP69"/>
  <c r="BS69"/>
  <c r="BV69"/>
  <c r="BO39"/>
  <c r="BR39"/>
  <c r="BY39"/>
  <c r="BX39"/>
  <c r="BN39"/>
  <c r="BQ39"/>
  <c r="BT39"/>
  <c r="BW39"/>
  <c r="BU39"/>
  <c r="BP39"/>
  <c r="BS39"/>
  <c r="BV39"/>
  <c r="BO43"/>
  <c r="BR43"/>
  <c r="BY43"/>
  <c r="BX43"/>
  <c r="BN43"/>
  <c r="BQ43"/>
  <c r="BT43"/>
  <c r="BW43"/>
  <c r="BU43"/>
  <c r="BP43"/>
  <c r="BS43"/>
  <c r="BV43"/>
  <c r="BX89"/>
  <c r="BN89"/>
  <c r="BU89"/>
  <c r="BT89"/>
  <c r="BW89"/>
  <c r="BY89"/>
  <c r="BP89"/>
  <c r="BS89"/>
  <c r="BV89"/>
  <c r="BO89"/>
  <c r="BR89"/>
  <c r="BQ89"/>
  <c r="BO71"/>
  <c r="BR71"/>
  <c r="BY71"/>
  <c r="BX71"/>
  <c r="BN71"/>
  <c r="BQ71"/>
  <c r="BT71"/>
  <c r="BW71"/>
  <c r="BU71"/>
  <c r="BP71"/>
  <c r="BS71"/>
  <c r="BV71"/>
  <c r="BO42"/>
  <c r="BR42"/>
  <c r="BU42"/>
  <c r="BX42"/>
  <c r="BN42"/>
  <c r="BY42"/>
  <c r="BT42"/>
  <c r="BW42"/>
  <c r="BQ42"/>
  <c r="BP42"/>
  <c r="BS42"/>
  <c r="BV42"/>
  <c r="BX90"/>
  <c r="BN90"/>
  <c r="BY90"/>
  <c r="BT90"/>
  <c r="BW90"/>
  <c r="BQ90"/>
  <c r="BP90"/>
  <c r="BS90"/>
  <c r="BV90"/>
  <c r="BO90"/>
  <c r="BR90"/>
  <c r="BU90"/>
  <c r="BX74"/>
  <c r="BN74"/>
  <c r="BY74"/>
  <c r="BT74"/>
  <c r="BW74"/>
  <c r="BQ74"/>
  <c r="BP74"/>
  <c r="BS74"/>
  <c r="BV74"/>
  <c r="BO74"/>
  <c r="BR74"/>
  <c r="BU74"/>
  <c r="BX48"/>
  <c r="BN48"/>
  <c r="BU48"/>
  <c r="BT48"/>
  <c r="BW48"/>
  <c r="BY48"/>
  <c r="BP48"/>
  <c r="BS48"/>
  <c r="BV48"/>
  <c r="BO48"/>
  <c r="BR48"/>
  <c r="BQ48"/>
  <c r="BO57"/>
  <c r="BR57"/>
  <c r="BQ57"/>
  <c r="BX57"/>
  <c r="BN57"/>
  <c r="BU57"/>
  <c r="BT57"/>
  <c r="BW57"/>
  <c r="BY57"/>
  <c r="BP57"/>
  <c r="BS57"/>
  <c r="BV57"/>
  <c r="BU144"/>
  <c r="BN144"/>
  <c r="BQ144"/>
  <c r="BX144"/>
  <c r="BW144"/>
  <c r="BY144"/>
  <c r="BT144"/>
  <c r="BS144"/>
  <c r="BV144"/>
  <c r="BP144"/>
  <c r="BO144"/>
  <c r="BR144"/>
  <c r="BU195"/>
  <c r="BY195"/>
  <c r="BQ195"/>
  <c r="BX195"/>
  <c r="BW195"/>
  <c r="BV195"/>
  <c r="BT195"/>
  <c r="BS195"/>
  <c r="BR195"/>
  <c r="BP195"/>
  <c r="BO195"/>
  <c r="BN195"/>
  <c r="BX182"/>
  <c r="BQ182"/>
  <c r="BY182"/>
  <c r="BT182"/>
  <c r="BW182"/>
  <c r="BV182"/>
  <c r="BP182"/>
  <c r="BS182"/>
  <c r="BR182"/>
  <c r="BO182"/>
  <c r="BN182"/>
  <c r="BU182"/>
  <c r="BU147"/>
  <c r="BY147"/>
  <c r="BQ147"/>
  <c r="BX147"/>
  <c r="BW147"/>
  <c r="BV147"/>
  <c r="BT147"/>
  <c r="BS147"/>
  <c r="BR147"/>
  <c r="BP147"/>
  <c r="BO147"/>
  <c r="BN147"/>
  <c r="BO50"/>
  <c r="BR50"/>
  <c r="BU50"/>
  <c r="BX50"/>
  <c r="BN50"/>
  <c r="BY50"/>
  <c r="BT50"/>
  <c r="BW50"/>
  <c r="BQ50"/>
  <c r="BP50"/>
  <c r="BS50"/>
  <c r="BV50"/>
  <c r="BO83"/>
  <c r="BR83"/>
  <c r="BY83"/>
  <c r="BX83"/>
  <c r="BN83"/>
  <c r="BQ83"/>
  <c r="BT83"/>
  <c r="BW83"/>
  <c r="BU83"/>
  <c r="BP83"/>
  <c r="BS83"/>
  <c r="BV83"/>
  <c r="BO66"/>
  <c r="BR66"/>
  <c r="BU66"/>
  <c r="BX66"/>
  <c r="BN66"/>
  <c r="BY66"/>
  <c r="BT66"/>
  <c r="BW66"/>
  <c r="BQ66"/>
  <c r="BP66"/>
  <c r="BS66"/>
  <c r="BV66"/>
  <c r="BU203"/>
  <c r="BN203"/>
  <c r="BQ203"/>
  <c r="BX203"/>
  <c r="BW203"/>
  <c r="BY203"/>
  <c r="BT203"/>
  <c r="BS203"/>
  <c r="BV203"/>
  <c r="BP203"/>
  <c r="BO203"/>
  <c r="BR203"/>
  <c r="BO87"/>
  <c r="BR87"/>
  <c r="BY87"/>
  <c r="BX87"/>
  <c r="BN87"/>
  <c r="BQ87"/>
  <c r="BT87"/>
  <c r="BW87"/>
  <c r="BU87"/>
  <c r="BP87"/>
  <c r="BS87"/>
  <c r="BV87"/>
  <c r="BO67"/>
  <c r="BR67"/>
  <c r="BY67"/>
  <c r="BX67"/>
  <c r="BN67"/>
  <c r="BQ67"/>
  <c r="BT67"/>
  <c r="BW67"/>
  <c r="BU67"/>
  <c r="BP67"/>
  <c r="BS67"/>
  <c r="BV67"/>
  <c r="BO100"/>
  <c r="BR100"/>
  <c r="BY100"/>
  <c r="BX100"/>
  <c r="BN100"/>
  <c r="BU100"/>
  <c r="BT100"/>
  <c r="BW100"/>
  <c r="BQ100"/>
  <c r="BP100"/>
  <c r="BS100"/>
  <c r="BV100"/>
  <c r="BO84"/>
  <c r="BR84"/>
  <c r="BQ84"/>
  <c r="BX84"/>
  <c r="BN84"/>
  <c r="BU84"/>
  <c r="BT84"/>
  <c r="BW84"/>
  <c r="BY84"/>
  <c r="BP84"/>
  <c r="BS84"/>
  <c r="BV84"/>
  <c r="BO68"/>
  <c r="BR68"/>
  <c r="BQ68"/>
  <c r="BX68"/>
  <c r="BN68"/>
  <c r="BU68"/>
  <c r="BT68"/>
  <c r="BW68"/>
  <c r="BY68"/>
  <c r="BP68"/>
  <c r="BS68"/>
  <c r="BV68"/>
  <c r="BO38"/>
  <c r="BR38"/>
  <c r="BU38"/>
  <c r="BX38"/>
  <c r="BN38"/>
  <c r="BY38"/>
  <c r="BT38"/>
  <c r="BW38"/>
  <c r="BQ38"/>
  <c r="BP38"/>
  <c r="BS38"/>
  <c r="BV38"/>
  <c r="BO41"/>
  <c r="BR41"/>
  <c r="BQ41"/>
  <c r="BX41"/>
  <c r="BN41"/>
  <c r="BU41"/>
  <c r="BT41"/>
  <c r="BW41"/>
  <c r="BY41"/>
  <c r="BP41"/>
  <c r="BS41"/>
  <c r="BV41"/>
  <c r="BX45"/>
  <c r="BN45"/>
  <c r="BU45"/>
  <c r="BT45"/>
  <c r="BW45"/>
  <c r="BY45"/>
  <c r="BP45"/>
  <c r="BS45"/>
  <c r="BV45"/>
  <c r="BO45"/>
  <c r="BR45"/>
  <c r="BQ45"/>
  <c r="BT93"/>
  <c r="BR93"/>
  <c r="BY93"/>
  <c r="BN93"/>
  <c r="BW93"/>
  <c r="BU93"/>
  <c r="BO93"/>
  <c r="BS93"/>
  <c r="BQ93"/>
  <c r="BP93"/>
  <c r="BX93"/>
  <c r="BV93"/>
  <c r="BO77"/>
  <c r="BR77"/>
  <c r="BQ77"/>
  <c r="BX77"/>
  <c r="BN77"/>
  <c r="BU77"/>
  <c r="BT77"/>
  <c r="BW77"/>
  <c r="BY77"/>
  <c r="BP77"/>
  <c r="BS77"/>
  <c r="BV77"/>
  <c r="BX44"/>
  <c r="BN44"/>
  <c r="BU44"/>
  <c r="BT44"/>
  <c r="BW44"/>
  <c r="BY44"/>
  <c r="BP44"/>
  <c r="BS44"/>
  <c r="BV44"/>
  <c r="BO44"/>
  <c r="BR44"/>
  <c r="BQ44"/>
  <c r="BO94"/>
  <c r="BR94"/>
  <c r="BY94"/>
  <c r="BX94"/>
  <c r="BN94"/>
  <c r="BU94"/>
  <c r="BT94"/>
  <c r="BW94"/>
  <c r="BQ94"/>
  <c r="BP94"/>
  <c r="BS94"/>
  <c r="BV94"/>
  <c r="BO78"/>
  <c r="BR78"/>
  <c r="BU78"/>
  <c r="BX78"/>
  <c r="BN78"/>
  <c r="BY78"/>
  <c r="BT78"/>
  <c r="BW78"/>
  <c r="BQ78"/>
  <c r="BP78"/>
  <c r="BS78"/>
  <c r="BV78"/>
  <c r="BO56"/>
  <c r="BR56"/>
  <c r="BQ56"/>
  <c r="BX56"/>
  <c r="BN56"/>
  <c r="BU56"/>
  <c r="BT56"/>
  <c r="BW56"/>
  <c r="BY56"/>
  <c r="BP56"/>
  <c r="BS56"/>
  <c r="BV56"/>
  <c r="BO65"/>
  <c r="BR65"/>
  <c r="BQ65"/>
  <c r="BX65"/>
  <c r="BN65"/>
  <c r="BU65"/>
  <c r="BT65"/>
  <c r="BW65"/>
  <c r="BY65"/>
  <c r="BP65"/>
  <c r="BS65"/>
  <c r="BV65"/>
  <c r="BX184"/>
  <c r="BW184"/>
  <c r="BV184"/>
  <c r="BT184"/>
  <c r="BS184"/>
  <c r="BR184"/>
  <c r="BP184"/>
  <c r="BO184"/>
  <c r="BN184"/>
  <c r="BU184"/>
  <c r="BY184"/>
  <c r="BQ184"/>
  <c r="BU133"/>
  <c r="BY133"/>
  <c r="BQ133"/>
  <c r="BX133"/>
  <c r="BW133"/>
  <c r="BV133"/>
  <c r="BT133"/>
  <c r="BS133"/>
  <c r="BR133"/>
  <c r="BP133"/>
  <c r="BO133"/>
  <c r="BN133"/>
  <c r="BQ180"/>
  <c r="BN180"/>
  <c r="BY180"/>
  <c r="BX180"/>
  <c r="BW180"/>
  <c r="BU180"/>
  <c r="BT180"/>
  <c r="BS180"/>
  <c r="BV180"/>
  <c r="BP180"/>
  <c r="BO180"/>
  <c r="BR180"/>
  <c r="BQ183"/>
  <c r="BU183"/>
  <c r="BY183"/>
  <c r="BX183"/>
  <c r="BW183"/>
  <c r="BV183"/>
  <c r="BT183"/>
  <c r="BS183"/>
  <c r="BR183"/>
  <c r="BP183"/>
  <c r="BO183"/>
  <c r="BN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F206" s="1"/>
  <c r="H206" s="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O35" i="11"/>
  <c r="BP36"/>
  <c r="BT36"/>
  <c r="BX36"/>
  <c r="BO36"/>
  <c r="BS36"/>
  <c r="BW36"/>
  <c r="BN36"/>
  <c r="BR36"/>
  <c r="BV36"/>
  <c r="BY36"/>
  <c r="BU36"/>
  <c r="BQ36"/>
  <c r="BL34" i="12"/>
  <c r="BL30"/>
  <c r="BL32"/>
  <c r="BL33"/>
  <c r="BL29"/>
  <c r="BL26"/>
  <c r="BL14"/>
  <c r="BL16"/>
  <c r="BL17"/>
  <c r="BL19"/>
  <c r="BL28"/>
  <c r="BL11"/>
  <c r="BL23"/>
  <c r="BL7"/>
  <c r="BL22"/>
  <c r="BL10"/>
  <c r="BL20"/>
  <c r="BL21"/>
  <c r="BL18"/>
  <c r="BL12"/>
  <c r="BL13"/>
  <c r="BL24"/>
  <c r="BL27"/>
  <c r="BL25"/>
  <c r="BL15"/>
  <c r="HA38" i="9"/>
  <c r="R18" i="4"/>
  <c r="AR36" i="15"/>
  <c r="Q35" i="11" s="1"/>
  <c r="GZ38" i="9"/>
  <c r="DP7"/>
  <c r="D7"/>
  <c r="K7"/>
  <c r="L7"/>
  <c r="E7"/>
  <c r="F7"/>
  <c r="G7"/>
  <c r="H7"/>
  <c r="I7"/>
  <c r="H4" i="11" s="1"/>
  <c r="J7" i="9"/>
  <c r="I4" i="11" s="1"/>
  <c r="Y208" i="9"/>
  <c r="B6" i="6" s="1"/>
  <c r="K208" i="9"/>
  <c r="B5" i="6" s="1"/>
  <c r="GK7" i="9" l="1"/>
  <c r="GL7"/>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M4" i="11"/>
  <c r="C4"/>
  <c r="C5" i="12"/>
  <c r="JD6" i="9"/>
  <c r="JK6" s="1"/>
  <c r="F4" i="11"/>
  <c r="G4"/>
  <c r="GU5" i="9"/>
  <c r="M4" i="12" s="1"/>
  <c r="GT5" i="9"/>
  <c r="K35" i="12" l="1"/>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D21" i="4"/>
  <c r="CD7" i="9"/>
  <c r="HU7" s="1"/>
  <c r="HH28"/>
  <c r="GN33"/>
  <c r="GT33"/>
  <c r="HK33"/>
  <c r="GQ35"/>
  <c r="HS33"/>
  <c r="H31" i="15" s="1"/>
  <c r="HK23" i="9"/>
  <c r="Q21" i="15" s="1"/>
  <c r="GN22" i="9"/>
  <c r="K20" i="15" s="1"/>
  <c r="GQ22" i="9"/>
  <c r="L20" i="15" s="1"/>
  <c r="GT22" i="9"/>
  <c r="GN26"/>
  <c r="K24" i="15" s="1"/>
  <c r="GQ25" i="9"/>
  <c r="L23" i="15" s="1"/>
  <c r="GQ28" i="9"/>
  <c r="HK28"/>
  <c r="HE28"/>
  <c r="GN28"/>
  <c r="GT19"/>
  <c r="GT28"/>
  <c r="GQ32"/>
  <c r="GQ19"/>
  <c r="L17" i="15" s="1"/>
  <c r="GT26" i="9"/>
  <c r="M24" i="15" s="1"/>
  <c r="GT30" i="9"/>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N27"/>
  <c r="GQ18"/>
  <c r="L16" i="15" s="1"/>
  <c r="GT34" i="9"/>
  <c r="GQ24"/>
  <c r="L22" i="15" s="1"/>
  <c r="GT31" i="9"/>
  <c r="HE33"/>
  <c r="GN24"/>
  <c r="K22" i="15" s="1"/>
  <c r="GQ30" i="9"/>
  <c r="HB33"/>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J23"/>
  <c r="HD28"/>
  <c r="HD33"/>
  <c r="HD37"/>
  <c r="HJ28"/>
  <c r="HJ33"/>
  <c r="HA22"/>
  <c r="GY22"/>
  <c r="Q20" i="12" s="1"/>
  <c r="HA35" i="9"/>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K11" i="15" s="1"/>
  <c r="HH13" i="9"/>
  <c r="P11" i="15" s="1"/>
  <c r="HK13" i="9"/>
  <c r="Q11" i="15" s="1"/>
  <c r="HE13" i="9"/>
  <c r="O11" i="15" s="1"/>
  <c r="HB13" i="9"/>
  <c r="N11" i="15" s="1"/>
  <c r="HA32" i="9"/>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3" i="9"/>
  <c r="HL28"/>
  <c r="HM28"/>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30"/>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M11" i="15" s="1"/>
  <c r="GP31" i="9"/>
  <c r="HS31"/>
  <c r="H29" i="15" s="1"/>
  <c r="HS29" i="9"/>
  <c r="H27" i="15" s="1"/>
  <c r="HS30" i="9"/>
  <c r="H28" i="15" s="1"/>
  <c r="HS32" i="9"/>
  <c r="H30" i="15" s="1"/>
  <c r="GN21" i="9"/>
  <c r="K19" i="15" s="1"/>
  <c r="GN15" i="9"/>
  <c r="K13" i="15" s="1"/>
  <c r="GO36" i="9"/>
  <c r="GP36"/>
  <c r="GZ36"/>
  <c r="GR35"/>
  <c r="GS35"/>
  <c r="GZ35"/>
  <c r="GP35"/>
  <c r="HC33"/>
  <c r="HI33"/>
  <c r="HF33"/>
  <c r="GR33"/>
  <c r="GS33"/>
  <c r="GO33"/>
  <c r="GR32"/>
  <c r="GZ32"/>
  <c r="GP32"/>
  <c r="GO32"/>
  <c r="GO31"/>
  <c r="GP30"/>
  <c r="HC28"/>
  <c r="HI28"/>
  <c r="GO26"/>
  <c r="GP26"/>
  <c r="GS26"/>
  <c r="GR26"/>
  <c r="GP25"/>
  <c r="GO25"/>
  <c r="GR25"/>
  <c r="GS25"/>
  <c r="GO24"/>
  <c r="GP24"/>
  <c r="GS24"/>
  <c r="GR24"/>
  <c r="GZ24"/>
  <c r="GP22"/>
  <c r="GO22"/>
  <c r="GZ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L11" i="15" s="1"/>
  <c r="GQ12" i="9"/>
  <c r="L10" i="15" s="1"/>
  <c r="GQ9" i="9"/>
  <c r="L7" i="15" s="1"/>
  <c r="S7" s="1"/>
  <c r="S4" i="11"/>
  <c r="JC6" i="9"/>
  <c r="JJ6" s="1"/>
  <c r="HU6"/>
  <c r="S21" i="15" l="1"/>
  <c r="S24"/>
  <c r="P225" i="19"/>
  <c r="M19" i="15"/>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U30" i="12"/>
  <c r="Q30" i="15"/>
  <c r="T33" i="12"/>
  <c r="P33" i="15"/>
  <c r="U28" i="12"/>
  <c r="Q28" i="15"/>
  <c r="R31" i="12"/>
  <c r="N31" i="15"/>
  <c r="HA31" i="9"/>
  <c r="M29" i="15"/>
  <c r="K25" i="12"/>
  <c r="K25" i="15"/>
  <c r="L30" i="12"/>
  <c r="L30" i="15"/>
  <c r="S30" s="1"/>
  <c r="K26" i="12"/>
  <c r="K26" i="15"/>
  <c r="U31" i="12"/>
  <c r="Q31" i="15"/>
  <c r="S14"/>
  <c r="R7"/>
  <c r="S12"/>
  <c r="S23"/>
  <c r="AF284" i="19"/>
  <c r="P283"/>
  <c r="S29" i="12"/>
  <c r="O29" i="15"/>
  <c r="U27" i="12"/>
  <c r="Q27" i="15"/>
  <c r="U25" i="12"/>
  <c r="Q25" i="15"/>
  <c r="S25" s="1"/>
  <c r="S28" i="12"/>
  <c r="O28" i="15"/>
  <c r="L34" i="12"/>
  <c r="L34" i="15"/>
  <c r="S34" s="1"/>
  <c r="K29" i="12"/>
  <c r="K29" i="15"/>
  <c r="S31" i="12"/>
  <c r="O31" i="15"/>
  <c r="HA27" i="9"/>
  <c r="M25" i="15"/>
  <c r="AF165" i="19"/>
  <c r="M16" i="15"/>
  <c r="S16" s="1"/>
  <c r="P195" i="19"/>
  <c r="M17" i="15"/>
  <c r="S17" s="1"/>
  <c r="L26" i="12"/>
  <c r="L26" i="15"/>
  <c r="L33" i="12"/>
  <c r="L33" i="15"/>
  <c r="S33" s="1"/>
  <c r="T26" i="12"/>
  <c r="P26" i="15"/>
  <c r="S19"/>
  <c r="S11"/>
  <c r="S32"/>
  <c r="DL7" i="9"/>
  <c r="L10" i="12"/>
  <c r="AF74" i="19"/>
  <c r="L18" i="12"/>
  <c r="AF194" i="19"/>
  <c r="K18" i="12"/>
  <c r="AF193" i="19"/>
  <c r="K10" i="12"/>
  <c r="AF73" i="19"/>
  <c r="L15" i="12"/>
  <c r="P164" i="19"/>
  <c r="HY30" i="9"/>
  <c r="H28" i="12"/>
  <c r="J27" i="11"/>
  <c r="Q16" i="18"/>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Q19" i="18"/>
  <c r="T11" i="12"/>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U11"/>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Q15" i="18"/>
  <c r="R15" s="1"/>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Q18" i="18"/>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Q17" i="18"/>
  <c r="R11" i="12"/>
  <c r="P106" i="19"/>
  <c r="Q14" i="18"/>
  <c r="R14" s="1"/>
  <c r="V14" s="1"/>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T212"/>
  <c r="G11" i="6" s="1"/>
  <c r="BS217" i="9"/>
  <c r="L11" i="6" s="1"/>
  <c r="BS216" i="9"/>
  <c r="BS215"/>
  <c r="K11" i="6" s="1"/>
  <c r="BS214" i="9"/>
  <c r="J11" i="6" s="1"/>
  <c r="BS210" i="9"/>
  <c r="C11" i="6" s="1"/>
  <c r="BS218" i="9"/>
  <c r="M11" i="6" s="1"/>
  <c r="BS212" i="9"/>
  <c r="F11" i="6" s="1"/>
  <c r="BV212" i="9"/>
  <c r="I11" i="6" s="1"/>
  <c r="IA38" i="9"/>
  <c r="R35" i="11" s="1"/>
  <c r="HZ38" i="9"/>
  <c r="AR35" i="15"/>
  <c r="Q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D19" i="18"/>
  <c r="GO28" i="9"/>
  <c r="HA26"/>
  <c r="HG23"/>
  <c r="HO28"/>
  <c r="GZ25"/>
  <c r="GZ26"/>
  <c r="GP28"/>
  <c r="GS30"/>
  <c r="GZ31"/>
  <c r="HL22"/>
  <c r="HP28"/>
  <c r="GZ33"/>
  <c r="HA33"/>
  <c r="HP33"/>
  <c r="GZ23"/>
  <c r="HN33"/>
  <c r="R16" i="18"/>
  <c r="T16" s="1"/>
  <c r="GS22" i="9"/>
  <c r="GZ28"/>
  <c r="GR28"/>
  <c r="HF28"/>
  <c r="GS32"/>
  <c r="GP33"/>
  <c r="GZ27"/>
  <c r="HA28"/>
  <c r="HR23"/>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15"/>
  <c r="HO29"/>
  <c r="HO19"/>
  <c r="HO9"/>
  <c r="L57" i="19" s="1"/>
  <c r="AP35" i="15"/>
  <c r="AO35"/>
  <c r="HO14" i="9"/>
  <c r="HO36"/>
  <c r="HO32"/>
  <c r="HO2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6" i="9"/>
  <c r="HP25"/>
  <c r="HR25"/>
  <c r="HQ36"/>
  <c r="HP32"/>
  <c r="HR32"/>
  <c r="HP24"/>
  <c r="HR24"/>
  <c r="HQ19"/>
  <c r="HP37"/>
  <c r="HR37"/>
  <c r="HQ35"/>
  <c r="HR18"/>
  <c r="W177" i="19" s="1"/>
  <c r="HA12" i="9"/>
  <c r="GV12"/>
  <c r="N10" i="12" s="1"/>
  <c r="HA13" i="9"/>
  <c r="GW13"/>
  <c r="O11" i="12" s="1"/>
  <c r="HN14" i="9"/>
  <c r="HP14"/>
  <c r="HR14"/>
  <c r="W117" i="19" s="1"/>
  <c r="HQ14" i="9"/>
  <c r="HP29"/>
  <c r="HR29"/>
  <c r="HR26"/>
  <c r="W297" i="19" s="1"/>
  <c r="HQ25" i="9"/>
  <c r="HN36"/>
  <c r="HQ32"/>
  <c r="HQ24"/>
  <c r="HN19"/>
  <c r="HQ37"/>
  <c r="HN35"/>
  <c r="HQ18"/>
  <c r="HN18"/>
  <c r="HR16"/>
  <c r="W147" i="19" s="1"/>
  <c r="HQ16" i="9"/>
  <c r="HN16"/>
  <c r="HP16"/>
  <c r="HQ29"/>
  <c r="HQ26"/>
  <c r="HN26"/>
  <c r="HN25"/>
  <c r="HN32"/>
  <c r="HN24"/>
  <c r="HN37"/>
  <c r="HR20"/>
  <c r="W207" i="19" s="1"/>
  <c r="HQ20" i="9"/>
  <c r="HN20"/>
  <c r="HP20"/>
  <c r="HQ9"/>
  <c r="HN9"/>
  <c r="HP9"/>
  <c r="HR9"/>
  <c r="G57" i="19" s="1"/>
  <c r="HA21" i="9"/>
  <c r="GX21"/>
  <c r="HR15"/>
  <c r="G147" i="19" s="1"/>
  <c r="HQ15" i="9"/>
  <c r="HN15"/>
  <c r="HP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P6" i="15" s="1"/>
  <c r="HK8" i="9"/>
  <c r="Q6" i="15" s="1"/>
  <c r="HE8" i="9"/>
  <c r="O6" i="15" s="1"/>
  <c r="HB8" i="9"/>
  <c r="N6" i="15" s="1"/>
  <c r="HG31" i="9"/>
  <c r="HF31"/>
  <c r="HM29"/>
  <c r="HL29"/>
  <c r="HD19"/>
  <c r="GO34"/>
  <c r="AR32" i="15"/>
  <c r="Q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JN33"/>
  <c r="JN28"/>
  <c r="JO28"/>
  <c r="GS21"/>
  <c r="GR21"/>
  <c r="GQ8"/>
  <c r="L6" i="15" s="1"/>
  <c r="GR17" i="9"/>
  <c r="HC17"/>
  <c r="GZ21"/>
  <c r="GQ11"/>
  <c r="L9" i="15" s="1"/>
  <c r="GT11" i="9"/>
  <c r="M9" i="15" s="1"/>
  <c r="GN11" i="9"/>
  <c r="K9" i="15" s="1"/>
  <c r="GS15" i="9"/>
  <c r="GT8"/>
  <c r="Q16" i="4" s="1"/>
  <c r="GN8" i="9"/>
  <c r="K6" i="15" s="1"/>
  <c r="HI16" i="9"/>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Q14" i="4" l="1"/>
  <c r="Q18"/>
  <c r="Q21"/>
  <c r="Q17"/>
  <c r="Q15"/>
  <c r="Q19"/>
  <c r="IB38" i="9"/>
  <c r="S29" i="15"/>
  <c r="W267" i="19"/>
  <c r="S9" i="15"/>
  <c r="S31"/>
  <c r="AF15" i="19"/>
  <c r="M6" i="15"/>
  <c r="S8"/>
  <c r="G297" i="19"/>
  <c r="S26" i="15"/>
  <c r="S6"/>
  <c r="R30"/>
  <c r="G267" i="19"/>
  <c r="S28" i="15"/>
  <c r="S27"/>
  <c r="L147" i="19"/>
  <c r="R13" i="15"/>
  <c r="L297" i="19"/>
  <c r="R23" i="15"/>
  <c r="L267" i="19"/>
  <c r="R21" i="15"/>
  <c r="R32"/>
  <c r="R20"/>
  <c r="AB297" i="19"/>
  <c r="R24" i="15"/>
  <c r="AB267" i="19"/>
  <c r="R22" i="15"/>
  <c r="R27"/>
  <c r="R26"/>
  <c r="AB147" i="19"/>
  <c r="R14" i="15"/>
  <c r="AB117" i="19"/>
  <c r="R12" i="15"/>
  <c r="L207" i="19"/>
  <c r="R17" i="15"/>
  <c r="R28"/>
  <c r="AB207" i="19"/>
  <c r="R18" i="15"/>
  <c r="AB177" i="19"/>
  <c r="R16" i="15"/>
  <c r="O34" i="11"/>
  <c r="R35" i="15"/>
  <c r="R34"/>
  <c r="R33"/>
  <c r="R31"/>
  <c r="AD11"/>
  <c r="JC13" i="9" s="1"/>
  <c r="AO26" i="15"/>
  <c r="HR27" i="9"/>
  <c r="AP31" i="15"/>
  <c r="AP26"/>
  <c r="AO30"/>
  <c r="HY24" i="9"/>
  <c r="H22" i="12"/>
  <c r="J21" i="11"/>
  <c r="O21" s="1"/>
  <c r="R267" i="19"/>
  <c r="R9" i="12"/>
  <c r="P76" i="19"/>
  <c r="I25" i="12"/>
  <c r="M24" i="11"/>
  <c r="J33" i="12"/>
  <c r="L32" i="11"/>
  <c r="I28" i="12"/>
  <c r="M27" i="11"/>
  <c r="I27" i="12"/>
  <c r="M26" i="11"/>
  <c r="I29" i="12"/>
  <c r="M28" i="11"/>
  <c r="HY28" i="9"/>
  <c r="H26" i="12"/>
  <c r="J25" i="11"/>
  <c r="O25" s="1"/>
  <c r="R6" i="12"/>
  <c r="AF16" i="19"/>
  <c r="S8" i="12"/>
  <c r="AF47" i="19"/>
  <c r="BH214" i="9"/>
  <c r="J10" i="6" s="1"/>
  <c r="P19" i="12"/>
  <c r="L9"/>
  <c r="P74" i="19"/>
  <c r="L6" i="12"/>
  <c r="AF14" i="19"/>
  <c r="GU10" i="9"/>
  <c r="M8" i="12" s="1"/>
  <c r="AF45" i="19"/>
  <c r="L8" i="12"/>
  <c r="AF44" i="19"/>
  <c r="HY19" i="9"/>
  <c r="H17" i="12"/>
  <c r="J16" i="11"/>
  <c r="B207" i="19"/>
  <c r="HY22" i="9"/>
  <c r="H20" i="12"/>
  <c r="J19" i="1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B267" i="19"/>
  <c r="HY25" i="9"/>
  <c r="H23" i="12"/>
  <c r="J22" i="1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O23" s="1"/>
  <c r="R297" i="19"/>
  <c r="S6" i="12"/>
  <c r="AF17" i="19"/>
  <c r="U8" i="12"/>
  <c r="AF50" i="19"/>
  <c r="T9" i="12"/>
  <c r="P78" i="19"/>
  <c r="J25" i="12"/>
  <c r="L24" i="11"/>
  <c r="I33" i="12"/>
  <c r="M32" i="11"/>
  <c r="J28" i="12"/>
  <c r="L27" i="11"/>
  <c r="J27" i="12"/>
  <c r="L26" i="11"/>
  <c r="J29" i="12"/>
  <c r="L28" i="11"/>
  <c r="T15" i="18"/>
  <c r="V21" i="12"/>
  <c r="T14" i="18"/>
  <c r="V35" i="12"/>
  <c r="V32"/>
  <c r="V34"/>
  <c r="V18"/>
  <c r="V33"/>
  <c r="V31"/>
  <c r="V20"/>
  <c r="V30"/>
  <c r="V13"/>
  <c r="V23"/>
  <c r="V24"/>
  <c r="V27"/>
  <c r="V22"/>
  <c r="V14"/>
  <c r="V12"/>
  <c r="V17"/>
  <c r="V28"/>
  <c r="V16"/>
  <c r="V26"/>
  <c r="O29" i="11"/>
  <c r="O26"/>
  <c r="O15"/>
  <c r="O32"/>
  <c r="O31"/>
  <c r="O16"/>
  <c r="O27"/>
  <c r="O20"/>
  <c r="O19"/>
  <c r="O33"/>
  <c r="O22"/>
  <c r="O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Q30" i="11" s="1"/>
  <c r="AR16" i="15"/>
  <c r="Q15" i="11" s="1"/>
  <c r="AR22" i="15"/>
  <c r="Q21" i="11" s="1"/>
  <c r="AR23" i="15"/>
  <c r="Q22" i="11" s="1"/>
  <c r="AR33" i="15"/>
  <c r="Q32" i="11" s="1"/>
  <c r="AR29" i="15"/>
  <c r="Q28" i="11" s="1"/>
  <c r="AR20" i="15"/>
  <c r="Q19" i="11" s="1"/>
  <c r="AR34" i="15"/>
  <c r="Q33" i="11" s="1"/>
  <c r="AR30" i="15"/>
  <c r="Q29" i="11" s="1"/>
  <c r="AR21" i="15"/>
  <c r="Q20" i="11" s="1"/>
  <c r="AR24" i="15"/>
  <c r="Q23" i="11" s="1"/>
  <c r="AR17" i="15"/>
  <c r="Q16" i="11" s="1"/>
  <c r="AR7" i="15"/>
  <c r="Q6" i="11" s="1"/>
  <c r="AR10" i="15"/>
  <c r="Q9" i="11" s="1"/>
  <c r="AR13" i="15"/>
  <c r="Q12" i="11" s="1"/>
  <c r="AR25" i="15"/>
  <c r="Q24" i="11" s="1"/>
  <c r="AR27" i="15"/>
  <c r="Q26" i="11" s="1"/>
  <c r="AR28" i="15"/>
  <c r="Q27" i="11" s="1"/>
  <c r="AR14" i="15"/>
  <c r="Q13" i="11" s="1"/>
  <c r="AR12" i="15"/>
  <c r="Q11" i="11" s="1"/>
  <c r="AR18" i="15"/>
  <c r="Q17" i="11" s="1"/>
  <c r="AR19" i="15"/>
  <c r="Q18" i="11" s="1"/>
  <c r="AR15" i="15"/>
  <c r="Q14" i="11" s="1"/>
  <c r="AR26" i="15"/>
  <c r="Q25" i="11" s="1"/>
  <c r="HW19" i="9"/>
  <c r="HV19"/>
  <c r="I17" i="15" s="1"/>
  <c r="HW22" i="9"/>
  <c r="HV22"/>
  <c r="I20" i="15" s="1"/>
  <c r="HW23" i="9"/>
  <c r="HV23"/>
  <c r="I21" i="15" s="1"/>
  <c r="HW25" i="9"/>
  <c r="HV25"/>
  <c r="I23" i="15" s="1"/>
  <c r="HW26" i="9"/>
  <c r="HV26"/>
  <c r="I24" i="15" s="1"/>
  <c r="HW24" i="9"/>
  <c r="HV24"/>
  <c r="I22" i="15" s="1"/>
  <c r="HW28" i="9"/>
  <c r="HV28"/>
  <c r="I26" i="15" s="1"/>
  <c r="U14" i="18"/>
  <c r="V16"/>
  <c r="U16"/>
  <c r="HO27" i="9"/>
  <c r="R17" i="18"/>
  <c r="U17" s="1"/>
  <c r="R19"/>
  <c r="HN27" i="9"/>
  <c r="R18" i="18"/>
  <c r="U18" s="1"/>
  <c r="Q21"/>
  <c r="R21" s="1"/>
  <c r="U21" s="1"/>
  <c r="JO23" i="9"/>
  <c r="U15" i="18"/>
  <c r="V15"/>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W35"/>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8" i="15" s="1"/>
  <c r="HS13" i="9"/>
  <c r="H11" i="15" s="1"/>
  <c r="HS21" i="9"/>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JX19" l="1"/>
  <c r="JY26"/>
  <c r="KA26" s="1"/>
  <c r="JY19"/>
  <c r="KA19" s="1"/>
  <c r="HO10"/>
  <c r="R8" i="15" s="1"/>
  <c r="R237" i="19"/>
  <c r="W237"/>
  <c r="H7" i="15"/>
  <c r="AB87" i="19"/>
  <c r="R10" i="15"/>
  <c r="L237" i="19"/>
  <c r="R19" i="15"/>
  <c r="L177" i="19"/>
  <c r="R15" i="15"/>
  <c r="AB57" i="19"/>
  <c r="R11" i="15"/>
  <c r="L87" i="19"/>
  <c r="R9" i="15"/>
  <c r="R29"/>
  <c r="R25"/>
  <c r="JQ19" i="9"/>
  <c r="JS19"/>
  <c r="JW19"/>
  <c r="JQ26"/>
  <c r="JV19"/>
  <c r="JR26"/>
  <c r="JU26"/>
  <c r="JT26"/>
  <c r="JU19"/>
  <c r="JR19"/>
  <c r="JS26"/>
  <c r="JT19"/>
  <c r="JR30"/>
  <c r="JZ30"/>
  <c r="JU30"/>
  <c r="HY9"/>
  <c r="B57" i="19"/>
  <c r="H7" i="12"/>
  <c r="J6" i="11"/>
  <c r="O6" s="1"/>
  <c r="HY12" i="9"/>
  <c r="H10" i="12"/>
  <c r="J9" i="11"/>
  <c r="R87" i="19"/>
  <c r="AK13" i="18"/>
  <c r="H11" i="12"/>
  <c r="J10" i="11"/>
  <c r="B117" i="19"/>
  <c r="J26" i="12"/>
  <c r="L25" i="11"/>
  <c r="J24" i="12"/>
  <c r="L23" i="11"/>
  <c r="AA295" i="19"/>
  <c r="J21" i="12"/>
  <c r="L20" i="11"/>
  <c r="K265" i="19"/>
  <c r="J17" i="12"/>
  <c r="L16" i="11"/>
  <c r="K205" i="19"/>
  <c r="L117"/>
  <c r="HY15" i="9"/>
  <c r="H13" i="12"/>
  <c r="J12" i="11"/>
  <c r="O12" s="1"/>
  <c r="B147" i="19"/>
  <c r="HY21" i="9"/>
  <c r="H19" i="12"/>
  <c r="J18" i="11"/>
  <c r="O18" s="1"/>
  <c r="B237" i="19"/>
  <c r="HY14" i="9"/>
  <c r="H12" i="12"/>
  <c r="J11" i="11"/>
  <c r="O11" s="1"/>
  <c r="R117" i="19"/>
  <c r="I26" i="12"/>
  <c r="M25" i="11"/>
  <c r="I24" i="12"/>
  <c r="M23" i="11"/>
  <c r="AF294" i="19"/>
  <c r="I21" i="12"/>
  <c r="M20" i="11"/>
  <c r="P264" i="19"/>
  <c r="I17" i="12"/>
  <c r="M16" i="11"/>
  <c r="P204" i="19"/>
  <c r="HY17" i="9"/>
  <c r="H15" i="12"/>
  <c r="J14" i="11"/>
  <c r="O14" s="1"/>
  <c r="B177" i="19"/>
  <c r="HO8" i="9"/>
  <c r="T14" i="4" s="1"/>
  <c r="M6" i="12"/>
  <c r="J22"/>
  <c r="L21" i="11"/>
  <c r="AA265" i="19"/>
  <c r="J23" i="12"/>
  <c r="L22" i="11"/>
  <c r="K295" i="19"/>
  <c r="J20" i="12"/>
  <c r="L19" i="11"/>
  <c r="HY16" i="9"/>
  <c r="H14" i="12"/>
  <c r="J13" i="11"/>
  <c r="O13" s="1"/>
  <c r="R147" i="19"/>
  <c r="HY20" i="9"/>
  <c r="H18" i="12"/>
  <c r="J17" i="11"/>
  <c r="O17" s="1"/>
  <c r="R207" i="19"/>
  <c r="HY10" i="9"/>
  <c r="H8" i="12"/>
  <c r="R57" i="19"/>
  <c r="J7" i="11"/>
  <c r="O7" s="1"/>
  <c r="I22" i="12"/>
  <c r="M21" i="11"/>
  <c r="AF264" i="19"/>
  <c r="I23" i="12"/>
  <c r="M22" i="11"/>
  <c r="P294" i="19"/>
  <c r="I20" i="12"/>
  <c r="M19" i="11"/>
  <c r="V29" i="12"/>
  <c r="V19"/>
  <c r="V11"/>
  <c r="V10"/>
  <c r="V9"/>
  <c r="V8"/>
  <c r="V15"/>
  <c r="V25"/>
  <c r="O9" i="11"/>
  <c r="O10"/>
  <c r="O28"/>
  <c r="O24"/>
  <c r="JU22" i="9"/>
  <c r="JT36"/>
  <c r="JZ36"/>
  <c r="JQ22"/>
  <c r="JS36"/>
  <c r="BO35" i="11"/>
  <c r="BR35"/>
  <c r="BY35"/>
  <c r="BX35"/>
  <c r="BN35"/>
  <c r="BQ35"/>
  <c r="BT35"/>
  <c r="BW35"/>
  <c r="BU35"/>
  <c r="BP35"/>
  <c r="BS35"/>
  <c r="BV35"/>
  <c r="JQ32" i="9"/>
  <c r="JS35"/>
  <c r="JU35"/>
  <c r="JS30"/>
  <c r="JU32"/>
  <c r="JT35"/>
  <c r="JR35"/>
  <c r="JV30"/>
  <c r="JX35"/>
  <c r="JY30"/>
  <c r="KA30" s="1"/>
  <c r="HZ30" s="1"/>
  <c r="JQ30"/>
  <c r="JQ35"/>
  <c r="JX30"/>
  <c r="JV35"/>
  <c r="BG212"/>
  <c r="D9" i="6" s="1"/>
  <c r="O9" s="1"/>
  <c r="BB212" i="9"/>
  <c r="BR212"/>
  <c r="JW22"/>
  <c r="AQ11" i="15"/>
  <c r="JS31" i="9"/>
  <c r="JU36"/>
  <c r="JV22"/>
  <c r="JW36"/>
  <c r="JY22"/>
  <c r="KA22" s="1"/>
  <c r="HZ22" s="1"/>
  <c r="JR36"/>
  <c r="AR6" i="15"/>
  <c r="Q5" i="11" s="1"/>
  <c r="JS22" i="9"/>
  <c r="JQ31"/>
  <c r="JQ36"/>
  <c r="JR22"/>
  <c r="JT22"/>
  <c r="JY36"/>
  <c r="KA36" s="1"/>
  <c r="HZ36" s="1"/>
  <c r="AR9" i="15"/>
  <c r="Q8" i="11" s="1"/>
  <c r="JX22" i="9"/>
  <c r="IA26"/>
  <c r="R23" i="11" s="1"/>
  <c r="HZ26" i="9"/>
  <c r="IA19"/>
  <c r="R16" i="11" s="1"/>
  <c r="HZ19" i="9"/>
  <c r="IA35"/>
  <c r="R32" i="11" s="1"/>
  <c r="HZ35" i="9"/>
  <c r="HZ32"/>
  <c r="IA32"/>
  <c r="R29" i="11" s="1"/>
  <c r="HZ24" i="9"/>
  <c r="IA24"/>
  <c r="R21" i="11" s="1"/>
  <c r="HZ28" i="9"/>
  <c r="IA28"/>
  <c r="R25" i="11" s="1"/>
  <c r="IA33" i="9"/>
  <c r="R30" i="11" s="1"/>
  <c r="HZ33" i="9"/>
  <c r="IA37"/>
  <c r="R34" i="11" s="1"/>
  <c r="HZ37" i="9"/>
  <c r="AR8" i="15"/>
  <c r="Q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V18" i="18"/>
  <c r="T18"/>
  <c r="T17"/>
  <c r="V21"/>
  <c r="T21"/>
  <c r="JV36" i="9"/>
  <c r="JZ31"/>
  <c r="U19" i="18"/>
  <c r="T19"/>
  <c r="V19"/>
  <c r="JW32" i="9"/>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H6" i="15" s="1"/>
  <c r="JO11" i="9"/>
  <c r="JT18"/>
  <c r="JY18"/>
  <c r="KA18" s="1"/>
  <c r="JU18"/>
  <c r="JQ18"/>
  <c r="JS18"/>
  <c r="JR18"/>
  <c r="JN21"/>
  <c r="JR23"/>
  <c r="JQ23"/>
  <c r="JY23"/>
  <c r="KA23" s="1"/>
  <c r="JS23"/>
  <c r="JT23"/>
  <c r="JU23"/>
  <c r="JY25"/>
  <c r="KA25" s="1"/>
  <c r="JR34"/>
  <c r="JQ34"/>
  <c r="JU34"/>
  <c r="JY34"/>
  <c r="KA34" s="1"/>
  <c r="JT34"/>
  <c r="JS34"/>
  <c r="IB32"/>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AQ16" i="4" l="1"/>
  <c r="AQ17" s="1"/>
  <c r="AQ15"/>
  <c r="AF234" i="19"/>
  <c r="AB27"/>
  <c r="R6" i="15"/>
  <c r="IA30" i="9"/>
  <c r="R27" i="11" s="1"/>
  <c r="IB26" i="9"/>
  <c r="IB35"/>
  <c r="HY11"/>
  <c r="H9" i="12"/>
  <c r="B87" i="19"/>
  <c r="J8" i="11"/>
  <c r="O8" s="1"/>
  <c r="I12" i="12"/>
  <c r="M11" i="11"/>
  <c r="AF114" i="19"/>
  <c r="I13" i="12"/>
  <c r="M12" i="11"/>
  <c r="P144" i="19"/>
  <c r="I10" i="12"/>
  <c r="M9" i="11"/>
  <c r="AF84" i="19"/>
  <c r="I18" i="12"/>
  <c r="M17" i="11"/>
  <c r="AF204" i="19"/>
  <c r="I15" i="12"/>
  <c r="M14" i="11"/>
  <c r="P174" i="19"/>
  <c r="HY8" i="9"/>
  <c r="H6" i="12"/>
  <c r="R27" i="19"/>
  <c r="J5" i="11"/>
  <c r="O5" s="1"/>
  <c r="J19" i="12"/>
  <c r="L18" i="11"/>
  <c r="K235" i="19"/>
  <c r="HX13" i="9"/>
  <c r="N10" i="11" s="1"/>
  <c r="J11" i="12"/>
  <c r="L10" i="11"/>
  <c r="K115" i="19"/>
  <c r="I8" i="12"/>
  <c r="AF54" i="19"/>
  <c r="M7" i="11"/>
  <c r="J14" i="12"/>
  <c r="L13" i="11"/>
  <c r="AA145" i="19"/>
  <c r="HX9" i="9"/>
  <c r="J7" i="12"/>
  <c r="L6" i="11"/>
  <c r="K55" i="19"/>
  <c r="I19" i="12"/>
  <c r="M18" i="11"/>
  <c r="P234" i="19"/>
  <c r="I11" i="12"/>
  <c r="M10" i="11"/>
  <c r="P114" i="19"/>
  <c r="J8" i="12"/>
  <c r="L7" i="11"/>
  <c r="AA55" i="19"/>
  <c r="I14" i="12"/>
  <c r="M13" i="11"/>
  <c r="AF144" i="19"/>
  <c r="P54"/>
  <c r="I7" i="12"/>
  <c r="M6" i="11"/>
  <c r="J12" i="12"/>
  <c r="L11" i="11"/>
  <c r="AA115" i="19"/>
  <c r="J13" i="12"/>
  <c r="L12" i="11"/>
  <c r="K145" i="19"/>
  <c r="J10" i="12"/>
  <c r="L9" i="11"/>
  <c r="AA85" i="19"/>
  <c r="J18" i="12"/>
  <c r="L17" i="11"/>
  <c r="AA205" i="19"/>
  <c r="HX17" i="9"/>
  <c r="J15" i="12"/>
  <c r="L14" i="11"/>
  <c r="K175" i="19"/>
  <c r="HY13" i="9"/>
  <c r="AK12" i="18"/>
  <c r="P10" i="11"/>
  <c r="V6" i="12"/>
  <c r="IA22" i="9"/>
  <c r="BH213"/>
  <c r="E10" i="6" s="1"/>
  <c r="D10"/>
  <c r="AR213" i="9"/>
  <c r="E8" i="6" s="1"/>
  <c r="D8"/>
  <c r="O8" s="1"/>
  <c r="IB33" i="9"/>
  <c r="IB24"/>
  <c r="BC213"/>
  <c r="E9" i="6" s="1"/>
  <c r="IA36" i="9"/>
  <c r="HZ20"/>
  <c r="IA20"/>
  <c r="R17" i="11" s="1"/>
  <c r="IA34" i="9"/>
  <c r="R31" i="11" s="1"/>
  <c r="HZ34" i="9"/>
  <c r="IA25"/>
  <c r="R22" i="11" s="1"/>
  <c r="HZ25" i="9"/>
  <c r="IA23"/>
  <c r="R20" i="11" s="1"/>
  <c r="HZ23" i="9"/>
  <c r="IA18"/>
  <c r="R15" i="11" s="1"/>
  <c r="HZ18" i="9"/>
  <c r="IA29"/>
  <c r="R26" i="11" s="1"/>
  <c r="HZ29" i="9"/>
  <c r="IA27"/>
  <c r="R24" i="11" s="1"/>
  <c r="HZ27" i="9"/>
  <c r="IA31"/>
  <c r="R28" i="11" s="1"/>
  <c r="HZ31" i="9"/>
  <c r="HZ16"/>
  <c r="IA16"/>
  <c r="R13" i="11" s="1"/>
  <c r="IA12" i="9"/>
  <c r="R9" i="11" s="1"/>
  <c r="HZ12" i="9"/>
  <c r="IA14"/>
  <c r="R11" i="11" s="1"/>
  <c r="HZ14" i="9"/>
  <c r="HZ9"/>
  <c r="IA9" s="1"/>
  <c r="IB19"/>
  <c r="HV8"/>
  <c r="I6" i="15" s="1"/>
  <c r="HW8" i="9"/>
  <c r="P24" i="4" s="1"/>
  <c r="HW11" i="9"/>
  <c r="HV11"/>
  <c r="I9" i="15" s="1"/>
  <c r="JX13" i="9"/>
  <c r="AS18" i="15"/>
  <c r="BL5" i="12"/>
  <c r="AS6" i="15"/>
  <c r="DS7" i="9"/>
  <c r="JZ21"/>
  <c r="JX21"/>
  <c r="JW21"/>
  <c r="JV21"/>
  <c r="JZ17"/>
  <c r="JX17"/>
  <c r="JW17"/>
  <c r="JV17"/>
  <c r="JQ11"/>
  <c r="JZ11"/>
  <c r="JV11"/>
  <c r="JX11"/>
  <c r="JW11"/>
  <c r="JU11"/>
  <c r="P211" i="12"/>
  <c r="P206" s="1"/>
  <c r="P212" s="1"/>
  <c r="AS9" i="15"/>
  <c r="N211" i="12"/>
  <c r="N206" s="1"/>
  <c r="N212" s="1"/>
  <c r="BO23" i="11"/>
  <c r="BO21"/>
  <c r="BO25"/>
  <c r="O211" i="12"/>
  <c r="O206" s="1"/>
  <c r="O212" s="1"/>
  <c r="JT11" i="9"/>
  <c r="JY11"/>
  <c r="KA11" s="1"/>
  <c r="JR11"/>
  <c r="JS11"/>
  <c r="DW7"/>
  <c r="DV7"/>
  <c r="DU7"/>
  <c r="DT7"/>
  <c r="JN10"/>
  <c r="JN8"/>
  <c r="JT21"/>
  <c r="JR21"/>
  <c r="JY21"/>
  <c r="KA21" s="1"/>
  <c r="JS21"/>
  <c r="JU21"/>
  <c r="JQ21"/>
  <c r="JR17"/>
  <c r="JY17"/>
  <c r="KA17" s="1"/>
  <c r="JS17"/>
  <c r="JU17"/>
  <c r="JQ17"/>
  <c r="JT17"/>
  <c r="JY15"/>
  <c r="KA15" s="1"/>
  <c r="Q23" i="4" l="1"/>
  <c r="R28"/>
  <c r="P55" i="19"/>
  <c r="N6" i="11"/>
  <c r="P175" i="19"/>
  <c r="N14" i="11"/>
  <c r="IB16" i="9"/>
  <c r="IB27"/>
  <c r="IB30"/>
  <c r="IB31"/>
  <c r="IB12"/>
  <c r="IB23"/>
  <c r="IB34"/>
  <c r="P115" i="19"/>
  <c r="J6" i="12"/>
  <c r="L5" i="11"/>
  <c r="AA25" i="19"/>
  <c r="J9" i="12"/>
  <c r="L8" i="11"/>
  <c r="K85" i="19"/>
  <c r="IB9" i="9"/>
  <c r="R6" i="11"/>
  <c r="IB36" i="9"/>
  <c r="R33" i="11"/>
  <c r="BQ33" s="1"/>
  <c r="IB22" i="9"/>
  <c r="R19" i="11"/>
  <c r="BO19" s="1"/>
  <c r="IB14" i="9"/>
  <c r="I6" i="12"/>
  <c r="AF24" i="19"/>
  <c r="M5" i="11"/>
  <c r="I9" i="12"/>
  <c r="P84" i="19"/>
  <c r="M8" i="11"/>
  <c r="IB18" i="9"/>
  <c r="IB25"/>
  <c r="AK14" i="18"/>
  <c r="AK15" s="1"/>
  <c r="Q23" s="1"/>
  <c r="BV21" i="11"/>
  <c r="BS21"/>
  <c r="BP21"/>
  <c r="BV25"/>
  <c r="BS25"/>
  <c r="BP25"/>
  <c r="BS19"/>
  <c r="BP19"/>
  <c r="BV23"/>
  <c r="BS23"/>
  <c r="BP23"/>
  <c r="BO30"/>
  <c r="BR30"/>
  <c r="BU30"/>
  <c r="BX30"/>
  <c r="BN30"/>
  <c r="BY30"/>
  <c r="BT30"/>
  <c r="BW30"/>
  <c r="BQ30"/>
  <c r="BP30"/>
  <c r="BS30"/>
  <c r="BV30"/>
  <c r="BY21"/>
  <c r="BW21"/>
  <c r="BT21"/>
  <c r="BY25"/>
  <c r="BW25"/>
  <c r="BT25"/>
  <c r="BU19"/>
  <c r="BW19"/>
  <c r="BT19"/>
  <c r="BU23"/>
  <c r="BW23"/>
  <c r="BT23"/>
  <c r="BX33"/>
  <c r="BW33"/>
  <c r="BV33"/>
  <c r="BO29"/>
  <c r="BR29"/>
  <c r="BQ29"/>
  <c r="BX29"/>
  <c r="BN29"/>
  <c r="BU29"/>
  <c r="BT29"/>
  <c r="BW29"/>
  <c r="BY29"/>
  <c r="BP29"/>
  <c r="BS29"/>
  <c r="BV29"/>
  <c r="BO16"/>
  <c r="BR16"/>
  <c r="BQ16"/>
  <c r="BX16"/>
  <c r="BN16"/>
  <c r="BU16"/>
  <c r="BT16"/>
  <c r="BW16"/>
  <c r="BY16"/>
  <c r="BP16"/>
  <c r="BS16"/>
  <c r="BV16"/>
  <c r="BU21"/>
  <c r="BN21"/>
  <c r="BX21"/>
  <c r="BU25"/>
  <c r="BN25"/>
  <c r="BX25"/>
  <c r="BQ19"/>
  <c r="BN19"/>
  <c r="BX19"/>
  <c r="BQ23"/>
  <c r="BN23"/>
  <c r="BX23"/>
  <c r="BO34"/>
  <c r="BR34"/>
  <c r="BU34"/>
  <c r="BX34"/>
  <c r="BN34"/>
  <c r="BY34"/>
  <c r="BT34"/>
  <c r="BW34"/>
  <c r="BQ34"/>
  <c r="BP34"/>
  <c r="BS34"/>
  <c r="BV34"/>
  <c r="BO28"/>
  <c r="BR28"/>
  <c r="BQ28"/>
  <c r="BX28"/>
  <c r="BN28"/>
  <c r="BU28"/>
  <c r="BT28"/>
  <c r="BW28"/>
  <c r="BY28"/>
  <c r="BP28"/>
  <c r="BS28"/>
  <c r="BV28"/>
  <c r="BO32"/>
  <c r="BR32"/>
  <c r="BQ32"/>
  <c r="BX32"/>
  <c r="BN32"/>
  <c r="BU32"/>
  <c r="BT32"/>
  <c r="BW32"/>
  <c r="BY32"/>
  <c r="BP32"/>
  <c r="BS32"/>
  <c r="BV32"/>
  <c r="BO27"/>
  <c r="BR27"/>
  <c r="BY27"/>
  <c r="BX27"/>
  <c r="BN27"/>
  <c r="BQ27"/>
  <c r="BT27"/>
  <c r="BW27"/>
  <c r="BU27"/>
  <c r="BP27"/>
  <c r="BS27"/>
  <c r="BV27"/>
  <c r="BQ21"/>
  <c r="BR21"/>
  <c r="BQ25"/>
  <c r="BR25"/>
  <c r="BY19"/>
  <c r="BR19"/>
  <c r="BY23"/>
  <c r="BR23"/>
  <c r="IA17" i="9"/>
  <c r="R14" i="11" s="1"/>
  <c r="HZ17" i="9"/>
  <c r="IA15"/>
  <c r="R12" i="11" s="1"/>
  <c r="HZ15" i="9"/>
  <c r="IA21"/>
  <c r="R18" i="11" s="1"/>
  <c r="HZ21" i="9"/>
  <c r="IA11"/>
  <c r="R8" i="11" s="1"/>
  <c r="HZ11" i="9"/>
  <c r="IB20"/>
  <c r="IB29"/>
  <c r="JY13"/>
  <c r="KA13" s="1"/>
  <c r="HZ13" s="1"/>
  <c r="DY7"/>
  <c r="HB7" s="1"/>
  <c r="V17" i="18"/>
  <c r="JW10" i="9"/>
  <c r="JZ10"/>
  <c r="JV10"/>
  <c r="JU8"/>
  <c r="JV8"/>
  <c r="JX8"/>
  <c r="JW8"/>
  <c r="JZ8"/>
  <c r="BO13" i="11"/>
  <c r="BO17"/>
  <c r="BO9"/>
  <c r="BO11"/>
  <c r="BP6"/>
  <c r="JQ10" i="9"/>
  <c r="JT10"/>
  <c r="JU10"/>
  <c r="JS10"/>
  <c r="JR10"/>
  <c r="JS8"/>
  <c r="JR8"/>
  <c r="JQ8"/>
  <c r="JT8"/>
  <c r="BV19" i="11" l="1"/>
  <c r="BY33"/>
  <c r="BN33"/>
  <c r="BO33"/>
  <c r="BP33"/>
  <c r="BU33"/>
  <c r="BR33"/>
  <c r="BS33"/>
  <c r="BT33"/>
  <c r="IB11" i="9"/>
  <c r="IB21"/>
  <c r="IB17"/>
  <c r="IB15"/>
  <c r="IA13"/>
  <c r="P24" i="18"/>
  <c r="BP8" i="11"/>
  <c r="BT8"/>
  <c r="BX8"/>
  <c r="BO8"/>
  <c r="BS8"/>
  <c r="BW8"/>
  <c r="BN8"/>
  <c r="BR8"/>
  <c r="BV8"/>
  <c r="BY8"/>
  <c r="BU8"/>
  <c r="BQ8"/>
  <c r="BO15"/>
  <c r="BR15"/>
  <c r="BY15"/>
  <c r="BX15"/>
  <c r="BN15"/>
  <c r="BQ15"/>
  <c r="BT15"/>
  <c r="BW15"/>
  <c r="BU15"/>
  <c r="BP15"/>
  <c r="BS15"/>
  <c r="BV15"/>
  <c r="BV13"/>
  <c r="BS13"/>
  <c r="BP13"/>
  <c r="BV17"/>
  <c r="BS17"/>
  <c r="BP17"/>
  <c r="BV11"/>
  <c r="BS11"/>
  <c r="BP11"/>
  <c r="BV9"/>
  <c r="BS9"/>
  <c r="BP9"/>
  <c r="BO31"/>
  <c r="BR31"/>
  <c r="BY31"/>
  <c r="BX31"/>
  <c r="BN31"/>
  <c r="BQ31"/>
  <c r="BT31"/>
  <c r="BW31"/>
  <c r="BU31"/>
  <c r="BP31"/>
  <c r="BS31"/>
  <c r="BV31"/>
  <c r="BO24"/>
  <c r="BR24"/>
  <c r="BQ24"/>
  <c r="BX24"/>
  <c r="BN24"/>
  <c r="BU24"/>
  <c r="BT24"/>
  <c r="BW24"/>
  <c r="BY24"/>
  <c r="BP24"/>
  <c r="BS24"/>
  <c r="BV24"/>
  <c r="BO22"/>
  <c r="BR22"/>
  <c r="BU22"/>
  <c r="BX22"/>
  <c r="BN22"/>
  <c r="BY22"/>
  <c r="BT22"/>
  <c r="BW22"/>
  <c r="BQ22"/>
  <c r="BP22"/>
  <c r="BS22"/>
  <c r="BV22"/>
  <c r="BO20"/>
  <c r="BR20"/>
  <c r="BQ20"/>
  <c r="BX20"/>
  <c r="BN20"/>
  <c r="BU20"/>
  <c r="BT20"/>
  <c r="BW20"/>
  <c r="BY20"/>
  <c r="BP20"/>
  <c r="BS20"/>
  <c r="BV20"/>
  <c r="BO26"/>
  <c r="BR26"/>
  <c r="BU26"/>
  <c r="BX26"/>
  <c r="BN26"/>
  <c r="BY26"/>
  <c r="BT26"/>
  <c r="BW26"/>
  <c r="BQ26"/>
  <c r="BP26"/>
  <c r="BS26"/>
  <c r="BV26"/>
  <c r="BY13"/>
  <c r="BW13"/>
  <c r="BT13"/>
  <c r="BY17"/>
  <c r="BW17"/>
  <c r="BT17"/>
  <c r="BU11"/>
  <c r="BW11"/>
  <c r="BT11"/>
  <c r="BY9"/>
  <c r="BW9"/>
  <c r="BT9"/>
  <c r="BU13"/>
  <c r="BN13"/>
  <c r="BX13"/>
  <c r="BU17"/>
  <c r="BN17"/>
  <c r="BX17"/>
  <c r="BQ11"/>
  <c r="BN11"/>
  <c r="BX11"/>
  <c r="BU9"/>
  <c r="BN9"/>
  <c r="BX9"/>
  <c r="BQ13"/>
  <c r="BR13"/>
  <c r="BQ17"/>
  <c r="BR17"/>
  <c r="BY11"/>
  <c r="BR11"/>
  <c r="BQ9"/>
  <c r="BR9"/>
  <c r="BW6"/>
  <c r="BT6"/>
  <c r="BQ6"/>
  <c r="BN6"/>
  <c r="BX6"/>
  <c r="BU6"/>
  <c r="BR6"/>
  <c r="BO6"/>
  <c r="BY6"/>
  <c r="BV6"/>
  <c r="BS6"/>
  <c r="AR11" i="15"/>
  <c r="Q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R10" i="11"/>
  <c r="R28" i="18"/>
  <c r="BO14" i="11"/>
  <c r="BR14"/>
  <c r="BU14"/>
  <c r="BX14"/>
  <c r="BN14"/>
  <c r="BY14"/>
  <c r="BT14"/>
  <c r="BW14"/>
  <c r="BQ14"/>
  <c r="BP14"/>
  <c r="BS14"/>
  <c r="BV14"/>
  <c r="BO12"/>
  <c r="BR12"/>
  <c r="BQ12"/>
  <c r="BX12"/>
  <c r="BN12"/>
  <c r="BU12"/>
  <c r="BT12"/>
  <c r="BW12"/>
  <c r="BY12"/>
  <c r="BP12"/>
  <c r="BS12"/>
  <c r="BV12"/>
  <c r="BO18"/>
  <c r="BR18"/>
  <c r="BU18"/>
  <c r="BX18"/>
  <c r="BN18"/>
  <c r="BY18"/>
  <c r="BT18"/>
  <c r="BW18"/>
  <c r="BQ18"/>
  <c r="BP18"/>
  <c r="BS18"/>
  <c r="BV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Z212"/>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R7" i="11" s="1"/>
  <c r="HZ10" i="9"/>
  <c r="IA8"/>
  <c r="R5" i="11" s="1"/>
  <c r="HZ8" i="9"/>
  <c r="AS11" i="15"/>
  <c r="HW7" i="9"/>
  <c r="HV7"/>
  <c r="HN7"/>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F6"/>
  <c r="GR7" i="9"/>
  <c r="Y218"/>
  <c r="M6" i="6" s="1"/>
  <c r="Y214" i="9"/>
  <c r="J6" i="6" s="1"/>
  <c r="GZ7" i="9"/>
  <c r="M5" i="15"/>
  <c r="M207" s="1"/>
  <c r="AM214" i="9"/>
  <c r="AM217"/>
  <c r="Y215"/>
  <c r="K6" i="6" s="1"/>
  <c r="AM218" i="9"/>
  <c r="K217"/>
  <c r="L5" i="6" s="1"/>
  <c r="K214" i="9"/>
  <c r="J5" i="6" s="1"/>
  <c r="K216" i="9"/>
  <c r="K218"/>
  <c r="M5" i="6" s="1"/>
  <c r="AM215" i="9"/>
  <c r="N207" i="15" l="1"/>
  <c r="Q212" i="9"/>
  <c r="AM216"/>
  <c r="N210" i="15"/>
  <c r="N216"/>
  <c r="HR7" i="9"/>
  <c r="G27" i="19" s="1"/>
  <c r="AM212" i="9"/>
  <c r="F7" i="6" s="1"/>
  <c r="AN212" i="9"/>
  <c r="G7" i="6" s="1"/>
  <c r="HQ7" i="9"/>
  <c r="M5" i="12"/>
  <c r="N208" i="15"/>
  <c r="N213"/>
  <c r="HO7" i="9"/>
  <c r="L27" i="19" s="1"/>
  <c r="AP212" i="9"/>
  <c r="I7" i="6" s="1"/>
  <c r="N209" i="15"/>
  <c r="N214"/>
  <c r="HP7" i="9"/>
  <c r="K25" i="19"/>
  <c r="HX21" i="9"/>
  <c r="HV209"/>
  <c r="P24" i="19"/>
  <c r="BO10" i="11"/>
  <c r="BR10"/>
  <c r="BU10"/>
  <c r="BX10"/>
  <c r="BN10"/>
  <c r="BY10"/>
  <c r="BT10"/>
  <c r="BW10"/>
  <c r="BQ10"/>
  <c r="BP10"/>
  <c r="BS10"/>
  <c r="BV10"/>
  <c r="BW212" i="9"/>
  <c r="H11" i="6"/>
  <c r="AE212" i="9"/>
  <c r="D6" i="6" s="1"/>
  <c r="O6" s="1"/>
  <c r="D5"/>
  <c r="O5" s="1"/>
  <c r="Q214" i="15"/>
  <c r="Q207"/>
  <c r="EE212" i="9"/>
  <c r="DZ213" s="1"/>
  <c r="CI212"/>
  <c r="D12" i="6" s="1"/>
  <c r="O12" s="1"/>
  <c r="CY212" i="9"/>
  <c r="D14" i="6" s="1"/>
  <c r="FO212" i="9"/>
  <c r="FJ213" s="1"/>
  <c r="C6" i="6"/>
  <c r="DE212" i="9"/>
  <c r="D15" i="6" s="1"/>
  <c r="O15" s="1"/>
  <c r="EQ212" i="9"/>
  <c r="EL213" s="1"/>
  <c r="CT212"/>
  <c r="D13" i="6" s="1"/>
  <c r="FG212" i="9"/>
  <c r="FB213" s="1"/>
  <c r="GC212"/>
  <c r="FU213" s="1"/>
  <c r="K215" i="15"/>
  <c r="AR5"/>
  <c r="IB13" i="9"/>
  <c r="HX19"/>
  <c r="HX14"/>
  <c r="HX30"/>
  <c r="N27" i="11" s="1"/>
  <c r="HX29" i="9"/>
  <c r="N26" i="11" s="1"/>
  <c r="HX27" i="9"/>
  <c r="N24" i="11" s="1"/>
  <c r="HX20" i="9"/>
  <c r="HX31"/>
  <c r="N28" i="11" s="1"/>
  <c r="HX15" i="9"/>
  <c r="N12" i="11" s="1"/>
  <c r="HX10" i="9"/>
  <c r="HX26"/>
  <c r="N23" i="11" s="1"/>
  <c r="HX25" i="9"/>
  <c r="N22" i="11" s="1"/>
  <c r="HX28" i="9"/>
  <c r="N25" i="11" s="1"/>
  <c r="HX16" i="9"/>
  <c r="HX36"/>
  <c r="N33" i="11" s="1"/>
  <c r="HX7" i="9"/>
  <c r="HX22"/>
  <c r="HX35"/>
  <c r="N32" i="11" s="1"/>
  <c r="HX37" i="9"/>
  <c r="N34" i="11" s="1"/>
  <c r="HX12" i="9"/>
  <c r="HX32"/>
  <c r="N29" i="11" s="1"/>
  <c r="HX23" i="9"/>
  <c r="HX18"/>
  <c r="HX34"/>
  <c r="N31" i="11" s="1"/>
  <c r="HX33" i="9"/>
  <c r="N30" i="11" s="1"/>
  <c r="HX8" i="9"/>
  <c r="HX24"/>
  <c r="HX11"/>
  <c r="K216" i="15"/>
  <c r="K210" i="12"/>
  <c r="AO5" i="15"/>
  <c r="S5"/>
  <c r="AP5"/>
  <c r="R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O14" i="6"/>
  <c r="T214" i="12"/>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AF25" i="19" l="1"/>
  <c r="N5" i="11"/>
  <c r="P265" i="19"/>
  <c r="N20" i="11"/>
  <c r="AF145" i="19"/>
  <c r="N13" i="11"/>
  <c r="AF55" i="19"/>
  <c r="N7" i="11"/>
  <c r="P205" i="19"/>
  <c r="N16" i="11"/>
  <c r="AF265" i="19"/>
  <c r="N21" i="11"/>
  <c r="AF175" i="19"/>
  <c r="N15" i="11"/>
  <c r="AF205" i="19"/>
  <c r="N17" i="11"/>
  <c r="AF115" i="19"/>
  <c r="N11" i="11"/>
  <c r="AF85" i="19"/>
  <c r="N9" i="11"/>
  <c r="P25" i="19"/>
  <c r="N4" i="11"/>
  <c r="P235" i="19"/>
  <c r="N18" i="11"/>
  <c r="P85" i="19"/>
  <c r="N8" i="11"/>
  <c r="AF235" i="19"/>
  <c r="N19" i="11"/>
  <c r="P295" i="19"/>
  <c r="AF295"/>
  <c r="Y213" i="9"/>
  <c r="AQ212"/>
  <c r="D7" i="6" s="1"/>
  <c r="O7" s="1"/>
  <c r="P145" i="19"/>
  <c r="U28" i="4"/>
  <c r="V5" i="12"/>
  <c r="CZ213" i="9"/>
  <c r="E15" i="6" s="1"/>
  <c r="BS213" i="9"/>
  <c r="E11" i="6" s="1"/>
  <c r="D11"/>
  <c r="O11" s="1"/>
  <c r="K213" i="9"/>
  <c r="E5" i="6" s="1"/>
  <c r="CU213" i="9"/>
  <c r="E14" i="6" s="1"/>
  <c r="K211" i="15"/>
  <c r="K206" s="1"/>
  <c r="K212" s="1"/>
  <c r="Q211"/>
  <c r="Q206" s="1"/>
  <c r="Q212" s="1"/>
  <c r="E6" i="6"/>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O4" i="11"/>
  <c r="F210"/>
  <c r="F211" s="1"/>
  <c r="F212"/>
  <c r="G206"/>
  <c r="F214" i="12"/>
  <c r="F213"/>
  <c r="F211"/>
  <c r="F212" s="1"/>
  <c r="BO5" i="11"/>
  <c r="BR5"/>
  <c r="BY5"/>
  <c r="BX5"/>
  <c r="BN5"/>
  <c r="BU5"/>
  <c r="BT5"/>
  <c r="BW5"/>
  <c r="BQ5"/>
  <c r="BP5"/>
  <c r="BS5"/>
  <c r="BV5"/>
  <c r="HV215" i="9"/>
  <c r="JT211"/>
  <c r="IA7"/>
  <c r="R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P4" i="11"/>
  <c r="F213" i="15"/>
  <c r="F211"/>
  <c r="G211" s="1"/>
  <c r="G212" s="1"/>
  <c r="Q4" i="11"/>
  <c r="AS5" i="15"/>
  <c r="F214"/>
  <c r="G214" s="1"/>
  <c r="M4" i="11"/>
  <c r="I5" i="15"/>
  <c r="I5" i="12"/>
  <c r="L4" i="11"/>
  <c r="J5" i="12"/>
  <c r="JN214" i="9"/>
  <c r="JN208"/>
  <c r="JS213" l="1"/>
  <c r="G207" i="11"/>
  <c r="G208"/>
  <c r="G209"/>
  <c r="F207"/>
  <c r="F209"/>
  <c r="F208"/>
  <c r="G212"/>
  <c r="H212" s="1"/>
  <c r="G210"/>
  <c r="G211" s="1"/>
  <c r="BN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X4" i="11"/>
  <c r="BU4"/>
  <c r="BO4"/>
  <c r="BY4"/>
  <c r="BR4"/>
  <c r="BS4"/>
  <c r="BP4"/>
  <c r="BV4"/>
  <c r="BW4"/>
  <c r="BT4"/>
  <c r="BQ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O7" i="11" l="1"/>
  <c r="BR7"/>
  <c r="BY7"/>
  <c r="BX7"/>
  <c r="BN7"/>
  <c r="BU7"/>
  <c r="BT7"/>
  <c r="BW7"/>
  <c r="BQ7"/>
  <c r="BP7"/>
  <c r="BS7"/>
  <c r="BV7"/>
  <c r="IC211" i="9"/>
  <c r="IB212"/>
  <c r="IB215" s="1"/>
  <c r="IB217"/>
  <c r="IB216"/>
  <c r="IC216" s="1"/>
  <c r="IC213"/>
  <c r="H209" i="11"/>
  <c r="BN209" l="1"/>
  <c r="BN208"/>
  <c r="BN207"/>
  <c r="BN211"/>
  <c r="BN212"/>
  <c r="BN213"/>
  <c r="BN216"/>
  <c r="BP213"/>
  <c r="E33" i="6" s="1"/>
  <c r="BP211" i="11"/>
  <c r="E31" i="6" s="1"/>
  <c r="BP212" i="11"/>
  <c r="E32" i="6" s="1"/>
  <c r="BP216" i="11"/>
  <c r="E36" i="6" s="1"/>
  <c r="BP209" i="11"/>
  <c r="E29" i="6" s="1"/>
  <c r="BP207" i="11"/>
  <c r="BP208"/>
  <c r="E28" i="6" s="1"/>
  <c r="BQ212" i="11"/>
  <c r="F32" i="6" s="1"/>
  <c r="BQ211" i="11"/>
  <c r="F31" i="6" s="1"/>
  <c r="BQ209" i="11"/>
  <c r="F29" i="6" s="1"/>
  <c r="BQ207" i="11"/>
  <c r="BQ213"/>
  <c r="F33" i="6" s="1"/>
  <c r="BQ216" i="11"/>
  <c r="F36" i="6" s="1"/>
  <c r="BQ208" i="11"/>
  <c r="F28" i="6" s="1"/>
  <c r="BO209" i="11"/>
  <c r="D29" i="6" s="1"/>
  <c r="BO212" i="11"/>
  <c r="D32" i="6" s="1"/>
  <c r="BO207" i="11"/>
  <c r="BO213"/>
  <c r="D33" i="6" s="1"/>
  <c r="BO211" i="11"/>
  <c r="D31" i="6" s="1"/>
  <c r="BO216" i="11"/>
  <c r="D36" i="6" s="1"/>
  <c r="BO208" i="11"/>
  <c r="D28" i="6" s="1"/>
  <c r="BR209" i="11"/>
  <c r="G29" i="6" s="1"/>
  <c r="BR216" i="11"/>
  <c r="G36" i="6" s="1"/>
  <c r="BR211" i="11"/>
  <c r="G31" i="6" s="1"/>
  <c r="BR207" i="11"/>
  <c r="BR208"/>
  <c r="G28" i="6" s="1"/>
  <c r="BR212" i="11"/>
  <c r="G32" i="6" s="1"/>
  <c r="BR213" i="11"/>
  <c r="G33" i="6" s="1"/>
  <c r="IB218" i="9"/>
  <c r="IC212"/>
  <c r="IC215" s="1"/>
  <c r="BV211" i="11"/>
  <c r="K31" i="6" s="1"/>
  <c r="BV208" i="11"/>
  <c r="K28" i="6" s="1"/>
  <c r="BV213" i="11"/>
  <c r="K33" i="6" s="1"/>
  <c r="BV216" i="11"/>
  <c r="K36" i="6" s="1"/>
  <c r="BV207" i="11"/>
  <c r="BV212"/>
  <c r="K32" i="6" s="1"/>
  <c r="BV209" i="11"/>
  <c r="K29" i="6" s="1"/>
  <c r="BT211" i="11"/>
  <c r="I31" i="6" s="1"/>
  <c r="BT216" i="11"/>
  <c r="I36" i="6" s="1"/>
  <c r="BT212" i="11"/>
  <c r="I32" i="6" s="1"/>
  <c r="BT208" i="11"/>
  <c r="I28" i="6" s="1"/>
  <c r="BT207" i="11"/>
  <c r="BT209"/>
  <c r="I29" i="6" s="1"/>
  <c r="BT213" i="11"/>
  <c r="I33" i="6" s="1"/>
  <c r="BX212" i="11"/>
  <c r="M32" i="6" s="1"/>
  <c r="BX213" i="11"/>
  <c r="M33" i="6" s="1"/>
  <c r="BX211" i="11"/>
  <c r="M31" i="6" s="1"/>
  <c r="BX216" i="11"/>
  <c r="M36" i="6" s="1"/>
  <c r="BX208" i="11"/>
  <c r="M28" i="6" s="1"/>
  <c r="BX209" i="11"/>
  <c r="M29" i="6" s="1"/>
  <c r="BX207" i="11"/>
  <c r="BW208"/>
  <c r="L28" i="6" s="1"/>
  <c r="BW212" i="11"/>
  <c r="L32" i="6" s="1"/>
  <c r="BW211" i="11"/>
  <c r="L31" i="6" s="1"/>
  <c r="BW213" i="11"/>
  <c r="L33" i="6" s="1"/>
  <c r="BW207" i="11"/>
  <c r="BW216"/>
  <c r="L36" i="6" s="1"/>
  <c r="BW209" i="11"/>
  <c r="L29" i="6" s="1"/>
  <c r="BY216" i="11"/>
  <c r="N36" i="6" s="1"/>
  <c r="BY212" i="11"/>
  <c r="N32" i="6" s="1"/>
  <c r="BY208" i="11"/>
  <c r="N28" i="6" s="1"/>
  <c r="BY207" i="11"/>
  <c r="BY213"/>
  <c r="N33" i="6" s="1"/>
  <c r="BY209" i="11"/>
  <c r="N29" i="6" s="1"/>
  <c r="BY211" i="11"/>
  <c r="N31" i="6" s="1"/>
  <c r="BU216" i="11"/>
  <c r="J36" i="6" s="1"/>
  <c r="BU213" i="11"/>
  <c r="J33" i="6" s="1"/>
  <c r="BU209" i="11"/>
  <c r="J29" i="6" s="1"/>
  <c r="BU212" i="11"/>
  <c r="J32" i="6" s="1"/>
  <c r="BU208" i="11"/>
  <c r="J28" i="6" s="1"/>
  <c r="BU211" i="11"/>
  <c r="J31" i="6" s="1"/>
  <c r="BU207" i="11"/>
  <c r="BS208"/>
  <c r="H28" i="6" s="1"/>
  <c r="BS216" i="11"/>
  <c r="H36" i="6" s="1"/>
  <c r="BS213" i="11"/>
  <c r="H33" i="6" s="1"/>
  <c r="BS212" i="11"/>
  <c r="H32" i="6" s="1"/>
  <c r="BS209" i="11"/>
  <c r="H29" i="6" s="1"/>
  <c r="BS207" i="11"/>
  <c r="BS211"/>
  <c r="H31" i="6" s="1"/>
  <c r="BN210" i="11" l="1"/>
  <c r="BN214" s="1"/>
  <c r="BN215" s="1"/>
  <c r="N27" i="6"/>
  <c r="BY210" i="11"/>
  <c r="BT210"/>
  <c r="I27" i="6"/>
  <c r="C31"/>
  <c r="BZ211" i="11"/>
  <c r="O31" i="6" s="1"/>
  <c r="C29"/>
  <c r="BZ209" i="11"/>
  <c r="O29" i="6" s="1"/>
  <c r="G27"/>
  <c r="BR210" i="11"/>
  <c r="D27" i="6"/>
  <c r="BO210" i="11"/>
  <c r="M27" i="6"/>
  <c r="BX210" i="11"/>
  <c r="K27" i="6"/>
  <c r="BV210" i="11"/>
  <c r="C32" i="6"/>
  <c r="BZ212" i="11"/>
  <c r="O32" i="6" s="1"/>
  <c r="C36"/>
  <c r="BZ216" i="11"/>
  <c r="O36" i="6" s="1"/>
  <c r="E27"/>
  <c r="BP210" i="11"/>
  <c r="BU210"/>
  <c r="J27" i="6"/>
  <c r="L27"/>
  <c r="BW210" i="11"/>
  <c r="BZ207"/>
  <c r="O27" i="6" s="1"/>
  <c r="C27"/>
  <c r="C33"/>
  <c r="BZ213" i="11"/>
  <c r="O33" i="6" s="1"/>
  <c r="F27"/>
  <c r="BQ210" i="11"/>
  <c r="H27" i="6"/>
  <c r="BS210" i="11"/>
  <c r="C28" i="6"/>
  <c r="BZ208" i="11"/>
  <c r="O28" i="6" s="1"/>
  <c r="BP214" i="11" l="1"/>
  <c r="E30" i="6"/>
  <c r="BV214" i="11"/>
  <c r="K30" i="6"/>
  <c r="BO214" i="11"/>
  <c r="D30" i="6"/>
  <c r="F30"/>
  <c r="BQ214" i="11"/>
  <c r="L30" i="6"/>
  <c r="BW214" i="11"/>
  <c r="BX214"/>
  <c r="M30" i="6"/>
  <c r="BR214" i="11"/>
  <c r="G30" i="6"/>
  <c r="N30"/>
  <c r="BY214" i="11"/>
  <c r="BS214"/>
  <c r="H30" i="6"/>
  <c r="BZ210" i="11"/>
  <c r="O30" i="6" s="1"/>
  <c r="C30"/>
  <c r="BU214" i="11"/>
  <c r="J30" i="6"/>
  <c r="I30"/>
  <c r="BT214" i="11"/>
  <c r="C35" i="6" l="1"/>
  <c r="BZ214" i="11"/>
  <c r="C34" i="6"/>
  <c r="BY215" i="11"/>
  <c r="N35" i="6" s="1"/>
  <c r="N34"/>
  <c r="F34"/>
  <c r="BQ215" i="11"/>
  <c r="F35" i="6" s="1"/>
  <c r="BT215" i="11"/>
  <c r="I35" i="6" s="1"/>
  <c r="I34"/>
  <c r="BS215" i="11"/>
  <c r="H35" i="6" s="1"/>
  <c r="H34"/>
  <c r="BR215" i="11"/>
  <c r="G35" i="6" s="1"/>
  <c r="G34"/>
  <c r="D34"/>
  <c r="BO215" i="11"/>
  <c r="D35" i="6" s="1"/>
  <c r="E34"/>
  <c r="BP215" i="11"/>
  <c r="E35" i="6" s="1"/>
  <c r="J34"/>
  <c r="BU215" i="11"/>
  <c r="J35" i="6" s="1"/>
  <c r="L34"/>
  <c r="BW215" i="11"/>
  <c r="L35" i="6" s="1"/>
  <c r="BX215" i="11"/>
  <c r="M35" i="6" s="1"/>
  <c r="M34"/>
  <c r="BV215" i="11"/>
  <c r="K35" i="6" s="1"/>
  <c r="K34"/>
  <c r="O34" l="1"/>
  <c r="BZ215" i="11"/>
  <c r="O35" i="6" s="1"/>
</calcChain>
</file>

<file path=xl/sharedStrings.xml><?xml version="1.0" encoding="utf-8"?>
<sst xmlns="http://schemas.openxmlformats.org/spreadsheetml/2006/main" count="850" uniqueCount="277">
  <si>
    <t>SRNO</t>
  </si>
  <si>
    <t>ROLL NO</t>
  </si>
  <si>
    <t>OBC</t>
  </si>
  <si>
    <t>Class</t>
  </si>
  <si>
    <t>Section</t>
  </si>
  <si>
    <t>DOA</t>
  </si>
  <si>
    <t>Gender</t>
  </si>
  <si>
    <t>Category</t>
  </si>
  <si>
    <t>A</t>
  </si>
  <si>
    <t>F</t>
  </si>
  <si>
    <t>M</t>
  </si>
  <si>
    <t>PHOTO</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</si>
  <si>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</si>
  <si>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</si>
  <si>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</si>
  <si>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</si>
  <si>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</si>
  <si>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</si>
  <si>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</si>
  <si>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</si>
  <si>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</si>
  <si>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</si>
  <si>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</si>
  <si>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</si>
  <si>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</si>
  <si>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</si>
  <si>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</si>
  <si>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</si>
  <si>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</si>
  <si>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</si>
  <si>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</si>
  <si>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</si>
  <si>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</si>
  <si>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</si>
  <si>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</si>
  <si>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</si>
  <si>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</si>
  <si>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</si>
  <si>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</si>
  <si>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</si>
  <si>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</si>
  <si>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</si>
  <si>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</si>
  <si>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</si>
  <si>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</si>
  <si>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</si>
  <si>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</si>
  <si>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</si>
  <si>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</si>
  <si>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</si>
  <si>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</si>
  <si>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</si>
  <si>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</si>
  <si>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</si>
  <si>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</si>
  <si>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</si>
  <si>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</si>
  <si>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</si>
  <si>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</si>
  <si>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</si>
  <si>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</si>
  <si>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</si>
  <si>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</si>
  <si>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</si>
  <si>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</si>
  <si>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</si>
  <si>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</si>
  <si>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</si>
  <si>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</si>
  <si>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</si>
  <si>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</si>
  <si>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Sr. Teacher at GSSS Inderwara (PALI)</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</si>
  <si>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</si>
  <si>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</si>
  <si>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</si>
  <si>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</si>
  <si>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</si>
  <si>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</si>
  <si>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</si>
  <si>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</si>
  <si>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</si>
  <si>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</si>
  <si>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</si>
  <si>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</si>
  <si>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</si>
  <si>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</si>
  <si>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</si>
  <si>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</si>
  <si>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</si>
  <si>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</si>
  <si>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</si>
  <si>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</si>
  <si>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</si>
  <si>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</si>
  <si>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</si>
  <si>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</si>
  <si>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</si>
  <si>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</si>
  <si>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</si>
  <si>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</si>
  <si>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</si>
  <si>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</si>
  <si>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</si>
  <si>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</si>
  <si>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</si>
  <si>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</si>
  <si>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</si>
  <si>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</si>
  <si>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</si>
  <si>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</si>
  <si>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</si>
  <si>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USHA PALIYA</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</si>
  <si>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</si>
  <si>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</si>
  <si>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</si>
  <si>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</si>
  <si>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</si>
  <si>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</si>
  <si>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</si>
  <si>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</si>
  <si>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</si>
  <si>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</si>
  <si>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</si>
  <si>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</si>
  <si>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</si>
  <si>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</si>
  <si>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</si>
  <si>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</si>
  <si>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</si>
  <si>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</si>
  <si>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</si>
  <si>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</si>
  <si>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</si>
  <si>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</si>
  <si>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</si>
  <si>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</si>
  <si>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</si>
  <si>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</si>
  <si>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</si>
  <si>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</si>
  <si>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</si>
  <si>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</si>
  <si>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</si>
  <si>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</si>
  <si>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</si>
  <si>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</si>
  <si>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</si>
  <si>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</si>
  <si>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</si>
  <si>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</si>
  <si>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</si>
  <si>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</si>
  <si>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</si>
  <si>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</si>
  <si>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</si>
  <si>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</si>
  <si>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</si>
  <si>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</si>
  <si>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</si>
  <si>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</si>
  <si>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</si>
  <si>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</si>
  <si>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</si>
  <si>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</si>
  <si>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</si>
  <si>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</si>
  <si>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</si>
  <si>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</si>
  <si>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</si>
  <si>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</si>
  <si>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</si>
  <si>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</si>
  <si>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</si>
  <si>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</si>
  <si>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</si>
  <si>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यू टूयूब विडियो लिंक </t>
  </si>
  <si>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</si>
  <si>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</si>
  <si>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</si>
  <si>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</si>
  <si>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</si>
  <si>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</si>
  <si>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</si>
  <si>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</si>
  <si>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</si>
  <si>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</si>
  <si>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</si>
  <si>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</si>
  <si>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</si>
  <si>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</si>
  <si>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</si>
  <si>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</si>
  <si>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</si>
  <si>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</si>
  <si>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</si>
  <si>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</si>
  <si>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</si>
  <si>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</si>
  <si>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</si>
  <si>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</si>
  <si>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</si>
  <si>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</si>
  <si>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</si>
  <si>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</si>
  <si>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</si>
  <si>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</si>
  <si>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</si>
  <si>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</si>
  <si>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</si>
  <si>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</si>
  <si>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</si>
  <si>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</si>
  <si>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</si>
  <si>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</si>
  <si>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</si>
  <si>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</si>
  <si>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</si>
  <si>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</si>
  <si>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</si>
  <si>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</si>
  <si>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</si>
  <si>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</si>
  <si>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</si>
  <si>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</si>
  <si>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</si>
  <si>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</si>
  <si>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</si>
  <si>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</si>
  <si>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</si>
  <si>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</si>
  <si>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</si>
  <si>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</si>
  <si>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</si>
  <si>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</si>
  <si>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</si>
  <si>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</si>
  <si>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</si>
  <si>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</si>
  <si>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</si>
  <si>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</si>
  <si>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</si>
  <si>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</si>
  <si>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</si>
  <si>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</si>
  <si>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</si>
  <si>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</si>
  <si>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</si>
  <si>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</si>
  <si>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</si>
  <si>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</si>
  <si>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</si>
  <si>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</si>
  <si>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</si>
  <si>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</si>
  <si>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</si>
  <si>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</si>
  <si>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</si>
  <si>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</si>
  <si>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</si>
  <si>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</si>
  <si>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</si>
  <si>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</si>
  <si>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</si>
  <si>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</si>
  <si>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</si>
  <si>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</si>
  <si>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</si>
  <si>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</si>
  <si>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</si>
  <si>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</si>
  <si>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</si>
  <si>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</si>
  <si>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</si>
  <si>
    <t>Session  :-</t>
  </si>
  <si>
    <t>2024-2025</t>
  </si>
  <si>
    <t>Yes</t>
  </si>
  <si>
    <t>https://youtu.be/atAmvhXLU30</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</si>
</sst>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3">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4"/>
      <name val="Arial"/>
      <family val="2"/>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rgb="FF9900FF"/>
      </left>
      <right/>
      <top style="medium">
        <color rgb="FF9900FF"/>
      </top>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
      <left style="thin">
        <color theme="5" tint="-0.249977111117893"/>
      </left>
      <right style="thin">
        <color theme="5" tint="-0.249977111117893"/>
      </right>
      <top/>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36">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94"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62" xfId="0" applyNumberFormat="1" applyFont="1" applyFill="1" applyBorder="1" applyAlignment="1" applyProtection="1">
      <alignment horizontal="center" vertical="center" wrapText="1"/>
      <protection hidden="1"/>
    </xf>
    <xf numFmtId="1" fontId="60" fillId="0" borderId="16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6" xfId="0" applyFont="1" applyFill="1" applyBorder="1" applyAlignment="1" applyProtection="1">
      <alignment vertical="center" wrapText="1"/>
      <protection hidden="1"/>
    </xf>
    <xf numFmtId="0" fontId="32" fillId="0" borderId="106"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6"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6" xfId="0" applyFont="1" applyFill="1" applyBorder="1" applyAlignment="1" applyProtection="1">
      <alignment horizontal="center" vertical="center" wrapText="1"/>
      <protection hidden="1"/>
    </xf>
    <xf numFmtId="0" fontId="232" fillId="21" borderId="106" xfId="0" applyFont="1" applyFill="1" applyBorder="1" applyAlignment="1" applyProtection="1">
      <alignment horizontal="center" vertical="center" wrapText="1"/>
      <protection hidden="1"/>
    </xf>
    <xf numFmtId="0" fontId="229" fillId="0" borderId="106" xfId="0" applyFont="1" applyFill="1" applyBorder="1" applyAlignment="1" applyProtection="1">
      <alignment horizontal="center" vertical="center" textRotation="90" wrapText="1"/>
      <protection hidden="1"/>
    </xf>
    <xf numFmtId="0" fontId="229" fillId="0" borderId="106" xfId="0" applyFont="1" applyFill="1" applyBorder="1" applyAlignment="1" applyProtection="1">
      <alignment horizontal="center" vertical="center" wrapText="1"/>
      <protection hidden="1"/>
    </xf>
    <xf numFmtId="0" fontId="230" fillId="0" borderId="106" xfId="0" applyFont="1" applyFill="1" applyBorder="1" applyAlignment="1" applyProtection="1">
      <alignment horizontal="center" vertical="center" wrapText="1"/>
      <protection hidden="1"/>
    </xf>
    <xf numFmtId="0" fontId="43" fillId="21" borderId="106" xfId="0" applyFont="1" applyFill="1" applyBorder="1" applyAlignment="1" applyProtection="1">
      <alignment horizontal="center" vertical="center" wrapText="1"/>
      <protection hidden="1"/>
    </xf>
    <xf numFmtId="0" fontId="45" fillId="21" borderId="106" xfId="0" applyFont="1" applyFill="1" applyBorder="1" applyAlignment="1" applyProtection="1">
      <alignment horizontal="center" vertical="center" wrapText="1"/>
      <protection hidden="1"/>
    </xf>
    <xf numFmtId="0" fontId="43" fillId="23" borderId="106" xfId="0" applyFont="1" applyFill="1" applyBorder="1" applyAlignment="1" applyProtection="1">
      <alignment horizontal="center" vertical="center" wrapText="1"/>
      <protection hidden="1"/>
    </xf>
    <xf numFmtId="0" fontId="113" fillId="23" borderId="106" xfId="0" applyFont="1" applyFill="1" applyBorder="1" applyAlignment="1" applyProtection="1">
      <alignment horizontal="center" vertical="center" wrapText="1"/>
      <protection hidden="1"/>
    </xf>
    <xf numFmtId="0" fontId="89" fillId="0" borderId="113" xfId="0" applyFont="1" applyFill="1" applyBorder="1" applyAlignment="1" applyProtection="1">
      <alignment horizontal="center" vertical="center" wrapText="1"/>
      <protection hidden="1"/>
    </xf>
    <xf numFmtId="0" fontId="88" fillId="0" borderId="113" xfId="0" applyFont="1" applyFill="1" applyBorder="1" applyAlignment="1" applyProtection="1">
      <alignment horizontal="center" vertical="center" wrapText="1"/>
      <protection hidden="1"/>
    </xf>
    <xf numFmtId="1" fontId="48" fillId="0" borderId="106"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6" xfId="0" applyFont="1" applyFill="1" applyBorder="1" applyAlignment="1" applyProtection="1">
      <alignment horizontal="center" vertical="center" wrapText="1"/>
      <protection hidden="1"/>
    </xf>
    <xf numFmtId="0" fontId="49" fillId="0" borderId="106" xfId="0" applyFont="1" applyFill="1" applyBorder="1" applyAlignment="1" applyProtection="1">
      <alignment horizontal="center" vertical="center" wrapText="1"/>
      <protection hidden="1"/>
    </xf>
    <xf numFmtId="0" fontId="51" fillId="7" borderId="106" xfId="0" applyFont="1" applyFill="1" applyBorder="1" applyAlignment="1" applyProtection="1">
      <alignment horizontal="center" vertical="center" wrapText="1"/>
      <protection hidden="1"/>
    </xf>
    <xf numFmtId="0" fontId="52" fillId="0" borderId="106" xfId="0" applyFont="1" applyFill="1" applyBorder="1" applyAlignment="1" applyProtection="1">
      <alignment horizontal="center" vertical="center" wrapText="1"/>
      <protection hidden="1"/>
    </xf>
    <xf numFmtId="0" fontId="233" fillId="0" borderId="106" xfId="0" applyFont="1" applyFill="1" applyBorder="1" applyAlignment="1" applyProtection="1">
      <alignment horizontal="center" vertical="center" wrapText="1"/>
      <protection hidden="1"/>
    </xf>
    <xf numFmtId="166" fontId="52" fillId="0" borderId="106" xfId="0" applyNumberFormat="1" applyFont="1" applyFill="1" applyBorder="1" applyAlignment="1" applyProtection="1">
      <alignment horizontal="center" vertical="center" wrapText="1"/>
      <protection hidden="1"/>
    </xf>
    <xf numFmtId="0" fontId="113" fillId="0" borderId="106" xfId="0" applyFont="1" applyFill="1" applyBorder="1" applyAlignment="1" applyProtection="1">
      <alignment horizontal="left" vertical="center" wrapText="1"/>
      <protection hidden="1"/>
    </xf>
    <xf numFmtId="0" fontId="43" fillId="0" borderId="106" xfId="0" applyFont="1" applyFill="1" applyBorder="1" applyAlignment="1" applyProtection="1">
      <alignment horizontal="center" vertical="center" wrapText="1"/>
      <protection hidden="1"/>
    </xf>
    <xf numFmtId="0" fontId="46" fillId="0" borderId="106" xfId="0" applyFont="1" applyFill="1" applyBorder="1" applyAlignment="1" applyProtection="1">
      <alignment horizontal="center" vertical="center" wrapText="1"/>
      <protection hidden="1"/>
    </xf>
    <xf numFmtId="0" fontId="231" fillId="0" borderId="106" xfId="0" applyFont="1" applyFill="1" applyBorder="1" applyAlignment="1" applyProtection="1">
      <alignment horizontal="center" vertical="center" wrapText="1"/>
      <protection hidden="1"/>
    </xf>
    <xf numFmtId="0" fontId="46" fillId="26" borderId="106" xfId="0" applyFont="1" applyFill="1" applyBorder="1" applyAlignment="1" applyProtection="1">
      <alignment horizontal="center" vertical="center" wrapText="1"/>
      <protection hidden="1"/>
    </xf>
    <xf numFmtId="0" fontId="46" fillId="23" borderId="106" xfId="0" applyFont="1" applyFill="1" applyBorder="1" applyAlignment="1" applyProtection="1">
      <alignment horizontal="center" vertical="center" wrapText="1"/>
      <protection hidden="1"/>
    </xf>
    <xf numFmtId="0" fontId="35" fillId="21" borderId="106" xfId="0" applyFont="1" applyFill="1" applyBorder="1" applyAlignment="1" applyProtection="1">
      <alignment horizontal="center" vertical="center" wrapText="1"/>
      <protection hidden="1"/>
    </xf>
    <xf numFmtId="1" fontId="47" fillId="0" borderId="108" xfId="0" applyNumberFormat="1" applyFont="1" applyFill="1" applyBorder="1" applyAlignment="1" applyProtection="1">
      <alignment horizontal="center" vertical="center" wrapText="1"/>
      <protection hidden="1"/>
    </xf>
    <xf numFmtId="1" fontId="228" fillId="0" borderId="108" xfId="0" applyNumberFormat="1" applyFont="1" applyFill="1" applyBorder="1" applyAlignment="1" applyProtection="1">
      <alignment horizontal="center" vertical="center" wrapText="1"/>
      <protection hidden="1"/>
    </xf>
    <xf numFmtId="0" fontId="53" fillId="0" borderId="106" xfId="5" applyFont="1" applyBorder="1" applyAlignment="1" applyProtection="1">
      <alignment horizontal="center"/>
      <protection hidden="1"/>
    </xf>
    <xf numFmtId="0" fontId="54" fillId="0" borderId="106" xfId="0" applyFont="1" applyFill="1" applyBorder="1" applyAlignment="1" applyProtection="1">
      <alignment horizontal="center" vertical="center" wrapText="1"/>
      <protection hidden="1"/>
    </xf>
    <xf numFmtId="0" fontId="55" fillId="0" borderId="106" xfId="0" applyFont="1" applyFill="1" applyBorder="1" applyAlignment="1" applyProtection="1">
      <alignment horizontal="center" vertical="center" wrapText="1"/>
      <protection hidden="1"/>
    </xf>
    <xf numFmtId="0" fontId="53" fillId="0" borderId="106" xfId="5" applyFont="1" applyFill="1" applyBorder="1" applyAlignment="1" applyProtection="1">
      <alignment horizontal="center"/>
      <protection hidden="1"/>
    </xf>
    <xf numFmtId="0" fontId="112" fillId="0" borderId="106" xfId="0" applyFont="1" applyFill="1" applyBorder="1" applyAlignment="1" applyProtection="1">
      <alignment horizontal="center" vertical="center" wrapText="1"/>
      <protection hidden="1"/>
    </xf>
    <xf numFmtId="0" fontId="33" fillId="0" borderId="106"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10" xfId="0" applyFont="1" applyFill="1" applyBorder="1" applyAlignment="1" applyProtection="1">
      <alignment vertical="center" wrapText="1"/>
      <protection hidden="1"/>
    </xf>
    <xf numFmtId="0" fontId="93" fillId="17" borderId="106" xfId="0" applyFont="1" applyFill="1" applyBorder="1" applyAlignment="1" applyProtection="1">
      <alignment vertical="center" wrapText="1"/>
      <protection hidden="1"/>
    </xf>
    <xf numFmtId="0" fontId="33" fillId="0" borderId="106" xfId="0" applyFont="1" applyFill="1" applyBorder="1" applyAlignment="1" applyProtection="1">
      <alignment vertical="center" wrapText="1"/>
      <protection hidden="1"/>
    </xf>
    <xf numFmtId="0" fontId="36" fillId="0" borderId="106" xfId="0" applyFont="1" applyFill="1" applyBorder="1" applyAlignment="1" applyProtection="1">
      <alignment vertical="center" wrapText="1"/>
      <protection hidden="1"/>
    </xf>
    <xf numFmtId="0" fontId="69" fillId="0" borderId="112"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10" xfId="0" applyFont="1" applyFill="1" applyBorder="1" applyAlignment="1" applyProtection="1">
      <alignment vertical="center" wrapText="1"/>
      <protection hidden="1"/>
    </xf>
    <xf numFmtId="0" fontId="225" fillId="17" borderId="106" xfId="0" applyFont="1" applyFill="1" applyBorder="1" applyAlignment="1" applyProtection="1">
      <alignment vertical="center" wrapText="1"/>
      <protection hidden="1"/>
    </xf>
    <xf numFmtId="0" fontId="60" fillId="17" borderId="106"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10" xfId="0" applyFont="1" applyFill="1" applyBorder="1" applyAlignment="1" applyProtection="1">
      <alignment vertical="center" wrapText="1"/>
      <protection hidden="1"/>
    </xf>
    <xf numFmtId="0" fontId="226" fillId="17" borderId="106" xfId="0" applyFont="1" applyFill="1" applyBorder="1" applyAlignment="1" applyProtection="1">
      <alignment vertical="center" wrapText="1"/>
      <protection hidden="1"/>
    </xf>
    <xf numFmtId="0" fontId="57" fillId="17" borderId="106" xfId="0" applyFont="1" applyFill="1" applyBorder="1" applyAlignment="1" applyProtection="1">
      <alignment horizontal="center" wrapText="1"/>
      <protection hidden="1"/>
    </xf>
    <xf numFmtId="0" fontId="48" fillId="0" borderId="106"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6" xfId="0" applyNumberFormat="1" applyFont="1" applyFill="1" applyBorder="1" applyAlignment="1" applyProtection="1">
      <alignment vertical="center" wrapText="1"/>
      <protection hidden="1"/>
    </xf>
    <xf numFmtId="0" fontId="71" fillId="17" borderId="106" xfId="0" applyFont="1" applyFill="1" applyBorder="1" applyAlignment="1" applyProtection="1">
      <alignment horizontal="center" vertical="center" wrapText="1"/>
      <protection hidden="1"/>
    </xf>
    <xf numFmtId="0" fontId="79" fillId="17" borderId="106" xfId="0" applyFont="1" applyFill="1" applyBorder="1" applyAlignment="1" applyProtection="1">
      <alignment horizontal="center" vertical="center" wrapText="1"/>
      <protection hidden="1"/>
    </xf>
    <xf numFmtId="0" fontId="94" fillId="17" borderId="110" xfId="0" applyFont="1" applyFill="1" applyBorder="1" applyAlignment="1" applyProtection="1">
      <alignment horizontal="center" vertical="center" wrapText="1"/>
      <protection hidden="1"/>
    </xf>
    <xf numFmtId="0" fontId="94" fillId="17" borderId="106" xfId="0" applyFont="1" applyFill="1" applyBorder="1" applyAlignment="1" applyProtection="1">
      <alignment horizontal="center" vertical="center" wrapText="1"/>
      <protection hidden="1"/>
    </xf>
    <xf numFmtId="0" fontId="71" fillId="17" borderId="106" xfId="0" applyFont="1" applyFill="1" applyBorder="1" applyAlignment="1" applyProtection="1">
      <alignment horizontal="center" wrapText="1"/>
      <protection hidden="1"/>
    </xf>
    <xf numFmtId="0" fontId="42" fillId="17" borderId="106" xfId="0" applyFont="1" applyFill="1" applyBorder="1" applyAlignment="1" applyProtection="1">
      <alignment horizontal="center" vertical="center" wrapText="1"/>
      <protection hidden="1"/>
    </xf>
    <xf numFmtId="0" fontId="73" fillId="0" borderId="106" xfId="0" applyFont="1" applyBorder="1" applyAlignment="1" applyProtection="1">
      <alignment vertical="center" wrapText="1"/>
      <protection hidden="1"/>
    </xf>
    <xf numFmtId="0" fontId="79" fillId="0" borderId="106" xfId="0" applyFont="1" applyFill="1" applyBorder="1" applyAlignment="1" applyProtection="1">
      <alignment horizontal="center" vertical="center" wrapText="1"/>
      <protection hidden="1"/>
    </xf>
    <xf numFmtId="0" fontId="87" fillId="17" borderId="106" xfId="0" applyFont="1" applyFill="1" applyBorder="1" applyAlignment="1" applyProtection="1">
      <alignment wrapText="1"/>
      <protection hidden="1"/>
    </xf>
    <xf numFmtId="0" fontId="35" fillId="17" borderId="106" xfId="0" applyFont="1" applyFill="1" applyBorder="1" applyAlignment="1" applyProtection="1">
      <alignment vertical="center" wrapText="1"/>
      <protection hidden="1"/>
    </xf>
    <xf numFmtId="0" fontId="93" fillId="17" borderId="110" xfId="0" applyFont="1" applyFill="1" applyBorder="1" applyAlignment="1" applyProtection="1">
      <alignment horizontal="center" vertical="center" wrapText="1"/>
      <protection hidden="1"/>
    </xf>
    <xf numFmtId="0" fontId="93"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wrapText="1"/>
      <protection hidden="1"/>
    </xf>
    <xf numFmtId="0" fontId="9" fillId="0" borderId="109" xfId="0" applyFont="1" applyFill="1" applyBorder="1" applyAlignment="1" applyProtection="1">
      <alignment horizontal="center" vertical="center" wrapText="1"/>
      <protection hidden="1"/>
    </xf>
    <xf numFmtId="2" fontId="95" fillId="17" borderId="110" xfId="0" applyNumberFormat="1" applyFont="1" applyFill="1" applyBorder="1" applyAlignment="1" applyProtection="1">
      <alignment vertical="center" wrapText="1"/>
      <protection hidden="1"/>
    </xf>
    <xf numFmtId="2" fontId="95" fillId="17" borderId="106" xfId="0" applyNumberFormat="1" applyFont="1" applyFill="1" applyBorder="1" applyAlignment="1" applyProtection="1">
      <alignment vertical="center" wrapText="1"/>
      <protection hidden="1"/>
    </xf>
    <xf numFmtId="0" fontId="90" fillId="17" borderId="106" xfId="0" applyFont="1" applyFill="1" applyBorder="1" applyAlignment="1" applyProtection="1">
      <alignment horizontal="center" wrapText="1"/>
      <protection hidden="1"/>
    </xf>
    <xf numFmtId="2" fontId="61" fillId="17" borderId="106" xfId="0" applyNumberFormat="1" applyFont="1" applyFill="1" applyBorder="1" applyAlignment="1" applyProtection="1">
      <alignment horizontal="center" vertical="center" wrapText="1"/>
      <protection hidden="1"/>
    </xf>
    <xf numFmtId="2" fontId="61" fillId="0" borderId="106"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10" xfId="0" applyFont="1" applyFill="1" applyBorder="1" applyAlignment="1" applyProtection="1">
      <alignment vertical="center" wrapText="1"/>
      <protection hidden="1"/>
    </xf>
    <xf numFmtId="0" fontId="95" fillId="17" borderId="106" xfId="0" applyFont="1" applyFill="1" applyBorder="1" applyAlignment="1" applyProtection="1">
      <alignment vertical="center" wrapText="1"/>
      <protection hidden="1"/>
    </xf>
    <xf numFmtId="0" fontId="91" fillId="17" borderId="106" xfId="0" applyFont="1" applyFill="1" applyBorder="1" applyAlignment="1" applyProtection="1">
      <alignment horizontal="center" wrapText="1"/>
      <protection hidden="1"/>
    </xf>
    <xf numFmtId="0" fontId="60" fillId="0" borderId="106"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6" xfId="0" applyFont="1" applyFill="1" applyBorder="1" applyAlignment="1" applyProtection="1">
      <alignment vertical="center" wrapText="1"/>
      <protection hidden="1"/>
    </xf>
    <xf numFmtId="172" fontId="223" fillId="0" borderId="109"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6"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7"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12"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6" xfId="0" applyFont="1" applyFill="1" applyBorder="1" applyAlignment="1" applyProtection="1">
      <alignment vertical="center" wrapText="1"/>
      <protection hidden="1"/>
    </xf>
    <xf numFmtId="0" fontId="75" fillId="0" borderId="148" xfId="0" applyFont="1" applyFill="1" applyBorder="1" applyAlignment="1" applyProtection="1">
      <alignment vertical="center" wrapText="1"/>
      <protection hidden="1"/>
    </xf>
    <xf numFmtId="0" fontId="75" fillId="0" borderId="149" xfId="0" applyFont="1" applyFill="1" applyBorder="1" applyAlignment="1" applyProtection="1">
      <alignment vertical="center" wrapText="1"/>
      <protection hidden="1"/>
    </xf>
    <xf numFmtId="0" fontId="101" fillId="0" borderId="150"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51"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50" xfId="0" applyFont="1" applyBorder="1" applyProtection="1">
      <protection hidden="1"/>
    </xf>
    <xf numFmtId="0" fontId="98" fillId="0" borderId="150"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50"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41" xfId="0" applyFont="1" applyFill="1" applyBorder="1" applyAlignment="1" applyProtection="1">
      <alignment horizontal="center" vertical="center" wrapText="1"/>
      <protection hidden="1"/>
    </xf>
    <xf numFmtId="0" fontId="19" fillId="0" borderId="141"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45" xfId="0" applyFont="1" applyFill="1" applyBorder="1" applyAlignment="1" applyProtection="1">
      <alignment horizontal="center" vertical="center" wrapText="1"/>
      <protection hidden="1"/>
    </xf>
    <xf numFmtId="0" fontId="19" fillId="0" borderId="145"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51" xfId="0" applyBorder="1" applyProtection="1">
      <protection hidden="1"/>
    </xf>
    <xf numFmtId="0" fontId="0" fillId="0" borderId="152" xfId="0" applyBorder="1" applyProtection="1">
      <protection hidden="1"/>
    </xf>
    <xf numFmtId="0" fontId="0" fillId="0" borderId="153"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6"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22" xfId="0" applyFont="1" applyFill="1" applyBorder="1" applyAlignment="1" applyProtection="1">
      <alignment horizontal="center" vertical="center" wrapText="1"/>
      <protection hidden="1"/>
    </xf>
    <xf numFmtId="0" fontId="60" fillId="0" borderId="127"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7"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9" xfId="0" applyFont="1" applyFill="1" applyBorder="1" applyAlignment="1" applyProtection="1">
      <alignment horizontal="center" vertical="center" wrapText="1"/>
      <protection hidden="1"/>
    </xf>
    <xf numFmtId="0" fontId="43" fillId="0" borderId="129"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7"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25"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6" xfId="0" applyFont="1" applyFill="1" applyBorder="1" applyAlignment="1" applyProtection="1">
      <alignment horizontal="center" vertical="center" wrapText="1"/>
      <protection hidden="1"/>
    </xf>
    <xf numFmtId="0" fontId="44" fillId="0" borderId="136" xfId="0" applyFont="1" applyFill="1" applyBorder="1" applyAlignment="1" applyProtection="1">
      <alignment horizontal="center" vertical="center" wrapText="1"/>
      <protection hidden="1"/>
    </xf>
    <xf numFmtId="0" fontId="244" fillId="0" borderId="136" xfId="0" applyFont="1" applyFill="1" applyBorder="1" applyAlignment="1" applyProtection="1">
      <alignment horizontal="center" vertical="center" wrapText="1"/>
      <protection hidden="1"/>
    </xf>
    <xf numFmtId="0" fontId="113" fillId="0" borderId="136" xfId="0" applyFont="1" applyFill="1" applyBorder="1" applyAlignment="1" applyProtection="1">
      <alignment horizontal="left" vertical="center" wrapText="1"/>
      <protection hidden="1"/>
    </xf>
    <xf numFmtId="0" fontId="113" fillId="0" borderId="171" xfId="0" applyFont="1" applyFill="1" applyBorder="1" applyAlignment="1" applyProtection="1">
      <alignment horizontal="center" vertical="center" wrapText="1"/>
      <protection hidden="1"/>
    </xf>
    <xf numFmtId="1" fontId="43" fillId="0" borderId="136" xfId="0" applyNumberFormat="1" applyFont="1" applyFill="1" applyBorder="1" applyAlignment="1" applyProtection="1">
      <alignment horizontal="center" vertical="center" wrapText="1"/>
      <protection hidden="1"/>
    </xf>
    <xf numFmtId="2" fontId="112" fillId="0" borderId="136" xfId="0" applyNumberFormat="1" applyFont="1" applyFill="1" applyBorder="1" applyAlignment="1" applyProtection="1">
      <alignment horizontal="center" vertical="center" wrapText="1"/>
      <protection hidden="1"/>
    </xf>
    <xf numFmtId="0" fontId="112" fillId="0" borderId="136" xfId="0" applyFont="1" applyBorder="1" applyAlignment="1" applyProtection="1">
      <alignment horizontal="center" vertical="center" wrapText="1"/>
      <protection hidden="1"/>
    </xf>
    <xf numFmtId="167" fontId="43" fillId="0" borderId="136" xfId="0" applyNumberFormat="1" applyFont="1" applyBorder="1" applyAlignment="1" applyProtection="1">
      <alignment horizontal="center" vertical="center" wrapText="1"/>
      <protection hidden="1"/>
    </xf>
    <xf numFmtId="0" fontId="73" fillId="0" borderId="136" xfId="0" applyFont="1" applyBorder="1" applyAlignment="1" applyProtection="1">
      <alignment horizontal="center" vertical="center" wrapText="1"/>
      <protection hidden="1"/>
    </xf>
    <xf numFmtId="0" fontId="43" fillId="0" borderId="136"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6"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6"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6" xfId="0" applyNumberFormat="1" applyFont="1" applyFill="1" applyBorder="1" applyAlignment="1" applyProtection="1">
      <alignment horizontal="center" vertical="center" wrapText="1"/>
      <protection hidden="1"/>
    </xf>
    <xf numFmtId="0" fontId="28" fillId="0" borderId="136"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6"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6"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61"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60" xfId="0" applyBorder="1" applyProtection="1">
      <protection hidden="1"/>
    </xf>
    <xf numFmtId="0" fontId="116" fillId="0" borderId="0" xfId="0" applyFont="1" applyBorder="1" applyAlignment="1" applyProtection="1">
      <protection hidden="1"/>
    </xf>
    <xf numFmtId="0" fontId="6" fillId="0" borderId="0" xfId="0" applyFont="1" applyBorder="1" applyAlignment="1" applyProtection="1">
      <alignment vertical="center"/>
      <protection hidden="1"/>
    </xf>
    <xf numFmtId="0" fontId="116" fillId="0" borderId="90" xfId="0" applyFont="1" applyBorder="1" applyAlignment="1" applyProtection="1">
      <protection hidden="1"/>
    </xf>
    <xf numFmtId="0" fontId="116" fillId="0" borderId="91" xfId="0" applyFont="1" applyBorder="1" applyAlignment="1" applyProtection="1">
      <protection hidden="1"/>
    </xf>
    <xf numFmtId="0" fontId="162" fillId="0" borderId="0" xfId="0" applyFont="1" applyBorder="1" applyAlignment="1" applyProtection="1">
      <protection hidden="1"/>
    </xf>
    <xf numFmtId="0" fontId="116" fillId="0" borderId="92" xfId="0" applyFont="1" applyBorder="1" applyAlignment="1" applyProtection="1">
      <protection hidden="1"/>
    </xf>
    <xf numFmtId="0" fontId="116" fillId="0" borderId="93"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62" xfId="0" applyNumberFormat="1" applyFont="1" applyFill="1" applyBorder="1" applyAlignment="1" applyProtection="1">
      <alignment horizontal="center" vertical="center" wrapText="1"/>
      <protection hidden="1"/>
    </xf>
    <xf numFmtId="1" fontId="114" fillId="0" borderId="162"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7" xfId="0" applyNumberFormat="1" applyFont="1" applyFill="1" applyBorder="1" applyAlignment="1" applyProtection="1">
      <alignment horizontal="center" vertical="center" wrapText="1"/>
      <protection hidden="1"/>
    </xf>
    <xf numFmtId="0" fontId="156" fillId="0" borderId="177" xfId="0" applyNumberFormat="1" applyFont="1" applyFill="1" applyBorder="1" applyAlignment="1" applyProtection="1">
      <alignment horizontal="center" vertical="center" wrapText="1"/>
      <protection hidden="1"/>
    </xf>
    <xf numFmtId="0" fontId="164" fillId="0" borderId="177" xfId="0" applyNumberFormat="1" applyFont="1" applyFill="1" applyBorder="1" applyAlignment="1" applyProtection="1">
      <alignment horizontal="center" vertical="center" wrapText="1"/>
      <protection hidden="1"/>
    </xf>
    <xf numFmtId="0" fontId="220" fillId="0" borderId="106"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43" xfId="0" applyFont="1" applyFill="1" applyBorder="1" applyAlignment="1" applyProtection="1">
      <alignment vertical="center" wrapText="1"/>
      <protection hidden="1"/>
    </xf>
    <xf numFmtId="0" fontId="36" fillId="0" borderId="110" xfId="0" applyFont="1" applyFill="1" applyBorder="1" applyAlignment="1" applyProtection="1">
      <alignment vertical="center" wrapText="1"/>
      <protection hidden="1"/>
    </xf>
    <xf numFmtId="0" fontId="49" fillId="26" borderId="106"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14" fillId="0" borderId="110" xfId="0" applyFont="1" applyFill="1" applyBorder="1" applyAlignment="1" applyProtection="1">
      <alignment horizontal="center" vertical="center" wrapText="1"/>
      <protection hidden="1"/>
    </xf>
    <xf numFmtId="0" fontId="69" fillId="0" borderId="112"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6" xfId="0"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 fontId="227" fillId="0" borderId="108"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10" xfId="0" applyFont="1" applyFill="1" applyBorder="1" applyAlignment="1" applyProtection="1">
      <alignment horizontal="center" vertical="center" wrapText="1"/>
      <protection hidden="1"/>
    </xf>
    <xf numFmtId="0" fontId="260" fillId="0" borderId="106"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vertical="center" wrapText="1"/>
      <protection hidden="1"/>
    </xf>
    <xf numFmtId="0" fontId="35" fillId="17" borderId="143" xfId="0" applyFont="1" applyFill="1" applyBorder="1" applyAlignment="1" applyProtection="1">
      <alignment vertical="center" wrapText="1"/>
      <protection hidden="1"/>
    </xf>
    <xf numFmtId="0" fontId="35" fillId="17" borderId="110" xfId="0" applyFont="1" applyFill="1" applyBorder="1" applyAlignment="1" applyProtection="1">
      <alignment vertical="center" wrapText="1"/>
      <protection hidden="1"/>
    </xf>
    <xf numFmtId="0" fontId="60" fillId="17" borderId="143" xfId="0" applyFont="1" applyFill="1" applyBorder="1" applyAlignment="1" applyProtection="1">
      <alignment vertical="center" wrapText="1"/>
      <protection hidden="1"/>
    </xf>
    <xf numFmtId="0" fontId="60" fillId="17" borderId="110" xfId="0" applyFont="1" applyFill="1" applyBorder="1" applyAlignment="1" applyProtection="1">
      <alignment vertical="center" wrapText="1"/>
      <protection hidden="1"/>
    </xf>
    <xf numFmtId="0" fontId="21" fillId="17" borderId="143" xfId="0" applyFont="1" applyFill="1" applyBorder="1" applyAlignment="1" applyProtection="1">
      <alignment vertical="center" wrapText="1"/>
      <protection hidden="1"/>
    </xf>
    <xf numFmtId="0" fontId="21" fillId="17" borderId="110" xfId="0" applyFont="1" applyFill="1" applyBorder="1" applyAlignment="1" applyProtection="1">
      <alignment vertical="center" wrapText="1"/>
      <protection hidden="1"/>
    </xf>
    <xf numFmtId="172" fontId="61" fillId="17" borderId="143" xfId="0" applyNumberFormat="1" applyFont="1" applyFill="1" applyBorder="1" applyAlignment="1" applyProtection="1">
      <alignment vertical="center" wrapText="1"/>
      <protection hidden="1"/>
    </xf>
    <xf numFmtId="172" fontId="61" fillId="17" borderId="110" xfId="0" applyNumberFormat="1" applyFont="1" applyFill="1" applyBorder="1" applyAlignment="1" applyProtection="1">
      <alignment vertical="center" wrapText="1"/>
      <protection hidden="1"/>
    </xf>
    <xf numFmtId="0" fontId="61" fillId="17" borderId="143" xfId="0" applyFont="1" applyFill="1" applyBorder="1" applyAlignment="1" applyProtection="1">
      <alignment vertical="center" wrapText="1"/>
      <protection hidden="1"/>
    </xf>
    <xf numFmtId="0" fontId="61" fillId="17" borderId="110"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42" xfId="0" applyNumberFormat="1" applyFont="1" applyFill="1" applyBorder="1" applyAlignment="1" applyProtection="1">
      <alignment horizontal="center" vertical="center" wrapText="1"/>
      <protection hidden="1"/>
    </xf>
    <xf numFmtId="0" fontId="49" fillId="0" borderId="186" xfId="0" applyFont="1" applyFill="1" applyBorder="1" applyAlignment="1" applyProtection="1">
      <alignment horizontal="center" vertical="center" wrapText="1"/>
      <protection hidden="1"/>
    </xf>
    <xf numFmtId="0" fontId="112" fillId="0" borderId="186"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75" xfId="0" applyNumberFormat="1" applyFont="1" applyFill="1" applyBorder="1" applyAlignment="1" applyProtection="1">
      <alignment horizontal="center" vertical="center" wrapText="1"/>
      <protection hidden="1"/>
    </xf>
    <xf numFmtId="0" fontId="165" fillId="0" borderId="175"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8"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74" xfId="0" applyFont="1" applyFill="1" applyBorder="1" applyAlignment="1" applyProtection="1">
      <alignment vertical="top" wrapText="1"/>
      <protection hidden="1"/>
    </xf>
    <xf numFmtId="0" fontId="118" fillId="0" borderId="178" xfId="0" applyNumberFormat="1" applyFont="1" applyFill="1" applyBorder="1" applyAlignment="1" applyProtection="1">
      <alignment horizontal="center" vertical="center" wrapText="1"/>
      <protection hidden="1"/>
    </xf>
    <xf numFmtId="0" fontId="156" fillId="0" borderId="178" xfId="0" applyNumberFormat="1" applyFont="1" applyFill="1" applyBorder="1" applyAlignment="1" applyProtection="1">
      <alignment horizontal="center" vertical="center" wrapText="1"/>
      <protection hidden="1"/>
    </xf>
    <xf numFmtId="0" fontId="164" fillId="0" borderId="178" xfId="0" applyNumberFormat="1" applyFont="1" applyFill="1" applyBorder="1" applyAlignment="1" applyProtection="1">
      <alignment horizontal="center" vertical="center" wrapText="1"/>
      <protection hidden="1"/>
    </xf>
    <xf numFmtId="0" fontId="156" fillId="0" borderId="180" xfId="0" applyNumberFormat="1" applyFont="1" applyFill="1" applyBorder="1" applyAlignment="1" applyProtection="1">
      <alignment horizontal="center" vertical="center" wrapText="1"/>
      <protection hidden="1"/>
    </xf>
    <xf numFmtId="171" fontId="242" fillId="0" borderId="200" xfId="0" applyNumberFormat="1" applyFont="1" applyFill="1" applyBorder="1" applyAlignment="1" applyProtection="1">
      <alignment horizontal="center" vertical="center" wrapText="1"/>
      <protection hidden="1"/>
    </xf>
    <xf numFmtId="0" fontId="9" fillId="0" borderId="200"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right" vertical="center" wrapText="1"/>
      <protection hidden="1"/>
    </xf>
    <xf numFmtId="0" fontId="60" fillId="0" borderId="192" xfId="0" applyNumberFormat="1" applyFont="1" applyFill="1" applyBorder="1" applyAlignment="1" applyProtection="1">
      <alignment horizontal="left" vertical="top" wrapText="1"/>
      <protection hidden="1"/>
    </xf>
    <xf numFmtId="0" fontId="269" fillId="0" borderId="190" xfId="0" applyNumberFormat="1" applyFont="1" applyFill="1" applyBorder="1" applyAlignment="1" applyProtection="1">
      <alignment horizontal="right" vertical="center" wrapText="1"/>
      <protection hidden="1"/>
    </xf>
    <xf numFmtId="0" fontId="156" fillId="0" borderId="192"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6"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6" xfId="0" applyFont="1" applyFill="1" applyBorder="1" applyAlignment="1" applyProtection="1">
      <alignment horizontal="center" vertical="center" wrapText="1"/>
      <protection hidden="1"/>
    </xf>
    <xf numFmtId="0" fontId="11" fillId="29" borderId="213" xfId="0" applyFont="1" applyFill="1" applyBorder="1" applyAlignment="1" applyProtection="1">
      <alignment vertical="center"/>
      <protection hidden="1"/>
    </xf>
    <xf numFmtId="0" fontId="11" fillId="29" borderId="214" xfId="0" applyFont="1" applyFill="1" applyBorder="1" applyAlignment="1" applyProtection="1">
      <alignment vertical="center"/>
      <protection hidden="1"/>
    </xf>
    <xf numFmtId="0" fontId="209" fillId="32" borderId="215" xfId="0" applyFont="1" applyFill="1" applyBorder="1" applyAlignment="1" applyProtection="1">
      <alignment horizontal="right"/>
      <protection hidden="1"/>
    </xf>
    <xf numFmtId="0" fontId="209" fillId="32" borderId="216" xfId="0" applyFont="1" applyFill="1" applyBorder="1" applyAlignment="1" applyProtection="1">
      <alignment horizontal="right" vertical="center"/>
      <protection hidden="1"/>
    </xf>
    <xf numFmtId="0" fontId="274" fillId="32" borderId="216" xfId="0" applyFont="1" applyFill="1" applyBorder="1" applyAlignment="1" applyProtection="1">
      <alignment horizontal="right" vertical="center"/>
      <protection hidden="1"/>
    </xf>
    <xf numFmtId="0" fontId="209" fillId="32" borderId="217"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19" xfId="0" applyFont="1" applyFill="1" applyBorder="1" applyAlignment="1" applyProtection="1">
      <alignment vertical="center"/>
      <protection hidden="1"/>
    </xf>
    <xf numFmtId="0" fontId="155" fillId="29" borderId="220" xfId="0" applyFont="1" applyFill="1" applyBorder="1" applyAlignment="1" applyProtection="1">
      <alignment vertical="center" wrapText="1"/>
      <protection hidden="1"/>
    </xf>
    <xf numFmtId="0" fontId="11" fillId="29" borderId="220" xfId="0" applyFont="1" applyFill="1" applyBorder="1" applyAlignment="1" applyProtection="1">
      <alignment vertical="center"/>
      <protection hidden="1"/>
    </xf>
    <xf numFmtId="0" fontId="11" fillId="29" borderId="221" xfId="0" applyFont="1" applyFill="1" applyBorder="1" applyAlignment="1" applyProtection="1">
      <alignment vertical="center"/>
      <protection hidden="1"/>
    </xf>
    <xf numFmtId="0" fontId="11" fillId="30" borderId="222" xfId="0" applyFont="1" applyFill="1" applyBorder="1" applyAlignment="1" applyProtection="1">
      <alignment vertical="center"/>
      <protection hidden="1"/>
    </xf>
    <xf numFmtId="0" fontId="11" fillId="30" borderId="223" xfId="0" applyFont="1" applyFill="1" applyBorder="1" applyAlignment="1" applyProtection="1">
      <alignment vertical="center"/>
      <protection hidden="1"/>
    </xf>
    <xf numFmtId="0" fontId="11" fillId="29" borderId="222" xfId="0" applyFont="1" applyFill="1" applyBorder="1" applyAlignment="1" applyProtection="1">
      <alignment vertical="center"/>
      <protection hidden="1"/>
    </xf>
    <xf numFmtId="0" fontId="11" fillId="29" borderId="223" xfId="0" applyFont="1" applyFill="1" applyBorder="1" applyAlignment="1" applyProtection="1">
      <alignment vertical="center"/>
      <protection hidden="1"/>
    </xf>
    <xf numFmtId="0" fontId="11" fillId="29" borderId="224" xfId="0" applyFont="1" applyFill="1" applyBorder="1" applyAlignment="1" applyProtection="1">
      <alignment vertical="center"/>
      <protection hidden="1"/>
    </xf>
    <xf numFmtId="0" fontId="11" fillId="29" borderId="225" xfId="0" applyFont="1" applyFill="1" applyBorder="1" applyAlignment="1" applyProtection="1">
      <alignment vertical="center"/>
      <protection hidden="1"/>
    </xf>
    <xf numFmtId="0" fontId="11" fillId="29" borderId="226" xfId="0" applyFont="1" applyFill="1" applyBorder="1" applyAlignment="1" applyProtection="1">
      <alignment vertical="center"/>
      <protection hidden="1"/>
    </xf>
    <xf numFmtId="0" fontId="11" fillId="29" borderId="227" xfId="0" applyFont="1" applyFill="1" applyBorder="1" applyAlignment="1" applyProtection="1">
      <alignment vertical="center"/>
      <protection hidden="1"/>
    </xf>
    <xf numFmtId="0" fontId="276" fillId="14" borderId="228" xfId="4" applyFont="1" applyFill="1" applyBorder="1" applyAlignment="1" applyProtection="1">
      <protection locked="0"/>
    </xf>
    <xf numFmtId="0" fontId="8" fillId="33" borderId="229" xfId="0" applyFont="1" applyFill="1" applyBorder="1" applyAlignment="1" applyProtection="1">
      <alignment vertical="center"/>
      <protection locked="0"/>
    </xf>
    <xf numFmtId="0" fontId="210" fillId="33" borderId="230" xfId="0" applyFont="1" applyFill="1" applyBorder="1" applyAlignment="1" applyProtection="1">
      <alignment vertical="center"/>
      <protection locked="0"/>
    </xf>
    <xf numFmtId="0" fontId="8" fillId="33" borderId="230" xfId="0" applyFont="1" applyFill="1" applyBorder="1" applyAlignment="1" applyProtection="1">
      <alignment horizontal="left" vertical="center"/>
      <protection locked="0"/>
    </xf>
    <xf numFmtId="0" fontId="210" fillId="33" borderId="230" xfId="0" applyFont="1" applyFill="1" applyBorder="1" applyAlignment="1" applyProtection="1">
      <alignment horizontal="left" vertical="center"/>
      <protection locked="0"/>
    </xf>
    <xf numFmtId="171" fontId="175" fillId="33" borderId="230" xfId="0" applyNumberFormat="1" applyFont="1" applyFill="1" applyBorder="1" applyAlignment="1" applyProtection="1">
      <alignment horizontal="left" vertical="center"/>
      <protection locked="0"/>
    </xf>
    <xf numFmtId="0" fontId="275" fillId="33" borderId="230" xfId="0" applyFont="1" applyFill="1" applyBorder="1" applyAlignment="1" applyProtection="1">
      <alignment horizontal="left" vertical="center"/>
      <protection locked="0"/>
    </xf>
    <xf numFmtId="0" fontId="210" fillId="3" borderId="230" xfId="0" applyFont="1" applyFill="1" applyBorder="1" applyAlignment="1" applyProtection="1">
      <alignment horizontal="left" vertical="center"/>
      <protection locked="0"/>
    </xf>
    <xf numFmtId="171" fontId="175" fillId="33" borderId="231" xfId="0" applyNumberFormat="1" applyFont="1" applyFill="1" applyBorder="1" applyAlignment="1" applyProtection="1">
      <alignment horizontal="left" vertical="center"/>
      <protection locked="0"/>
    </xf>
    <xf numFmtId="0" fontId="277" fillId="6" borderId="0" xfId="0" applyFont="1" applyFill="1" applyBorder="1" applyAlignment="1" applyProtection="1">
      <alignment vertical="center"/>
      <protection hidden="1"/>
    </xf>
    <xf numFmtId="0" fontId="213" fillId="34" borderId="218" xfId="0" applyFont="1" applyFill="1" applyBorder="1" applyAlignment="1" applyProtection="1">
      <alignment horizontal="center" vertical="center" wrapText="1"/>
      <protection hidden="1"/>
    </xf>
    <xf numFmtId="0" fontId="8" fillId="34" borderId="232" xfId="0" applyFont="1" applyFill="1" applyBorder="1" applyAlignment="1" applyProtection="1">
      <alignment horizontal="center" vertical="center" wrapText="1"/>
      <protection hidden="1"/>
    </xf>
    <xf numFmtId="0" fontId="213" fillId="2" borderId="233" xfId="0" applyFont="1" applyFill="1" applyBorder="1" applyAlignment="1" applyProtection="1">
      <alignment horizontal="left" vertical="center" wrapText="1"/>
      <protection locked="0"/>
    </xf>
    <xf numFmtId="0" fontId="278" fillId="2" borderId="234" xfId="0" applyFont="1" applyFill="1" applyBorder="1" applyAlignment="1" applyProtection="1">
      <alignment horizontal="left" vertical="center" wrapText="1"/>
      <protection locked="0"/>
    </xf>
    <xf numFmtId="0" fontId="214" fillId="2" borderId="235" xfId="0" applyFont="1" applyFill="1" applyBorder="1" applyAlignment="1" applyProtection="1">
      <alignment horizontal="left" vertical="center" wrapText="1"/>
      <protection locked="0"/>
    </xf>
    <xf numFmtId="0" fontId="279" fillId="2" borderId="236"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7"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5" fillId="12" borderId="239" xfId="0" applyFont="1" applyFill="1" applyBorder="1" applyAlignment="1" applyProtection="1">
      <alignment horizontal="center" vertical="center" wrapText="1"/>
      <protection hidden="1"/>
    </xf>
    <xf numFmtId="166" fontId="253" fillId="12" borderId="239" xfId="0" applyNumberFormat="1" applyFont="1" applyFill="1" applyBorder="1" applyAlignment="1" applyProtection="1">
      <alignment horizontal="center" vertical="center" wrapText="1"/>
      <protection hidden="1"/>
    </xf>
    <xf numFmtId="0" fontId="254" fillId="12" borderId="239" xfId="0" applyFont="1" applyFill="1" applyBorder="1" applyAlignment="1" applyProtection="1">
      <alignment horizontal="left" vertical="center" wrapText="1"/>
      <protection hidden="1"/>
    </xf>
    <xf numFmtId="0" fontId="254" fillId="12" borderId="241" xfId="0" applyFont="1" applyFill="1" applyBorder="1" applyAlignment="1" applyProtection="1">
      <alignment horizontal="left" vertical="center" wrapText="1"/>
      <protection hidden="1"/>
    </xf>
    <xf numFmtId="0" fontId="253" fillId="12" borderId="240" xfId="0" applyFont="1" applyFill="1" applyBorder="1" applyAlignment="1" applyProtection="1">
      <alignment horizontal="center" vertical="center" wrapText="1"/>
      <protection hidden="1"/>
    </xf>
    <xf numFmtId="0" fontId="25" fillId="12" borderId="242" xfId="0" applyFont="1" applyFill="1" applyBorder="1" applyAlignment="1" applyProtection="1">
      <alignment horizontal="center" vertical="center" wrapText="1"/>
      <protection hidden="1"/>
    </xf>
    <xf numFmtId="0" fontId="25" fillId="12" borderId="243" xfId="0" applyFont="1" applyFill="1" applyBorder="1" applyAlignment="1" applyProtection="1">
      <alignment horizontal="center" vertical="center" wrapText="1"/>
      <protection hidden="1"/>
    </xf>
    <xf numFmtId="166" fontId="253" fillId="12" borderId="243" xfId="0" applyNumberFormat="1" applyFont="1" applyFill="1" applyBorder="1" applyAlignment="1" applyProtection="1">
      <alignment horizontal="center" vertical="center" wrapText="1"/>
      <protection hidden="1"/>
    </xf>
    <xf numFmtId="0" fontId="253" fillId="12" borderId="244" xfId="0" applyFont="1" applyFill="1" applyBorder="1" applyAlignment="1" applyProtection="1">
      <alignment horizontal="center" vertical="center" wrapText="1"/>
      <protection hidden="1"/>
    </xf>
    <xf numFmtId="0" fontId="25" fillId="12" borderId="245" xfId="0" applyFont="1" applyFill="1" applyBorder="1" applyAlignment="1" applyProtection="1">
      <alignment horizontal="center" vertical="center" wrapText="1"/>
      <protection hidden="1"/>
    </xf>
    <xf numFmtId="0" fontId="253" fillId="12" borderId="246" xfId="0" applyFont="1" applyFill="1" applyBorder="1" applyAlignment="1" applyProtection="1">
      <alignment horizontal="center" vertical="center" wrapText="1"/>
      <protection hidden="1"/>
    </xf>
    <xf numFmtId="0" fontId="25" fillId="12" borderId="247" xfId="0" applyFont="1" applyFill="1" applyBorder="1" applyAlignment="1" applyProtection="1">
      <alignment horizontal="center" vertical="center"/>
      <protection hidden="1"/>
    </xf>
    <xf numFmtId="0" fontId="25" fillId="12" borderId="248" xfId="0" applyFont="1" applyFill="1" applyBorder="1" applyAlignment="1" applyProtection="1">
      <alignment horizontal="center" vertical="center" wrapText="1"/>
      <protection hidden="1"/>
    </xf>
    <xf numFmtId="166" fontId="253" fillId="12" borderId="248" xfId="0" applyNumberFormat="1" applyFont="1" applyFill="1" applyBorder="1" applyAlignment="1" applyProtection="1">
      <alignment horizontal="center" vertical="center" wrapText="1"/>
      <protection hidden="1"/>
    </xf>
    <xf numFmtId="0" fontId="254" fillId="12" borderId="248" xfId="0" applyFont="1" applyFill="1" applyBorder="1" applyAlignment="1" applyProtection="1">
      <alignment horizontal="left" vertical="center" wrapText="1"/>
      <protection hidden="1"/>
    </xf>
    <xf numFmtId="0" fontId="254" fillId="12" borderId="249" xfId="0" applyFont="1" applyFill="1" applyBorder="1" applyAlignment="1" applyProtection="1">
      <alignment horizontal="left" vertical="center" wrapText="1"/>
      <protection hidden="1"/>
    </xf>
    <xf numFmtId="0" fontId="253" fillId="12" borderId="250" xfId="0" applyFont="1" applyFill="1" applyBorder="1" applyAlignment="1" applyProtection="1">
      <alignment horizontal="center" vertical="center" wrapText="1"/>
      <protection hidden="1"/>
    </xf>
    <xf numFmtId="0" fontId="253" fillId="12" borderId="251"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115" fillId="3" borderId="17" xfId="0" applyFont="1" applyFill="1" applyBorder="1" applyAlignment="1" applyProtection="1">
      <alignment horizontal="center" vertical="center" wrapText="1"/>
      <protection hidden="1"/>
    </xf>
    <xf numFmtId="0" fontId="115" fillId="0" borderId="16" xfId="0" applyFont="1" applyBorder="1" applyAlignment="1" applyProtection="1">
      <alignment horizontal="center" vertical="center" wrapText="1"/>
      <protection hidden="1"/>
    </xf>
    <xf numFmtId="171" fontId="115" fillId="0" borderId="16" xfId="0" applyNumberFormat="1" applyFont="1" applyBorder="1" applyAlignment="1" applyProtection="1">
      <alignment horizontal="center" vertical="center" wrapText="1"/>
      <protection hidden="1"/>
    </xf>
    <xf numFmtId="0" fontId="115" fillId="0" borderId="16" xfId="0" applyFont="1" applyBorder="1" applyAlignment="1" applyProtection="1">
      <alignment horizontal="left" vertical="center" wrapText="1"/>
      <protection hidden="1"/>
    </xf>
    <xf numFmtId="0" fontId="60" fillId="28" borderId="82" xfId="0" applyFont="1" applyFill="1" applyBorder="1" applyAlignment="1" applyProtection="1">
      <alignment horizontal="center" vertical="center" textRotation="90" wrapText="1"/>
      <protection hidden="1"/>
    </xf>
    <xf numFmtId="0" fontId="60" fillId="28" borderId="267" xfId="0" applyFont="1" applyFill="1" applyBorder="1" applyAlignment="1" applyProtection="1">
      <alignment horizontal="center" vertical="center" textRotation="90" wrapText="1"/>
      <protection hidden="1"/>
    </xf>
    <xf numFmtId="0" fontId="47" fillId="2" borderId="268"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69" xfId="0" applyFont="1" applyFill="1" applyBorder="1" applyAlignment="1" applyProtection="1">
      <alignment horizontal="center" vertical="center" wrapText="1"/>
      <protection locked="0"/>
    </xf>
    <xf numFmtId="0" fontId="9" fillId="3" borderId="270" xfId="0" applyFont="1" applyFill="1" applyBorder="1" applyAlignment="1" applyProtection="1">
      <alignment horizontal="center" vertical="center" wrapText="1"/>
      <protection locked="0"/>
    </xf>
    <xf numFmtId="0" fontId="23" fillId="3" borderId="270" xfId="0" applyFont="1" applyFill="1" applyBorder="1" applyAlignment="1" applyProtection="1">
      <alignment horizontal="center" vertical="center" wrapText="1"/>
      <protection locked="0"/>
    </xf>
    <xf numFmtId="0" fontId="157" fillId="3" borderId="270" xfId="0" applyFont="1" applyFill="1" applyBorder="1" applyAlignment="1" applyProtection="1">
      <alignment horizontal="center" vertical="center" wrapText="1"/>
      <protection locked="0"/>
    </xf>
    <xf numFmtId="0" fontId="157" fillId="3" borderId="271" xfId="0" applyFont="1" applyFill="1" applyBorder="1" applyAlignment="1" applyProtection="1">
      <alignment horizontal="center" vertical="center" wrapText="1"/>
      <protection locked="0"/>
    </xf>
    <xf numFmtId="0" fontId="9" fillId="3" borderId="272" xfId="0" applyFont="1" applyFill="1" applyBorder="1" applyAlignment="1" applyProtection="1">
      <alignment horizontal="center" vertical="center" wrapText="1"/>
      <protection locked="0"/>
    </xf>
    <xf numFmtId="0" fontId="157" fillId="3" borderId="273" xfId="0" applyFont="1" applyFill="1" applyBorder="1" applyAlignment="1" applyProtection="1">
      <alignment horizontal="center" vertical="center" wrapText="1"/>
      <protection locked="0"/>
    </xf>
    <xf numFmtId="0" fontId="9" fillId="3" borderId="274" xfId="0" applyFont="1" applyFill="1" applyBorder="1" applyAlignment="1" applyProtection="1">
      <alignment horizontal="center" vertical="center" wrapText="1"/>
      <protection locked="0"/>
    </xf>
    <xf numFmtId="0" fontId="9" fillId="3" borderId="275" xfId="0" applyFont="1" applyFill="1" applyBorder="1" applyAlignment="1" applyProtection="1">
      <alignment horizontal="center" vertical="center" wrapText="1"/>
      <protection locked="0"/>
    </xf>
    <xf numFmtId="0" fontId="23" fillId="3" borderId="275" xfId="0" applyFont="1" applyFill="1" applyBorder="1" applyAlignment="1" applyProtection="1">
      <alignment horizontal="center" vertical="center" wrapText="1"/>
      <protection locked="0"/>
    </xf>
    <xf numFmtId="0" fontId="157" fillId="3" borderId="275" xfId="0" applyFont="1" applyFill="1" applyBorder="1" applyAlignment="1" applyProtection="1">
      <alignment horizontal="center" vertical="center" wrapText="1"/>
      <protection locked="0"/>
    </xf>
    <xf numFmtId="0" fontId="157" fillId="3" borderId="276" xfId="0" applyFont="1" applyFill="1" applyBorder="1" applyAlignment="1" applyProtection="1">
      <alignment horizontal="center" vertical="center" wrapText="1"/>
      <protection locked="0"/>
    </xf>
    <xf numFmtId="0" fontId="217" fillId="28" borderId="278" xfId="0" applyFont="1" applyFill="1" applyBorder="1" applyAlignment="1" applyProtection="1">
      <alignment horizontal="center" vertical="center" wrapText="1"/>
      <protection locked="0"/>
    </xf>
    <xf numFmtId="0" fontId="9" fillId="3" borderId="279" xfId="0" applyFont="1" applyFill="1" applyBorder="1" applyAlignment="1" applyProtection="1">
      <alignment horizontal="center" vertical="center" wrapText="1"/>
      <protection locked="0"/>
    </xf>
    <xf numFmtId="0" fontId="217" fillId="28" borderId="280" xfId="0" applyFont="1" applyFill="1" applyBorder="1" applyAlignment="1" applyProtection="1">
      <alignment horizontal="center" vertical="center" wrapText="1"/>
      <protection locked="0"/>
    </xf>
    <xf numFmtId="0" fontId="217" fillId="28" borderId="281" xfId="0" applyFont="1" applyFill="1" applyBorder="1" applyAlignment="1" applyProtection="1">
      <alignment horizontal="center" vertical="center" wrapText="1"/>
      <protection locked="0"/>
    </xf>
    <xf numFmtId="0" fontId="217" fillId="28" borderId="272" xfId="0" applyFont="1" applyFill="1" applyBorder="1" applyAlignment="1" applyProtection="1">
      <alignment horizontal="center" vertical="center" wrapText="1"/>
      <protection locked="0"/>
    </xf>
    <xf numFmtId="0" fontId="217" fillId="28" borderId="274" xfId="0" applyFont="1" applyFill="1" applyBorder="1" applyAlignment="1" applyProtection="1">
      <alignment horizontal="center" vertical="center" wrapText="1"/>
      <protection locked="0"/>
    </xf>
    <xf numFmtId="0" fontId="9" fillId="3" borderId="282" xfId="0" applyFont="1" applyFill="1" applyBorder="1" applyAlignment="1" applyProtection="1">
      <alignment horizontal="center" vertical="center" wrapText="1"/>
      <protection locked="0"/>
    </xf>
    <xf numFmtId="0" fontId="217" fillId="28" borderId="283" xfId="0" applyFont="1" applyFill="1" applyBorder="1" applyAlignment="1" applyProtection="1">
      <alignment horizontal="center" vertical="center" wrapText="1"/>
      <protection locked="0"/>
    </xf>
    <xf numFmtId="0" fontId="217" fillId="28" borderId="284" xfId="0" applyFont="1" applyFill="1" applyBorder="1" applyAlignment="1" applyProtection="1">
      <alignment horizontal="center" vertical="center" wrapText="1"/>
      <protection locked="0"/>
    </xf>
    <xf numFmtId="0" fontId="217" fillId="28" borderId="285" xfId="0" applyFont="1" applyFill="1" applyBorder="1" applyAlignment="1" applyProtection="1">
      <alignment horizontal="center" vertical="center" wrapText="1"/>
      <protection locked="0"/>
    </xf>
    <xf numFmtId="0" fontId="9" fillId="3" borderId="271"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159" fillId="0" borderId="143" xfId="0" applyFont="1" applyBorder="1" applyAlignment="1" applyProtection="1">
      <alignment vertical="center"/>
      <protection hidden="1"/>
    </xf>
    <xf numFmtId="0" fontId="159" fillId="0" borderId="110" xfId="0" applyFont="1" applyBorder="1" applyAlignment="1" applyProtection="1">
      <alignment vertical="center"/>
      <protection hidden="1"/>
    </xf>
    <xf numFmtId="0" fontId="284" fillId="0" borderId="143" xfId="0" applyFont="1" applyBorder="1" applyAlignment="1" applyProtection="1">
      <alignment vertical="center"/>
      <protection hidden="1"/>
    </xf>
    <xf numFmtId="0" fontId="285" fillId="0" borderId="106" xfId="0" applyFont="1" applyFill="1" applyBorder="1" applyAlignment="1" applyProtection="1">
      <alignment horizontal="center" vertical="center" wrapText="1"/>
      <protection hidden="1"/>
    </xf>
    <xf numFmtId="0" fontId="286"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87" fillId="3" borderId="121" xfId="0" applyFont="1" applyFill="1" applyBorder="1" applyAlignment="1" applyProtection="1">
      <alignment horizontal="center" vertical="center" textRotation="90" wrapText="1" shrinkToFit="1"/>
      <protection hidden="1"/>
    </xf>
    <xf numFmtId="0" fontId="35" fillId="0" borderId="106"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6"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8" xfId="0" applyFont="1" applyFill="1" applyBorder="1" applyAlignment="1" applyProtection="1">
      <alignment horizontal="center" vertical="center" wrapText="1"/>
      <protection hidden="1"/>
    </xf>
    <xf numFmtId="0" fontId="285" fillId="0" borderId="108" xfId="0" applyFont="1" applyFill="1" applyBorder="1" applyAlignment="1" applyProtection="1">
      <alignment horizontal="center" vertical="center" wrapText="1"/>
      <protection hidden="1"/>
    </xf>
    <xf numFmtId="0" fontId="286" fillId="0" borderId="108" xfId="0" applyFont="1" applyFill="1" applyBorder="1" applyAlignment="1" applyProtection="1">
      <alignment horizontal="center" vertical="center" wrapText="1"/>
      <protection hidden="1"/>
    </xf>
    <xf numFmtId="0" fontId="230" fillId="0" borderId="108" xfId="0" applyFont="1" applyFill="1" applyBorder="1" applyAlignment="1" applyProtection="1">
      <alignment horizontal="center" vertical="center" wrapText="1"/>
      <protection hidden="1"/>
    </xf>
    <xf numFmtId="0" fontId="231" fillId="0" borderId="108" xfId="0" applyFont="1" applyFill="1" applyBorder="1" applyAlignment="1" applyProtection="1">
      <alignment horizontal="center" vertical="center" wrapText="1"/>
      <protection hidden="1"/>
    </xf>
    <xf numFmtId="0" fontId="287" fillId="3" borderId="106" xfId="0" applyFont="1" applyFill="1" applyBorder="1" applyAlignment="1" applyProtection="1">
      <alignment horizontal="center" vertical="center" textRotation="90" wrapText="1" shrinkToFit="1"/>
      <protection hidden="1"/>
    </xf>
    <xf numFmtId="0" fontId="229" fillId="21" borderId="108" xfId="0" applyFont="1" applyFill="1" applyBorder="1" applyAlignment="1" applyProtection="1">
      <alignment horizontal="center" vertical="center" wrapText="1"/>
      <protection hidden="1"/>
    </xf>
    <xf numFmtId="0" fontId="229" fillId="0" borderId="108" xfId="0" applyFont="1" applyFill="1" applyBorder="1" applyAlignment="1" applyProtection="1">
      <alignment horizontal="left" vertical="center" wrapText="1"/>
      <protection hidden="1"/>
    </xf>
    <xf numFmtId="0" fontId="14" fillId="0" borderId="117"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290" fillId="3" borderId="109" xfId="0" applyNumberFormat="1" applyFont="1" applyFill="1" applyBorder="1" applyAlignment="1" applyProtection="1">
      <alignment horizontal="center" vertical="center" shrinkToFit="1"/>
      <protection hidden="1"/>
    </xf>
    <xf numFmtId="2" fontId="56" fillId="0" borderId="110" xfId="0" applyNumberFormat="1" applyFont="1" applyFill="1" applyBorder="1" applyAlignment="1" applyProtection="1">
      <alignment horizontal="center" vertical="center" wrapText="1"/>
      <protection hidden="1"/>
    </xf>
    <xf numFmtId="0" fontId="291" fillId="3" borderId="106" xfId="0" applyFont="1" applyFill="1" applyBorder="1" applyAlignment="1" applyProtection="1">
      <alignment horizontal="center" vertical="center"/>
      <protection hidden="1"/>
    </xf>
    <xf numFmtId="0" fontId="260" fillId="0" borderId="109" xfId="0" applyFont="1" applyFill="1" applyBorder="1" applyAlignment="1" applyProtection="1">
      <alignment horizontal="center" vertical="center" wrapText="1"/>
      <protection hidden="1"/>
    </xf>
    <xf numFmtId="2" fontId="48" fillId="0" borderId="110" xfId="0" applyNumberFormat="1" applyFont="1" applyFill="1" applyBorder="1" applyAlignment="1" applyProtection="1">
      <alignment horizontal="center" vertical="center" wrapText="1"/>
      <protection hidden="1"/>
    </xf>
    <xf numFmtId="0" fontId="268" fillId="3" borderId="106" xfId="0" applyFont="1" applyFill="1" applyBorder="1" applyAlignment="1" applyProtection="1">
      <alignment horizontal="center" vertical="center" shrinkToFit="1"/>
      <protection hidden="1"/>
    </xf>
    <xf numFmtId="0" fontId="56" fillId="0" borderId="109" xfId="0" applyFont="1" applyFill="1" applyBorder="1" applyAlignment="1" applyProtection="1">
      <alignment horizontal="center" vertical="center" shrinkToFit="1"/>
      <protection hidden="1"/>
    </xf>
    <xf numFmtId="0" fontId="56" fillId="0" borderId="106" xfId="0" applyFont="1" applyFill="1" applyBorder="1" applyAlignment="1" applyProtection="1">
      <alignment horizontal="center" vertical="center" shrinkToFit="1"/>
      <protection hidden="1"/>
    </xf>
    <xf numFmtId="0" fontId="60" fillId="0"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60" fillId="3" borderId="110" xfId="0" applyFont="1" applyFill="1" applyBorder="1" applyAlignment="1" applyProtection="1">
      <alignment horizontal="center" vertical="center"/>
      <protection hidden="1"/>
    </xf>
    <xf numFmtId="0" fontId="293" fillId="17" borderId="110"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35" fillId="17" borderId="110"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93" fillId="17" borderId="106"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06" xfId="0" applyFont="1" applyFill="1" applyBorder="1" applyAlignment="1" applyProtection="1">
      <alignment horizontal="center" vertical="center" shrinkToFit="1"/>
      <protection hidden="1"/>
    </xf>
    <xf numFmtId="0" fontId="79" fillId="17" borderId="109" xfId="0" applyFont="1" applyFill="1" applyBorder="1" applyAlignment="1" applyProtection="1">
      <alignment horizontal="center" vertical="center" shrinkToFit="1"/>
      <protection hidden="1"/>
    </xf>
    <xf numFmtId="0" fontId="294"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wrapText="1"/>
      <protection hidden="1"/>
    </xf>
    <xf numFmtId="0" fontId="88" fillId="17" borderId="108" xfId="0" applyFont="1" applyFill="1" applyBorder="1" applyAlignment="1" applyProtection="1">
      <alignment horizontal="center" vertical="center" wrapText="1"/>
      <protection hidden="1"/>
    </xf>
    <xf numFmtId="0" fontId="88" fillId="17" borderId="110" xfId="0" applyFont="1" applyFill="1" applyBorder="1" applyAlignment="1" applyProtection="1">
      <alignment horizontal="center" vertical="center" shrinkToFit="1"/>
      <protection hidden="1"/>
    </xf>
    <xf numFmtId="0" fontId="79" fillId="17" borderId="110" xfId="0" applyFont="1" applyFill="1" applyBorder="1" applyAlignment="1" applyProtection="1">
      <alignment horizontal="center" vertical="center" wrapText="1"/>
      <protection hidden="1"/>
    </xf>
    <xf numFmtId="0" fontId="35" fillId="0" borderId="111" xfId="0" applyFont="1" applyBorder="1" applyAlignment="1" applyProtection="1">
      <alignment vertical="center" wrapText="1"/>
      <protection hidden="1"/>
    </xf>
    <xf numFmtId="0" fontId="35" fillId="0" borderId="112" xfId="0" applyFont="1" applyBorder="1" applyAlignment="1" applyProtection="1">
      <alignment vertical="center" wrapText="1"/>
      <protection hidden="1"/>
    </xf>
    <xf numFmtId="0" fontId="35" fillId="0" borderId="114"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6" xfId="0" applyFont="1" applyBorder="1" applyAlignment="1" applyProtection="1">
      <alignment vertical="center" wrapText="1"/>
      <protection hidden="1"/>
    </xf>
    <xf numFmtId="0" fontId="35" fillId="0" borderId="117" xfId="0" applyFont="1" applyBorder="1" applyAlignment="1" applyProtection="1">
      <alignment vertical="center" wrapText="1"/>
      <protection hidden="1"/>
    </xf>
    <xf numFmtId="0" fontId="60" fillId="17" borderId="108" xfId="0" applyFont="1" applyFill="1" applyBorder="1" applyAlignment="1" applyProtection="1">
      <alignment horizontal="center" vertical="center" wrapText="1"/>
      <protection hidden="1"/>
    </xf>
    <xf numFmtId="0" fontId="60" fillId="17" borderId="106" xfId="0" applyNumberFormat="1" applyFont="1" applyFill="1" applyBorder="1" applyAlignment="1" applyProtection="1">
      <alignment horizontal="center" vertical="center" wrapText="1"/>
      <protection hidden="1"/>
    </xf>
    <xf numFmtId="0" fontId="60" fillId="17" borderId="110" xfId="0" applyNumberFormat="1" applyFont="1" applyFill="1" applyBorder="1" applyAlignment="1" applyProtection="1">
      <alignment horizontal="center" vertical="center" wrapText="1"/>
      <protection hidden="1"/>
    </xf>
    <xf numFmtId="0" fontId="225" fillId="17" borderId="110" xfId="0" applyFont="1" applyFill="1" applyBorder="1" applyAlignment="1" applyProtection="1">
      <alignment horizontal="center" vertical="center" wrapText="1"/>
      <protection hidden="1"/>
    </xf>
    <xf numFmtId="0" fontId="225" fillId="17" borderId="106"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shrinkToFit="1"/>
      <protection hidden="1"/>
    </xf>
    <xf numFmtId="0" fontId="295"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172" fontId="296" fillId="0" borderId="106"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87" xfId="0" applyFont="1" applyFill="1" applyBorder="1" applyAlignment="1" applyProtection="1">
      <alignment horizontal="center" vertical="center" wrapText="1"/>
      <protection hidden="1"/>
    </xf>
    <xf numFmtId="0" fontId="26" fillId="0" borderId="292" xfId="0" applyFont="1" applyBorder="1" applyAlignment="1" applyProtection="1">
      <alignment horizontal="center" vertical="center" wrapText="1"/>
      <protection hidden="1"/>
    </xf>
    <xf numFmtId="171" fontId="240" fillId="0" borderId="108" xfId="0" applyNumberFormat="1" applyFont="1" applyFill="1" applyBorder="1" applyAlignment="1" applyProtection="1">
      <alignment horizontal="center" vertical="center" wrapText="1"/>
      <protection hidden="1"/>
    </xf>
    <xf numFmtId="0" fontId="241" fillId="7" borderId="143" xfId="0" applyFont="1" applyFill="1" applyBorder="1" applyAlignment="1" applyProtection="1">
      <alignment vertical="center" wrapText="1"/>
      <protection hidden="1"/>
    </xf>
    <xf numFmtId="0" fontId="112" fillId="0" borderId="107" xfId="0" applyFont="1" applyFill="1" applyBorder="1" applyAlignment="1" applyProtection="1">
      <alignment horizontal="center" vertical="center" wrapText="1"/>
      <protection hidden="1"/>
    </xf>
    <xf numFmtId="0" fontId="33" fillId="0" borderId="107"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wrapText="1"/>
      <protection hidden="1"/>
    </xf>
    <xf numFmtId="0" fontId="56" fillId="0" borderId="107" xfId="0" applyFont="1" applyFill="1" applyBorder="1" applyAlignment="1" applyProtection="1">
      <alignment horizontal="center" vertical="center" shrinkToFit="1"/>
      <protection hidden="1"/>
    </xf>
    <xf numFmtId="0" fontId="268" fillId="3" borderId="107" xfId="0" applyFont="1" applyFill="1" applyBorder="1" applyAlignment="1" applyProtection="1">
      <alignment horizontal="center" vertical="center" shrinkToFit="1"/>
      <protection hidden="1"/>
    </xf>
    <xf numFmtId="2" fontId="48" fillId="0" borderId="113" xfId="0" applyNumberFormat="1" applyFont="1" applyFill="1" applyBorder="1" applyAlignment="1" applyProtection="1">
      <alignment horizontal="center" vertical="center" wrapText="1"/>
      <protection hidden="1"/>
    </xf>
    <xf numFmtId="0" fontId="260" fillId="0" borderId="111" xfId="0" applyFont="1" applyFill="1" applyBorder="1" applyAlignment="1" applyProtection="1">
      <alignment horizontal="center" vertical="center" wrapText="1"/>
      <protection hidden="1"/>
    </xf>
    <xf numFmtId="172" fontId="290" fillId="3" borderId="111" xfId="0" applyNumberFormat="1" applyFont="1" applyFill="1" applyBorder="1" applyAlignment="1" applyProtection="1">
      <alignment horizontal="center" vertical="center" shrinkToFit="1"/>
      <protection hidden="1"/>
    </xf>
    <xf numFmtId="0" fontId="260" fillId="3" borderId="113" xfId="0" applyFont="1" applyFill="1" applyBorder="1" applyAlignment="1" applyProtection="1">
      <alignment horizontal="center" vertical="center"/>
      <protection hidden="1"/>
    </xf>
    <xf numFmtId="2" fontId="56" fillId="0" borderId="113" xfId="0" applyNumberFormat="1" applyFont="1" applyFill="1" applyBorder="1" applyAlignment="1" applyProtection="1">
      <alignment horizontal="center" vertical="center" wrapText="1"/>
      <protection hidden="1"/>
    </xf>
    <xf numFmtId="0" fontId="12" fillId="0" borderId="107" xfId="0" applyFont="1" applyFill="1" applyBorder="1" applyAlignment="1" applyProtection="1">
      <alignment horizontal="center" vertical="center" wrapText="1"/>
      <protection hidden="1"/>
    </xf>
    <xf numFmtId="0" fontId="20" fillId="9" borderId="288"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90" xfId="0" applyFont="1" applyFill="1" applyBorder="1" applyAlignment="1" applyProtection="1">
      <alignment horizontal="center" vertical="center" wrapText="1"/>
      <protection hidden="1"/>
    </xf>
    <xf numFmtId="0" fontId="224" fillId="17" borderId="290" xfId="0" applyFont="1" applyFill="1" applyBorder="1" applyAlignment="1" applyProtection="1">
      <alignment horizontal="center" vertical="center" wrapText="1"/>
      <protection hidden="1"/>
    </xf>
    <xf numFmtId="0" fontId="20" fillId="17" borderId="290" xfId="0" applyFont="1" applyFill="1" applyBorder="1" applyAlignment="1" applyProtection="1">
      <alignment horizontal="center" vertical="center" wrapText="1"/>
      <protection hidden="1"/>
    </xf>
    <xf numFmtId="172" fontId="223" fillId="17" borderId="290" xfId="0" applyNumberFormat="1" applyFont="1" applyFill="1" applyBorder="1" applyAlignment="1" applyProtection="1">
      <alignment horizontal="center" vertical="center" wrapText="1"/>
      <protection hidden="1"/>
    </xf>
    <xf numFmtId="0" fontId="27" fillId="17" borderId="290" xfId="0" applyFont="1" applyFill="1" applyBorder="1" applyAlignment="1" applyProtection="1">
      <alignment horizontal="center" vertical="center" wrapText="1"/>
      <protection hidden="1"/>
    </xf>
    <xf numFmtId="0" fontId="242" fillId="17" borderId="293" xfId="0" applyFont="1" applyFill="1" applyBorder="1" applyAlignment="1" applyProtection="1">
      <alignment horizontal="center" vertical="center" wrapText="1"/>
      <protection hidden="1"/>
    </xf>
    <xf numFmtId="0" fontId="298" fillId="0" borderId="109"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301" xfId="0" applyBorder="1" applyProtection="1">
      <protection hidden="1"/>
    </xf>
    <xf numFmtId="0" fontId="0" fillId="0" borderId="56" xfId="0" applyBorder="1" applyProtection="1">
      <protection hidden="1"/>
    </xf>
    <xf numFmtId="0" fontId="60" fillId="0" borderId="147"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2" fillId="0" borderId="147" xfId="0" applyNumberFormat="1"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71" fontId="307" fillId="33" borderId="231" xfId="0" applyNumberFormat="1" applyFont="1" applyFill="1" applyBorder="1" applyAlignment="1" applyProtection="1">
      <alignment horizontal="left" vertical="center"/>
      <protection locked="0"/>
    </xf>
    <xf numFmtId="0" fontId="209" fillId="39" borderId="217" xfId="0" applyFont="1" applyFill="1" applyBorder="1" applyAlignment="1" applyProtection="1">
      <alignment horizontal="right" vertical="center"/>
      <protection hidden="1"/>
    </xf>
    <xf numFmtId="0" fontId="236" fillId="0" borderId="129" xfId="0" applyFont="1" applyBorder="1" applyAlignment="1" applyProtection="1">
      <alignment horizontal="center" vertical="center" wrapText="1"/>
      <protection hidden="1"/>
    </xf>
    <xf numFmtId="0" fontId="305" fillId="0" borderId="129" xfId="0" applyFont="1" applyFill="1" applyBorder="1" applyAlignment="1" applyProtection="1">
      <alignment horizontal="center" vertical="center" wrapText="1"/>
      <protection hidden="1"/>
    </xf>
    <xf numFmtId="0" fontId="306" fillId="0" borderId="129" xfId="0" applyFont="1" applyFill="1" applyBorder="1" applyAlignment="1" applyProtection="1">
      <alignment horizontal="center" vertical="center" textRotation="90" wrapText="1"/>
      <protection hidden="1"/>
    </xf>
    <xf numFmtId="0" fontId="236" fillId="0" borderId="129" xfId="0" applyFont="1" applyFill="1" applyBorder="1" applyAlignment="1" applyProtection="1">
      <alignment horizontal="center" vertical="center" textRotation="90" wrapText="1"/>
      <protection hidden="1"/>
    </xf>
    <xf numFmtId="0" fontId="49" fillId="0" borderId="109" xfId="0" applyFont="1" applyBorder="1" applyAlignment="1" applyProtection="1">
      <alignment horizontal="right" vertical="center"/>
      <protection hidden="1"/>
    </xf>
    <xf numFmtId="0" fontId="49" fillId="0" borderId="171" xfId="0" applyFont="1" applyFill="1" applyBorder="1" applyAlignment="1" applyProtection="1">
      <alignment horizontal="center" vertical="center" textRotation="90" wrapText="1"/>
      <protection hidden="1"/>
    </xf>
    <xf numFmtId="0" fontId="49" fillId="0" borderId="172" xfId="0" applyFont="1" applyBorder="1" applyAlignment="1" applyProtection="1">
      <alignment horizontal="center" vertical="center" textRotation="90" wrapText="1"/>
      <protection hidden="1"/>
    </xf>
    <xf numFmtId="0" fontId="35" fillId="0" borderId="155"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42" xfId="0" applyFont="1" applyFill="1" applyBorder="1" applyAlignment="1" applyProtection="1">
      <alignment horizontal="center" vertical="center" textRotation="90" wrapText="1"/>
      <protection hidden="1"/>
    </xf>
    <xf numFmtId="0" fontId="251" fillId="0" borderId="142" xfId="0" applyFont="1" applyFill="1" applyBorder="1" applyAlignment="1" applyProtection="1">
      <alignment horizontal="center" vertical="center" wrapText="1"/>
      <protection hidden="1"/>
    </xf>
    <xf numFmtId="0" fontId="35" fillId="0" borderId="154" xfId="0" applyFont="1" applyFill="1" applyBorder="1" applyAlignment="1" applyProtection="1">
      <alignment horizontal="center" vertical="center" textRotation="90" wrapText="1"/>
      <protection hidden="1"/>
    </xf>
    <xf numFmtId="0" fontId="35" fillId="0" borderId="142" xfId="0" applyFont="1" applyFill="1" applyBorder="1" applyAlignment="1" applyProtection="1">
      <alignment horizontal="center" vertical="center"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6" xfId="0" applyFont="1" applyFill="1" applyBorder="1" applyAlignment="1" applyProtection="1">
      <alignment vertical="center" wrapText="1"/>
      <protection hidden="1"/>
    </xf>
    <xf numFmtId="0" fontId="21" fillId="18" borderId="307" xfId="0" applyFont="1" applyFill="1" applyBorder="1" applyAlignment="1" applyProtection="1">
      <alignment vertical="center" wrapText="1"/>
      <protection hidden="1"/>
    </xf>
    <xf numFmtId="0" fontId="49" fillId="0" borderId="141" xfId="0" applyFont="1" applyFill="1" applyBorder="1" applyAlignment="1" applyProtection="1">
      <alignment horizontal="center" vertical="center" wrapText="1"/>
      <protection hidden="1"/>
    </xf>
    <xf numFmtId="172" fontId="49" fillId="0" borderId="141" xfId="0" applyNumberFormat="1" applyFont="1" applyFill="1" applyBorder="1" applyAlignment="1" applyProtection="1">
      <alignment horizontal="center" vertical="center" wrapText="1"/>
      <protection hidden="1"/>
    </xf>
    <xf numFmtId="2" fontId="43" fillId="0" borderId="154" xfId="0" applyNumberFormat="1" applyFont="1" applyFill="1" applyBorder="1" applyAlignment="1" applyProtection="1">
      <alignment horizontal="center" vertical="center" wrapText="1"/>
      <protection hidden="1"/>
    </xf>
    <xf numFmtId="2" fontId="43" fillId="0" borderId="141" xfId="0" applyNumberFormat="1" applyFont="1" applyFill="1" applyBorder="1" applyAlignment="1" applyProtection="1">
      <alignment horizontal="center" vertical="center" wrapText="1"/>
      <protection hidden="1"/>
    </xf>
    <xf numFmtId="0" fontId="43" fillId="0" borderId="141" xfId="0" applyFont="1" applyFill="1" applyBorder="1" applyAlignment="1" applyProtection="1">
      <alignment horizontal="center" vertical="center" wrapText="1"/>
      <protection hidden="1"/>
    </xf>
    <xf numFmtId="171" fontId="112" fillId="0" borderId="141" xfId="0" applyNumberFormat="1" applyFont="1" applyFill="1" applyBorder="1" applyAlignment="1" applyProtection="1">
      <alignment horizontal="center" vertical="center" wrapText="1"/>
      <protection hidden="1"/>
    </xf>
    <xf numFmtId="0" fontId="112" fillId="0" borderId="141" xfId="0" applyFont="1" applyFill="1" applyBorder="1" applyAlignment="1" applyProtection="1">
      <alignment horizontal="left" vertical="center" wrapText="1"/>
      <protection hidden="1"/>
    </xf>
    <xf numFmtId="1" fontId="47" fillId="0" borderId="142" xfId="0" applyNumberFormat="1" applyFont="1" applyFill="1" applyBorder="1" applyAlignment="1" applyProtection="1">
      <alignment horizontal="center" vertical="center" wrapText="1"/>
      <protection hidden="1"/>
    </xf>
    <xf numFmtId="0" fontId="312" fillId="0" borderId="51" xfId="0" applyFont="1" applyBorder="1" applyAlignment="1" applyProtection="1">
      <alignment horizontal="center" vertical="center" wrapText="1"/>
      <protection hidden="1"/>
    </xf>
    <xf numFmtId="0" fontId="313"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5" fillId="0" borderId="0" xfId="0" applyFont="1" applyProtection="1">
      <protection hidden="1"/>
    </xf>
    <xf numFmtId="0" fontId="314" fillId="0" borderId="0" xfId="0" applyFont="1" applyBorder="1" applyAlignment="1" applyProtection="1">
      <alignment horizontal="center" vertical="center"/>
      <protection hidden="1"/>
    </xf>
    <xf numFmtId="0" fontId="314" fillId="0" borderId="88" xfId="0" applyFont="1" applyBorder="1" applyAlignment="1" applyProtection="1">
      <alignment horizontal="center" vertical="center"/>
      <protection hidden="1"/>
    </xf>
    <xf numFmtId="0" fontId="314" fillId="0" borderId="89"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8" xfId="0" applyFont="1" applyFill="1" applyBorder="1" applyAlignment="1" applyProtection="1">
      <alignment horizontal="center" vertical="center" wrapText="1"/>
      <protection hidden="1"/>
    </xf>
    <xf numFmtId="0" fontId="60" fillId="0" borderId="162" xfId="0" applyFont="1" applyFill="1" applyBorder="1" applyAlignment="1" applyProtection="1">
      <alignment horizontal="center" vertical="center" textRotation="90" wrapText="1"/>
      <protection hidden="1"/>
    </xf>
    <xf numFmtId="0" fontId="287" fillId="3" borderId="162" xfId="0" applyFont="1" applyFill="1" applyBorder="1" applyAlignment="1" applyProtection="1">
      <alignment horizontal="center" vertical="center" textRotation="90" wrapText="1" shrinkToFit="1"/>
      <protection hidden="1"/>
    </xf>
    <xf numFmtId="0" fontId="35" fillId="0" borderId="162" xfId="0" applyFont="1" applyFill="1" applyBorder="1" applyAlignment="1" applyProtection="1">
      <alignment horizontal="center" vertical="center" textRotation="90" wrapText="1"/>
      <protection hidden="1"/>
    </xf>
    <xf numFmtId="0" fontId="220" fillId="0" borderId="162" xfId="0" applyFont="1" applyFill="1" applyBorder="1" applyAlignment="1" applyProtection="1">
      <alignment horizontal="center" vertical="center" textRotation="90" wrapText="1"/>
      <protection hidden="1"/>
    </xf>
    <xf numFmtId="0" fontId="165" fillId="37" borderId="162" xfId="0" applyNumberFormat="1" applyFont="1" applyFill="1" applyBorder="1" applyAlignment="1" applyProtection="1">
      <alignment horizontal="center" vertical="center" wrapText="1"/>
      <protection hidden="1"/>
    </xf>
    <xf numFmtId="0" fontId="117" fillId="37" borderId="162" xfId="0" applyNumberFormat="1" applyFont="1" applyFill="1" applyBorder="1" applyAlignment="1" applyProtection="1">
      <alignment horizontal="center" vertical="center" wrapText="1"/>
      <protection hidden="1"/>
    </xf>
    <xf numFmtId="0" fontId="249" fillId="37" borderId="162" xfId="0" applyNumberFormat="1" applyFont="1" applyFill="1" applyBorder="1" applyAlignment="1" applyProtection="1">
      <alignment horizontal="center" vertical="center" wrapText="1"/>
      <protection hidden="1"/>
    </xf>
    <xf numFmtId="0" fontId="117" fillId="37" borderId="162" xfId="0" applyFont="1" applyFill="1" applyBorder="1" applyAlignment="1" applyProtection="1">
      <alignment horizontal="center" vertical="center" wrapText="1"/>
      <protection hidden="1"/>
    </xf>
    <xf numFmtId="0" fontId="96" fillId="37" borderId="162" xfId="0" applyFont="1" applyFill="1" applyBorder="1" applyAlignment="1" applyProtection="1">
      <alignment horizontal="center" vertical="center" shrinkToFit="1"/>
      <protection hidden="1"/>
    </xf>
    <xf numFmtId="0" fontId="117" fillId="37" borderId="162" xfId="0" applyFont="1" applyFill="1" applyBorder="1" applyAlignment="1" applyProtection="1">
      <alignment horizontal="center" vertical="center" shrinkToFit="1"/>
      <protection hidden="1"/>
    </xf>
    <xf numFmtId="0" fontId="318" fillId="0" borderId="91" xfId="0" applyFont="1" applyBorder="1" applyAlignment="1" applyProtection="1">
      <alignment vertical="center"/>
      <protection hidden="1"/>
    </xf>
    <xf numFmtId="0" fontId="115" fillId="0" borderId="0" xfId="0" applyFont="1" applyFill="1" applyBorder="1" applyAlignment="1" applyProtection="1">
      <alignment horizontal="left" vertical="center" wrapText="1"/>
      <protection hidden="1"/>
    </xf>
    <xf numFmtId="0" fontId="314"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7" xfId="0" applyNumberFormat="1" applyFont="1" applyFill="1" applyBorder="1" applyAlignment="1" applyProtection="1">
      <alignment horizontal="center" vertical="center" wrapText="1"/>
      <protection hidden="1"/>
    </xf>
    <xf numFmtId="172" fontId="158" fillId="0" borderId="167" xfId="0" applyNumberFormat="1" applyFont="1" applyFill="1" applyBorder="1" applyAlignment="1" applyProtection="1">
      <alignment horizontal="center" vertical="center" wrapText="1"/>
      <protection hidden="1"/>
    </xf>
    <xf numFmtId="0" fontId="249" fillId="0" borderId="162"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62" xfId="0" applyNumberFormat="1" applyFont="1" applyFill="1" applyBorder="1" applyAlignment="1" applyProtection="1">
      <alignment horizontal="center" vertical="center" wrapText="1"/>
      <protection hidden="1"/>
    </xf>
    <xf numFmtId="0" fontId="322" fillId="0" borderId="167" xfId="0" applyNumberFormat="1" applyFont="1" applyFill="1" applyBorder="1" applyAlignment="1" applyProtection="1">
      <alignment horizontal="center" vertical="center" wrapText="1"/>
      <protection hidden="1"/>
    </xf>
    <xf numFmtId="2" fontId="323" fillId="0" borderId="162" xfId="0" applyNumberFormat="1" applyFont="1" applyFill="1" applyBorder="1" applyAlignment="1" applyProtection="1">
      <alignment horizontal="center" vertical="center" wrapText="1"/>
      <protection hidden="1"/>
    </xf>
    <xf numFmtId="0" fontId="324" fillId="0" borderId="162" xfId="0" applyNumberFormat="1" applyFont="1" applyFill="1" applyBorder="1" applyAlignment="1" applyProtection="1">
      <alignment horizontal="center" vertical="center" wrapText="1"/>
      <protection hidden="1"/>
    </xf>
    <xf numFmtId="1" fontId="28" fillId="0" borderId="162"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62" xfId="0" applyFont="1" applyFill="1" applyBorder="1" applyAlignment="1" applyProtection="1">
      <alignment horizontal="center" vertical="center" wrapText="1"/>
      <protection hidden="1"/>
    </xf>
    <xf numFmtId="0" fontId="156" fillId="0" borderId="167" xfId="0" applyFont="1" applyFill="1" applyBorder="1" applyAlignment="1" applyProtection="1">
      <alignment horizontal="center" vertical="center" wrapText="1"/>
      <protection hidden="1"/>
    </xf>
    <xf numFmtId="0" fontId="314"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62" xfId="0" applyNumberFormat="1" applyFont="1" applyFill="1" applyBorder="1" applyAlignment="1" applyProtection="1">
      <alignment horizontal="center" vertical="center" wrapText="1"/>
      <protection hidden="1"/>
    </xf>
    <xf numFmtId="171" fontId="35" fillId="0" borderId="200"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62" xfId="0" applyFont="1" applyFill="1" applyBorder="1" applyAlignment="1" applyProtection="1">
      <alignment horizontal="center" vertical="center" textRotation="90" wrapText="1"/>
      <protection hidden="1"/>
    </xf>
    <xf numFmtId="0" fontId="331" fillId="3" borderId="162" xfId="0" applyFont="1" applyFill="1" applyBorder="1" applyAlignment="1" applyProtection="1">
      <alignment horizontal="center" vertical="center" textRotation="90" wrapText="1" shrinkToFit="1"/>
      <protection hidden="1"/>
    </xf>
    <xf numFmtId="0" fontId="332" fillId="0" borderId="162" xfId="0" applyFont="1" applyFill="1" applyBorder="1" applyAlignment="1" applyProtection="1">
      <alignment horizontal="center" vertical="center" textRotation="90" wrapText="1"/>
      <protection hidden="1"/>
    </xf>
    <xf numFmtId="0" fontId="118" fillId="3" borderId="162" xfId="0" applyFont="1" applyFill="1" applyBorder="1" applyAlignment="1" applyProtection="1">
      <alignment horizontal="center" vertical="center" textRotation="90" wrapText="1" shrinkToFit="1"/>
      <protection hidden="1"/>
    </xf>
    <xf numFmtId="0" fontId="96" fillId="37" borderId="162" xfId="0" applyFont="1" applyFill="1" applyBorder="1" applyAlignment="1" applyProtection="1">
      <alignment horizontal="center" vertical="center" wrapText="1"/>
      <protection hidden="1"/>
    </xf>
    <xf numFmtId="0" fontId="96" fillId="37" borderId="162" xfId="0" applyNumberFormat="1" applyFont="1" applyFill="1" applyBorder="1" applyAlignment="1" applyProtection="1">
      <alignment horizontal="center" vertical="center" wrapText="1"/>
      <protection hidden="1"/>
    </xf>
    <xf numFmtId="0" fontId="215" fillId="37" borderId="162" xfId="0" applyNumberFormat="1" applyFont="1" applyFill="1" applyBorder="1" applyAlignment="1" applyProtection="1">
      <alignment horizontal="center" vertical="center" wrapText="1"/>
      <protection hidden="1"/>
    </xf>
    <xf numFmtId="0" fontId="333" fillId="0" borderId="162" xfId="0" applyFont="1" applyFill="1" applyBorder="1" applyAlignment="1" applyProtection="1">
      <alignment horizontal="center" vertical="center" wrapText="1"/>
      <protection hidden="1"/>
    </xf>
    <xf numFmtId="0" fontId="333" fillId="0" borderId="167" xfId="0" applyFont="1" applyFill="1" applyBorder="1" applyAlignment="1" applyProtection="1">
      <alignment horizontal="center" vertical="center" wrapText="1"/>
      <protection hidden="1"/>
    </xf>
    <xf numFmtId="1" fontId="112" fillId="0" borderId="319" xfId="0" applyNumberFormat="1" applyFont="1" applyFill="1" applyBorder="1" applyAlignment="1" applyProtection="1">
      <alignment horizontal="center" vertical="center" wrapText="1"/>
      <protection hidden="1"/>
    </xf>
    <xf numFmtId="0" fontId="9" fillId="0" borderId="323" xfId="0" applyFont="1" applyBorder="1" applyAlignment="1" applyProtection="1">
      <alignment horizontal="center" vertical="center"/>
      <protection hidden="1"/>
    </xf>
    <xf numFmtId="0" fontId="215" fillId="0" borderId="162" xfId="0" applyFont="1" applyFill="1" applyBorder="1" applyAlignment="1" applyProtection="1">
      <alignment horizontal="center" vertical="center" wrapText="1"/>
      <protection hidden="1"/>
    </xf>
    <xf numFmtId="0" fontId="249" fillId="0" borderId="162" xfId="0" applyFont="1" applyFill="1" applyBorder="1" applyAlignment="1" applyProtection="1">
      <alignment horizontal="center" vertical="center" wrapText="1"/>
      <protection hidden="1"/>
    </xf>
    <xf numFmtId="0" fontId="335" fillId="0" borderId="162" xfId="0" applyFont="1" applyFill="1" applyBorder="1" applyAlignment="1" applyProtection="1">
      <alignment horizontal="center" vertical="center" wrapText="1"/>
      <protection hidden="1"/>
    </xf>
    <xf numFmtId="0" fontId="334" fillId="0" borderId="162" xfId="0" applyFont="1" applyFill="1" applyBorder="1" applyAlignment="1" applyProtection="1">
      <alignment horizontal="center" vertical="center" wrapText="1"/>
      <protection hidden="1"/>
    </xf>
    <xf numFmtId="0" fontId="335" fillId="0" borderId="319" xfId="0" applyFont="1" applyFill="1" applyBorder="1" applyAlignment="1" applyProtection="1">
      <alignment horizontal="center" vertical="center" wrapText="1"/>
      <protection hidden="1"/>
    </xf>
    <xf numFmtId="0" fontId="249" fillId="0" borderId="319"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10" xfId="0" applyFont="1" applyBorder="1" applyAlignment="1" applyProtection="1">
      <alignment horizontal="left" vertical="center"/>
      <protection hidden="1"/>
    </xf>
    <xf numFmtId="0" fontId="237" fillId="0" borderId="136" xfId="0" applyFont="1" applyFill="1" applyBorder="1" applyAlignment="1" applyProtection="1">
      <alignment horizontal="center" wrapText="1"/>
      <protection hidden="1"/>
    </xf>
    <xf numFmtId="0" fontId="28" fillId="0" borderId="136" xfId="0"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0" fontId="112" fillId="0" borderId="184" xfId="0" applyFont="1" applyFill="1" applyBorder="1" applyAlignment="1" applyProtection="1">
      <alignment horizontal="center" wrapText="1"/>
      <protection hidden="1"/>
    </xf>
    <xf numFmtId="0" fontId="215" fillId="0" borderId="162"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62" xfId="0" applyFont="1" applyFill="1" applyBorder="1" applyAlignment="1" applyProtection="1">
      <alignment horizontal="center" vertical="center" textRotation="90" wrapText="1"/>
      <protection hidden="1"/>
    </xf>
    <xf numFmtId="0" fontId="60" fillId="19" borderId="263" xfId="0" applyFont="1" applyFill="1" applyBorder="1" applyAlignment="1" applyProtection="1">
      <alignment horizontal="center" vertical="center" textRotation="90" wrapText="1"/>
      <protection hidden="1"/>
    </xf>
    <xf numFmtId="0" fontId="60" fillId="12" borderId="262" xfId="0" applyFont="1" applyFill="1" applyBorder="1" applyAlignment="1" applyProtection="1">
      <alignment horizontal="center" vertical="center" textRotation="90" wrapText="1"/>
      <protection hidden="1"/>
    </xf>
    <xf numFmtId="0" fontId="60" fillId="12" borderId="263" xfId="0" applyFont="1" applyFill="1" applyBorder="1" applyAlignment="1" applyProtection="1">
      <alignment horizontal="center" vertical="center" textRotation="90" wrapText="1"/>
      <protection hidden="1"/>
    </xf>
    <xf numFmtId="0" fontId="60" fillId="16" borderId="262" xfId="0" applyFont="1" applyFill="1" applyBorder="1" applyAlignment="1" applyProtection="1">
      <alignment horizontal="center" vertical="center" textRotation="90" wrapText="1"/>
      <protection hidden="1"/>
    </xf>
    <xf numFmtId="0" fontId="60" fillId="16" borderId="263" xfId="0" applyFont="1" applyFill="1" applyBorder="1" applyAlignment="1" applyProtection="1">
      <alignment horizontal="center" vertical="center" textRotation="90" wrapText="1"/>
      <protection hidden="1"/>
    </xf>
    <xf numFmtId="0" fontId="60" fillId="37" borderId="262" xfId="0" applyFont="1" applyFill="1" applyBorder="1" applyAlignment="1" applyProtection="1">
      <alignment horizontal="center" vertical="center" textRotation="90" wrapText="1"/>
      <protection hidden="1"/>
    </xf>
    <xf numFmtId="0" fontId="60" fillId="37" borderId="263"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270" fillId="9" borderId="0" xfId="0" applyFont="1" applyFill="1" applyBorder="1" applyAlignment="1" applyProtection="1">
      <alignment horizontal="center" vertical="center"/>
      <protection hidden="1"/>
    </xf>
    <xf numFmtId="0" fontId="336"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39" fillId="9" borderId="0" xfId="0" applyFont="1" applyFill="1" applyBorder="1" applyAlignment="1" applyProtection="1">
      <alignment horizontal="center" vertical="center"/>
      <protection hidden="1"/>
    </xf>
    <xf numFmtId="0" fontId="309" fillId="0" borderId="0" xfId="0" applyFont="1" applyBorder="1" applyAlignment="1" applyProtection="1">
      <alignment horizontal="center" vertical="center"/>
      <protection hidden="1"/>
    </xf>
    <xf numFmtId="0" fontId="275"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2" fillId="0" borderId="0" xfId="0" applyFont="1" applyBorder="1" applyAlignment="1" applyProtection="1">
      <alignment horizontal="right" vertical="center"/>
      <protection hidden="1"/>
    </xf>
    <xf numFmtId="0" fontId="275" fillId="0" borderId="0" xfId="0" applyFont="1" applyBorder="1" applyAlignment="1" applyProtection="1">
      <alignment horizontal="left" vertical="center"/>
      <protection hidden="1"/>
    </xf>
    <xf numFmtId="0" fontId="341"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1"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3" fillId="3" borderId="0" xfId="0" applyFont="1" applyFill="1" applyBorder="1" applyAlignment="1" applyProtection="1">
      <alignment horizontal="center" vertical="center" wrapText="1"/>
      <protection hidden="1"/>
    </xf>
    <xf numFmtId="0" fontId="346"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43" xfId="0" applyFont="1" applyFill="1" applyBorder="1" applyAlignment="1" applyProtection="1">
      <alignment horizontal="center" vertical="center" textRotation="90" wrapText="1"/>
      <protection hidden="1"/>
    </xf>
    <xf numFmtId="0" fontId="287" fillId="3" borderId="343" xfId="0" applyFont="1" applyFill="1" applyBorder="1" applyAlignment="1" applyProtection="1">
      <alignment horizontal="center" vertical="center" textRotation="90" wrapText="1" shrinkToFit="1"/>
      <protection hidden="1"/>
    </xf>
    <xf numFmtId="0" fontId="56" fillId="28" borderId="343" xfId="0" applyFont="1" applyFill="1" applyBorder="1" applyAlignment="1" applyProtection="1">
      <alignment horizontal="center" vertical="center" wrapText="1"/>
      <protection hidden="1"/>
    </xf>
    <xf numFmtId="0" fontId="350" fillId="28" borderId="343" xfId="0" applyFont="1" applyFill="1" applyBorder="1" applyAlignment="1" applyProtection="1">
      <alignment horizontal="center" vertical="center" wrapText="1"/>
      <protection hidden="1"/>
    </xf>
    <xf numFmtId="0" fontId="260" fillId="28" borderId="343" xfId="0" applyFont="1" applyFill="1" applyBorder="1" applyAlignment="1" applyProtection="1">
      <alignment horizontal="center" vertical="center" wrapText="1"/>
      <protection hidden="1"/>
    </xf>
    <xf numFmtId="0" fontId="88" fillId="28" borderId="343" xfId="0" applyFont="1" applyFill="1" applyBorder="1" applyAlignment="1" applyProtection="1">
      <alignment horizontal="center" vertical="center" wrapText="1"/>
      <protection hidden="1"/>
    </xf>
    <xf numFmtId="0" fontId="8" fillId="28" borderId="343" xfId="0" applyFont="1" applyFill="1" applyBorder="1" applyAlignment="1" applyProtection="1">
      <alignment horizontal="center"/>
      <protection hidden="1"/>
    </xf>
    <xf numFmtId="0" fontId="46" fillId="0" borderId="343" xfId="0" applyFont="1" applyFill="1" applyBorder="1" applyAlignment="1" applyProtection="1">
      <alignment horizontal="center" vertical="center" wrapText="1"/>
      <protection hidden="1"/>
    </xf>
    <xf numFmtId="0" fontId="44" fillId="0" borderId="343" xfId="0" applyFont="1" applyFill="1" applyBorder="1" applyAlignment="1" applyProtection="1">
      <alignment horizontal="center" vertical="center" wrapText="1"/>
      <protection hidden="1"/>
    </xf>
    <xf numFmtId="0" fontId="244" fillId="0" borderId="343" xfId="0" applyFont="1" applyFill="1" applyBorder="1" applyAlignment="1" applyProtection="1">
      <alignment horizontal="center" vertical="center" wrapText="1"/>
      <protection hidden="1"/>
    </xf>
    <xf numFmtId="171" fontId="44" fillId="0" borderId="343" xfId="0" applyNumberFormat="1" applyFont="1" applyFill="1" applyBorder="1" applyAlignment="1" applyProtection="1">
      <alignment horizontal="center" vertical="center" wrapText="1"/>
      <protection hidden="1"/>
    </xf>
    <xf numFmtId="0" fontId="113" fillId="0" borderId="343" xfId="0" applyFont="1" applyFill="1" applyBorder="1" applyAlignment="1" applyProtection="1">
      <alignment horizontal="left" vertical="center" wrapText="1"/>
      <protection hidden="1"/>
    </xf>
    <xf numFmtId="0" fontId="113" fillId="0" borderId="343" xfId="0" applyFont="1" applyFill="1" applyBorder="1" applyAlignment="1" applyProtection="1">
      <alignment horizontal="center" vertical="center" wrapText="1"/>
      <protection hidden="1"/>
    </xf>
    <xf numFmtId="0" fontId="56" fillId="3" borderId="343" xfId="0" applyFont="1" applyFill="1" applyBorder="1" applyAlignment="1" applyProtection="1">
      <alignment horizontal="center" vertical="center" wrapText="1"/>
      <protection hidden="1"/>
    </xf>
    <xf numFmtId="0" fontId="350" fillId="0" borderId="343" xfId="0" applyFont="1" applyFill="1" applyBorder="1" applyAlignment="1" applyProtection="1">
      <alignment horizontal="center" vertical="center" wrapText="1"/>
      <protection hidden="1"/>
    </xf>
    <xf numFmtId="0" fontId="260" fillId="3" borderId="343" xfId="0" applyFont="1" applyFill="1" applyBorder="1" applyAlignment="1" applyProtection="1">
      <alignment horizontal="center" vertical="center" wrapText="1"/>
      <protection hidden="1"/>
    </xf>
    <xf numFmtId="0" fontId="88" fillId="3" borderId="343" xfId="0" applyFont="1" applyFill="1" applyBorder="1" applyAlignment="1" applyProtection="1">
      <alignment horizontal="center" vertical="center" wrapText="1"/>
      <protection hidden="1"/>
    </xf>
    <xf numFmtId="0" fontId="343" fillId="3" borderId="343" xfId="0" applyFont="1" applyFill="1" applyBorder="1" applyAlignment="1" applyProtection="1">
      <alignment horizontal="center" vertical="center" wrapText="1"/>
      <protection hidden="1"/>
    </xf>
    <xf numFmtId="0" fontId="43" fillId="0" borderId="343" xfId="0" applyFont="1" applyFill="1" applyBorder="1" applyAlignment="1" applyProtection="1">
      <alignment horizontal="center" vertical="center" wrapText="1"/>
      <protection hidden="1"/>
    </xf>
    <xf numFmtId="0" fontId="351" fillId="3" borderId="343" xfId="0" applyFont="1" applyFill="1" applyBorder="1" applyAlignment="1" applyProtection="1">
      <alignment horizontal="center" vertical="center" wrapText="1"/>
      <protection hidden="1"/>
    </xf>
    <xf numFmtId="0" fontId="316" fillId="3" borderId="343" xfId="0" applyFont="1" applyFill="1" applyBorder="1" applyAlignment="1" applyProtection="1">
      <alignment horizontal="center" vertical="center"/>
      <protection hidden="1"/>
    </xf>
    <xf numFmtId="0" fontId="275" fillId="0" borderId="0" xfId="0" applyFont="1" applyBorder="1" applyAlignment="1" applyProtection="1">
      <alignment vertical="center"/>
      <protection hidden="1"/>
    </xf>
    <xf numFmtId="0" fontId="46" fillId="0" borderId="348" xfId="0" applyFont="1" applyFill="1" applyBorder="1" applyAlignment="1" applyProtection="1">
      <alignment vertical="center" wrapText="1"/>
      <protection hidden="1"/>
    </xf>
    <xf numFmtId="0" fontId="271" fillId="3" borderId="354" xfId="0" applyFont="1" applyFill="1" applyBorder="1" applyAlignment="1" applyProtection="1">
      <alignment vertical="center" wrapText="1"/>
      <protection hidden="1"/>
    </xf>
    <xf numFmtId="0" fontId="9" fillId="0" borderId="0" xfId="0" applyNumberFormat="1" applyFont="1" applyBorder="1" applyAlignment="1" applyProtection="1">
      <alignment vertical="top" wrapText="1"/>
      <protection hidden="1"/>
    </xf>
    <xf numFmtId="0" fontId="309" fillId="0" borderId="0" xfId="0" applyFont="1" applyBorder="1" applyAlignment="1" applyProtection="1">
      <alignment horizontal="center" vertical="center"/>
      <protection hidden="1"/>
    </xf>
    <xf numFmtId="0" fontId="176" fillId="33" borderId="230" xfId="0" applyFont="1" applyFill="1" applyBorder="1" applyAlignment="1" applyProtection="1">
      <alignment horizontal="left" vertical="center"/>
      <protection locked="0"/>
    </xf>
    <xf numFmtId="171" fontId="38" fillId="25" borderId="0" xfId="0" applyNumberFormat="1" applyFont="1" applyFill="1" applyAlignment="1" applyProtection="1">
      <alignment horizontal="center" vertical="center" wrapText="1"/>
      <protection hidden="1"/>
    </xf>
    <xf numFmtId="0" fontId="216" fillId="12" borderId="0" xfId="0" applyFont="1" applyFill="1" applyBorder="1" applyAlignment="1" applyProtection="1">
      <alignment horizontal="center" vertical="center" wrapText="1"/>
      <protection hidden="1"/>
    </xf>
    <xf numFmtId="0" fontId="253" fillId="12" borderId="356" xfId="0" applyFont="1" applyFill="1" applyBorder="1" applyAlignment="1" applyProtection="1">
      <alignment horizontal="center" vertical="center" wrapText="1"/>
      <protection hidden="1"/>
    </xf>
    <xf numFmtId="0" fontId="49" fillId="0" borderId="109" xfId="0" applyFont="1" applyFill="1" applyBorder="1" applyAlignment="1" applyProtection="1">
      <alignment horizontal="center" vertical="center" shrinkToFit="1"/>
      <protection hidden="1"/>
    </xf>
    <xf numFmtId="0" fontId="49" fillId="0" borderId="106" xfId="0" applyFont="1" applyFill="1" applyBorder="1" applyAlignment="1" applyProtection="1">
      <alignment horizontal="center" vertical="center" shrinkToFit="1"/>
      <protection hidden="1"/>
    </xf>
    <xf numFmtId="172" fontId="43" fillId="0" borderId="136" xfId="0" applyNumberFormat="1" applyFont="1" applyFill="1" applyBorder="1" applyAlignment="1" applyProtection="1">
      <alignment horizontal="center" vertical="center" wrapText="1"/>
      <protection hidden="1"/>
    </xf>
    <xf numFmtId="0" fontId="350" fillId="3" borderId="106" xfId="0" applyFont="1" applyFill="1" applyBorder="1" applyAlignment="1" applyProtection="1">
      <alignment horizontal="center" vertical="center"/>
      <protection hidden="1"/>
    </xf>
    <xf numFmtId="0" fontId="49" fillId="0" borderId="145" xfId="0" applyFont="1" applyFill="1" applyBorder="1" applyAlignment="1" applyProtection="1">
      <alignment horizontal="center" vertical="center" shrinkToFit="1"/>
      <protection hidden="1"/>
    </xf>
    <xf numFmtId="0" fontId="336" fillId="25" borderId="0" xfId="4" applyFont="1" applyFill="1" applyAlignment="1" applyProtection="1">
      <alignment horizontal="center" vertical="center"/>
      <protection hidden="1"/>
    </xf>
    <xf numFmtId="0" fontId="336" fillId="20" borderId="101" xfId="4" applyFont="1" applyFill="1" applyBorder="1" applyAlignment="1" applyProtection="1">
      <alignment horizontal="center" vertical="center"/>
      <protection hidden="1"/>
    </xf>
    <xf numFmtId="0" fontId="337" fillId="20" borderId="102" xfId="4" applyFont="1" applyFill="1" applyBorder="1" applyAlignment="1" applyProtection="1">
      <alignment horizontal="center" vertical="center"/>
      <protection hidden="1"/>
    </xf>
    <xf numFmtId="0" fontId="337" fillId="20" borderId="103" xfId="4" applyFont="1" applyFill="1" applyBorder="1" applyAlignment="1" applyProtection="1">
      <alignment horizontal="center" vertical="center"/>
      <protection hidden="1"/>
    </xf>
    <xf numFmtId="0" fontId="175" fillId="2" borderId="95" xfId="0" applyFont="1" applyFill="1" applyBorder="1" applyAlignment="1" applyProtection="1">
      <alignment horizontal="left" vertical="center" wrapText="1"/>
      <protection hidden="1"/>
    </xf>
    <xf numFmtId="0" fontId="175" fillId="2" borderId="96" xfId="0" applyFont="1" applyFill="1" applyBorder="1" applyAlignment="1" applyProtection="1">
      <alignment horizontal="left" vertical="center" wrapText="1"/>
      <protection hidden="1"/>
    </xf>
    <xf numFmtId="0" fontId="175" fillId="2" borderId="97" xfId="0" applyFont="1" applyFill="1" applyBorder="1" applyAlignment="1" applyProtection="1">
      <alignment horizontal="left" vertical="center" wrapText="1"/>
      <protection hidden="1"/>
    </xf>
    <xf numFmtId="0" fontId="172" fillId="5" borderId="95" xfId="0" applyFont="1" applyFill="1" applyBorder="1" applyAlignment="1" applyProtection="1">
      <alignment horizontal="center" vertical="center" wrapText="1"/>
      <protection hidden="1"/>
    </xf>
    <xf numFmtId="0" fontId="172" fillId="5" borderId="96" xfId="0" applyFont="1" applyFill="1" applyBorder="1" applyAlignment="1" applyProtection="1">
      <alignment horizontal="center" vertical="center" wrapText="1"/>
      <protection hidden="1"/>
    </xf>
    <xf numFmtId="0" fontId="172" fillId="5" borderId="97"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95" xfId="0" applyFont="1" applyFill="1" applyBorder="1" applyAlignment="1" applyProtection="1">
      <alignment horizontal="left" vertical="center" wrapText="1"/>
      <protection hidden="1"/>
    </xf>
    <xf numFmtId="0" fontId="174" fillId="4" borderId="96" xfId="0" applyFont="1" applyFill="1" applyBorder="1" applyAlignment="1" applyProtection="1">
      <alignment horizontal="left" vertical="center" wrapText="1"/>
      <protection hidden="1"/>
    </xf>
    <xf numFmtId="0" fontId="174" fillId="4" borderId="97"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39" fillId="5" borderId="98"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39" fillId="5" borderId="100" xfId="0" applyFont="1" applyFill="1" applyBorder="1" applyAlignment="1" applyProtection="1">
      <alignment horizontal="left" vertical="center" wrapText="1"/>
      <protection hidden="1"/>
    </xf>
    <xf numFmtId="0" fontId="140" fillId="5" borderId="101" xfId="0" applyFont="1" applyFill="1" applyBorder="1" applyAlignment="1" applyProtection="1">
      <alignment horizontal="left" vertical="center" wrapText="1"/>
      <protection hidden="1"/>
    </xf>
    <xf numFmtId="0" fontId="140" fillId="5" borderId="102" xfId="0" applyFont="1" applyFill="1" applyBorder="1" applyAlignment="1" applyProtection="1">
      <alignment horizontal="left" vertical="center" wrapText="1"/>
      <protection hidden="1"/>
    </xf>
    <xf numFmtId="0" fontId="140" fillId="5" borderId="103"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42" fillId="5" borderId="101" xfId="0" applyFont="1" applyFill="1" applyBorder="1" applyAlignment="1" applyProtection="1">
      <alignment horizontal="left" vertical="center" wrapText="1"/>
      <protection hidden="1"/>
    </xf>
    <xf numFmtId="0" fontId="142" fillId="5" borderId="102" xfId="0" applyFont="1" applyFill="1" applyBorder="1" applyAlignment="1" applyProtection="1">
      <alignment horizontal="left" vertical="center" wrapText="1"/>
      <protection hidden="1"/>
    </xf>
    <xf numFmtId="0" fontId="142" fillId="5" borderId="103" xfId="0" applyFont="1" applyFill="1" applyBorder="1" applyAlignment="1" applyProtection="1">
      <alignment horizontal="left" vertical="center" wrapText="1"/>
      <protection hidden="1"/>
    </xf>
    <xf numFmtId="0" fontId="174" fillId="23" borderId="101" xfId="0" applyFont="1" applyFill="1" applyBorder="1" applyAlignment="1" applyProtection="1">
      <alignment horizontal="left" vertical="center" wrapText="1"/>
      <protection hidden="1"/>
    </xf>
    <xf numFmtId="0" fontId="174" fillId="23" borderId="102" xfId="0" applyFont="1" applyFill="1" applyBorder="1" applyAlignment="1" applyProtection="1">
      <alignment horizontal="left" vertical="center" wrapText="1"/>
      <protection hidden="1"/>
    </xf>
    <xf numFmtId="0" fontId="174" fillId="23" borderId="103" xfId="0" applyFont="1" applyFill="1" applyBorder="1" applyAlignment="1" applyProtection="1">
      <alignment horizontal="left" vertical="center" wrapText="1"/>
      <protection hidden="1"/>
    </xf>
    <xf numFmtId="0" fontId="179" fillId="24" borderId="101" xfId="4" applyFont="1" applyFill="1" applyBorder="1" applyAlignment="1" applyProtection="1">
      <alignment horizontal="left" vertical="center" wrapText="1"/>
      <protection hidden="1"/>
    </xf>
    <xf numFmtId="0" fontId="179" fillId="24" borderId="102" xfId="4" applyFont="1" applyFill="1" applyBorder="1" applyAlignment="1" applyProtection="1">
      <alignment horizontal="left" vertical="center" wrapText="1"/>
      <protection hidden="1"/>
    </xf>
    <xf numFmtId="0" fontId="179" fillId="24" borderId="103" xfId="4" applyFont="1" applyFill="1" applyBorder="1" applyAlignment="1" applyProtection="1">
      <alignment horizontal="left" vertical="center" wrapText="1"/>
      <protection hidden="1"/>
    </xf>
    <xf numFmtId="0" fontId="125" fillId="20" borderId="104"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105"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8" xfId="0" applyFont="1" applyFill="1" applyBorder="1" applyAlignment="1" applyProtection="1">
      <alignment horizontal="left" vertical="center" wrapText="1"/>
      <protection hidden="1"/>
    </xf>
    <xf numFmtId="0" fontId="138" fillId="23" borderId="99" xfId="0" applyFont="1" applyFill="1" applyBorder="1" applyAlignment="1" applyProtection="1">
      <alignment horizontal="left" vertical="center" wrapText="1"/>
      <protection hidden="1"/>
    </xf>
    <xf numFmtId="0" fontId="138" fillId="23" borderId="100" xfId="0" applyFont="1" applyFill="1" applyBorder="1" applyAlignment="1" applyProtection="1">
      <alignment horizontal="left" vertical="center" wrapText="1"/>
      <protection hidden="1"/>
    </xf>
    <xf numFmtId="0" fontId="202" fillId="16" borderId="95" xfId="0" applyFont="1" applyFill="1" applyBorder="1" applyAlignment="1" applyProtection="1">
      <alignment horizontal="center" vertical="center" wrapText="1"/>
      <protection hidden="1"/>
    </xf>
    <xf numFmtId="0" fontId="202" fillId="16" borderId="96" xfId="0" applyFont="1" applyFill="1" applyBorder="1" applyAlignment="1" applyProtection="1">
      <alignment horizontal="center" vertical="center" wrapText="1"/>
      <protection hidden="1"/>
    </xf>
    <xf numFmtId="0" fontId="202" fillId="16" borderId="97"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8" xfId="0" applyFont="1" applyFill="1" applyBorder="1" applyAlignment="1" applyProtection="1">
      <alignment horizontal="left" vertical="center" wrapText="1"/>
      <protection hidden="1"/>
    </xf>
    <xf numFmtId="0" fontId="177" fillId="5" borderId="99" xfId="0" applyFont="1" applyFill="1" applyBorder="1" applyAlignment="1" applyProtection="1">
      <alignment horizontal="left" vertical="center" wrapText="1"/>
      <protection hidden="1"/>
    </xf>
    <xf numFmtId="0" fontId="177" fillId="5" borderId="100" xfId="0" applyFont="1" applyFill="1" applyBorder="1" applyAlignment="1" applyProtection="1">
      <alignment horizontal="left" vertical="center" wrapText="1"/>
      <protection hidden="1"/>
    </xf>
    <xf numFmtId="0" fontId="185" fillId="5" borderId="104"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105" xfId="0" applyFont="1" applyFill="1" applyBorder="1" applyAlignment="1" applyProtection="1">
      <alignment horizontal="left" vertical="center" wrapText="1"/>
      <protection hidden="1"/>
    </xf>
    <xf numFmtId="0" fontId="9" fillId="5" borderId="101" xfId="0" applyFont="1" applyFill="1" applyBorder="1" applyAlignment="1" applyProtection="1">
      <alignment horizontal="left" vertical="center" wrapText="1"/>
      <protection hidden="1"/>
    </xf>
    <xf numFmtId="0" fontId="150" fillId="5" borderId="102" xfId="0" applyFont="1" applyFill="1" applyBorder="1" applyAlignment="1" applyProtection="1">
      <alignment horizontal="left" vertical="center" wrapText="1"/>
      <protection hidden="1"/>
    </xf>
    <xf numFmtId="0" fontId="150" fillId="5" borderId="103" xfId="0" applyFont="1" applyFill="1" applyBorder="1" applyAlignment="1" applyProtection="1">
      <alignment horizontal="left" vertical="center" wrapText="1"/>
      <protection hidden="1"/>
    </xf>
    <xf numFmtId="0" fontId="139" fillId="5" borderId="104"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105" xfId="0" applyFont="1" applyFill="1" applyBorder="1" applyAlignment="1" applyProtection="1">
      <alignment horizontal="left" vertical="center" wrapText="1"/>
      <protection hidden="1"/>
    </xf>
    <xf numFmtId="0" fontId="142" fillId="5" borderId="104"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105"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79" fillId="24" borderId="98"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79" fillId="24" borderId="100" xfId="4" applyFont="1" applyFill="1" applyBorder="1" applyAlignment="1" applyProtection="1">
      <alignment horizontal="left" vertical="center" wrapText="1"/>
      <protection hidden="1"/>
    </xf>
    <xf numFmtId="0" fontId="179" fillId="24" borderId="104"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105" xfId="4" applyFont="1" applyFill="1" applyBorder="1" applyAlignment="1" applyProtection="1">
      <alignment horizontal="left" vertical="center" wrapText="1"/>
      <protection hidden="1"/>
    </xf>
    <xf numFmtId="0" fontId="181" fillId="24" borderId="104"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105" xfId="4" applyFont="1" applyFill="1" applyBorder="1" applyAlignment="1" applyProtection="1">
      <alignment horizontal="left" vertical="center" wrapText="1"/>
      <protection hidden="1"/>
    </xf>
    <xf numFmtId="0" fontId="176" fillId="23" borderId="98" xfId="0" applyFont="1" applyFill="1" applyBorder="1" applyAlignment="1" applyProtection="1">
      <alignment horizontal="left" vertical="center" wrapText="1"/>
      <protection hidden="1"/>
    </xf>
    <xf numFmtId="0" fontId="176" fillId="23" borderId="99" xfId="0" applyFont="1" applyFill="1" applyBorder="1" applyAlignment="1" applyProtection="1">
      <alignment horizontal="left" vertical="center" wrapText="1"/>
      <protection hidden="1"/>
    </xf>
    <xf numFmtId="0" fontId="176" fillId="23" borderId="100"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123" fillId="20" borderId="104"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105" xfId="0" applyFont="1" applyFill="1" applyBorder="1" applyAlignment="1" applyProtection="1">
      <alignment horizontal="center" vertical="center"/>
      <protection hidden="1"/>
    </xf>
    <xf numFmtId="0" fontId="124" fillId="20" borderId="104"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105" xfId="0" applyFont="1" applyFill="1" applyBorder="1" applyAlignment="1" applyProtection="1">
      <alignment horizontal="center" vertical="center"/>
      <protection hidden="1"/>
    </xf>
    <xf numFmtId="0" fontId="151" fillId="23" borderId="101" xfId="0" applyFont="1" applyFill="1" applyBorder="1" applyAlignment="1" applyProtection="1">
      <alignment horizontal="left" vertical="center" wrapText="1"/>
      <protection hidden="1"/>
    </xf>
    <xf numFmtId="0" fontId="151" fillId="23" borderId="102" xfId="0" applyFont="1" applyFill="1" applyBorder="1" applyAlignment="1" applyProtection="1">
      <alignment horizontal="left" vertical="center" wrapText="1"/>
      <protection hidden="1"/>
    </xf>
    <xf numFmtId="0" fontId="151" fillId="23" borderId="103" xfId="0" applyFont="1" applyFill="1" applyBorder="1" applyAlignment="1" applyProtection="1">
      <alignment horizontal="left" vertical="center" wrapText="1"/>
      <protection hidden="1"/>
    </xf>
    <xf numFmtId="0" fontId="27" fillId="12" borderId="95" xfId="0" applyFont="1" applyFill="1" applyBorder="1" applyAlignment="1" applyProtection="1">
      <alignment horizontal="center" vertical="center"/>
      <protection hidden="1"/>
    </xf>
    <xf numFmtId="0" fontId="27" fillId="12" borderId="96" xfId="0" applyFont="1" applyFill="1" applyBorder="1" applyAlignment="1" applyProtection="1">
      <alignment horizontal="center" vertical="center"/>
      <protection hidden="1"/>
    </xf>
    <xf numFmtId="0" fontId="27" fillId="12" borderId="97" xfId="0" applyFont="1" applyFill="1" applyBorder="1" applyAlignment="1" applyProtection="1">
      <alignment horizontal="center" vertical="center"/>
      <protection hidden="1"/>
    </xf>
    <xf numFmtId="0" fontId="152" fillId="20" borderId="98" xfId="0" applyFont="1" applyFill="1" applyBorder="1" applyAlignment="1" applyProtection="1">
      <alignment horizontal="center" vertical="center"/>
      <protection hidden="1"/>
    </xf>
    <xf numFmtId="0" fontId="152" fillId="20" borderId="99" xfId="0" applyFont="1" applyFill="1" applyBorder="1" applyAlignment="1" applyProtection="1">
      <alignment horizontal="center" vertical="center"/>
      <protection hidden="1"/>
    </xf>
    <xf numFmtId="0" fontId="152" fillId="20" borderId="100" xfId="0" applyFont="1" applyFill="1" applyBorder="1" applyAlignment="1" applyProtection="1">
      <alignment horizontal="center" vertical="center"/>
      <protection hidden="1"/>
    </xf>
    <xf numFmtId="0" fontId="207" fillId="20" borderId="104"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105" xfId="0" applyFont="1" applyFill="1" applyBorder="1" applyAlignment="1" applyProtection="1">
      <alignment horizontal="center" vertical="center"/>
      <protection hidden="1"/>
    </xf>
    <xf numFmtId="0" fontId="122" fillId="20" borderId="104"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105" xfId="0" applyFont="1" applyFill="1" applyBorder="1" applyAlignment="1" applyProtection="1">
      <alignment horizontal="center" vertical="center"/>
      <protection hidden="1"/>
    </xf>
    <xf numFmtId="0" fontId="6" fillId="25" borderId="0" xfId="0" applyFont="1" applyFill="1" applyAlignment="1" applyProtection="1">
      <alignment horizontal="center" vertical="center"/>
      <protection hidden="1"/>
    </xf>
    <xf numFmtId="0" fontId="336" fillId="25" borderId="0" xfId="4" applyFont="1" applyFill="1" applyAlignment="1" applyProtection="1">
      <alignment horizontal="center" vertical="center"/>
      <protection hidden="1"/>
    </xf>
    <xf numFmtId="0" fontId="277" fillId="6" borderId="0" xfId="0" applyFont="1" applyFill="1" applyBorder="1" applyAlignment="1" applyProtection="1">
      <alignment horizontal="left" vertical="center"/>
      <protection hidden="1"/>
    </xf>
    <xf numFmtId="0" fontId="277" fillId="6" borderId="173"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1" fillId="31" borderId="222" xfId="0" applyFont="1" applyFill="1" applyBorder="1" applyAlignment="1" applyProtection="1">
      <alignment horizontal="center" vertical="center"/>
      <protection hidden="1"/>
    </xf>
    <xf numFmtId="0" fontId="11" fillId="31" borderId="223" xfId="0" applyFont="1" applyFill="1" applyBorder="1" applyAlignment="1" applyProtection="1">
      <alignment horizontal="center" vertical="center"/>
      <protection hidden="1"/>
    </xf>
    <xf numFmtId="0" fontId="153" fillId="25" borderId="120"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3" fillId="6" borderId="0" xfId="0" applyFont="1" applyFill="1" applyBorder="1" applyAlignment="1" applyProtection="1">
      <alignment horizontal="left" vertical="center"/>
      <protection hidden="1"/>
    </xf>
    <xf numFmtId="0" fontId="9" fillId="0" borderId="194" xfId="0" applyFont="1" applyBorder="1" applyAlignment="1" applyProtection="1">
      <alignment horizontal="left" vertical="center"/>
      <protection locked="0"/>
    </xf>
    <xf numFmtId="0" fontId="9" fillId="0" borderId="195" xfId="0" applyFont="1" applyBorder="1" applyAlignment="1" applyProtection="1">
      <alignment horizontal="left" vertical="center"/>
      <protection locked="0"/>
    </xf>
    <xf numFmtId="0" fontId="9" fillId="0" borderId="196" xfId="0" applyFont="1" applyBorder="1" applyAlignment="1" applyProtection="1">
      <alignment horizontal="left" vertical="center"/>
      <protection locked="0"/>
    </xf>
    <xf numFmtId="0" fontId="264" fillId="25" borderId="0" xfId="0" applyFont="1" applyFill="1" applyAlignment="1" applyProtection="1">
      <alignment horizontal="center" vertical="center"/>
      <protection hidden="1"/>
    </xf>
    <xf numFmtId="0" fontId="182"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70"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243" fillId="12" borderId="237"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80" fillId="12" borderId="0" xfId="0" applyFont="1" applyFill="1" applyBorder="1" applyAlignment="1" applyProtection="1">
      <alignment horizontal="center" vertical="center" wrapText="1"/>
      <protection hidden="1"/>
    </xf>
    <xf numFmtId="0" fontId="257" fillId="12" borderId="237"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93" xfId="0" applyFont="1" applyFill="1" applyBorder="1" applyAlignment="1" applyProtection="1">
      <alignment horizontal="center" vertical="center" wrapText="1"/>
      <protection hidden="1"/>
    </xf>
    <xf numFmtId="0" fontId="156" fillId="12" borderId="237" xfId="0" applyFont="1" applyFill="1" applyBorder="1" applyAlignment="1" applyProtection="1">
      <alignment horizontal="center" vertical="center" wrapText="1"/>
      <protection hidden="1"/>
    </xf>
    <xf numFmtId="0" fontId="156" fillId="12" borderId="238" xfId="0" applyFont="1" applyFill="1" applyBorder="1" applyAlignment="1" applyProtection="1">
      <alignment horizontal="center" vertical="center" wrapText="1"/>
      <protection hidden="1"/>
    </xf>
    <xf numFmtId="0" fontId="282" fillId="38" borderId="255" xfId="0" applyFont="1" applyFill="1" applyBorder="1" applyAlignment="1" applyProtection="1">
      <alignment horizontal="center" vertical="center" wrapText="1"/>
      <protection hidden="1"/>
    </xf>
    <xf numFmtId="0" fontId="282" fillId="38" borderId="252" xfId="0" applyFont="1" applyFill="1" applyBorder="1" applyAlignment="1" applyProtection="1">
      <alignment horizontal="center" vertical="center" wrapText="1"/>
      <protection hidden="1"/>
    </xf>
    <xf numFmtId="0" fontId="282" fillId="38" borderId="253" xfId="0" applyFont="1" applyFill="1" applyBorder="1" applyAlignment="1" applyProtection="1">
      <alignment horizontal="center" vertical="center" wrapText="1"/>
      <protection hidden="1"/>
    </xf>
    <xf numFmtId="0" fontId="9" fillId="17" borderId="197" xfId="0" applyFont="1" applyFill="1" applyBorder="1" applyAlignment="1" applyProtection="1">
      <alignment horizontal="center" vertical="center"/>
      <protection locked="0"/>
    </xf>
    <xf numFmtId="0" fontId="9" fillId="17" borderId="198"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65"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60" fillId="16" borderId="255" xfId="0" applyFont="1" applyFill="1" applyBorder="1" applyAlignment="1" applyProtection="1">
      <alignment horizontal="center" vertical="center" wrapText="1"/>
      <protection hidden="1"/>
    </xf>
    <xf numFmtId="0" fontId="60" fillId="16" borderId="252" xfId="0" applyFont="1" applyFill="1" applyBorder="1" applyAlignment="1" applyProtection="1">
      <alignment horizontal="center" vertical="center" wrapText="1"/>
      <protection hidden="1"/>
    </xf>
    <xf numFmtId="0" fontId="60" fillId="16" borderId="253" xfId="0" applyFont="1" applyFill="1" applyBorder="1" applyAlignment="1" applyProtection="1">
      <alignment horizontal="center" vertical="center" wrapText="1"/>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3" fillId="12" borderId="13" xfId="0" applyFont="1" applyFill="1" applyBorder="1" applyAlignment="1" applyProtection="1">
      <alignment horizontal="center" vertical="center" wrapText="1"/>
      <protection hidden="1"/>
    </xf>
    <xf numFmtId="0" fontId="283" fillId="12" borderId="10"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60" fillId="12" borderId="252" xfId="0" applyFont="1" applyFill="1" applyBorder="1" applyAlignment="1" applyProtection="1">
      <alignment horizontal="center" vertical="center" wrapText="1"/>
      <protection hidden="1"/>
    </xf>
    <xf numFmtId="0" fontId="60" fillId="12" borderId="253" xfId="0" applyFont="1" applyFill="1" applyBorder="1" applyAlignment="1" applyProtection="1">
      <alignment horizontal="center" vertical="center" wrapText="1"/>
      <protection hidden="1"/>
    </xf>
    <xf numFmtId="0" fontId="60" fillId="12" borderId="264" xfId="0" applyFont="1" applyFill="1" applyBorder="1" applyAlignment="1" applyProtection="1">
      <alignment horizontal="center" vertical="center" wrapText="1"/>
      <protection hidden="1"/>
    </xf>
    <xf numFmtId="0" fontId="60" fillId="12" borderId="261" xfId="0" applyFont="1" applyFill="1" applyBorder="1" applyAlignment="1" applyProtection="1">
      <alignment horizontal="center" vertical="center"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54" xfId="0" applyFont="1" applyFill="1" applyBorder="1" applyAlignment="1" applyProtection="1">
      <alignment horizontal="center" vertical="center" wrapText="1"/>
      <protection hidden="1"/>
    </xf>
    <xf numFmtId="0" fontId="60" fillId="28" borderId="252"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64" xfId="0" applyFont="1" applyFill="1" applyBorder="1" applyAlignment="1" applyProtection="1">
      <alignment horizontal="center" vertical="center" wrapText="1"/>
      <protection hidden="1"/>
    </xf>
    <xf numFmtId="0" fontId="60" fillId="16" borderId="260" xfId="0" applyFont="1" applyFill="1" applyBorder="1" applyAlignment="1" applyProtection="1">
      <alignment horizontal="center" vertical="center" wrapText="1"/>
      <protection hidden="1"/>
    </xf>
    <xf numFmtId="0" fontId="60" fillId="16" borderId="259" xfId="0" applyFont="1" applyFill="1" applyBorder="1" applyAlignment="1" applyProtection="1">
      <alignment horizontal="center" vertical="center" wrapText="1"/>
      <protection hidden="1"/>
    </xf>
    <xf numFmtId="0" fontId="60" fillId="16" borderId="261"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1" fillId="35" borderId="6" xfId="0" applyFont="1" applyFill="1" applyBorder="1" applyAlignment="1" applyProtection="1">
      <alignment horizontal="center" vertical="center"/>
      <protection hidden="1"/>
    </xf>
    <xf numFmtId="0" fontId="281" fillId="35" borderId="19" xfId="0" applyFont="1" applyFill="1" applyBorder="1" applyAlignment="1" applyProtection="1">
      <alignment horizontal="center" vertical="center"/>
      <protection hidden="1"/>
    </xf>
    <xf numFmtId="0" fontId="60" fillId="23" borderId="256" xfId="0" applyFont="1" applyFill="1" applyBorder="1" applyAlignment="1" applyProtection="1">
      <alignment horizontal="center" vertical="center" wrapText="1"/>
      <protection hidden="1"/>
    </xf>
    <xf numFmtId="0" fontId="60" fillId="23" borderId="258" xfId="0" applyFont="1" applyFill="1" applyBorder="1" applyAlignment="1" applyProtection="1">
      <alignment horizontal="center" vertical="center" wrapText="1"/>
      <protection hidden="1"/>
    </xf>
    <xf numFmtId="0" fontId="60" fillId="23" borderId="257" xfId="0" applyFont="1" applyFill="1" applyBorder="1" applyAlignment="1" applyProtection="1">
      <alignment horizontal="center" vertical="center" wrapText="1"/>
      <protection hidden="1"/>
    </xf>
    <xf numFmtId="0" fontId="60" fillId="19" borderId="255" xfId="0" applyFont="1" applyFill="1" applyBorder="1" applyAlignment="1" applyProtection="1">
      <alignment horizontal="center" vertical="center" wrapText="1"/>
      <protection hidden="1"/>
    </xf>
    <xf numFmtId="0" fontId="60" fillId="19" borderId="252" xfId="0" applyFont="1" applyFill="1" applyBorder="1" applyAlignment="1" applyProtection="1">
      <alignment horizontal="center" vertical="center" wrapText="1"/>
      <protection hidden="1"/>
    </xf>
    <xf numFmtId="0" fontId="60" fillId="19" borderId="253"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55" xfId="0" applyFont="1" applyFill="1" applyBorder="1" applyAlignment="1" applyProtection="1">
      <alignment horizontal="center" vertical="center" wrapText="1"/>
      <protection hidden="1"/>
    </xf>
    <xf numFmtId="0" fontId="60" fillId="37" borderId="252" xfId="0" applyFont="1" applyFill="1" applyBorder="1" applyAlignment="1" applyProtection="1">
      <alignment horizontal="center" vertical="center" wrapText="1"/>
      <protection hidden="1"/>
    </xf>
    <xf numFmtId="0" fontId="60" fillId="37" borderId="253"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60" fillId="12" borderId="259"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6"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77"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219" fillId="0" borderId="0"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0" fontId="40" fillId="21" borderId="106"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289" fillId="3" borderId="106" xfId="0" applyFont="1" applyFill="1" applyBorder="1" applyAlignment="1" applyProtection="1">
      <alignment horizontal="center" vertical="center" textRotation="90" wrapText="1" shrinkToFit="1"/>
      <protection hidden="1"/>
    </xf>
    <xf numFmtId="0" fontId="165" fillId="0" borderId="106" xfId="0" applyFont="1" applyFill="1" applyBorder="1" applyAlignment="1" applyProtection="1">
      <alignment horizontal="center" vertical="center" textRotation="90" wrapText="1"/>
      <protection hidden="1"/>
    </xf>
    <xf numFmtId="0" fontId="165" fillId="0" borderId="107"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165" fillId="37" borderId="113" xfId="0" applyFont="1" applyFill="1" applyBorder="1" applyAlignment="1" applyProtection="1">
      <alignment horizontal="center" vertical="center" wrapText="1"/>
      <protection hidden="1"/>
    </xf>
    <xf numFmtId="0" fontId="165" fillId="37" borderId="116" xfId="0" applyFont="1" applyFill="1" applyBorder="1" applyAlignment="1" applyProtection="1">
      <alignment horizontal="center" vertical="center" wrapText="1"/>
      <protection hidden="1"/>
    </xf>
    <xf numFmtId="0" fontId="165" fillId="37" borderId="117" xfId="0" applyFont="1" applyFill="1" applyBorder="1" applyAlignment="1" applyProtection="1">
      <alignment horizontal="center" vertical="center" wrapText="1"/>
      <protection hidden="1"/>
    </xf>
    <xf numFmtId="0" fontId="165" fillId="37" borderId="118"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textRotation="90" wrapText="1"/>
      <protection hidden="1"/>
    </xf>
    <xf numFmtId="0" fontId="9" fillId="0" borderId="107"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textRotation="90" wrapText="1"/>
      <protection hidden="1"/>
    </xf>
    <xf numFmtId="0" fontId="35" fillId="0" borderId="106" xfId="0" applyFont="1" applyFill="1" applyBorder="1" applyAlignment="1" applyProtection="1">
      <alignment horizontal="center" vertical="center" textRotation="90" wrapText="1"/>
      <protection hidden="1"/>
    </xf>
    <xf numFmtId="0" fontId="35" fillId="0" borderId="110"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wrapText="1"/>
      <protection hidden="1"/>
    </xf>
    <xf numFmtId="0" fontId="68" fillId="7" borderId="111" xfId="0" applyFont="1" applyFill="1" applyBorder="1" applyAlignment="1" applyProtection="1">
      <alignment horizontal="center" vertical="center" wrapText="1"/>
      <protection hidden="1"/>
    </xf>
    <xf numFmtId="0" fontId="68" fillId="7" borderId="112" xfId="0" applyFont="1" applyFill="1" applyBorder="1" applyAlignment="1" applyProtection="1">
      <alignment horizontal="center" vertical="center" wrapText="1"/>
      <protection hidden="1"/>
    </xf>
    <xf numFmtId="0" fontId="68" fillId="7" borderId="143" xfId="0" applyFont="1" applyFill="1" applyBorder="1" applyAlignment="1" applyProtection="1">
      <alignment horizontal="center" vertical="center"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160" fillId="0" borderId="113" xfId="0" applyFont="1" applyFill="1" applyBorder="1" applyAlignment="1" applyProtection="1">
      <alignment horizontal="center" vertical="center" textRotation="45" wrapText="1"/>
      <protection hidden="1"/>
    </xf>
    <xf numFmtId="0" fontId="160" fillId="0" borderId="114"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15" xfId="0" applyFont="1" applyFill="1" applyBorder="1" applyAlignment="1" applyProtection="1">
      <alignment horizontal="center" vertical="center" textRotation="45" wrapText="1"/>
      <protection hidden="1"/>
    </xf>
    <xf numFmtId="0" fontId="160" fillId="0" borderId="116" xfId="0" applyFont="1" applyFill="1" applyBorder="1" applyAlignment="1" applyProtection="1">
      <alignment horizontal="center" vertical="center" textRotation="45" wrapText="1"/>
      <protection hidden="1"/>
    </xf>
    <xf numFmtId="0" fontId="160" fillId="0" borderId="117" xfId="0" applyFont="1" applyFill="1" applyBorder="1" applyAlignment="1" applyProtection="1">
      <alignment horizontal="center" vertical="center" textRotation="45" wrapText="1"/>
      <protection hidden="1"/>
    </xf>
    <xf numFmtId="0" fontId="160" fillId="0" borderId="118" xfId="0" applyFont="1" applyFill="1" applyBorder="1" applyAlignment="1" applyProtection="1">
      <alignment horizontal="center" vertical="center" textRotation="45" wrapText="1"/>
      <protection hidden="1"/>
    </xf>
    <xf numFmtId="0" fontId="292" fillId="0" borderId="1" xfId="0" applyFont="1" applyFill="1" applyBorder="1" applyAlignment="1" applyProtection="1">
      <alignment horizontal="right"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1" fontId="61" fillId="17" borderId="109" xfId="0" applyNumberFormat="1" applyFont="1" applyFill="1" applyBorder="1" applyAlignment="1" applyProtection="1">
      <alignment horizontal="center" vertical="center" wrapText="1"/>
      <protection hidden="1"/>
    </xf>
    <xf numFmtId="1" fontId="61" fillId="17" borderId="143" xfId="0" applyNumberFormat="1" applyFont="1" applyFill="1" applyBorder="1" applyAlignment="1" applyProtection="1">
      <alignment horizontal="center" vertical="center" wrapText="1"/>
      <protection hidden="1"/>
    </xf>
    <xf numFmtId="1" fontId="61" fillId="17" borderId="110" xfId="0" applyNumberFormat="1"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textRotation="90" wrapText="1"/>
      <protection hidden="1"/>
    </xf>
    <xf numFmtId="0" fontId="251" fillId="0" borderId="119" xfId="0" applyFont="1" applyFill="1" applyBorder="1" applyAlignment="1" applyProtection="1">
      <alignment horizontal="center" vertical="center" textRotation="90" wrapText="1"/>
      <protection hidden="1"/>
    </xf>
    <xf numFmtId="0" fontId="251" fillId="0" borderId="108" xfId="0" applyFont="1" applyFill="1" applyBorder="1" applyAlignment="1" applyProtection="1">
      <alignment horizontal="center" vertical="center" textRotation="90" wrapText="1"/>
      <protection hidden="1"/>
    </xf>
    <xf numFmtId="0" fontId="21" fillId="0" borderId="106" xfId="0" applyFont="1" applyFill="1" applyBorder="1" applyAlignment="1" applyProtection="1">
      <alignment horizontal="center" vertical="center" wrapText="1"/>
      <protection hidden="1"/>
    </xf>
    <xf numFmtId="0" fontId="21" fillId="0" borderId="290" xfId="0" applyFont="1" applyFill="1" applyBorder="1" applyAlignment="1" applyProtection="1">
      <alignment horizontal="center" vertical="center" wrapText="1"/>
      <protection hidden="1"/>
    </xf>
    <xf numFmtId="0" fontId="36" fillId="21" borderId="108" xfId="0" applyFont="1" applyFill="1" applyBorder="1" applyAlignment="1" applyProtection="1">
      <alignment horizontal="center" vertical="center" textRotation="90" wrapText="1"/>
      <protection hidden="1"/>
    </xf>
    <xf numFmtId="0" fontId="9" fillId="17" borderId="106" xfId="0" applyFont="1" applyFill="1" applyBorder="1" applyAlignment="1" applyProtection="1">
      <alignment horizontal="center" vertical="center" wrapText="1"/>
      <protection hidden="1"/>
    </xf>
    <xf numFmtId="0" fontId="86" fillId="0"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horizontal="center" vertical="center" wrapText="1"/>
      <protection hidden="1"/>
    </xf>
    <xf numFmtId="0" fontId="35" fillId="17" borderId="143" xfId="0" applyFont="1" applyFill="1" applyBorder="1" applyAlignment="1" applyProtection="1">
      <alignment horizontal="center" vertical="center" wrapText="1"/>
      <protection hidden="1"/>
    </xf>
    <xf numFmtId="0" fontId="35" fillId="17" borderId="110" xfId="0" applyFont="1" applyFill="1" applyBorder="1" applyAlignment="1" applyProtection="1">
      <alignment horizontal="center" vertical="center" wrapText="1"/>
      <protection hidden="1"/>
    </xf>
    <xf numFmtId="0" fontId="60" fillId="17" borderId="109" xfId="0" applyFont="1" applyFill="1" applyBorder="1" applyAlignment="1" applyProtection="1">
      <alignment horizontal="center" vertical="center" wrapText="1"/>
      <protection hidden="1"/>
    </xf>
    <xf numFmtId="0" fontId="60" fillId="17" borderId="143"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1" fillId="17" borderId="109" xfId="0" applyFont="1" applyFill="1" applyBorder="1" applyAlignment="1" applyProtection="1">
      <alignment horizontal="center" vertical="center" wrapText="1"/>
      <protection hidden="1"/>
    </xf>
    <xf numFmtId="0" fontId="21" fillId="17" borderId="143" xfId="0" applyFont="1" applyFill="1" applyBorder="1" applyAlignment="1" applyProtection="1">
      <alignment horizontal="center" vertical="center" wrapText="1"/>
      <protection hidden="1"/>
    </xf>
    <xf numFmtId="0" fontId="21" fillId="17" borderId="110"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60" fillId="0" borderId="109" xfId="0" applyFont="1" applyFill="1" applyBorder="1" applyAlignment="1" applyProtection="1">
      <alignment horizontal="center" vertical="center" wrapText="1"/>
      <protection hidden="1"/>
    </xf>
    <xf numFmtId="0" fontId="60" fillId="0" borderId="143"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288" fillId="3" borderId="106" xfId="0" applyFont="1" applyFill="1" applyBorder="1" applyAlignment="1" applyProtection="1">
      <alignment horizontal="center" vertical="center" textRotation="90" wrapText="1" shrinkToFit="1"/>
      <protection hidden="1"/>
    </xf>
    <xf numFmtId="1" fontId="61" fillId="17" borderId="106" xfId="0" applyNumberFormat="1"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172" fontId="61" fillId="17" borderId="106" xfId="0" applyNumberFormat="1" applyFont="1" applyFill="1" applyBorder="1" applyAlignment="1" applyProtection="1">
      <alignment horizontal="center" vertical="center" wrapText="1"/>
      <protection hidden="1"/>
    </xf>
    <xf numFmtId="0" fontId="288" fillId="3" borderId="17" xfId="0" applyFont="1" applyFill="1" applyBorder="1" applyAlignment="1" applyProtection="1">
      <alignment horizontal="center" vertical="center" textRotation="90" wrapText="1" shrinkToFit="1"/>
      <protection hidden="1"/>
    </xf>
    <xf numFmtId="0" fontId="288" fillId="3" borderId="1" xfId="0" applyFont="1" applyFill="1" applyBorder="1" applyAlignment="1" applyProtection="1">
      <alignment horizontal="center" vertical="center" textRotation="90" wrapText="1" shrinkToFit="1"/>
      <protection hidden="1"/>
    </xf>
    <xf numFmtId="0" fontId="21" fillId="17" borderId="106"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89" fillId="3" borderId="17" xfId="0" applyFont="1" applyFill="1" applyBorder="1" applyAlignment="1" applyProtection="1">
      <alignment horizontal="center" vertical="center" textRotation="90" wrapText="1" shrinkToFit="1"/>
      <protection hidden="1"/>
    </xf>
    <xf numFmtId="0" fontId="289" fillId="3" borderId="1" xfId="0" applyFont="1" applyFill="1" applyBorder="1" applyAlignment="1" applyProtection="1">
      <alignment horizontal="center" vertical="center" textRotation="90" wrapText="1" shrinkToFit="1"/>
      <protection hidden="1"/>
    </xf>
    <xf numFmtId="0" fontId="49" fillId="0" borderId="136" xfId="0" applyFont="1" applyFill="1" applyBorder="1" applyAlignment="1" applyProtection="1">
      <alignment horizontal="center" vertical="center" wrapText="1"/>
      <protection hidden="1"/>
    </xf>
    <xf numFmtId="0" fontId="60" fillId="0" borderId="107" xfId="0" applyFont="1" applyFill="1" applyBorder="1" applyAlignment="1" applyProtection="1">
      <alignment horizontal="center" vertical="center" textRotation="90" wrapText="1"/>
      <protection hidden="1"/>
    </xf>
    <xf numFmtId="0" fontId="60" fillId="0" borderId="119" xfId="0" applyFont="1" applyFill="1" applyBorder="1" applyAlignment="1" applyProtection="1">
      <alignment horizontal="center" vertical="center" textRotation="90" wrapText="1"/>
      <protection hidden="1"/>
    </xf>
    <xf numFmtId="0" fontId="36" fillId="23" borderId="106" xfId="0" applyFont="1" applyFill="1" applyBorder="1" applyAlignment="1" applyProtection="1">
      <alignment horizontal="center" vertical="center" textRotation="90"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36" fillId="26" borderId="113" xfId="0" applyFont="1" applyFill="1" applyBorder="1" applyAlignment="1" applyProtection="1">
      <alignment horizontal="center" vertical="center" wrapText="1"/>
      <protection hidden="1"/>
    </xf>
    <xf numFmtId="0" fontId="36" fillId="26" borderId="114"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15" xfId="0" applyFont="1" applyFill="1" applyBorder="1" applyAlignment="1" applyProtection="1">
      <alignment horizontal="center" vertical="center" wrapText="1"/>
      <protection hidden="1"/>
    </xf>
    <xf numFmtId="0" fontId="36" fillId="26" borderId="116" xfId="0" applyFont="1" applyFill="1" applyBorder="1" applyAlignment="1" applyProtection="1">
      <alignment horizontal="center" vertical="center" wrapText="1"/>
      <protection hidden="1"/>
    </xf>
    <xf numFmtId="0" fontId="36" fillId="26" borderId="117" xfId="0" applyFont="1" applyFill="1" applyBorder="1" applyAlignment="1" applyProtection="1">
      <alignment horizontal="center" vertical="center" wrapText="1"/>
      <protection hidden="1"/>
    </xf>
    <xf numFmtId="0" fontId="36" fillId="26" borderId="118" xfId="0" applyFont="1" applyFill="1" applyBorder="1" applyAlignment="1" applyProtection="1">
      <alignment horizontal="center" vertical="center" wrapText="1"/>
      <protection hidden="1"/>
    </xf>
    <xf numFmtId="0" fontId="92" fillId="0" borderId="106" xfId="0" applyFont="1" applyFill="1" applyBorder="1" applyAlignment="1" applyProtection="1">
      <alignment horizontal="center" vertical="center" wrapText="1"/>
      <protection hidden="1"/>
    </xf>
    <xf numFmtId="0" fontId="40" fillId="21" borderId="107" xfId="0" applyFont="1" applyFill="1" applyBorder="1" applyAlignment="1" applyProtection="1">
      <alignment horizontal="center" vertical="center" textRotation="90" wrapText="1"/>
      <protection hidden="1"/>
    </xf>
    <xf numFmtId="0" fontId="40" fillId="21" borderId="108" xfId="0" applyFont="1" applyFill="1" applyBorder="1" applyAlignment="1" applyProtection="1">
      <alignment horizontal="center" vertical="center" textRotation="90" wrapText="1"/>
      <protection hidden="1"/>
    </xf>
    <xf numFmtId="0" fontId="36" fillId="21" borderId="107" xfId="0" applyFont="1" applyFill="1" applyBorder="1" applyAlignment="1" applyProtection="1">
      <alignment horizontal="center" vertical="center" textRotation="90" wrapText="1"/>
      <protection hidden="1"/>
    </xf>
    <xf numFmtId="0" fontId="9" fillId="0" borderId="109" xfId="0" applyFont="1" applyFill="1" applyBorder="1" applyAlignment="1" applyProtection="1">
      <alignment horizontal="right" vertical="center" wrapText="1"/>
      <protection hidden="1"/>
    </xf>
    <xf numFmtId="0" fontId="9" fillId="0" borderId="143" xfId="0" applyFont="1" applyFill="1" applyBorder="1" applyAlignment="1" applyProtection="1">
      <alignment horizontal="right" vertical="center" wrapText="1"/>
      <protection hidden="1"/>
    </xf>
    <xf numFmtId="0" fontId="9" fillId="0" borderId="109" xfId="0" applyFont="1" applyFill="1" applyBorder="1" applyAlignment="1" applyProtection="1">
      <alignment horizontal="left" vertical="center" wrapText="1"/>
      <protection hidden="1"/>
    </xf>
    <xf numFmtId="0" fontId="9" fillId="0" borderId="143" xfId="0" applyFont="1" applyFill="1" applyBorder="1" applyAlignment="1" applyProtection="1">
      <alignment horizontal="left" vertical="center" wrapText="1"/>
      <protection hidden="1"/>
    </xf>
    <xf numFmtId="0" fontId="9" fillId="0" borderId="112" xfId="0" applyFont="1" applyFill="1" applyBorder="1" applyAlignment="1" applyProtection="1">
      <alignment horizontal="left" vertical="center" wrapText="1"/>
      <protection hidden="1"/>
    </xf>
    <xf numFmtId="0" fontId="9" fillId="0" borderId="113" xfId="0" applyFont="1" applyFill="1" applyBorder="1" applyAlignment="1" applyProtection="1">
      <alignment horizontal="left" vertical="center" wrapText="1"/>
      <protection hidden="1"/>
    </xf>
    <xf numFmtId="0" fontId="60" fillId="0" borderId="108" xfId="0" applyFont="1" applyFill="1" applyBorder="1" applyAlignment="1" applyProtection="1">
      <alignment horizontal="center" vertical="center" textRotation="90" wrapText="1"/>
      <protection hidden="1"/>
    </xf>
    <xf numFmtId="0" fontId="40" fillId="21" borderId="110" xfId="0" applyFont="1" applyFill="1" applyBorder="1" applyAlignment="1" applyProtection="1">
      <alignment horizontal="center" vertical="center" textRotation="90" wrapText="1"/>
      <protection hidden="1"/>
    </xf>
    <xf numFmtId="0" fontId="60" fillId="0" borderId="109" xfId="0" applyFont="1" applyFill="1" applyBorder="1" applyAlignment="1" applyProtection="1">
      <alignment horizontal="right" vertical="center" wrapText="1"/>
      <protection hidden="1"/>
    </xf>
    <xf numFmtId="0" fontId="60" fillId="0" borderId="143" xfId="0" applyFont="1" applyFill="1" applyBorder="1" applyAlignment="1" applyProtection="1">
      <alignment horizontal="right" vertical="center" wrapText="1"/>
      <protection hidden="1"/>
    </xf>
    <xf numFmtId="0" fontId="9" fillId="0" borderId="110" xfId="0" applyFont="1" applyFill="1" applyBorder="1" applyAlignment="1" applyProtection="1">
      <alignment horizontal="left" vertical="center" wrapText="1"/>
      <protection hidden="1"/>
    </xf>
    <xf numFmtId="0" fontId="104" fillId="0" borderId="51"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61" fillId="17" borderId="109" xfId="0" applyNumberFormat="1" applyFont="1" applyFill="1" applyBorder="1" applyAlignment="1" applyProtection="1">
      <alignment horizontal="center" vertical="center" wrapText="1"/>
      <protection hidden="1"/>
    </xf>
    <xf numFmtId="172" fontId="61" fillId="17" borderId="143" xfId="0" applyNumberFormat="1" applyFont="1" applyFill="1" applyBorder="1" applyAlignment="1" applyProtection="1">
      <alignment horizontal="center" vertical="center" wrapText="1"/>
      <protection hidden="1"/>
    </xf>
    <xf numFmtId="172" fontId="61" fillId="17" borderId="110" xfId="0" applyNumberFormat="1" applyFont="1" applyFill="1" applyBorder="1" applyAlignment="1" applyProtection="1">
      <alignment horizontal="center" vertical="center" wrapText="1"/>
      <protection hidden="1"/>
    </xf>
    <xf numFmtId="0" fontId="9" fillId="0" borderId="290"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4" fillId="0" borderId="290"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20" fillId="0" borderId="290" xfId="0" applyFont="1" applyFill="1" applyBorder="1" applyAlignment="1" applyProtection="1">
      <alignment horizontal="center" vertical="center" wrapText="1"/>
      <protection hidden="1"/>
    </xf>
    <xf numFmtId="172" fontId="223" fillId="0" borderId="106" xfId="0" applyNumberFormat="1" applyFont="1" applyFill="1" applyBorder="1" applyAlignment="1" applyProtection="1">
      <alignment horizontal="center" vertical="center" wrapText="1"/>
      <protection hidden="1"/>
    </xf>
    <xf numFmtId="172" fontId="223" fillId="0" borderId="290" xfId="0" applyNumberFormat="1" applyFont="1" applyFill="1" applyBorder="1" applyAlignment="1" applyProtection="1">
      <alignment horizontal="center" vertical="center" wrapText="1"/>
      <protection hidden="1"/>
    </xf>
    <xf numFmtId="0" fontId="292" fillId="0" borderId="289" xfId="0" applyFont="1" applyFill="1" applyBorder="1" applyAlignment="1" applyProtection="1">
      <alignment horizontal="center" vertical="center" wrapText="1"/>
      <protection hidden="1"/>
    </xf>
    <xf numFmtId="0" fontId="292" fillId="0" borderId="106" xfId="0" applyFont="1" applyFill="1" applyBorder="1" applyAlignment="1" applyProtection="1">
      <alignment horizontal="center" vertical="center" wrapText="1"/>
      <protection hidden="1"/>
    </xf>
    <xf numFmtId="0" fontId="297" fillId="0" borderId="294" xfId="0" applyFont="1" applyFill="1" applyBorder="1" applyAlignment="1" applyProtection="1">
      <alignment horizontal="center" vertical="center" wrapText="1"/>
      <protection hidden="1"/>
    </xf>
    <xf numFmtId="0" fontId="297" fillId="0" borderId="108"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textRotation="90" wrapText="1"/>
      <protection hidden="1"/>
    </xf>
    <xf numFmtId="0" fontId="35" fillId="0" borderId="107" xfId="0" applyFont="1" applyFill="1" applyBorder="1" applyAlignment="1" applyProtection="1">
      <alignment horizontal="center" vertical="center" textRotation="90" wrapText="1"/>
      <protection hidden="1"/>
    </xf>
    <xf numFmtId="0" fontId="35" fillId="0" borderId="119" xfId="0" applyFont="1" applyFill="1" applyBorder="1" applyAlignment="1" applyProtection="1">
      <alignment horizontal="center" vertical="center" textRotation="90" wrapText="1"/>
      <protection hidden="1"/>
    </xf>
    <xf numFmtId="0" fontId="35" fillId="0" borderId="108" xfId="0" applyFont="1" applyFill="1" applyBorder="1" applyAlignment="1" applyProtection="1">
      <alignment horizontal="center" vertical="center" textRotation="90" wrapText="1"/>
      <protection hidden="1"/>
    </xf>
    <xf numFmtId="0" fontId="35" fillId="0" borderId="109" xfId="0" applyFont="1" applyFill="1" applyBorder="1" applyAlignment="1" applyProtection="1">
      <alignment horizontal="center" vertical="center" wrapText="1"/>
      <protection hidden="1"/>
    </xf>
    <xf numFmtId="0" fontId="35" fillId="0" borderId="143" xfId="0" applyFont="1" applyFill="1" applyBorder="1" applyAlignment="1" applyProtection="1">
      <alignment horizontal="center" vertical="center" wrapText="1"/>
      <protection hidden="1"/>
    </xf>
    <xf numFmtId="0" fontId="35" fillId="0" borderId="110" xfId="0" applyFont="1" applyFill="1" applyBorder="1" applyAlignment="1" applyProtection="1">
      <alignment horizontal="center" vertical="center" wrapText="1"/>
      <protection hidden="1"/>
    </xf>
    <xf numFmtId="0" fontId="40" fillId="21" borderId="118"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86" fillId="0" borderId="109"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wrapText="1"/>
      <protection hidden="1"/>
    </xf>
    <xf numFmtId="0" fontId="251" fillId="0" borderId="106" xfId="0" applyFont="1" applyFill="1" applyBorder="1" applyAlignment="1" applyProtection="1">
      <alignment horizontal="center" vertical="center" wrapText="1"/>
      <protection hidden="1"/>
    </xf>
    <xf numFmtId="0" fontId="21" fillId="17" borderId="107" xfId="0" applyFont="1" applyFill="1" applyBorder="1" applyAlignment="1" applyProtection="1">
      <alignment horizontal="center" vertical="center" wrapText="1"/>
      <protection hidden="1"/>
    </xf>
    <xf numFmtId="0" fontId="60" fillId="17" borderId="108" xfId="0" applyFont="1" applyFill="1" applyBorder="1" applyAlignment="1" applyProtection="1">
      <alignment horizontal="center" vertical="center" wrapText="1"/>
      <protection hidden="1"/>
    </xf>
    <xf numFmtId="0" fontId="87" fillId="17" borderId="106" xfId="0" applyFont="1" applyFill="1" applyBorder="1" applyAlignment="1" applyProtection="1">
      <alignment horizontal="center" wrapText="1"/>
      <protection hidden="1"/>
    </xf>
    <xf numFmtId="0" fontId="293" fillId="17" borderId="109" xfId="0" applyFont="1" applyFill="1" applyBorder="1" applyAlignment="1" applyProtection="1">
      <alignment horizontal="center" vertical="center" shrinkToFit="1"/>
      <protection hidden="1"/>
    </xf>
    <xf numFmtId="0" fontId="293" fillId="17" borderId="110"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42" fillId="17" borderId="106" xfId="0" applyNumberFormat="1" applyFont="1" applyFill="1" applyBorder="1" applyAlignment="1" applyProtection="1">
      <alignment horizontal="center" vertical="center" wrapText="1"/>
      <protection hidden="1"/>
    </xf>
    <xf numFmtId="0" fontId="292" fillId="0" borderId="291" xfId="0" applyFont="1" applyFill="1" applyBorder="1" applyAlignment="1" applyProtection="1">
      <alignment horizontal="center" vertical="center" wrapText="1"/>
      <protection hidden="1"/>
    </xf>
    <xf numFmtId="0" fontId="292" fillId="0" borderId="292"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6" fillId="0" borderId="290" xfId="0" applyFont="1" applyFill="1" applyBorder="1" applyAlignment="1" applyProtection="1">
      <alignment horizontal="center" vertical="center" wrapText="1"/>
      <protection hidden="1"/>
    </xf>
    <xf numFmtId="0" fontId="26" fillId="0" borderId="292" xfId="0" applyFont="1" applyBorder="1" applyAlignment="1" applyProtection="1">
      <alignment horizontal="center" vertical="center" wrapText="1"/>
      <protection hidden="1"/>
    </xf>
    <xf numFmtId="0" fontId="26" fillId="0" borderId="293" xfId="0" applyFont="1" applyBorder="1" applyAlignment="1" applyProtection="1">
      <alignment horizontal="center" vertical="center" wrapText="1"/>
      <protection hidden="1"/>
    </xf>
    <xf numFmtId="0" fontId="9" fillId="0" borderId="292" xfId="0" applyFont="1" applyFill="1" applyBorder="1" applyAlignment="1" applyProtection="1">
      <alignment horizontal="center" wrapText="1"/>
      <protection hidden="1"/>
    </xf>
    <xf numFmtId="0" fontId="117" fillId="0" borderId="108" xfId="0" applyFont="1" applyFill="1" applyBorder="1" applyAlignment="1" applyProtection="1">
      <alignment horizontal="center" vertical="center" wrapText="1"/>
      <protection hidden="1"/>
    </xf>
    <xf numFmtId="0" fontId="60" fillId="0" borderId="292" xfId="0" applyFont="1" applyFill="1" applyBorder="1" applyAlignment="1" applyProtection="1">
      <alignment horizontal="center" vertical="center" wrapText="1"/>
      <protection hidden="1"/>
    </xf>
    <xf numFmtId="0" fontId="60" fillId="0" borderId="289" xfId="0" applyFont="1" applyFill="1" applyBorder="1" applyAlignment="1" applyProtection="1">
      <alignment horizontal="center" vertical="center" wrapText="1"/>
      <protection hidden="1"/>
    </xf>
    <xf numFmtId="0" fontId="60" fillId="0" borderId="291" xfId="0" applyFont="1" applyFill="1" applyBorder="1" applyAlignment="1" applyProtection="1">
      <alignment horizontal="center" vertical="center" wrapText="1"/>
      <protection hidden="1"/>
    </xf>
    <xf numFmtId="0" fontId="271" fillId="10" borderId="298" xfId="0" applyFont="1" applyFill="1" applyBorder="1" applyAlignment="1" applyProtection="1">
      <alignment horizontal="center" vertical="center" wrapText="1"/>
      <protection hidden="1"/>
    </xf>
    <xf numFmtId="0" fontId="271" fillId="10" borderId="299" xfId="0" applyFont="1" applyFill="1" applyBorder="1" applyAlignment="1" applyProtection="1">
      <alignment horizontal="center" vertical="center" wrapText="1"/>
      <protection hidden="1"/>
    </xf>
    <xf numFmtId="0" fontId="271" fillId="10" borderId="300" xfId="0" applyFont="1" applyFill="1" applyBorder="1" applyAlignment="1" applyProtection="1">
      <alignment horizontal="center" vertical="center" wrapText="1"/>
      <protection hidden="1"/>
    </xf>
    <xf numFmtId="0" fontId="9" fillId="0" borderId="108" xfId="0" applyFont="1" applyFill="1" applyBorder="1" applyAlignment="1" applyProtection="1">
      <alignment horizontal="center" vertical="center" textRotation="90" wrapText="1"/>
      <protection hidden="1"/>
    </xf>
    <xf numFmtId="0" fontId="112" fillId="0" borderId="106" xfId="0" applyFont="1" applyFill="1" applyBorder="1" applyAlignment="1" applyProtection="1">
      <alignment horizontal="center" vertical="center" wrapText="1"/>
      <protection hidden="1"/>
    </xf>
    <xf numFmtId="0" fontId="221" fillId="0" borderId="106"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wrapText="1"/>
      <protection hidden="1"/>
    </xf>
    <xf numFmtId="0" fontId="9" fillId="0" borderId="109" xfId="0" applyFont="1" applyBorder="1" applyAlignment="1" applyProtection="1">
      <alignment horizontal="center" vertical="center" wrapText="1"/>
      <protection hidden="1"/>
    </xf>
    <xf numFmtId="0" fontId="9" fillId="0" borderId="143" xfId="0" applyFont="1" applyBorder="1" applyAlignment="1" applyProtection="1">
      <alignment horizontal="center" vertical="center" wrapText="1"/>
      <protection hidden="1"/>
    </xf>
    <xf numFmtId="0" fontId="9" fillId="0" borderId="110" xfId="0" applyFont="1" applyBorder="1" applyAlignment="1" applyProtection="1">
      <alignment horizontal="center" vertical="center" wrapText="1"/>
      <protection hidden="1"/>
    </xf>
    <xf numFmtId="0" fontId="251" fillId="0" borderId="109" xfId="0" applyFont="1" applyFill="1" applyBorder="1" applyAlignment="1" applyProtection="1">
      <alignment horizontal="center" vertical="center" wrapText="1"/>
      <protection hidden="1"/>
    </xf>
    <xf numFmtId="0" fontId="251" fillId="0" borderId="143" xfId="0" applyFont="1" applyFill="1" applyBorder="1" applyAlignment="1" applyProtection="1">
      <alignment horizontal="center" vertical="center" wrapText="1"/>
      <protection hidden="1"/>
    </xf>
    <xf numFmtId="0" fontId="251" fillId="0" borderId="110" xfId="0"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wrapText="1"/>
      <protection hidden="1"/>
    </xf>
    <xf numFmtId="0" fontId="251" fillId="0" borderId="108" xfId="0" applyFont="1" applyFill="1" applyBorder="1" applyAlignment="1" applyProtection="1">
      <alignment horizontal="center" vertical="center" wrapText="1"/>
      <protection hidden="1"/>
    </xf>
    <xf numFmtId="0" fontId="35" fillId="0" borderId="109" xfId="0" applyFont="1" applyBorder="1" applyAlignment="1" applyProtection="1">
      <alignment horizontal="center" vertical="center" wrapText="1"/>
      <protection hidden="1"/>
    </xf>
    <xf numFmtId="0" fontId="35" fillId="0" borderId="143"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60" fillId="0" borderId="109" xfId="0" applyFont="1" applyBorder="1" applyAlignment="1" applyProtection="1">
      <alignment horizontal="center" vertical="center" wrapText="1"/>
      <protection hidden="1"/>
    </xf>
    <xf numFmtId="0" fontId="60" fillId="0" borderId="143" xfId="0" applyFont="1" applyBorder="1" applyAlignment="1" applyProtection="1">
      <alignment horizontal="center" vertical="center" wrapText="1"/>
      <protection hidden="1"/>
    </xf>
    <xf numFmtId="0" fontId="60" fillId="0" borderId="110" xfId="0" applyFont="1" applyBorder="1" applyAlignment="1" applyProtection="1">
      <alignment horizontal="center" vertical="center" wrapText="1"/>
      <protection hidden="1"/>
    </xf>
    <xf numFmtId="0" fontId="69" fillId="0" borderId="111" xfId="0" applyFont="1" applyBorder="1" applyAlignment="1" applyProtection="1">
      <alignment horizontal="center" wrapText="1"/>
      <protection hidden="1"/>
    </xf>
    <xf numFmtId="0" fontId="69" fillId="0" borderId="112" xfId="0" applyFont="1" applyBorder="1" applyAlignment="1" applyProtection="1">
      <alignment horizontal="center" wrapText="1"/>
      <protection hidden="1"/>
    </xf>
    <xf numFmtId="0" fontId="69" fillId="0" borderId="114"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6" xfId="0" applyFont="1" applyBorder="1" applyAlignment="1" applyProtection="1">
      <alignment horizontal="center" wrapText="1"/>
      <protection hidden="1"/>
    </xf>
    <xf numFmtId="0" fontId="69" fillId="0" borderId="117" xfId="0" applyFont="1" applyBorder="1" applyAlignment="1" applyProtection="1">
      <alignment horizontal="center" wrapText="1"/>
      <protection hidden="1"/>
    </xf>
    <xf numFmtId="172" fontId="61" fillId="0" borderId="109" xfId="0" applyNumberFormat="1" applyFont="1" applyFill="1" applyBorder="1" applyAlignment="1" applyProtection="1">
      <alignment horizontal="center" vertical="center" wrapText="1"/>
      <protection hidden="1"/>
    </xf>
    <xf numFmtId="172" fontId="61" fillId="0" borderId="143" xfId="0" applyNumberFormat="1" applyFont="1" applyFill="1" applyBorder="1" applyAlignment="1" applyProtection="1">
      <alignment horizontal="center" vertical="center" wrapText="1"/>
      <protection hidden="1"/>
    </xf>
    <xf numFmtId="172" fontId="61" fillId="0" borderId="110" xfId="0" applyNumberFormat="1" applyFont="1" applyFill="1" applyBorder="1" applyAlignment="1" applyProtection="1">
      <alignment horizontal="center" vertical="center" wrapText="1"/>
      <protection hidden="1"/>
    </xf>
    <xf numFmtId="0" fontId="79" fillId="0" borderId="109" xfId="0" applyFont="1" applyFill="1" applyBorder="1" applyAlignment="1" applyProtection="1">
      <alignment horizontal="center" vertical="center" wrapText="1"/>
      <protection hidden="1"/>
    </xf>
    <xf numFmtId="0" fontId="79" fillId="0" borderId="110" xfId="0" applyFont="1" applyFill="1" applyBorder="1" applyAlignment="1" applyProtection="1">
      <alignment horizontal="center" vertical="center" wrapText="1"/>
      <protection hidden="1"/>
    </xf>
    <xf numFmtId="0" fontId="295" fillId="0" borderId="109" xfId="0" applyFont="1" applyBorder="1" applyAlignment="1" applyProtection="1">
      <alignment horizontal="center" vertical="center" wrapText="1"/>
      <protection hidden="1"/>
    </xf>
    <xf numFmtId="0" fontId="295" fillId="0" borderId="110"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0" fontId="35" fillId="0" borderId="111" xfId="0" applyFont="1" applyBorder="1" applyAlignment="1" applyProtection="1">
      <alignment horizontal="center" vertical="center" wrapText="1"/>
      <protection hidden="1"/>
    </xf>
    <xf numFmtId="0" fontId="35" fillId="0" borderId="112" xfId="0" applyFont="1" applyBorder="1" applyAlignment="1" applyProtection="1">
      <alignment horizontal="center" vertical="center" wrapText="1"/>
      <protection hidden="1"/>
    </xf>
    <xf numFmtId="0" fontId="35" fillId="0" borderId="114"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6" xfId="0" applyFont="1" applyBorder="1" applyAlignment="1" applyProtection="1">
      <alignment horizontal="center" vertical="center" wrapText="1"/>
      <protection hidden="1"/>
    </xf>
    <xf numFmtId="0" fontId="35" fillId="0" borderId="117" xfId="0" applyFont="1" applyBorder="1" applyAlignment="1" applyProtection="1">
      <alignment horizontal="center" vertical="center" wrapText="1"/>
      <protection hidden="1"/>
    </xf>
    <xf numFmtId="0" fontId="79" fillId="0" borderId="106" xfId="0" applyFont="1" applyFill="1" applyBorder="1" applyAlignment="1" applyProtection="1">
      <alignment horizontal="center" vertical="center" wrapText="1"/>
      <protection hidden="1"/>
    </xf>
    <xf numFmtId="0" fontId="35" fillId="0" borderId="106" xfId="0" applyFont="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wrapText="1"/>
      <protection hidden="1"/>
    </xf>
    <xf numFmtId="0" fontId="46" fillId="21" borderId="106" xfId="0"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157" fillId="15" borderId="113" xfId="4" applyFont="1" applyFill="1" applyBorder="1" applyAlignment="1" applyProtection="1">
      <alignment horizontal="center" vertical="center" wrapText="1"/>
      <protection hidden="1"/>
    </xf>
    <xf numFmtId="0" fontId="157" fillId="15" borderId="116" xfId="4" applyFont="1" applyFill="1" applyBorder="1" applyAlignment="1" applyProtection="1">
      <alignment horizontal="center" vertical="center" wrapText="1"/>
      <protection hidden="1"/>
    </xf>
    <xf numFmtId="0" fontId="157" fillId="15" borderId="117" xfId="4" applyFont="1" applyFill="1" applyBorder="1" applyAlignment="1" applyProtection="1">
      <alignment horizontal="center" vertical="center" wrapText="1"/>
      <protection hidden="1"/>
    </xf>
    <xf numFmtId="0" fontId="157" fillId="15" borderId="118" xfId="4" applyFont="1" applyFill="1" applyBorder="1" applyAlignment="1" applyProtection="1">
      <alignment horizontal="center" vertical="center" wrapText="1"/>
      <protection hidden="1"/>
    </xf>
    <xf numFmtId="0" fontId="235" fillId="0" borderId="107" xfId="0" applyFont="1" applyFill="1" applyBorder="1" applyAlignment="1" applyProtection="1">
      <alignment horizontal="center" vertical="center" textRotation="90" wrapText="1"/>
      <protection hidden="1"/>
    </xf>
    <xf numFmtId="0" fontId="235" fillId="0" borderId="108" xfId="0" applyFont="1" applyFill="1" applyBorder="1" applyAlignment="1" applyProtection="1">
      <alignment horizontal="center" vertical="center" textRotation="90" wrapText="1"/>
      <protection hidden="1"/>
    </xf>
    <xf numFmtId="0" fontId="9" fillId="0" borderId="106" xfId="0" applyFont="1" applyBorder="1" applyAlignment="1" applyProtection="1">
      <alignment horizontal="center" vertical="center" wrapText="1"/>
      <protection hidden="1"/>
    </xf>
    <xf numFmtId="0" fontId="295" fillId="0" borderId="106" xfId="0" applyFont="1" applyBorder="1" applyAlignment="1" applyProtection="1">
      <alignment horizontal="center" vertical="center" wrapText="1"/>
      <protection hidden="1"/>
    </xf>
    <xf numFmtId="172" fontId="61" fillId="0" borderId="106" xfId="0" applyNumberFormat="1" applyFont="1" applyFill="1" applyBorder="1" applyAlignment="1" applyProtection="1">
      <alignment horizontal="center" vertical="center" wrapText="1"/>
      <protection hidden="1"/>
    </xf>
    <xf numFmtId="0" fontId="271" fillId="18" borderId="298" xfId="0" applyFont="1" applyFill="1" applyBorder="1" applyAlignment="1" applyProtection="1">
      <alignment horizontal="center" vertical="center" wrapText="1"/>
      <protection hidden="1"/>
    </xf>
    <xf numFmtId="0" fontId="271" fillId="18" borderId="299" xfId="0" applyFont="1" applyFill="1" applyBorder="1" applyAlignment="1" applyProtection="1">
      <alignment horizontal="center" vertical="center" wrapText="1"/>
      <protection hidden="1"/>
    </xf>
    <xf numFmtId="0" fontId="271" fillId="18" borderId="300" xfId="0" applyFont="1" applyFill="1" applyBorder="1" applyAlignment="1" applyProtection="1">
      <alignment horizontal="center" vertical="center" wrapText="1"/>
      <protection hidden="1"/>
    </xf>
    <xf numFmtId="0" fontId="39" fillId="0" borderId="296" xfId="0" applyFont="1" applyFill="1" applyBorder="1" applyAlignment="1" applyProtection="1">
      <alignment horizontal="center" vertical="center" wrapText="1"/>
      <protection hidden="1"/>
    </xf>
    <xf numFmtId="0" fontId="39" fillId="0" borderId="104" xfId="0" applyFont="1" applyFill="1" applyBorder="1" applyAlignment="1" applyProtection="1">
      <alignment horizontal="center" vertical="center" wrapText="1"/>
      <protection hidden="1"/>
    </xf>
    <xf numFmtId="0" fontId="39" fillId="0" borderId="297" xfId="0" applyFont="1" applyFill="1" applyBorder="1" applyAlignment="1" applyProtection="1">
      <alignment horizontal="center" vertical="center" wrapText="1"/>
      <protection hidden="1"/>
    </xf>
    <xf numFmtId="0" fontId="117" fillId="0" borderId="286" xfId="0" applyFont="1" applyFill="1" applyBorder="1" applyAlignment="1" applyProtection="1">
      <alignment horizontal="center" vertical="center" wrapText="1"/>
      <protection hidden="1"/>
    </xf>
    <xf numFmtId="0" fontId="117" fillId="0" borderId="287" xfId="0" applyFont="1" applyFill="1" applyBorder="1" applyAlignment="1" applyProtection="1">
      <alignment horizontal="center" vertical="center" wrapText="1"/>
      <protection hidden="1"/>
    </xf>
    <xf numFmtId="0" fontId="20" fillId="0" borderId="108" xfId="0" applyFont="1" applyFill="1" applyBorder="1" applyAlignment="1" applyProtection="1">
      <alignment horizontal="center" vertical="center" wrapText="1"/>
      <protection hidden="1"/>
    </xf>
    <xf numFmtId="0" fontId="20" fillId="0" borderId="295"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22" fillId="0" borderId="290" xfId="0" applyFont="1" applyFill="1" applyBorder="1" applyAlignment="1" applyProtection="1">
      <alignment horizontal="center" vertical="center" wrapText="1"/>
      <protection hidden="1"/>
    </xf>
    <xf numFmtId="0" fontId="271" fillId="3" borderId="340" xfId="0" applyFont="1" applyFill="1" applyBorder="1" applyAlignment="1" applyProtection="1">
      <alignment horizontal="center" vertical="center" wrapText="1"/>
      <protection hidden="1"/>
    </xf>
    <xf numFmtId="0" fontId="347" fillId="0" borderId="341" xfId="0" applyFont="1" applyFill="1" applyBorder="1" applyAlignment="1" applyProtection="1">
      <alignment horizontal="center" vertical="center" wrapText="1"/>
      <protection hidden="1"/>
    </xf>
    <xf numFmtId="0" fontId="347" fillId="0" borderId="338" xfId="0" applyFont="1" applyFill="1" applyBorder="1" applyAlignment="1" applyProtection="1">
      <alignment horizontal="center" vertical="center" wrapText="1"/>
      <protection hidden="1"/>
    </xf>
    <xf numFmtId="0" fontId="46" fillId="0" borderId="340" xfId="0" applyFont="1" applyFill="1" applyBorder="1" applyAlignment="1" applyProtection="1">
      <alignment horizontal="center" vertical="center" wrapText="1"/>
      <protection hidden="1"/>
    </xf>
    <xf numFmtId="0" fontId="111" fillId="0" borderId="340" xfId="0" applyFont="1" applyFill="1" applyBorder="1" applyAlignment="1" applyProtection="1">
      <alignment horizontal="center" vertical="center" wrapText="1"/>
      <protection hidden="1"/>
    </xf>
    <xf numFmtId="0" fontId="348" fillId="0" borderId="337" xfId="0" applyFont="1" applyFill="1" applyBorder="1" applyAlignment="1" applyProtection="1">
      <alignment horizontal="center" vertical="center" wrapText="1"/>
      <protection hidden="1"/>
    </xf>
    <xf numFmtId="0" fontId="348" fillId="0" borderId="342" xfId="0" applyFont="1" applyFill="1" applyBorder="1" applyAlignment="1" applyProtection="1">
      <alignment horizontal="center" vertical="center" wrapText="1"/>
      <protection hidden="1"/>
    </xf>
    <xf numFmtId="0" fontId="349" fillId="0" borderId="337" xfId="0" applyFont="1" applyFill="1" applyBorder="1" applyAlignment="1" applyProtection="1">
      <alignment horizontal="center" vertical="center" wrapText="1"/>
      <protection hidden="1"/>
    </xf>
    <xf numFmtId="0" fontId="349" fillId="0" borderId="342" xfId="0" applyFont="1" applyFill="1" applyBorder="1" applyAlignment="1" applyProtection="1">
      <alignment horizontal="center" vertical="center" wrapText="1"/>
      <protection hidden="1"/>
    </xf>
    <xf numFmtId="0" fontId="292" fillId="0" borderId="340" xfId="0" applyFont="1" applyFill="1" applyBorder="1" applyAlignment="1" applyProtection="1">
      <alignment horizontal="right" wrapText="1"/>
      <protection hidden="1"/>
    </xf>
    <xf numFmtId="0" fontId="269" fillId="3" borderId="343" xfId="0" applyFont="1" applyFill="1" applyBorder="1" applyAlignment="1" applyProtection="1">
      <alignment horizontal="center" vertical="center" textRotation="90" wrapText="1" shrinkToFit="1"/>
      <protection hidden="1"/>
    </xf>
    <xf numFmtId="0" fontId="251" fillId="0" borderId="343" xfId="0" applyFont="1" applyFill="1" applyBorder="1" applyAlignment="1" applyProtection="1">
      <alignment horizontal="center" vertical="center" wrapText="1"/>
      <protection hidden="1"/>
    </xf>
    <xf numFmtId="172" fontId="111" fillId="0" borderId="340" xfId="0" applyNumberFormat="1" applyFont="1" applyFill="1" applyBorder="1" applyAlignment="1" applyProtection="1">
      <alignment horizontal="center" vertical="center" wrapText="1"/>
      <protection hidden="1"/>
    </xf>
    <xf numFmtId="0" fontId="251" fillId="0" borderId="340" xfId="0" applyFont="1" applyFill="1" applyBorder="1" applyAlignment="1" applyProtection="1">
      <alignment horizontal="right" wrapText="1"/>
      <protection hidden="1"/>
    </xf>
    <xf numFmtId="0" fontId="6" fillId="40" borderId="0" xfId="0" applyFont="1" applyFill="1" applyBorder="1" applyAlignment="1" applyProtection="1">
      <alignment horizontal="center" vertical="center" wrapText="1"/>
      <protection hidden="1"/>
    </xf>
    <xf numFmtId="0" fontId="344" fillId="0" borderId="0" xfId="0" applyFont="1" applyAlignment="1" applyProtection="1">
      <alignment horizontal="center"/>
      <protection hidden="1"/>
    </xf>
    <xf numFmtId="0" fontId="46" fillId="9" borderId="344" xfId="0" applyFont="1" applyFill="1" applyBorder="1" applyAlignment="1" applyProtection="1">
      <alignment horizontal="center" vertical="center" wrapText="1"/>
      <protection hidden="1"/>
    </xf>
    <xf numFmtId="0" fontId="19" fillId="0" borderId="345" xfId="0" applyFont="1" applyFill="1" applyBorder="1" applyAlignment="1" applyProtection="1">
      <alignment horizontal="center" vertical="center" wrapText="1"/>
      <protection hidden="1"/>
    </xf>
    <xf numFmtId="0" fontId="19" fillId="0" borderId="346" xfId="0" applyFont="1" applyFill="1" applyBorder="1" applyAlignment="1" applyProtection="1">
      <alignment horizontal="center" vertical="center" wrapText="1"/>
      <protection hidden="1"/>
    </xf>
    <xf numFmtId="0" fontId="19" fillId="0" borderId="347" xfId="0" applyFont="1" applyFill="1" applyBorder="1" applyAlignment="1" applyProtection="1">
      <alignment horizontal="center" vertical="center" wrapText="1"/>
      <protection hidden="1"/>
    </xf>
    <xf numFmtId="0" fontId="19" fillId="0" borderId="350" xfId="0" applyFont="1" applyFill="1" applyBorder="1" applyAlignment="1" applyProtection="1">
      <alignment horizontal="center" vertical="center" wrapText="1"/>
      <protection hidden="1"/>
    </xf>
    <xf numFmtId="0" fontId="19" fillId="0" borderId="336" xfId="0" applyFont="1" applyFill="1" applyBorder="1" applyAlignment="1" applyProtection="1">
      <alignment horizontal="center" vertical="center" wrapText="1"/>
      <protection hidden="1"/>
    </xf>
    <xf numFmtId="0" fontId="19" fillId="0" borderId="339" xfId="0" applyFont="1" applyFill="1" applyBorder="1" applyAlignment="1" applyProtection="1">
      <alignment horizontal="center" vertical="center" wrapText="1"/>
      <protection hidden="1"/>
    </xf>
    <xf numFmtId="0" fontId="19" fillId="0" borderId="352" xfId="0" applyFont="1" applyFill="1" applyBorder="1" applyAlignment="1" applyProtection="1">
      <alignment horizontal="center" vertical="center" wrapText="1"/>
      <protection hidden="1"/>
    </xf>
    <xf numFmtId="0" fontId="19" fillId="0" borderId="353" xfId="0" applyFont="1" applyFill="1" applyBorder="1" applyAlignment="1" applyProtection="1">
      <alignment horizontal="center" vertical="center" wrapText="1"/>
      <protection hidden="1"/>
    </xf>
    <xf numFmtId="0" fontId="113" fillId="3" borderId="349" xfId="0" applyFont="1" applyFill="1" applyBorder="1" applyAlignment="1" applyProtection="1">
      <alignment horizontal="center" vertical="center" wrapText="1"/>
      <protection hidden="1"/>
    </xf>
    <xf numFmtId="0" fontId="113" fillId="3" borderId="351" xfId="0" applyFont="1" applyFill="1" applyBorder="1" applyAlignment="1" applyProtection="1">
      <alignment horizontal="center" vertical="center" wrapText="1"/>
      <protection hidden="1"/>
    </xf>
    <xf numFmtId="0" fontId="113" fillId="3" borderId="355" xfId="0" applyFont="1" applyFill="1" applyBorder="1" applyAlignment="1" applyProtection="1">
      <alignment horizontal="center" vertical="center" wrapText="1"/>
      <protection hidden="1"/>
    </xf>
    <xf numFmtId="0" fontId="348" fillId="0" borderId="335" xfId="0" applyFont="1" applyFill="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288" fillId="3" borderId="343" xfId="0" applyFont="1" applyFill="1" applyBorder="1" applyAlignment="1" applyProtection="1">
      <alignment horizontal="center" vertical="center" textRotation="90" wrapText="1" shrinkToFit="1"/>
      <protection hidden="1"/>
    </xf>
    <xf numFmtId="0" fontId="70" fillId="3" borderId="343" xfId="0" applyFont="1" applyFill="1" applyBorder="1" applyAlignment="1" applyProtection="1">
      <alignment horizontal="center" vertical="center" textRotation="90" wrapText="1"/>
      <protection hidden="1"/>
    </xf>
    <xf numFmtId="0" fontId="35" fillId="3" borderId="343" xfId="0" applyFont="1" applyFill="1" applyBorder="1" applyAlignment="1" applyProtection="1">
      <alignment horizontal="center" vertical="center" textRotation="90" wrapText="1"/>
      <protection hidden="1"/>
    </xf>
    <xf numFmtId="0" fontId="115" fillId="3" borderId="343" xfId="0" applyFont="1" applyFill="1" applyBorder="1" applyAlignment="1" applyProtection="1">
      <alignment horizontal="center" vertical="center" textRotation="90"/>
      <protection hidden="1"/>
    </xf>
    <xf numFmtId="0" fontId="115" fillId="3" borderId="343" xfId="0" applyFont="1" applyFill="1" applyBorder="1" applyAlignment="1" applyProtection="1">
      <alignment vertical="center"/>
      <protection hidden="1"/>
    </xf>
    <xf numFmtId="0" fontId="35" fillId="0" borderId="343" xfId="0" applyFont="1" applyFill="1" applyBorder="1" applyAlignment="1" applyProtection="1">
      <alignment horizontal="center" vertical="center" wrapText="1"/>
      <protection hidden="1"/>
    </xf>
    <xf numFmtId="0" fontId="35" fillId="0" borderId="343" xfId="0" applyFont="1" applyBorder="1" applyAlignment="1" applyProtection="1">
      <alignment horizontal="center" vertical="center" textRotation="90" wrapText="1"/>
      <protection hidden="1"/>
    </xf>
    <xf numFmtId="0" fontId="35" fillId="0" borderId="343" xfId="0" applyFont="1" applyFill="1" applyBorder="1" applyAlignment="1" applyProtection="1">
      <alignment horizontal="center" vertical="center" textRotation="90" wrapText="1"/>
      <protection hidden="1"/>
    </xf>
    <xf numFmtId="0" fontId="340"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1" fillId="12" borderId="0" xfId="0" applyFont="1" applyFill="1" applyBorder="1" applyAlignment="1" applyProtection="1">
      <alignment horizontal="center" vertical="center"/>
      <protection locked="0"/>
    </xf>
    <xf numFmtId="0" fontId="75" fillId="0" borderId="0"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35" fillId="0" borderId="51" xfId="0" applyFont="1" applyFill="1" applyBorder="1" applyAlignment="1" applyProtection="1">
      <alignment horizontal="center" vertical="center" wrapText="1"/>
      <protection hidden="1"/>
    </xf>
    <xf numFmtId="0" fontId="28" fillId="0" borderId="51" xfId="0" applyFont="1" applyFill="1" applyBorder="1" applyAlignment="1" applyProtection="1">
      <alignment horizont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9" fillId="0" borderId="156" xfId="0" applyFont="1" applyBorder="1" applyAlignment="1" applyProtection="1">
      <alignment horizontal="center" vertical="center" wrapText="1"/>
      <protection hidden="1"/>
    </xf>
    <xf numFmtId="0" fontId="19" fillId="0" borderId="14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1" fillId="0" borderId="147" xfId="0" applyFont="1" applyFill="1" applyBorder="1" applyAlignment="1" applyProtection="1">
      <alignment horizontal="right" vertical="center" wrapText="1"/>
      <protection hidden="1"/>
    </xf>
    <xf numFmtId="0" fontId="60" fillId="0" borderId="147" xfId="0" applyFont="1" applyFill="1" applyBorder="1" applyAlignment="1" applyProtection="1">
      <alignment horizontal="right" vertical="center" wrapText="1"/>
      <protection hidden="1"/>
    </xf>
    <xf numFmtId="0" fontId="251" fillId="0" borderId="51" xfId="0"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265" fillId="0" borderId="51" xfId="0" applyFont="1" applyBorder="1" applyAlignment="1" applyProtection="1">
      <alignment horizontal="center" vertical="center" textRotation="90" wrapText="1"/>
      <protection hidden="1"/>
    </xf>
    <xf numFmtId="2" fontId="35" fillId="0" borderId="51" xfId="0" applyNumberFormat="1" applyFont="1" applyFill="1" applyBorder="1" applyAlignment="1" applyProtection="1">
      <alignment horizontal="center" vertical="center" wrapText="1"/>
      <protection hidden="1"/>
    </xf>
    <xf numFmtId="0" fontId="299" fillId="0" borderId="51" xfId="0" applyFont="1" applyFill="1" applyBorder="1" applyAlignment="1" applyProtection="1">
      <alignment horizontal="center" vertical="center" wrapText="1"/>
      <protection hidden="1"/>
    </xf>
    <xf numFmtId="0" fontId="35" fillId="0" borderId="147" xfId="0"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0" fontId="28" fillId="0" borderId="147"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17" fillId="0" borderId="51" xfId="0" applyFont="1" applyBorder="1" applyAlignment="1" applyProtection="1">
      <alignment horizontal="left" vertical="center"/>
      <protection hidden="1"/>
    </xf>
    <xf numFmtId="0" fontId="300"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08" fillId="0" borderId="0" xfId="0" applyFont="1" applyFill="1" applyBorder="1" applyAlignment="1" applyProtection="1">
      <alignment horizontal="center" vertical="center" wrapText="1"/>
      <protection hidden="1"/>
    </xf>
    <xf numFmtId="0" fontId="9" fillId="0" borderId="128" xfId="0" applyFont="1" applyFill="1" applyBorder="1" applyAlignment="1" applyProtection="1">
      <alignment horizontal="center" vertical="center"/>
      <protection hidden="1"/>
    </xf>
    <xf numFmtId="0" fontId="9" fillId="0" borderId="135" xfId="0" applyFont="1" applyFill="1" applyBorder="1" applyAlignment="1" applyProtection="1">
      <alignment horizontal="center" vertical="center"/>
      <protection hidden="1"/>
    </xf>
    <xf numFmtId="0" fontId="9" fillId="0" borderId="129" xfId="0" applyFont="1" applyBorder="1" applyAlignment="1" applyProtection="1">
      <alignment horizontal="center" vertical="center" wrapText="1"/>
      <protection hidden="1"/>
    </xf>
    <xf numFmtId="0" fontId="60" fillId="0" borderId="126"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303" fillId="0" borderId="0" xfId="0" applyFont="1" applyFill="1" applyBorder="1" applyAlignment="1" applyProtection="1">
      <alignment horizontal="center" vertical="center" wrapText="1"/>
      <protection hidden="1"/>
    </xf>
    <xf numFmtId="0" fontId="304" fillId="0" borderId="130" xfId="0" applyFont="1" applyBorder="1" applyAlignment="1" applyProtection="1">
      <alignment horizontal="center" vertical="center" wrapText="1"/>
      <protection hidden="1"/>
    </xf>
    <xf numFmtId="0" fontId="304" fillId="0" borderId="123" xfId="0" applyFont="1" applyBorder="1" applyAlignment="1" applyProtection="1">
      <alignment horizontal="center" vertical="center" wrapText="1"/>
      <protection hidden="1"/>
    </xf>
    <xf numFmtId="0" fontId="304" fillId="0" borderId="131" xfId="0" applyFont="1" applyBorder="1" applyAlignment="1" applyProtection="1">
      <alignment horizontal="center" vertical="center" wrapText="1"/>
      <protection hidden="1"/>
    </xf>
    <xf numFmtId="0" fontId="304" fillId="0" borderId="132" xfId="0" applyFont="1" applyBorder="1" applyAlignment="1" applyProtection="1">
      <alignment horizontal="center" vertical="center" wrapText="1"/>
      <protection hidden="1"/>
    </xf>
    <xf numFmtId="0" fontId="217" fillId="0" borderId="123" xfId="0" applyFont="1" applyBorder="1" applyAlignment="1" applyProtection="1">
      <alignment horizontal="left" vertical="center" wrapText="1"/>
      <protection hidden="1"/>
    </xf>
    <xf numFmtId="0" fontId="217" fillId="0" borderId="132" xfId="0" applyFont="1" applyBorder="1" applyAlignment="1" applyProtection="1">
      <alignment horizontal="left" vertical="center" wrapText="1"/>
      <protection hidden="1"/>
    </xf>
    <xf numFmtId="0" fontId="304" fillId="0" borderId="123" xfId="0" applyFont="1" applyBorder="1" applyAlignment="1" applyProtection="1">
      <alignment horizontal="right" vertical="center" wrapText="1"/>
      <protection hidden="1"/>
    </xf>
    <xf numFmtId="0" fontId="304" fillId="0" borderId="132" xfId="0" applyFont="1" applyBorder="1" applyAlignment="1" applyProtection="1">
      <alignment horizontal="right" vertical="center" wrapText="1"/>
      <protection hidden="1"/>
    </xf>
    <xf numFmtId="0" fontId="217" fillId="0" borderId="124" xfId="0" applyFont="1" applyBorder="1" applyAlignment="1" applyProtection="1">
      <alignment horizontal="left" vertical="center" wrapText="1"/>
      <protection hidden="1"/>
    </xf>
    <xf numFmtId="0" fontId="217" fillId="0" borderId="133" xfId="0" applyFont="1" applyBorder="1" applyAlignment="1" applyProtection="1">
      <alignment horizontal="left"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35" xfId="0" applyFont="1" applyFill="1" applyBorder="1" applyAlignment="1" applyProtection="1">
      <alignment horizontal="left" vertical="center" wrapText="1"/>
      <protection hidden="1"/>
    </xf>
    <xf numFmtId="0" fontId="9" fillId="0" borderId="135" xfId="0" applyFont="1" applyFill="1" applyBorder="1" applyAlignment="1" applyProtection="1">
      <alignment horizontal="right" vertical="center"/>
      <protection hidden="1"/>
    </xf>
    <xf numFmtId="0" fontId="38" fillId="0" borderId="134" xfId="0" applyFont="1" applyFill="1" applyBorder="1" applyAlignment="1" applyProtection="1">
      <alignment horizontal="left" vertical="center" wrapText="1"/>
      <protection hidden="1"/>
    </xf>
    <xf numFmtId="0" fontId="60" fillId="0" borderId="302" xfId="0" applyFont="1" applyFill="1" applyBorder="1" applyAlignment="1" applyProtection="1">
      <alignment horizontal="center" vertical="center"/>
      <protection hidden="1"/>
    </xf>
    <xf numFmtId="0" fontId="60" fillId="0" borderId="303"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311" fillId="0" borderId="136" xfId="0" applyFont="1" applyFill="1" applyBorder="1" applyAlignment="1" applyProtection="1">
      <alignment horizontal="center" wrapText="1"/>
      <protection hidden="1"/>
    </xf>
    <xf numFmtId="0" fontId="220" fillId="0" borderId="136" xfId="0" applyFont="1" applyFill="1" applyBorder="1" applyAlignment="1" applyProtection="1">
      <alignment horizontal="right" vertical="center" wrapText="1"/>
      <protection hidden="1"/>
    </xf>
    <xf numFmtId="0" fontId="28" fillId="0" borderId="136" xfId="0" applyFont="1" applyBorder="1" applyAlignment="1" applyProtection="1">
      <alignment horizontal="center" vertical="center" wrapText="1"/>
      <protection hidden="1"/>
    </xf>
    <xf numFmtId="0" fontId="28" fillId="0" borderId="158" xfId="0" applyFont="1" applyBorder="1" applyAlignment="1" applyProtection="1">
      <alignment horizontal="center" vertical="center" wrapText="1"/>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239" fillId="0" borderId="159" xfId="0" applyFont="1" applyBorder="1" applyAlignment="1" applyProtection="1">
      <alignment horizontal="center"/>
      <protection hidden="1"/>
    </xf>
    <xf numFmtId="0" fontId="239" fillId="0" borderId="136" xfId="0" applyFont="1" applyBorder="1" applyAlignment="1" applyProtection="1">
      <alignment horizontal="center"/>
      <protection hidden="1"/>
    </xf>
    <xf numFmtId="0" fontId="311" fillId="0" borderId="38" xfId="0" applyFont="1" applyFill="1" applyBorder="1" applyAlignment="1" applyProtection="1">
      <alignment horizontal="center" wrapText="1"/>
      <protection hidden="1"/>
    </xf>
    <xf numFmtId="0" fontId="311" fillId="0" borderId="39" xfId="0" applyFont="1" applyFill="1" applyBorder="1" applyAlignment="1" applyProtection="1">
      <alignment horizontal="center" wrapText="1"/>
      <protection hidden="1"/>
    </xf>
    <xf numFmtId="0" fontId="311" fillId="0" borderId="45" xfId="0" applyFont="1" applyFill="1" applyBorder="1" applyAlignment="1" applyProtection="1">
      <alignment horizontal="center" wrapText="1"/>
      <protection hidden="1"/>
    </xf>
    <xf numFmtId="0" fontId="311" fillId="0" borderId="46" xfId="0" applyFont="1" applyFill="1" applyBorder="1" applyAlignment="1" applyProtection="1">
      <alignment horizontal="center" wrapText="1"/>
      <protection hidden="1"/>
    </xf>
    <xf numFmtId="0" fontId="239" fillId="0" borderId="138"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9"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40"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7" xfId="0" applyFont="1" applyBorder="1" applyAlignment="1" applyProtection="1">
      <alignment horizontal="center"/>
      <protection hidden="1"/>
    </xf>
    <xf numFmtId="0" fontId="310" fillId="0" borderId="136" xfId="0" applyFont="1" applyFill="1" applyBorder="1" applyAlignment="1" applyProtection="1">
      <alignment horizontal="right" vertical="center" wrapText="1"/>
      <protection hidden="1"/>
    </xf>
    <xf numFmtId="1" fontId="28" fillId="0" borderId="136" xfId="0" applyNumberFormat="1"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167" fontId="28" fillId="0" borderId="158" xfId="0" applyNumberFormat="1" applyFont="1" applyBorder="1" applyAlignment="1" applyProtection="1">
      <alignment horizontal="center" vertical="center" wrapText="1"/>
      <protection hidden="1"/>
    </xf>
    <xf numFmtId="1" fontId="28" fillId="0" borderId="158" xfId="0" applyNumberFormat="1" applyFont="1" applyBorder="1" applyAlignment="1" applyProtection="1">
      <alignment horizontal="center" vertical="center"/>
      <protection hidden="1"/>
    </xf>
    <xf numFmtId="1" fontId="28" fillId="0" borderId="305" xfId="0" applyNumberFormat="1" applyFont="1" applyBorder="1" applyAlignment="1" applyProtection="1">
      <alignment horizontal="center" vertical="center"/>
      <protection hidden="1"/>
    </xf>
    <xf numFmtId="0" fontId="35" fillId="0" borderId="109" xfId="0" applyFont="1" applyBorder="1" applyAlignment="1" applyProtection="1">
      <alignment horizontal="right" vertical="center" wrapText="1"/>
      <protection hidden="1"/>
    </xf>
    <xf numFmtId="0" fontId="35" fillId="0" borderId="143" xfId="0" applyFont="1" applyBorder="1" applyAlignment="1" applyProtection="1">
      <alignment horizontal="right" vertical="center" wrapText="1"/>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6" xfId="0" applyFont="1" applyFill="1" applyBorder="1" applyAlignment="1" applyProtection="1">
      <alignment horizontal="right" vertical="center" wrapText="1"/>
      <protection hidden="1"/>
    </xf>
    <xf numFmtId="0" fontId="237" fillId="0" borderId="136" xfId="0" applyFont="1" applyFill="1" applyBorder="1" applyAlignment="1" applyProtection="1">
      <alignment horizontal="center" wrapText="1"/>
      <protection hidden="1"/>
    </xf>
    <xf numFmtId="0" fontId="237" fillId="0" borderId="158"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35" fillId="0" borderId="159" xfId="0" applyFont="1" applyFill="1" applyBorder="1" applyAlignment="1" applyProtection="1">
      <alignment horizontal="center" vertical="center" wrapText="1"/>
      <protection hidden="1"/>
    </xf>
    <xf numFmtId="0" fontId="35" fillId="0" borderId="136"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textRotation="90" wrapText="1"/>
      <protection hidden="1"/>
    </xf>
    <xf numFmtId="0" fontId="49" fillId="0" borderId="108" xfId="0" applyFont="1" applyFill="1" applyBorder="1" applyAlignment="1" applyProtection="1">
      <alignment horizontal="center" vertical="center" textRotation="90" wrapText="1"/>
      <protection hidden="1"/>
    </xf>
    <xf numFmtId="0" fontId="89" fillId="0" borderId="304" xfId="0" applyFont="1" applyBorder="1" applyAlignment="1" applyProtection="1">
      <alignment horizontal="center" vertical="center" wrapText="1"/>
      <protection hidden="1"/>
    </xf>
    <xf numFmtId="0" fontId="309" fillId="0" borderId="0" xfId="0" applyFont="1" applyBorder="1" applyAlignment="1" applyProtection="1">
      <alignment horizontal="center" vertical="center"/>
      <protection hidden="1"/>
    </xf>
    <xf numFmtId="0" fontId="49" fillId="0" borderId="136"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43" xfId="0" applyFont="1" applyBorder="1" applyAlignment="1" applyProtection="1">
      <alignment horizontal="left" vertical="center"/>
      <protection hidden="1"/>
    </xf>
    <xf numFmtId="0" fontId="60" fillId="0" borderId="110" xfId="0" applyFont="1" applyBorder="1" applyAlignment="1" applyProtection="1">
      <alignment horizontal="left" vertical="center"/>
      <protection hidden="1"/>
    </xf>
    <xf numFmtId="0" fontId="49" fillId="0" borderId="159" xfId="0" applyFont="1" applyFill="1" applyBorder="1" applyAlignment="1" applyProtection="1">
      <alignment horizontal="center" vertical="center" textRotation="90" wrapText="1"/>
      <protection hidden="1"/>
    </xf>
    <xf numFmtId="0" fontId="61" fillId="18" borderId="308" xfId="0" applyFont="1" applyFill="1" applyBorder="1" applyAlignment="1" applyProtection="1">
      <alignment horizontal="center" vertical="center" wrapText="1"/>
      <protection hidden="1"/>
    </xf>
    <xf numFmtId="0" fontId="61" fillId="18" borderId="309" xfId="0" applyFont="1" applyFill="1" applyBorder="1" applyAlignment="1" applyProtection="1">
      <alignment horizontal="center" vertical="center" wrapText="1"/>
      <protection hidden="1"/>
    </xf>
    <xf numFmtId="0" fontId="61" fillId="18" borderId="310" xfId="0" applyFont="1" applyFill="1" applyBorder="1" applyAlignment="1" applyProtection="1">
      <alignment horizontal="center" vertical="center" wrapText="1"/>
      <protection hidden="1"/>
    </xf>
    <xf numFmtId="0" fontId="35" fillId="0" borderId="51" xfId="0"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96" fillId="0" borderId="142"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49" fillId="0" borderId="185" xfId="0" applyFont="1" applyFill="1" applyBorder="1" applyAlignment="1" applyProtection="1">
      <alignment horizontal="center" wrapText="1"/>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41" xfId="0" applyFont="1" applyFill="1" applyBorder="1" applyAlignment="1" applyProtection="1">
      <alignment horizontal="center" vertical="center" wrapText="1"/>
      <protection hidden="1"/>
    </xf>
    <xf numFmtId="0" fontId="251" fillId="0" borderId="144" xfId="0" applyFont="1" applyFill="1" applyBorder="1" applyAlignment="1" applyProtection="1">
      <alignment horizontal="center" vertical="center" wrapText="1"/>
      <protection hidden="1"/>
    </xf>
    <xf numFmtId="2" fontId="35" fillId="0" borderId="145" xfId="0" applyNumberFormat="1" applyFont="1" applyFill="1" applyBorder="1" applyAlignment="1" applyProtection="1">
      <alignment horizontal="center" vertical="center" textRotation="90" wrapText="1"/>
      <protection hidden="1"/>
    </xf>
    <xf numFmtId="0" fontId="49" fillId="0" borderId="184" xfId="0" applyFont="1" applyFill="1" applyBorder="1" applyAlignment="1" applyProtection="1">
      <alignment horizontal="center" wrapText="1"/>
      <protection hidden="1"/>
    </xf>
    <xf numFmtId="0" fontId="112" fillId="0" borderId="184" xfId="0" applyFont="1" applyFill="1" applyBorder="1" applyAlignment="1" applyProtection="1">
      <alignment horizontal="center" wrapText="1"/>
      <protection hidden="1"/>
    </xf>
    <xf numFmtId="0" fontId="112" fillId="0" borderId="185" xfId="0" applyFont="1" applyFill="1" applyBorder="1" applyAlignment="1" applyProtection="1">
      <alignment horizontal="center" wrapText="1"/>
      <protection hidden="1"/>
    </xf>
    <xf numFmtId="0" fontId="213" fillId="0" borderId="332" xfId="0" applyFont="1" applyFill="1" applyBorder="1" applyAlignment="1" applyProtection="1">
      <alignment horizontal="center" vertical="center" wrapText="1"/>
      <protection hidden="1"/>
    </xf>
    <xf numFmtId="0" fontId="213" fillId="0" borderId="333" xfId="0" applyFont="1" applyFill="1" applyBorder="1" applyAlignment="1" applyProtection="1">
      <alignment horizontal="center" vertical="center" wrapText="1"/>
      <protection hidden="1"/>
    </xf>
    <xf numFmtId="0" fontId="213" fillId="0" borderId="334" xfId="0" applyFont="1" applyFill="1" applyBorder="1" applyAlignment="1" applyProtection="1">
      <alignment horizontal="center" vertical="center" wrapText="1"/>
      <protection hidden="1"/>
    </xf>
    <xf numFmtId="0" fontId="213" fillId="0" borderId="0" xfId="0" applyFont="1" applyBorder="1" applyAlignment="1" applyProtection="1">
      <alignment horizontal="right" vertical="center" wrapText="1"/>
      <protection hidden="1"/>
    </xf>
    <xf numFmtId="0" fontId="251" fillId="0" borderId="317" xfId="0" applyFont="1" applyFill="1" applyBorder="1" applyAlignment="1" applyProtection="1">
      <alignment horizontal="center" vertical="center" wrapText="1"/>
      <protection hidden="1"/>
    </xf>
    <xf numFmtId="0" fontId="213" fillId="0" borderId="0" xfId="0" applyFont="1" applyFill="1" applyBorder="1" applyAlignment="1" applyProtection="1">
      <alignment horizontal="right" vertical="top" wrapText="1"/>
      <protection hidden="1"/>
    </xf>
    <xf numFmtId="0" fontId="319" fillId="0" borderId="321" xfId="0" applyFont="1" applyFill="1" applyBorder="1" applyAlignment="1" applyProtection="1">
      <alignment horizontal="right" vertical="center" shrinkToFit="1"/>
      <protection hidden="1"/>
    </xf>
    <xf numFmtId="0" fontId="319" fillId="0" borderId="174" xfId="0" applyFont="1" applyFill="1" applyBorder="1" applyAlignment="1" applyProtection="1">
      <alignment horizontal="right" vertical="center" shrinkToFit="1"/>
      <protection hidden="1"/>
    </xf>
    <xf numFmtId="0" fontId="319" fillId="0" borderId="175" xfId="0" applyFont="1" applyFill="1" applyBorder="1" applyAlignment="1" applyProtection="1">
      <alignment horizontal="right" vertical="center" shrinkToFit="1"/>
      <protection hidden="1"/>
    </xf>
    <xf numFmtId="171" fontId="266" fillId="7" borderId="167" xfId="0" applyNumberFormat="1" applyFont="1" applyFill="1" applyBorder="1" applyAlignment="1" applyProtection="1">
      <alignment horizontal="center" vertical="center" wrapText="1"/>
      <protection hidden="1"/>
    </xf>
    <xf numFmtId="171" fontId="266" fillId="7" borderId="174" xfId="0" applyNumberFormat="1" applyFont="1" applyFill="1" applyBorder="1" applyAlignment="1" applyProtection="1">
      <alignment horizontal="center" vertical="center" wrapText="1"/>
      <protection hidden="1"/>
    </xf>
    <xf numFmtId="171" fontId="266" fillId="7" borderId="175" xfId="0" applyNumberFormat="1" applyFont="1" applyFill="1" applyBorder="1" applyAlignment="1" applyProtection="1">
      <alignment horizontal="center" vertical="center" wrapText="1"/>
      <protection hidden="1"/>
    </xf>
    <xf numFmtId="0" fontId="321" fillId="0" borderId="321" xfId="0" applyFont="1" applyFill="1" applyBorder="1" applyAlignment="1" applyProtection="1">
      <alignment horizontal="right" vertical="center" wrapText="1"/>
      <protection hidden="1"/>
    </xf>
    <xf numFmtId="0" fontId="321" fillId="0" borderId="174" xfId="0" applyFont="1" applyFill="1" applyBorder="1" applyAlignment="1" applyProtection="1">
      <alignment horizontal="right" vertical="center" wrapText="1"/>
      <protection hidden="1"/>
    </xf>
    <xf numFmtId="0" fontId="321" fillId="0" borderId="175" xfId="0" applyFont="1" applyFill="1" applyBorder="1" applyAlignment="1" applyProtection="1">
      <alignment horizontal="right" vertical="center" wrapText="1"/>
      <protection hidden="1"/>
    </xf>
    <xf numFmtId="0" fontId="329" fillId="0" borderId="321" xfId="0" applyFont="1" applyFill="1" applyBorder="1" applyAlignment="1" applyProtection="1">
      <alignment horizontal="right" vertical="center" wrapText="1"/>
      <protection hidden="1"/>
    </xf>
    <xf numFmtId="0" fontId="329" fillId="0" borderId="174" xfId="0" applyFont="1" applyFill="1" applyBorder="1" applyAlignment="1" applyProtection="1">
      <alignment horizontal="right" vertical="center" wrapText="1"/>
      <protection hidden="1"/>
    </xf>
    <xf numFmtId="0" fontId="329" fillId="0" borderId="175" xfId="0" applyFont="1" applyFill="1" applyBorder="1" applyAlignment="1" applyProtection="1">
      <alignment horizontal="right" vertical="center" wrapText="1"/>
      <protection hidden="1"/>
    </xf>
    <xf numFmtId="0" fontId="330" fillId="0" borderId="321" xfId="0" applyFont="1" applyFill="1" applyBorder="1" applyAlignment="1" applyProtection="1">
      <alignment horizontal="right" vertical="center" wrapText="1"/>
      <protection hidden="1"/>
    </xf>
    <xf numFmtId="0" fontId="330" fillId="0" borderId="174" xfId="0" applyFont="1" applyFill="1" applyBorder="1" applyAlignment="1" applyProtection="1">
      <alignment horizontal="right" vertical="center" wrapText="1"/>
      <protection hidden="1"/>
    </xf>
    <xf numFmtId="0" fontId="330" fillId="0" borderId="175" xfId="0" applyFont="1" applyFill="1" applyBorder="1" applyAlignment="1" applyProtection="1">
      <alignment horizontal="right" vertical="center" wrapText="1"/>
      <protection hidden="1"/>
    </xf>
    <xf numFmtId="0" fontId="238" fillId="0" borderId="325" xfId="0" applyFont="1" applyFill="1" applyBorder="1" applyAlignment="1" applyProtection="1">
      <alignment horizontal="center" wrapText="1"/>
      <protection hidden="1"/>
    </xf>
    <xf numFmtId="0" fontId="238" fillId="0" borderId="162" xfId="0" applyFont="1" applyFill="1" applyBorder="1" applyAlignment="1" applyProtection="1">
      <alignment horizontal="center" wrapText="1"/>
      <protection hidden="1"/>
    </xf>
    <xf numFmtId="0" fontId="239" fillId="0" borderId="316" xfId="0" applyFont="1" applyFill="1" applyBorder="1" applyAlignment="1" applyProtection="1">
      <alignment horizontal="center" vertical="center" wrapText="1"/>
      <protection hidden="1"/>
    </xf>
    <xf numFmtId="0" fontId="239" fillId="0" borderId="317" xfId="0" applyFont="1" applyFill="1" applyBorder="1" applyAlignment="1" applyProtection="1">
      <alignment horizontal="center" vertical="center" wrapText="1"/>
      <protection hidden="1"/>
    </xf>
    <xf numFmtId="0" fontId="239" fillId="0" borderId="318"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wrapText="1"/>
      <protection hidden="1"/>
    </xf>
    <xf numFmtId="0" fontId="213" fillId="0" borderId="321" xfId="0" applyFont="1" applyFill="1" applyBorder="1" applyAlignment="1" applyProtection="1">
      <alignment horizontal="center" vertical="center" wrapText="1"/>
      <protection hidden="1"/>
    </xf>
    <xf numFmtId="0" fontId="213" fillId="0" borderId="174" xfId="0" applyFont="1" applyFill="1" applyBorder="1" applyAlignment="1" applyProtection="1">
      <alignment horizontal="center" vertical="center" wrapText="1"/>
      <protection hidden="1"/>
    </xf>
    <xf numFmtId="0" fontId="213" fillId="0" borderId="175" xfId="0" applyFont="1" applyFill="1" applyBorder="1" applyAlignment="1" applyProtection="1">
      <alignment horizontal="center" vertical="center" wrapText="1"/>
      <protection hidden="1"/>
    </xf>
    <xf numFmtId="0" fontId="35" fillId="0" borderId="162" xfId="0" applyFont="1" applyFill="1" applyBorder="1" applyAlignment="1" applyProtection="1">
      <alignment horizontal="center" vertical="center" wrapText="1"/>
      <protection hidden="1"/>
    </xf>
    <xf numFmtId="0" fontId="157" fillId="0" borderId="162" xfId="0" applyFont="1" applyFill="1" applyBorder="1" applyAlignment="1" applyProtection="1">
      <alignment horizontal="center" vertical="center" wrapText="1"/>
      <protection hidden="1"/>
    </xf>
    <xf numFmtId="0" fontId="35" fillId="0" borderId="320" xfId="0" applyFont="1" applyFill="1" applyBorder="1" applyAlignment="1" applyProtection="1">
      <alignment horizontal="right" vertical="center" wrapText="1"/>
      <protection hidden="1"/>
    </xf>
    <xf numFmtId="0" fontId="35" fillId="0" borderId="166" xfId="0" applyFont="1" applyFill="1" applyBorder="1" applyAlignment="1" applyProtection="1">
      <alignment horizontal="right" vertical="center" wrapText="1"/>
      <protection hidden="1"/>
    </xf>
    <xf numFmtId="0" fontId="265" fillId="0" borderId="320" xfId="0" applyFont="1" applyFill="1" applyBorder="1" applyAlignment="1" applyProtection="1">
      <alignment horizontal="center" vertical="center" wrapText="1"/>
      <protection hidden="1"/>
    </xf>
    <xf numFmtId="0" fontId="265" fillId="0" borderId="166" xfId="0" applyFont="1" applyFill="1" applyBorder="1" applyAlignment="1" applyProtection="1">
      <alignment horizontal="center" vertical="center" wrapText="1"/>
      <protection hidden="1"/>
    </xf>
    <xf numFmtId="0" fontId="265" fillId="0" borderId="321" xfId="0" applyFont="1" applyFill="1" applyBorder="1" applyAlignment="1" applyProtection="1">
      <alignment horizontal="center" vertical="center" wrapText="1"/>
      <protection hidden="1"/>
    </xf>
    <xf numFmtId="0" fontId="265" fillId="0" borderId="174" xfId="0" applyFont="1" applyFill="1" applyBorder="1" applyAlignment="1" applyProtection="1">
      <alignment horizontal="center" vertical="center" wrapText="1"/>
      <protection hidden="1"/>
    </xf>
    <xf numFmtId="0" fontId="161" fillId="0" borderId="321" xfId="0" applyFont="1" applyFill="1" applyBorder="1" applyAlignment="1" applyProtection="1">
      <alignment horizontal="right" vertical="center" wrapText="1"/>
      <protection hidden="1"/>
    </xf>
    <xf numFmtId="0" fontId="161" fillId="0" borderId="174" xfId="0" applyFont="1" applyFill="1" applyBorder="1" applyAlignment="1" applyProtection="1">
      <alignment horizontal="right" vertical="center" wrapText="1"/>
      <protection hidden="1"/>
    </xf>
    <xf numFmtId="0" fontId="239" fillId="0" borderId="321" xfId="0" applyFont="1" applyFill="1" applyBorder="1" applyAlignment="1" applyProtection="1">
      <alignment horizontal="left" vertical="center" wrapText="1"/>
      <protection hidden="1"/>
    </xf>
    <xf numFmtId="0" fontId="239" fillId="0" borderId="174" xfId="0" applyFont="1" applyFill="1" applyBorder="1" applyAlignment="1" applyProtection="1">
      <alignment horizontal="left" vertical="center" wrapText="1"/>
      <protection hidden="1"/>
    </xf>
    <xf numFmtId="0" fontId="239" fillId="0" borderId="175" xfId="0" applyFont="1" applyFill="1" applyBorder="1" applyAlignment="1" applyProtection="1">
      <alignment horizontal="left" vertical="center" wrapText="1"/>
      <protection hidden="1"/>
    </xf>
    <xf numFmtId="0" fontId="265" fillId="0" borderId="321" xfId="0" applyFont="1" applyFill="1" applyBorder="1" applyAlignment="1" applyProtection="1">
      <alignment horizontal="right" vertical="center" wrapText="1"/>
      <protection hidden="1"/>
    </xf>
    <xf numFmtId="0" fontId="265" fillId="0" borderId="174" xfId="0" applyFont="1" applyFill="1" applyBorder="1" applyAlignment="1" applyProtection="1">
      <alignment horizontal="right" vertical="center" wrapText="1"/>
      <protection hidden="1"/>
    </xf>
    <xf numFmtId="1" fontId="320" fillId="7" borderId="167" xfId="0" applyNumberFormat="1" applyFont="1" applyFill="1" applyBorder="1" applyAlignment="1" applyProtection="1">
      <alignment horizontal="center" vertical="center" wrapText="1"/>
      <protection hidden="1"/>
    </xf>
    <xf numFmtId="1" fontId="320" fillId="7" borderId="174" xfId="0" applyNumberFormat="1" applyFont="1" applyFill="1" applyBorder="1" applyAlignment="1" applyProtection="1">
      <alignment horizontal="center" vertical="center" wrapText="1"/>
      <protection hidden="1"/>
    </xf>
    <xf numFmtId="1" fontId="320" fillId="7" borderId="323" xfId="0" applyNumberFormat="1" applyFont="1" applyFill="1" applyBorder="1" applyAlignment="1" applyProtection="1">
      <alignment horizontal="center" vertical="center" wrapText="1"/>
      <protection hidden="1"/>
    </xf>
    <xf numFmtId="0" fontId="239" fillId="0" borderId="319" xfId="0" applyFont="1" applyFill="1" applyBorder="1" applyAlignment="1" applyProtection="1">
      <alignment horizontal="center" vertical="center" wrapText="1"/>
      <protection hidden="1"/>
    </xf>
    <xf numFmtId="0" fontId="35" fillId="0" borderId="318"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shrinkToFit="1"/>
      <protection hidden="1"/>
    </xf>
    <xf numFmtId="0" fontId="118" fillId="0" borderId="162" xfId="0" applyFont="1" applyFill="1" applyBorder="1" applyAlignment="1" applyProtection="1">
      <alignment horizontal="center" vertical="center" wrapText="1"/>
      <protection hidden="1"/>
    </xf>
    <xf numFmtId="0" fontId="272" fillId="0" borderId="0" xfId="0" applyFont="1" applyBorder="1" applyAlignment="1" applyProtection="1">
      <alignment horizontal="center"/>
      <protection hidden="1"/>
    </xf>
    <xf numFmtId="0" fontId="115" fillId="0" borderId="0" xfId="0" applyFont="1" applyFill="1" applyBorder="1" applyAlignment="1" applyProtection="1">
      <alignment horizontal="left" vertical="center" wrapText="1"/>
      <protection hidden="1"/>
    </xf>
    <xf numFmtId="0" fontId="314"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316" fillId="0" borderId="0" xfId="0" applyFont="1" applyBorder="1" applyAlignment="1" applyProtection="1">
      <alignment horizontal="center"/>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171" fontId="9" fillId="0" borderId="0" xfId="0" applyNumberFormat="1" applyFont="1" applyBorder="1" applyAlignment="1" applyProtection="1">
      <alignment horizontal="left" vertical="center"/>
      <protection hidden="1"/>
    </xf>
    <xf numFmtId="171" fontId="9" fillId="0" borderId="91" xfId="0" applyNumberFormat="1" applyFont="1" applyBorder="1" applyAlignment="1" applyProtection="1">
      <alignment horizontal="left" vertical="center"/>
      <protection hidden="1"/>
    </xf>
    <xf numFmtId="0" fontId="162" fillId="0" borderId="0" xfId="0" applyFont="1" applyBorder="1" applyAlignment="1" applyProtection="1">
      <alignment horizontal="center"/>
      <protection hidden="1"/>
    </xf>
    <xf numFmtId="0" fontId="239" fillId="0" borderId="330" xfId="0" applyFont="1" applyFill="1" applyBorder="1" applyAlignment="1" applyProtection="1">
      <alignment horizontal="center" vertical="center" wrapText="1"/>
      <protection hidden="1"/>
    </xf>
    <xf numFmtId="0" fontId="318" fillId="0" borderId="0" xfId="0" applyFont="1" applyBorder="1" applyAlignment="1" applyProtection="1">
      <alignment horizontal="center" vertical="center"/>
      <protection hidden="1"/>
    </xf>
    <xf numFmtId="170" fontId="338" fillId="0" borderId="0" xfId="0" applyNumberFormat="1" applyFont="1" applyBorder="1" applyAlignment="1" applyProtection="1">
      <alignment horizontal="left" vertical="center"/>
      <protection hidden="1"/>
    </xf>
    <xf numFmtId="0" fontId="289" fillId="3" borderId="317" xfId="0" applyFont="1" applyFill="1" applyBorder="1" applyAlignment="1" applyProtection="1">
      <alignment horizontal="center" vertical="center" textRotation="90" wrapText="1" shrinkToFit="1"/>
      <protection hidden="1"/>
    </xf>
    <xf numFmtId="0" fontId="289" fillId="3" borderId="162" xfId="0" applyFont="1" applyFill="1" applyBorder="1" applyAlignment="1" applyProtection="1">
      <alignment horizontal="center" vertical="center" textRotation="90" wrapText="1" shrinkToFit="1"/>
      <protection hidden="1"/>
    </xf>
    <xf numFmtId="0" fontId="239" fillId="0" borderId="329" xfId="0" applyFont="1" applyFill="1" applyBorder="1" applyAlignment="1" applyProtection="1">
      <alignment horizontal="center" vertical="center" textRotation="90" wrapText="1"/>
      <protection hidden="1"/>
    </xf>
    <xf numFmtId="0" fontId="239" fillId="0" borderId="199" xfId="0" applyFont="1" applyFill="1" applyBorder="1" applyAlignment="1" applyProtection="1">
      <alignment horizontal="center" vertical="center" textRotation="90" wrapText="1"/>
      <protection hidden="1"/>
    </xf>
    <xf numFmtId="0" fontId="239" fillId="0" borderId="313" xfId="0" applyFont="1" applyFill="1" applyBorder="1" applyAlignment="1" applyProtection="1">
      <alignment horizontal="center" vertical="center" textRotation="90" wrapText="1"/>
      <protection hidden="1"/>
    </xf>
    <xf numFmtId="0" fontId="288" fillId="3" borderId="317" xfId="0" applyFont="1" applyFill="1" applyBorder="1" applyAlignment="1" applyProtection="1">
      <alignment horizontal="center" vertical="center" textRotation="90" wrapText="1" shrinkToFit="1"/>
      <protection hidden="1"/>
    </xf>
    <xf numFmtId="0" fontId="288" fillId="3" borderId="162" xfId="0" applyFont="1" applyFill="1" applyBorder="1" applyAlignment="1" applyProtection="1">
      <alignment horizontal="center" vertical="center" textRotation="90" wrapText="1" shrinkToFit="1"/>
      <protection hidden="1"/>
    </xf>
    <xf numFmtId="0" fontId="251" fillId="0" borderId="326" xfId="0" applyNumberFormat="1" applyFont="1" applyFill="1" applyBorder="1" applyAlignment="1" applyProtection="1">
      <alignment horizontal="center" vertical="center" wrapText="1"/>
      <protection hidden="1"/>
    </xf>
    <xf numFmtId="0" fontId="251" fillId="0" borderId="327" xfId="0" applyNumberFormat="1" applyFont="1" applyFill="1" applyBorder="1" applyAlignment="1" applyProtection="1">
      <alignment horizontal="center" vertical="center" wrapText="1"/>
      <protection hidden="1"/>
    </xf>
    <xf numFmtId="0" fontId="251" fillId="0" borderId="328" xfId="0" applyNumberFormat="1" applyFont="1" applyFill="1" applyBorder="1" applyAlignment="1" applyProtection="1">
      <alignment horizontal="center" vertical="center" wrapText="1"/>
      <protection hidden="1"/>
    </xf>
    <xf numFmtId="0" fontId="164" fillId="0" borderId="163" xfId="0" applyNumberFormat="1" applyFont="1" applyFill="1" applyBorder="1" applyAlignment="1" applyProtection="1">
      <alignment horizontal="center" wrapText="1"/>
      <protection hidden="1"/>
    </xf>
    <xf numFmtId="0" fontId="164" fillId="0" borderId="164" xfId="0" applyNumberFormat="1" applyFont="1" applyFill="1" applyBorder="1" applyAlignment="1" applyProtection="1">
      <alignment horizontal="center" wrapText="1"/>
      <protection hidden="1"/>
    </xf>
    <xf numFmtId="0" fontId="164" fillId="0" borderId="322" xfId="0" applyNumberFormat="1" applyFont="1" applyFill="1" applyBorder="1" applyAlignment="1" applyProtection="1">
      <alignment horizontal="center" wrapText="1"/>
      <protection hidden="1"/>
    </xf>
    <xf numFmtId="0" fontId="239" fillId="0" borderId="167" xfId="0" applyFont="1" applyFill="1" applyBorder="1" applyAlignment="1" applyProtection="1">
      <alignment horizontal="center" vertical="center" shrinkToFit="1"/>
      <protection hidden="1"/>
    </xf>
    <xf numFmtId="0" fontId="239" fillId="0" borderId="175" xfId="0" applyFont="1" applyFill="1" applyBorder="1" applyAlignment="1" applyProtection="1">
      <alignment horizontal="center" vertical="center" shrinkToFit="1"/>
      <protection hidden="1"/>
    </xf>
    <xf numFmtId="1" fontId="35" fillId="0" borderId="162" xfId="0" applyNumberFormat="1" applyFont="1" applyFill="1" applyBorder="1" applyAlignment="1" applyProtection="1">
      <alignment horizontal="center" vertical="center" wrapText="1"/>
      <protection hidden="1"/>
    </xf>
    <xf numFmtId="1" fontId="325" fillId="7" borderId="163" xfId="0" applyNumberFormat="1" applyFont="1" applyFill="1" applyBorder="1" applyAlignment="1" applyProtection="1">
      <alignment horizontal="center" vertical="center" wrapText="1"/>
      <protection hidden="1"/>
    </xf>
    <xf numFmtId="1" fontId="325" fillId="7" borderId="164" xfId="0" applyNumberFormat="1" applyFont="1" applyFill="1" applyBorder="1" applyAlignment="1" applyProtection="1">
      <alignment horizontal="center" vertical="center" wrapText="1"/>
      <protection hidden="1"/>
    </xf>
    <xf numFmtId="1" fontId="325" fillId="7" borderId="322" xfId="0" applyNumberFormat="1" applyFont="1" applyFill="1" applyBorder="1" applyAlignment="1" applyProtection="1">
      <alignment horizontal="center" vertical="center" wrapText="1"/>
      <protection hidden="1"/>
    </xf>
    <xf numFmtId="1" fontId="325" fillId="7" borderId="165" xfId="0" applyNumberFormat="1" applyFont="1" applyFill="1" applyBorder="1" applyAlignment="1" applyProtection="1">
      <alignment horizontal="center" vertical="center" wrapText="1"/>
      <protection hidden="1"/>
    </xf>
    <xf numFmtId="1" fontId="325" fillId="7" borderId="166" xfId="0" applyNumberFormat="1" applyFont="1" applyFill="1" applyBorder="1" applyAlignment="1" applyProtection="1">
      <alignment horizontal="center" vertical="center" wrapText="1"/>
      <protection hidden="1"/>
    </xf>
    <xf numFmtId="1" fontId="325" fillId="7" borderId="324" xfId="0" applyNumberFormat="1" applyFont="1" applyFill="1" applyBorder="1" applyAlignment="1" applyProtection="1">
      <alignment horizontal="center" vertical="center" wrapText="1"/>
      <protection hidden="1"/>
    </xf>
    <xf numFmtId="1" fontId="49" fillId="0" borderId="167" xfId="0" applyNumberFormat="1" applyFont="1" applyFill="1" applyBorder="1" applyAlignment="1" applyProtection="1">
      <alignment horizontal="center" vertical="center" wrapText="1"/>
      <protection hidden="1"/>
    </xf>
    <xf numFmtId="1" fontId="49" fillId="0" borderId="175" xfId="0" applyNumberFormat="1"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2"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331" xfId="0" applyNumberFormat="1" applyFont="1" applyFill="1" applyBorder="1" applyAlignment="1" applyProtection="1">
      <alignment horizontal="center" vertical="center" wrapText="1"/>
      <protection hidden="1"/>
    </xf>
    <xf numFmtId="1" fontId="49" fillId="0" borderId="165" xfId="0" applyNumberFormat="1" applyFont="1" applyFill="1" applyBorder="1" applyAlignment="1" applyProtection="1">
      <alignment horizontal="center" vertical="center" wrapText="1"/>
      <protection hidden="1"/>
    </xf>
    <xf numFmtId="1" fontId="49" fillId="0" borderId="324" xfId="0" applyNumberFormat="1" applyFont="1" applyFill="1" applyBorder="1" applyAlignment="1" applyProtection="1">
      <alignment horizontal="center" vertical="center" wrapText="1"/>
      <protection hidden="1"/>
    </xf>
    <xf numFmtId="0" fontId="215" fillId="0" borderId="162" xfId="0" applyFont="1" applyFill="1" applyBorder="1" applyAlignment="1" applyProtection="1">
      <alignment horizontal="center" vertical="center" wrapText="1"/>
      <protection hidden="1"/>
    </xf>
    <xf numFmtId="0" fontId="118" fillId="0" borderId="318" xfId="0" applyFont="1" applyFill="1" applyBorder="1" applyAlignment="1" applyProtection="1">
      <alignment horizontal="center" vertical="center" wrapText="1"/>
      <protection hidden="1"/>
    </xf>
    <xf numFmtId="0" fontId="158" fillId="0" borderId="318"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9" fillId="0" borderId="0" xfId="0" applyNumberFormat="1" applyFont="1" applyBorder="1" applyAlignment="1" applyProtection="1">
      <alignment horizontal="center" vertical="top" wrapText="1"/>
      <protection hidden="1"/>
    </xf>
    <xf numFmtId="0" fontId="267" fillId="0" borderId="176" xfId="0" applyNumberFormat="1" applyFont="1" applyFill="1" applyBorder="1" applyAlignment="1" applyProtection="1">
      <alignment horizontal="center" vertical="center" wrapText="1"/>
      <protection hidden="1"/>
    </xf>
    <xf numFmtId="0" fontId="269" fillId="0" borderId="176" xfId="0" applyNumberFormat="1" applyFont="1" applyFill="1" applyBorder="1" applyAlignment="1" applyProtection="1">
      <alignment horizontal="center" vertical="center" wrapText="1"/>
      <protection hidden="1"/>
    </xf>
    <xf numFmtId="0" fontId="252" fillId="0" borderId="179" xfId="0" applyNumberFormat="1" applyFont="1" applyFill="1" applyBorder="1" applyAlignment="1" applyProtection="1">
      <alignment horizontal="center" vertical="center" wrapText="1"/>
      <protection hidden="1"/>
    </xf>
    <xf numFmtId="0" fontId="252" fillId="0" borderId="180" xfId="0" applyNumberFormat="1" applyFont="1" applyFill="1" applyBorder="1" applyAlignment="1" applyProtection="1">
      <alignment horizontal="center" vertical="center" wrapText="1"/>
      <protection hidden="1"/>
    </xf>
    <xf numFmtId="0" fontId="252" fillId="0" borderId="181" xfId="0" applyNumberFormat="1" applyFont="1" applyFill="1" applyBorder="1" applyAlignment="1" applyProtection="1">
      <alignment horizontal="center" vertical="center" wrapText="1"/>
      <protection hidden="1"/>
    </xf>
    <xf numFmtId="0" fontId="35" fillId="0" borderId="179"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35" fillId="0" borderId="205" xfId="0" applyNumberFormat="1" applyFont="1" applyFill="1" applyBorder="1" applyAlignment="1" applyProtection="1">
      <alignment horizontal="center" vertical="center" wrapText="1"/>
      <protection hidden="1"/>
    </xf>
    <xf numFmtId="0" fontId="304" fillId="0" borderId="0" xfId="0" applyNumberFormat="1" applyFont="1" applyBorder="1" applyAlignment="1" applyProtection="1">
      <alignment horizontal="center" wrapText="1"/>
      <protection hidden="1"/>
    </xf>
    <xf numFmtId="0" fontId="304" fillId="0" borderId="0" xfId="0" applyNumberFormat="1" applyFont="1" applyBorder="1" applyAlignment="1" applyProtection="1">
      <alignment horizontal="center"/>
      <protection hidden="1"/>
    </xf>
    <xf numFmtId="0" fontId="304" fillId="0" borderId="182"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171" fontId="157" fillId="0" borderId="190" xfId="0" applyNumberFormat="1" applyFont="1" applyFill="1" applyBorder="1" applyAlignment="1" applyProtection="1">
      <alignment horizontal="center" vertical="center" wrapText="1"/>
      <protection hidden="1"/>
    </xf>
    <xf numFmtId="171" fontId="157" fillId="0" borderId="192" xfId="0" applyNumberFormat="1" applyFont="1" applyFill="1" applyBorder="1" applyAlignment="1" applyProtection="1">
      <alignment horizontal="center" vertical="center" wrapText="1"/>
      <protection hidden="1"/>
    </xf>
    <xf numFmtId="0" fontId="251" fillId="0" borderId="190" xfId="0" applyNumberFormat="1" applyFont="1" applyFill="1" applyBorder="1" applyAlignment="1" applyProtection="1">
      <alignment horizontal="center" vertical="center" wrapText="1"/>
      <protection hidden="1"/>
    </xf>
    <xf numFmtId="0" fontId="251" fillId="0" borderId="192" xfId="0" applyNumberFormat="1" applyFont="1" applyFill="1" applyBorder="1" applyAlignment="1" applyProtection="1">
      <alignment horizontal="center" vertical="center" wrapText="1"/>
      <protection hidden="1"/>
    </xf>
    <xf numFmtId="0" fontId="166" fillId="0" borderId="204" xfId="0" applyNumberFormat="1" applyFont="1" applyFill="1" applyBorder="1" applyAlignment="1" applyProtection="1">
      <alignment horizontal="center" vertical="center" wrapText="1"/>
      <protection hidden="1"/>
    </xf>
    <xf numFmtId="0" fontId="166" fillId="0" borderId="209"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center" vertical="center" wrapText="1"/>
      <protection hidden="1"/>
    </xf>
    <xf numFmtId="0" fontId="35" fillId="0" borderId="192" xfId="0" applyNumberFormat="1" applyFont="1" applyFill="1" applyBorder="1" applyAlignment="1" applyProtection="1">
      <alignment horizontal="center" vertical="center" wrapText="1"/>
      <protection hidden="1"/>
    </xf>
    <xf numFmtId="0" fontId="60" fillId="0" borderId="190" xfId="0" applyNumberFormat="1" applyFont="1" applyFill="1" applyBorder="1" applyAlignment="1" applyProtection="1">
      <alignment horizontal="center" vertical="center" wrapText="1"/>
      <protection hidden="1"/>
    </xf>
    <xf numFmtId="0" fontId="60" fillId="0" borderId="192" xfId="0" applyNumberFormat="1" applyFont="1" applyFill="1" applyBorder="1" applyAlignment="1" applyProtection="1">
      <alignment horizontal="center" vertical="center" wrapText="1"/>
      <protection hidden="1"/>
    </xf>
    <xf numFmtId="172" fontId="158" fillId="0" borderId="190" xfId="0" applyNumberFormat="1" applyFont="1" applyFill="1" applyBorder="1" applyAlignment="1" applyProtection="1">
      <alignment horizontal="center" vertical="center" wrapText="1"/>
      <protection hidden="1"/>
    </xf>
    <xf numFmtId="172" fontId="158" fillId="0" borderId="192" xfId="0" applyNumberFormat="1" applyFont="1" applyFill="1" applyBorder="1" applyAlignment="1" applyProtection="1">
      <alignment horizontal="center" vertical="center" wrapText="1"/>
      <protection hidden="1"/>
    </xf>
    <xf numFmtId="0" fontId="60" fillId="0" borderId="204" xfId="0" applyNumberFormat="1" applyFont="1" applyFill="1" applyBorder="1" applyAlignment="1" applyProtection="1">
      <alignment horizontal="center" vertical="center" wrapText="1"/>
      <protection hidden="1"/>
    </xf>
    <xf numFmtId="0" fontId="60" fillId="0" borderId="203" xfId="0" applyNumberFormat="1" applyFont="1" applyFill="1" applyBorder="1" applyAlignment="1" applyProtection="1">
      <alignment horizontal="center" vertical="center" wrapText="1"/>
      <protection hidden="1"/>
    </xf>
    <xf numFmtId="0" fontId="251" fillId="0" borderId="177" xfId="0" applyNumberFormat="1" applyFont="1" applyFill="1" applyBorder="1" applyAlignment="1" applyProtection="1">
      <alignment horizontal="center" vertical="center" wrapText="1"/>
      <protection hidden="1"/>
    </xf>
    <xf numFmtId="0" fontId="251" fillId="0" borderId="176" xfId="0" applyNumberFormat="1" applyFont="1" applyFill="1" applyBorder="1" applyAlignment="1" applyProtection="1">
      <alignment horizontal="center" vertical="center" wrapText="1"/>
      <protection hidden="1"/>
    </xf>
    <xf numFmtId="0" fontId="251" fillId="0" borderId="179" xfId="0" applyNumberFormat="1" applyFont="1" applyFill="1" applyBorder="1" applyAlignment="1" applyProtection="1">
      <alignment horizontal="center" vertical="center" wrapText="1"/>
      <protection hidden="1"/>
    </xf>
    <xf numFmtId="0" fontId="251" fillId="0" borderId="180" xfId="0" applyNumberFormat="1" applyFont="1" applyFill="1" applyBorder="1" applyAlignment="1" applyProtection="1">
      <alignment horizontal="center" vertical="center" wrapText="1"/>
      <protection hidden="1"/>
    </xf>
    <xf numFmtId="0" fontId="251" fillId="0" borderId="181"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05" fillId="0" borderId="209" xfId="0" applyNumberFormat="1" applyFont="1" applyFill="1" applyBorder="1" applyAlignment="1" applyProtection="1">
      <alignment horizontal="center" vertical="center" wrapText="1"/>
      <protection hidden="1"/>
    </xf>
    <xf numFmtId="0" fontId="118" fillId="0" borderId="204" xfId="0" applyNumberFormat="1" applyFont="1" applyFill="1" applyBorder="1" applyAlignment="1" applyProtection="1">
      <alignment horizontal="center" vertical="center" wrapText="1"/>
      <protection hidden="1"/>
    </xf>
    <xf numFmtId="0" fontId="118" fillId="0" borderId="311" xfId="0" applyNumberFormat="1" applyFont="1" applyFill="1" applyBorder="1" applyAlignment="1" applyProtection="1">
      <alignment horizontal="center" vertical="center" wrapText="1"/>
      <protection hidden="1"/>
    </xf>
    <xf numFmtId="0" fontId="105" fillId="0" borderId="187" xfId="0" applyNumberFormat="1" applyFont="1" applyFill="1" applyBorder="1" applyAlignment="1" applyProtection="1">
      <alignment horizontal="center" vertical="center" wrapText="1"/>
      <protection hidden="1"/>
    </xf>
    <xf numFmtId="0" fontId="105" fillId="0" borderId="188" xfId="0" applyNumberFormat="1" applyFont="1" applyFill="1" applyBorder="1" applyAlignment="1" applyProtection="1">
      <alignment horizontal="center" vertical="center" wrapText="1"/>
      <protection hidden="1"/>
    </xf>
    <xf numFmtId="0" fontId="105" fillId="0" borderId="189" xfId="0" applyNumberFormat="1" applyFont="1" applyFill="1" applyBorder="1" applyAlignment="1" applyProtection="1">
      <alignment horizontal="center" vertical="center" wrapText="1"/>
      <protection hidden="1"/>
    </xf>
    <xf numFmtId="0" fontId="105" fillId="0" borderId="202" xfId="0" applyNumberFormat="1" applyFont="1" applyFill="1" applyBorder="1" applyAlignment="1" applyProtection="1">
      <alignment horizontal="center" vertical="center" wrapText="1"/>
      <protection hidden="1"/>
    </xf>
    <xf numFmtId="0" fontId="105" fillId="0" borderId="210" xfId="0" applyNumberFormat="1" applyFont="1" applyFill="1" applyBorder="1" applyAlignment="1" applyProtection="1">
      <alignment horizontal="center" vertical="center" wrapText="1"/>
      <protection hidden="1"/>
    </xf>
    <xf numFmtId="0" fontId="118" fillId="0" borderId="202" xfId="0" applyNumberFormat="1" applyFont="1" applyFill="1" applyBorder="1" applyAlignment="1" applyProtection="1">
      <alignment horizontal="center" vertical="center" wrapText="1"/>
      <protection hidden="1"/>
    </xf>
    <xf numFmtId="0" fontId="118" fillId="0" borderId="181" xfId="0" applyNumberFormat="1" applyFont="1" applyFill="1" applyBorder="1" applyAlignment="1" applyProtection="1">
      <alignment horizontal="center" vertical="center" wrapText="1"/>
      <protection hidden="1"/>
    </xf>
    <xf numFmtId="0" fontId="105" fillId="0" borderId="179" xfId="0" applyNumberFormat="1" applyFont="1" applyFill="1" applyBorder="1" applyAlignment="1" applyProtection="1">
      <alignment horizontal="center" vertical="center" wrapText="1"/>
      <protection hidden="1"/>
    </xf>
    <xf numFmtId="0" fontId="105" fillId="0" borderId="180"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105" fillId="0" borderId="211" xfId="0" applyNumberFormat="1" applyFont="1" applyFill="1" applyBorder="1" applyAlignment="1" applyProtection="1">
      <alignment horizontal="center" vertical="center" wrapText="1"/>
      <protection hidden="1"/>
    </xf>
    <xf numFmtId="0" fontId="105" fillId="0" borderId="212" xfId="0" applyNumberFormat="1" applyFont="1" applyFill="1" applyBorder="1" applyAlignment="1" applyProtection="1">
      <alignment horizontal="center" vertical="center" wrapText="1"/>
      <protection hidden="1"/>
    </xf>
    <xf numFmtId="0" fontId="118" fillId="0" borderId="211" xfId="0" applyNumberFormat="1" applyFont="1" applyFill="1" applyBorder="1" applyAlignment="1" applyProtection="1">
      <alignment horizontal="center" vertical="center" wrapText="1"/>
      <protection hidden="1"/>
    </xf>
    <xf numFmtId="0" fontId="118" fillId="0" borderId="312" xfId="0" applyNumberFormat="1" applyFont="1" applyFill="1" applyBorder="1" applyAlignment="1" applyProtection="1">
      <alignment horizontal="center" vertical="center" wrapText="1"/>
      <protection hidden="1"/>
    </xf>
    <xf numFmtId="0" fontId="269" fillId="0" borderId="314" xfId="0" applyNumberFormat="1" applyFont="1" applyFill="1" applyBorder="1" applyAlignment="1" applyProtection="1">
      <alignment horizontal="center" vertical="center" shrinkToFit="1"/>
      <protection hidden="1"/>
    </xf>
    <xf numFmtId="0" fontId="269" fillId="0" borderId="315" xfId="0" applyNumberFormat="1" applyFont="1" applyFill="1" applyBorder="1" applyAlignment="1" applyProtection="1">
      <alignment horizontal="center" vertical="center" shrinkToFit="1"/>
      <protection hidden="1"/>
    </xf>
    <xf numFmtId="0" fontId="269" fillId="0" borderId="212" xfId="0" applyNumberFormat="1" applyFont="1" applyFill="1" applyBorder="1" applyAlignment="1" applyProtection="1">
      <alignment horizontal="center" vertical="center" shrinkToFit="1"/>
      <protection hidden="1"/>
    </xf>
    <xf numFmtId="0" fontId="170" fillId="0" borderId="207" xfId="0" applyNumberFormat="1" applyFont="1" applyFill="1" applyBorder="1" applyAlignment="1" applyProtection="1">
      <alignment horizontal="center" vertical="top" wrapText="1"/>
      <protection hidden="1"/>
    </xf>
    <xf numFmtId="0" fontId="170" fillId="0" borderId="208" xfId="0" applyNumberFormat="1" applyFont="1" applyFill="1" applyBorder="1" applyAlignment="1" applyProtection="1">
      <alignment horizontal="center" vertical="top" wrapText="1"/>
      <protection hidden="1"/>
    </xf>
    <xf numFmtId="0" fontId="170" fillId="0" borderId="191" xfId="0" applyNumberFormat="1" applyFont="1" applyFill="1" applyBorder="1" applyAlignment="1" applyProtection="1">
      <alignment horizontal="center" vertical="top" wrapText="1"/>
      <protection hidden="1"/>
    </xf>
    <xf numFmtId="0" fontId="60" fillId="0" borderId="191" xfId="0" applyNumberFormat="1" applyFont="1" applyFill="1" applyBorder="1" applyAlignment="1" applyProtection="1">
      <alignment horizontal="right" vertical="center" wrapText="1"/>
      <protection hidden="1"/>
    </xf>
    <xf numFmtId="0" fontId="327" fillId="0" borderId="191" xfId="0" applyNumberFormat="1" applyFont="1" applyFill="1" applyBorder="1" applyAlignment="1" applyProtection="1">
      <alignment horizontal="right" vertical="center" wrapText="1"/>
      <protection hidden="1"/>
    </xf>
    <xf numFmtId="0" fontId="92" fillId="0" borderId="190" xfId="0" applyNumberFormat="1" applyFont="1" applyFill="1" applyBorder="1" applyAlignment="1" applyProtection="1">
      <alignment horizontal="center" vertical="center" wrapText="1"/>
      <protection hidden="1"/>
    </xf>
    <xf numFmtId="0" fontId="92" fillId="0" borderId="192" xfId="0" applyNumberFormat="1" applyFont="1" applyFill="1" applyBorder="1" applyAlignment="1" applyProtection="1">
      <alignment horizontal="center" vertical="center" wrapText="1"/>
      <protection hidden="1"/>
    </xf>
    <xf numFmtId="0" fontId="328" fillId="0" borderId="0" xfId="0" applyNumberFormat="1" applyFont="1" applyFill="1" applyBorder="1" applyAlignment="1" applyProtection="1">
      <alignment horizontal="left" vertical="center" wrapText="1"/>
      <protection hidden="1"/>
    </xf>
    <xf numFmtId="0" fontId="169" fillId="0" borderId="188" xfId="0" applyNumberFormat="1" applyFont="1" applyFill="1" applyBorder="1" applyAlignment="1" applyProtection="1">
      <alignment horizontal="center" vertical="top" wrapText="1"/>
      <protection hidden="1"/>
    </xf>
    <xf numFmtId="0" fontId="35" fillId="0" borderId="206" xfId="0" applyNumberFormat="1" applyFont="1" applyFill="1" applyBorder="1" applyAlignment="1" applyProtection="1">
      <alignment horizontal="center" vertical="center" wrapText="1"/>
      <protection hidden="1"/>
    </xf>
    <xf numFmtId="0" fontId="35" fillId="0" borderId="201" xfId="0" applyNumberFormat="1" applyFont="1" applyFill="1" applyBorder="1" applyAlignment="1" applyProtection="1">
      <alignment horizontal="center" vertical="center" wrapText="1"/>
      <protection hidden="1"/>
    </xf>
    <xf numFmtId="0" fontId="35" fillId="0" borderId="187" xfId="0" applyNumberFormat="1" applyFont="1" applyFill="1" applyBorder="1" applyAlignment="1" applyProtection="1">
      <alignment horizontal="center" vertical="center" wrapText="1"/>
      <protection hidden="1"/>
    </xf>
    <xf numFmtId="0" fontId="35" fillId="0" borderId="189" xfId="0" applyNumberFormat="1" applyFont="1" applyFill="1" applyBorder="1" applyAlignment="1" applyProtection="1">
      <alignment horizontal="center" vertical="center" wrapText="1"/>
      <protection hidden="1"/>
    </xf>
    <xf numFmtId="0" fontId="251" fillId="0" borderId="162"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textRotation="90" wrapText="1"/>
      <protection hidden="1"/>
    </xf>
    <xf numFmtId="0" fontId="171" fillId="0" borderId="0" xfId="0" applyFont="1" applyAlignment="1" applyProtection="1">
      <alignment horizontal="center" vertical="center" textRotation="90"/>
      <protection hidden="1"/>
    </xf>
    <xf numFmtId="0" fontId="317" fillId="0" borderId="0" xfId="0" applyFont="1" applyBorder="1" applyAlignment="1" applyProtection="1">
      <alignment horizontal="center"/>
      <protection hidden="1"/>
    </xf>
    <xf numFmtId="0" fontId="318" fillId="0" borderId="0" xfId="0" applyFont="1" applyBorder="1" applyAlignment="1" applyProtection="1">
      <alignment horizontal="left"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35" fillId="0" borderId="206"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80" xfId="0" applyNumberFormat="1" applyFont="1" applyFill="1" applyBorder="1" applyAlignment="1" applyProtection="1">
      <alignment horizontal="left" vertical="center" wrapText="1"/>
      <protection hidden="1"/>
    </xf>
    <xf numFmtId="0" fontId="35" fillId="0" borderId="181" xfId="0" applyNumberFormat="1" applyFont="1" applyFill="1" applyBorder="1" applyAlignment="1" applyProtection="1">
      <alignment horizontal="left" vertical="center" wrapText="1"/>
      <protection hidden="1"/>
    </xf>
    <xf numFmtId="0" fontId="352" fillId="34" borderId="66" xfId="0" applyFont="1" applyFill="1" applyBorder="1" applyAlignment="1" applyProtection="1">
      <alignment horizontal="center" vertical="center" wrapText="1"/>
      <protection hidden="1"/>
    </xf>
    <xf numFmtId="0" fontId="352" fillId="34" borderId="67" xfId="0" applyFont="1" applyFill="1" applyBorder="1" applyAlignment="1" applyProtection="1">
      <alignment horizontal="center" vertical="center" wrapText="1"/>
      <protection hidden="1"/>
    </xf>
    <xf numFmtId="0" fontId="352" fillId="34" borderId="68" xfId="0" applyFont="1" applyFill="1" applyBorder="1" applyAlignment="1" applyProtection="1">
      <alignment horizontal="center" vertical="center" wrapText="1"/>
      <protection hidden="1"/>
    </xf>
    <xf numFmtId="0" fontId="352" fillId="34" borderId="69" xfId="0" applyFont="1" applyFill="1" applyBorder="1" applyAlignment="1" applyProtection="1">
      <alignment horizontal="center" vertical="center" wrapText="1"/>
      <protection hidden="1"/>
    </xf>
    <xf numFmtId="0" fontId="352" fillId="34" borderId="0" xfId="0" applyFont="1" applyFill="1" applyBorder="1" applyAlignment="1" applyProtection="1">
      <alignment horizontal="center" vertical="center" wrapText="1"/>
      <protection hidden="1"/>
    </xf>
    <xf numFmtId="0" fontId="352" fillId="34" borderId="70" xfId="0" applyFont="1" applyFill="1" applyBorder="1" applyAlignment="1" applyProtection="1">
      <alignment horizontal="center" vertical="center" wrapText="1"/>
      <protection hidden="1"/>
    </xf>
    <xf numFmtId="0" fontId="352" fillId="34" borderId="71" xfId="0" applyFont="1" applyFill="1" applyBorder="1" applyAlignment="1" applyProtection="1">
      <alignment horizontal="center" vertical="center" wrapText="1"/>
      <protection hidden="1"/>
    </xf>
    <xf numFmtId="0" fontId="352" fillId="34" borderId="72" xfId="0" applyFont="1" applyFill="1" applyBorder="1" applyAlignment="1" applyProtection="1">
      <alignment horizontal="center" vertical="center" wrapText="1"/>
      <protection hidden="1"/>
    </xf>
    <xf numFmtId="0" fontId="352" fillId="34" borderId="73" xfId="0" applyFont="1" applyFill="1" applyBorder="1" applyAlignment="1" applyProtection="1">
      <alignment horizontal="center" vertical="center" wrapText="1"/>
      <protection hidden="1"/>
    </xf>
    <xf numFmtId="0" fontId="16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6" fillId="0" borderId="0" xfId="0" applyFont="1" applyBorder="1" applyAlignment="1" applyProtection="1">
      <alignment horizontal="center"/>
      <protection hidden="1"/>
    </xf>
    <xf numFmtId="0" fontId="239" fillId="0" borderId="167" xfId="0" applyFont="1" applyFill="1" applyBorder="1" applyAlignment="1" applyProtection="1">
      <alignment horizontal="center" vertical="center" wrapText="1"/>
      <protection hidden="1"/>
    </xf>
    <xf numFmtId="0" fontId="239" fillId="0" borderId="174" xfId="0" applyFont="1" applyFill="1" applyBorder="1" applyAlignment="1" applyProtection="1">
      <alignment horizontal="center" vertical="center" wrapText="1"/>
      <protection hidden="1"/>
    </xf>
    <xf numFmtId="0" fontId="239" fillId="0" borderId="175" xfId="0" applyFont="1" applyFill="1" applyBorder="1" applyAlignment="1" applyProtection="1">
      <alignment horizontal="center" vertical="center" wrapText="1"/>
      <protection hidden="1"/>
    </xf>
    <xf numFmtId="1" fontId="49" fillId="0" borderId="164" xfId="0" applyNumberFormat="1" applyFont="1" applyFill="1" applyBorder="1" applyAlignment="1" applyProtection="1">
      <alignment horizontal="center" vertical="center" wrapText="1"/>
      <protection hidden="1"/>
    </xf>
    <xf numFmtId="0" fontId="118" fillId="0" borderId="167" xfId="0" applyFont="1" applyFill="1" applyBorder="1" applyAlignment="1" applyProtection="1">
      <alignment horizontal="center" vertical="center" wrapText="1"/>
      <protection hidden="1"/>
    </xf>
    <xf numFmtId="0" fontId="118" fillId="0" borderId="175" xfId="0" applyFont="1" applyFill="1" applyBorder="1" applyAlignment="1" applyProtection="1">
      <alignment horizontal="center" vertical="center" wrapText="1"/>
      <protection hidden="1"/>
    </xf>
    <xf numFmtId="0" fontId="158" fillId="0" borderId="167" xfId="0" applyFont="1" applyFill="1" applyBorder="1" applyAlignment="1" applyProtection="1">
      <alignment horizontal="center" vertical="center" wrapText="1"/>
      <protection hidden="1"/>
    </xf>
    <xf numFmtId="0" fontId="158" fillId="0" borderId="175" xfId="0" applyFont="1" applyFill="1" applyBorder="1" applyAlignment="1" applyProtection="1">
      <alignment horizontal="center" vertical="center" wrapText="1"/>
      <protection hidden="1"/>
    </xf>
    <xf numFmtId="0" fontId="213" fillId="0" borderId="0" xfId="0" applyFont="1" applyBorder="1" applyAlignment="1" applyProtection="1">
      <alignment horizontal="center" vertical="center" wrapText="1"/>
      <protection hidden="1"/>
    </xf>
    <xf numFmtId="1" fontId="49" fillId="0" borderId="162" xfId="0" applyNumberFormat="1" applyFont="1" applyFill="1" applyBorder="1" applyAlignment="1" applyProtection="1">
      <alignment horizontal="center" vertical="center" wrapText="1"/>
      <protection hidden="1"/>
    </xf>
    <xf numFmtId="0" fontId="319" fillId="0" borderId="321" xfId="0" applyFont="1" applyFill="1" applyBorder="1" applyAlignment="1" applyProtection="1">
      <alignment horizontal="right" vertical="center" wrapText="1"/>
      <protection hidden="1"/>
    </xf>
    <xf numFmtId="0" fontId="319" fillId="0" borderId="174" xfId="0" applyFont="1" applyFill="1" applyBorder="1" applyAlignment="1" applyProtection="1">
      <alignment horizontal="right" vertical="center" wrapText="1"/>
      <protection hidden="1"/>
    </xf>
    <xf numFmtId="1" fontId="267" fillId="7" borderId="163" xfId="0" applyNumberFormat="1" applyFont="1" applyFill="1" applyBorder="1" applyAlignment="1" applyProtection="1">
      <alignment horizontal="center" vertical="center" wrapText="1"/>
      <protection hidden="1"/>
    </xf>
    <xf numFmtId="1" fontId="267" fillId="7" borderId="164" xfId="0" applyNumberFormat="1" applyFont="1" applyFill="1" applyBorder="1" applyAlignment="1" applyProtection="1">
      <alignment horizontal="center" vertical="center" wrapText="1"/>
      <protection hidden="1"/>
    </xf>
    <xf numFmtId="1" fontId="267" fillId="7" borderId="322" xfId="0" applyNumberFormat="1" applyFont="1" applyFill="1" applyBorder="1" applyAlignment="1" applyProtection="1">
      <alignment horizontal="center" vertical="center" wrapText="1"/>
      <protection hidden="1"/>
    </xf>
    <xf numFmtId="1" fontId="267" fillId="7" borderId="165" xfId="0" applyNumberFormat="1" applyFont="1" applyFill="1" applyBorder="1" applyAlignment="1" applyProtection="1">
      <alignment horizontal="center" vertical="center" wrapText="1"/>
      <protection hidden="1"/>
    </xf>
    <xf numFmtId="1" fontId="267" fillId="7" borderId="166" xfId="0" applyNumberFormat="1" applyFont="1" applyFill="1" applyBorder="1" applyAlignment="1" applyProtection="1">
      <alignment horizontal="center" vertical="center" wrapText="1"/>
      <protection hidden="1"/>
    </xf>
    <xf numFmtId="1" fontId="267" fillId="7" borderId="324" xfId="0" applyNumberFormat="1" applyFont="1" applyFill="1" applyBorder="1" applyAlignment="1" applyProtection="1">
      <alignment horizontal="center" vertical="center" wrapText="1"/>
      <protection hidden="1"/>
    </xf>
    <xf numFmtId="0" fontId="239" fillId="0" borderId="323" xfId="0" applyFont="1" applyFill="1" applyBorder="1" applyAlignment="1" applyProtection="1">
      <alignment horizontal="center"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170" fontId="60" fillId="0" borderId="0" xfId="0" applyNumberFormat="1" applyFont="1" applyBorder="1" applyAlignment="1" applyProtection="1">
      <alignment horizontal="left" vertical="center"/>
      <protection hidden="1"/>
    </xf>
    <xf numFmtId="0" fontId="213" fillId="0" borderId="317" xfId="0" applyFont="1" applyFill="1" applyBorder="1" applyAlignment="1" applyProtection="1">
      <alignment horizontal="center" vertical="center" wrapText="1"/>
      <protection hidden="1"/>
    </xf>
    <xf numFmtId="0" fontId="213" fillId="0" borderId="330" xfId="0" applyFont="1" applyFill="1" applyBorder="1" applyAlignment="1" applyProtection="1">
      <alignment horizontal="center" vertical="center" wrapText="1"/>
      <protection hidden="1"/>
    </xf>
    <xf numFmtId="0" fontId="336" fillId="9" borderId="0" xfId="4" applyFont="1" applyFill="1" applyBorder="1" applyAlignment="1" applyProtection="1">
      <alignment vertic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262">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00CC"/>
      </font>
    </dxf>
    <dxf>
      <font>
        <b/>
        <i val="0"/>
        <color rgb="FFD60093"/>
      </font>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ill>
        <patternFill>
          <bgColor rgb="FFFFFF99"/>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b/>
        <i val="0"/>
        <color rgb="FF006100"/>
      </font>
      <fill>
        <patternFill>
          <bgColor rgb="FFC6EFCE"/>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4620"/>
      <color rgb="FF0000CC"/>
      <color rgb="FFCC0099"/>
      <color rgb="FF9900FF"/>
      <color rgb="FF005024"/>
      <color rgb="FF00FF00"/>
      <color rgb="FF008E4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image" Target="../media/image17.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image" Target="../media/image16.png"/><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hyperlink" Target="#'Marks Entry'!A1"/><Relationship Id="rId5" Type="http://schemas.openxmlformats.org/officeDocument/2006/relationships/image" Target="../media/image11.jpeg"/><Relationship Id="rId10" Type="http://schemas.openxmlformats.org/officeDocument/2006/relationships/hyperlink" Target="#'School Profile'!A1"/><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31</xdr:row>
      <xdr:rowOff>276226</xdr:rowOff>
    </xdr:from>
    <xdr:to>
      <xdr:col>0</xdr:col>
      <xdr:colOff>2800350</xdr:colOff>
      <xdr:row>35</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31</xdr:row>
      <xdr:rowOff>228600</xdr:rowOff>
    </xdr:from>
    <xdr:to>
      <xdr:col>3</xdr:col>
      <xdr:colOff>1552575</xdr:colOff>
      <xdr:row>35</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9525</xdr:rowOff>
    </xdr:from>
    <xdr:to>
      <xdr:col>11</xdr:col>
      <xdr:colOff>1355418</xdr:colOff>
      <xdr:row>23</xdr:row>
      <xdr:rowOff>904875</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05650"/>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3</xdr:row>
      <xdr:rowOff>38099</xdr:rowOff>
    </xdr:from>
    <xdr:to>
      <xdr:col>14</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982575" y="1676399"/>
          <a:ext cx="857250" cy="819151"/>
        </a:xfrm>
        <a:prstGeom prst="rect">
          <a:avLst/>
        </a:prstGeom>
        <a:noFill/>
        <a:ln w="9525">
          <a:noFill/>
          <a:miter lim="800000"/>
          <a:headEnd/>
          <a:tailEnd/>
        </a:ln>
      </xdr:spPr>
    </xdr:pic>
    <xdr:clientData/>
  </xdr:twoCellAnchor>
  <xdr:twoCellAnchor editAs="oneCell">
    <xdr:from>
      <xdr:col>14</xdr:col>
      <xdr:colOff>28573</xdr:colOff>
      <xdr:row>8</xdr:row>
      <xdr:rowOff>38099</xdr:rowOff>
    </xdr:from>
    <xdr:to>
      <xdr:col>14</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372973" y="6105524"/>
          <a:ext cx="895352" cy="809625"/>
        </a:xfrm>
        <a:prstGeom prst="rect">
          <a:avLst/>
        </a:prstGeom>
        <a:noFill/>
      </xdr:spPr>
    </xdr:pic>
    <xdr:clientData/>
  </xdr:twoCellAnchor>
  <xdr:twoCellAnchor editAs="oneCell">
    <xdr:from>
      <xdr:col>14</xdr:col>
      <xdr:colOff>28574</xdr:colOff>
      <xdr:row>6</xdr:row>
      <xdr:rowOff>9525</xdr:rowOff>
    </xdr:from>
    <xdr:to>
      <xdr:col>14</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3"/>
        <a:srcRect/>
        <a:stretch>
          <a:fillRect/>
        </a:stretch>
      </xdr:blipFill>
      <xdr:spPr bwMode="auto">
        <a:xfrm>
          <a:off x="12372974" y="4305300"/>
          <a:ext cx="866776" cy="857250"/>
        </a:xfrm>
        <a:prstGeom prst="rect">
          <a:avLst/>
        </a:prstGeom>
        <a:noFill/>
      </xdr:spPr>
    </xdr:pic>
    <xdr:clientData/>
  </xdr:twoCellAnchor>
  <xdr:twoCellAnchor editAs="oneCell">
    <xdr:from>
      <xdr:col>14</xdr:col>
      <xdr:colOff>19049</xdr:colOff>
      <xdr:row>3</xdr:row>
      <xdr:rowOff>862828</xdr:rowOff>
    </xdr:from>
    <xdr:to>
      <xdr:col>14</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4"/>
        <a:srcRect/>
        <a:stretch>
          <a:fillRect/>
        </a:stretch>
      </xdr:blipFill>
      <xdr:spPr bwMode="auto">
        <a:xfrm>
          <a:off x="12363449" y="2501128"/>
          <a:ext cx="885825" cy="870722"/>
        </a:xfrm>
        <a:prstGeom prst="rect">
          <a:avLst/>
        </a:prstGeom>
        <a:noFill/>
      </xdr:spPr>
    </xdr:pic>
    <xdr:clientData/>
  </xdr:twoCellAnchor>
  <xdr:twoCellAnchor editAs="oneCell">
    <xdr:from>
      <xdr:col>14</xdr:col>
      <xdr:colOff>19050</xdr:colOff>
      <xdr:row>9</xdr:row>
      <xdr:rowOff>28576</xdr:rowOff>
    </xdr:from>
    <xdr:to>
      <xdr:col>14</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5" cstate="print"/>
        <a:srcRect/>
        <a:stretch>
          <a:fillRect/>
        </a:stretch>
      </xdr:blipFill>
      <xdr:spPr bwMode="auto">
        <a:xfrm>
          <a:off x="12363450" y="6981826"/>
          <a:ext cx="895350" cy="857250"/>
        </a:xfrm>
        <a:prstGeom prst="rect">
          <a:avLst/>
        </a:prstGeom>
        <a:noFill/>
      </xdr:spPr>
    </xdr:pic>
    <xdr:clientData/>
  </xdr:twoCellAnchor>
  <xdr:twoCellAnchor editAs="oneCell">
    <xdr:from>
      <xdr:col>14</xdr:col>
      <xdr:colOff>28574</xdr:colOff>
      <xdr:row>10</xdr:row>
      <xdr:rowOff>38099</xdr:rowOff>
    </xdr:from>
    <xdr:to>
      <xdr:col>14</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6"/>
        <a:srcRect/>
        <a:stretch>
          <a:fillRect/>
        </a:stretch>
      </xdr:blipFill>
      <xdr:spPr bwMode="auto">
        <a:xfrm>
          <a:off x="12372974" y="7877174"/>
          <a:ext cx="895351" cy="828675"/>
        </a:xfrm>
        <a:prstGeom prst="rect">
          <a:avLst/>
        </a:prstGeom>
        <a:noFill/>
      </xdr:spPr>
    </xdr:pic>
    <xdr:clientData/>
  </xdr:twoCellAnchor>
  <xdr:twoCellAnchor editAs="oneCell">
    <xdr:from>
      <xdr:col>14</xdr:col>
      <xdr:colOff>28575</xdr:colOff>
      <xdr:row>11</xdr:row>
      <xdr:rowOff>0</xdr:rowOff>
    </xdr:from>
    <xdr:to>
      <xdr:col>14</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7"/>
        <a:srcRect/>
        <a:stretch>
          <a:fillRect/>
        </a:stretch>
      </xdr:blipFill>
      <xdr:spPr bwMode="auto">
        <a:xfrm>
          <a:off x="12982575" y="8724900"/>
          <a:ext cx="895350" cy="866776"/>
        </a:xfrm>
        <a:prstGeom prst="rect">
          <a:avLst/>
        </a:prstGeom>
        <a:noFill/>
      </xdr:spPr>
    </xdr:pic>
    <xdr:clientData/>
  </xdr:twoCellAnchor>
  <xdr:twoCellAnchor editAs="oneCell">
    <xdr:from>
      <xdr:col>14</xdr:col>
      <xdr:colOff>28575</xdr:colOff>
      <xdr:row>12</xdr:row>
      <xdr:rowOff>17145</xdr:rowOff>
    </xdr:from>
    <xdr:to>
      <xdr:col>14</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8" cstate="print"/>
        <a:srcRect/>
        <a:stretch>
          <a:fillRect/>
        </a:stretch>
      </xdr:blipFill>
      <xdr:spPr bwMode="auto">
        <a:xfrm>
          <a:off x="12372975" y="9627870"/>
          <a:ext cx="885825" cy="849630"/>
        </a:xfrm>
        <a:prstGeom prst="rect">
          <a:avLst/>
        </a:prstGeom>
        <a:noFill/>
      </xdr:spPr>
    </xdr:pic>
    <xdr:clientData/>
  </xdr:twoCellAnchor>
  <xdr:twoCellAnchor editAs="oneCell">
    <xdr:from>
      <xdr:col>14</xdr:col>
      <xdr:colOff>38100</xdr:colOff>
      <xdr:row>13</xdr:row>
      <xdr:rowOff>28575</xdr:rowOff>
    </xdr:from>
    <xdr:to>
      <xdr:col>14</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9"/>
        <a:srcRect/>
        <a:stretch>
          <a:fillRect/>
        </a:stretch>
      </xdr:blipFill>
      <xdr:spPr bwMode="auto">
        <a:xfrm>
          <a:off x="12382500" y="10525125"/>
          <a:ext cx="866775" cy="828675"/>
        </a:xfrm>
        <a:prstGeom prst="rect">
          <a:avLst/>
        </a:prstGeom>
        <a:noFill/>
      </xdr:spPr>
    </xdr:pic>
    <xdr:clientData/>
  </xdr:twoCellAnchor>
  <xdr:twoCellAnchor>
    <xdr:from>
      <xdr:col>15</xdr:col>
      <xdr:colOff>228600</xdr:colOff>
      <xdr:row>0</xdr:row>
      <xdr:rowOff>0</xdr:rowOff>
    </xdr:from>
    <xdr:to>
      <xdr:col>17</xdr:col>
      <xdr:colOff>446809</xdr:colOff>
      <xdr:row>1</xdr:row>
      <xdr:rowOff>285750</xdr:rowOff>
    </xdr:to>
    <xdr:sp macro="" textlink="">
      <xdr:nvSpPr>
        <xdr:cNvPr id="14" name="Bevel 13">
          <a:hlinkClick xmlns:r="http://schemas.openxmlformats.org/officeDocument/2006/relationships" r:id="rId10"/>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editAs="oneCell">
    <xdr:from>
      <xdr:col>14</xdr:col>
      <xdr:colOff>85725</xdr:colOff>
      <xdr:row>202</xdr:row>
      <xdr:rowOff>19050</xdr:rowOff>
    </xdr:from>
    <xdr:to>
      <xdr:col>14</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430125" y="177936525"/>
          <a:ext cx="809625" cy="809625"/>
        </a:xfrm>
        <a:prstGeom prst="rect">
          <a:avLst/>
        </a:prstGeom>
        <a:noFill/>
      </xdr:spPr>
    </xdr:pic>
    <xdr:clientData/>
  </xdr:twoCellAnchor>
  <xdr:twoCellAnchor>
    <xdr:from>
      <xdr:col>15</xdr:col>
      <xdr:colOff>257175</xdr:colOff>
      <xdr:row>1</xdr:row>
      <xdr:rowOff>466725</xdr:rowOff>
    </xdr:from>
    <xdr:to>
      <xdr:col>17</xdr:col>
      <xdr:colOff>475384</xdr:colOff>
      <xdr:row>2</xdr:row>
      <xdr:rowOff>542925</xdr:rowOff>
    </xdr:to>
    <xdr:sp macro="" textlink="">
      <xdr:nvSpPr>
        <xdr:cNvPr id="16" name="Bevel 15">
          <a:hlinkClick xmlns:r="http://schemas.openxmlformats.org/officeDocument/2006/relationships" r:id="rId11"/>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twoCellAnchor editAs="oneCell">
    <xdr:from>
      <xdr:col>14</xdr:col>
      <xdr:colOff>123825</xdr:colOff>
      <xdr:row>5</xdr:row>
      <xdr:rowOff>1</xdr:rowOff>
    </xdr:from>
    <xdr:to>
      <xdr:col>14</xdr:col>
      <xdr:colOff>914400</xdr:colOff>
      <xdr:row>5</xdr:row>
      <xdr:rowOff>849869</xdr:rowOff>
    </xdr:to>
    <xdr:pic>
      <xdr:nvPicPr>
        <xdr:cNvPr id="17" name="Picture 16" descr="Ph5.png"/>
        <xdr:cNvPicPr>
          <a:picLocks noChangeAspect="1"/>
        </xdr:cNvPicPr>
      </xdr:nvPicPr>
      <xdr:blipFill>
        <a:blip xmlns:r="http://schemas.openxmlformats.org/officeDocument/2006/relationships" r:embed="rId12" cstate="print"/>
        <a:stretch>
          <a:fillRect/>
        </a:stretch>
      </xdr:blipFill>
      <xdr:spPr>
        <a:xfrm>
          <a:off x="13077825" y="3409951"/>
          <a:ext cx="790575" cy="849868"/>
        </a:xfrm>
        <a:prstGeom prst="rect">
          <a:avLst/>
        </a:prstGeom>
      </xdr:spPr>
    </xdr:pic>
    <xdr:clientData/>
  </xdr:twoCellAnchor>
  <xdr:twoCellAnchor editAs="oneCell">
    <xdr:from>
      <xdr:col>14</xdr:col>
      <xdr:colOff>66677</xdr:colOff>
      <xdr:row>7</xdr:row>
      <xdr:rowOff>1</xdr:rowOff>
    </xdr:from>
    <xdr:to>
      <xdr:col>14</xdr:col>
      <xdr:colOff>923925</xdr:colOff>
      <xdr:row>8</xdr:row>
      <xdr:rowOff>0</xdr:rowOff>
    </xdr:to>
    <xdr:pic>
      <xdr:nvPicPr>
        <xdr:cNvPr id="18" name="Picture 17" descr="rahul photo.jpg"/>
        <xdr:cNvPicPr>
          <a:picLocks noChangeAspect="1"/>
        </xdr:cNvPicPr>
      </xdr:nvPicPr>
      <xdr:blipFill>
        <a:blip xmlns:r="http://schemas.openxmlformats.org/officeDocument/2006/relationships" r:embed="rId13"/>
        <a:stretch>
          <a:fillRect/>
        </a:stretch>
      </xdr:blipFill>
      <xdr:spPr>
        <a:xfrm>
          <a:off x="13020677" y="5181601"/>
          <a:ext cx="857248" cy="885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155862</xdr:colOff>
      <xdr:row>0</xdr:row>
      <xdr:rowOff>34637</xdr:rowOff>
    </xdr:from>
    <xdr:to>
      <xdr:col>20</xdr:col>
      <xdr:colOff>557864</xdr:colOff>
      <xdr:row>1</xdr:row>
      <xdr:rowOff>173182</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9957953" y="34637"/>
          <a:ext cx="402002" cy="389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405825</xdr:colOff>
      <xdr:row>0</xdr:row>
      <xdr:rowOff>57152</xdr:rowOff>
    </xdr:from>
    <xdr:to>
      <xdr:col>21</xdr:col>
      <xdr:colOff>266698</xdr:colOff>
      <xdr:row>1</xdr:row>
      <xdr:rowOff>161925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02250" y="57152"/>
          <a:ext cx="432373" cy="419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youtu.be/6Uilt-YxIxk" TargetMode="External"/><Relationship Id="rId7" Type="http://schemas.openxmlformats.org/officeDocument/2006/relationships/printerSettings" Target="../printerSettings/printerSettings1.bin"/><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hyperlink" Target="https://youtu.be/atAmvhXLU30" TargetMode="External"/><Relationship Id="rId5" Type="http://schemas.openxmlformats.org/officeDocument/2006/relationships/hyperlink" Target="https://youtu.be/atAmvhXLU30" TargetMode="External"/><Relationship Id="rId4" Type="http://schemas.openxmlformats.org/officeDocument/2006/relationships/hyperlink" Target="https://youtu.be/YgrB3e6SHv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atAmvhXLU30"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youtu.be/atAmvhXLU3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workbookViewId="0">
      <selection activeCell="E13" sqref="E13"/>
    </sheetView>
  </sheetViews>
  <sheetFormatPr defaultColWidth="0" defaultRowHeight="27.95" customHeight="1" zeroHeight="1"/>
  <cols>
    <col min="1" max="5" width="37.875" style="757" customWidth="1"/>
    <col min="6" max="16384" width="37.875" style="757" hidden="1"/>
  </cols>
  <sheetData>
    <row r="1" spans="1:18" ht="60.75" customHeight="1" thickBot="1">
      <c r="A1" s="873" t="s">
        <v>94</v>
      </c>
      <c r="B1" s="874"/>
      <c r="C1" s="874"/>
      <c r="D1" s="875"/>
      <c r="E1" s="753"/>
      <c r="F1" s="754"/>
      <c r="G1" s="754"/>
      <c r="H1" s="754"/>
      <c r="I1" s="754"/>
      <c r="J1" s="755"/>
      <c r="K1" s="756"/>
      <c r="L1" s="756"/>
    </row>
    <row r="2" spans="1:18" ht="87.75" customHeight="1" thickBot="1">
      <c r="A2" s="838" t="s">
        <v>177</v>
      </c>
      <c r="B2" s="839"/>
      <c r="C2" s="839"/>
      <c r="D2" s="840"/>
      <c r="E2" s="758" t="s">
        <v>79</v>
      </c>
      <c r="F2" s="759"/>
      <c r="G2" s="759"/>
      <c r="H2" s="759"/>
      <c r="I2" s="759"/>
      <c r="J2" s="760"/>
      <c r="K2" s="761"/>
      <c r="L2" s="761"/>
      <c r="M2" s="761"/>
      <c r="N2" s="761"/>
      <c r="O2" s="761"/>
      <c r="P2" s="761"/>
      <c r="Q2" s="761"/>
      <c r="R2" s="761"/>
    </row>
    <row r="3" spans="1:18" ht="36" customHeight="1" thickBot="1">
      <c r="A3" s="841" t="s">
        <v>80</v>
      </c>
      <c r="B3" s="842"/>
      <c r="C3" s="842"/>
      <c r="D3" s="842"/>
      <c r="E3" s="762" t="s">
        <v>103</v>
      </c>
      <c r="F3" s="759"/>
      <c r="G3" s="759"/>
      <c r="H3" s="759"/>
      <c r="I3" s="759"/>
      <c r="J3" s="760"/>
      <c r="K3" s="761"/>
      <c r="L3" s="761"/>
      <c r="M3" s="761"/>
      <c r="N3" s="761"/>
      <c r="O3" s="761"/>
      <c r="P3" s="761"/>
      <c r="Q3" s="761"/>
      <c r="R3" s="761"/>
    </row>
    <row r="4" spans="1:18" ht="54" customHeight="1" thickBot="1">
      <c r="A4" s="843" t="s">
        <v>178</v>
      </c>
      <c r="B4" s="844"/>
      <c r="C4" s="844"/>
      <c r="D4" s="845"/>
      <c r="E4" s="1735" t="s">
        <v>276</v>
      </c>
      <c r="F4" s="759"/>
      <c r="G4" s="759"/>
      <c r="H4" s="759"/>
      <c r="I4" s="759"/>
      <c r="J4" s="760"/>
      <c r="K4" s="761"/>
      <c r="L4" s="761"/>
      <c r="M4" s="761"/>
      <c r="N4" s="761"/>
      <c r="O4" s="761"/>
      <c r="P4" s="761"/>
      <c r="Q4" s="761"/>
      <c r="R4" s="761"/>
    </row>
    <row r="5" spans="1:18" ht="41.25" customHeight="1" thickBot="1">
      <c r="A5" s="835" t="s">
        <v>81</v>
      </c>
      <c r="B5" s="836"/>
      <c r="C5" s="836"/>
      <c r="D5" s="837"/>
      <c r="E5" s="763" t="s">
        <v>175</v>
      </c>
      <c r="F5" s="759"/>
      <c r="G5" s="759"/>
      <c r="H5" s="759"/>
      <c r="I5" s="759"/>
      <c r="J5" s="760"/>
      <c r="K5" s="761"/>
      <c r="L5" s="761"/>
      <c r="M5" s="761"/>
      <c r="N5" s="761"/>
      <c r="O5" s="761"/>
      <c r="P5" s="761"/>
      <c r="Q5" s="761"/>
      <c r="R5" s="761"/>
    </row>
    <row r="6" spans="1:18" ht="33.75" customHeight="1">
      <c r="A6" s="904" t="s">
        <v>257</v>
      </c>
      <c r="B6" s="905"/>
      <c r="C6" s="905"/>
      <c r="D6" s="906"/>
      <c r="E6" s="764" t="s">
        <v>256</v>
      </c>
      <c r="F6" s="759"/>
      <c r="G6" s="759"/>
      <c r="H6" s="759"/>
      <c r="I6" s="759"/>
      <c r="J6" s="760"/>
      <c r="K6" s="761"/>
      <c r="L6" s="761"/>
      <c r="M6" s="761"/>
      <c r="N6" s="761"/>
      <c r="O6" s="761"/>
      <c r="P6" s="761"/>
      <c r="Q6" s="761"/>
      <c r="R6" s="761"/>
    </row>
    <row r="7" spans="1:18" ht="37.5" customHeight="1" thickBot="1">
      <c r="A7" s="859" t="s">
        <v>150</v>
      </c>
      <c r="B7" s="860"/>
      <c r="C7" s="860"/>
      <c r="D7" s="861"/>
      <c r="E7" s="764" t="s">
        <v>272</v>
      </c>
      <c r="F7" s="759"/>
      <c r="G7" s="759"/>
      <c r="H7" s="759"/>
      <c r="I7" s="759"/>
      <c r="J7" s="760"/>
      <c r="K7" s="761"/>
      <c r="L7" s="761"/>
      <c r="M7" s="761"/>
      <c r="N7" s="761"/>
      <c r="O7" s="761"/>
      <c r="P7" s="761"/>
      <c r="Q7" s="761"/>
      <c r="R7" s="761"/>
    </row>
    <row r="8" spans="1:18" ht="27.95" customHeight="1" thickBot="1">
      <c r="A8" s="907" t="s">
        <v>82</v>
      </c>
      <c r="B8" s="908"/>
      <c r="C8" s="908"/>
      <c r="D8" s="908"/>
      <c r="E8" s="780" t="s">
        <v>259</v>
      </c>
      <c r="F8" s="765"/>
      <c r="G8" s="765"/>
      <c r="H8" s="765"/>
      <c r="I8" s="765"/>
      <c r="J8" s="761"/>
      <c r="K8" s="761"/>
      <c r="L8" s="761"/>
      <c r="M8" s="761"/>
      <c r="N8" s="761"/>
      <c r="O8" s="761"/>
      <c r="P8" s="761"/>
      <c r="Q8" s="761"/>
      <c r="R8" s="761"/>
    </row>
    <row r="9" spans="1:18" ht="27.95" customHeight="1">
      <c r="A9" s="895" t="s">
        <v>174</v>
      </c>
      <c r="B9" s="896"/>
      <c r="C9" s="896"/>
      <c r="D9" s="897"/>
      <c r="E9" s="779">
        <v>45768</v>
      </c>
      <c r="F9" s="767"/>
      <c r="G9" s="767"/>
      <c r="H9" s="767"/>
      <c r="I9" s="767"/>
      <c r="J9" s="761"/>
      <c r="K9" s="761"/>
      <c r="L9" s="761"/>
      <c r="M9" s="761"/>
      <c r="N9" s="761"/>
      <c r="O9" s="761"/>
      <c r="P9" s="761"/>
      <c r="Q9" s="761"/>
      <c r="R9" s="761"/>
    </row>
    <row r="10" spans="1:18" ht="45.75" customHeight="1">
      <c r="A10" s="898" t="s">
        <v>83</v>
      </c>
      <c r="B10" s="899"/>
      <c r="C10" s="899"/>
      <c r="D10" s="900"/>
      <c r="E10" s="758"/>
      <c r="F10" s="767"/>
      <c r="G10" s="767"/>
      <c r="H10" s="767"/>
      <c r="I10" s="767"/>
      <c r="J10" s="761"/>
      <c r="K10" s="761"/>
      <c r="L10" s="761"/>
      <c r="M10" s="761"/>
      <c r="N10" s="761"/>
      <c r="O10" s="761"/>
      <c r="P10" s="761"/>
      <c r="Q10" s="761"/>
      <c r="R10" s="761"/>
    </row>
    <row r="11" spans="1:18" ht="81.75" customHeight="1">
      <c r="A11" s="901" t="s">
        <v>84</v>
      </c>
      <c r="B11" s="902"/>
      <c r="C11" s="902"/>
      <c r="D11" s="903"/>
      <c r="E11" s="764" t="s">
        <v>276</v>
      </c>
      <c r="F11" s="767"/>
      <c r="G11" s="767"/>
      <c r="H11" s="767"/>
      <c r="I11" s="767"/>
      <c r="J11" s="761"/>
      <c r="K11" s="761"/>
      <c r="L11" s="761"/>
      <c r="M11" s="761"/>
      <c r="N11" s="761"/>
      <c r="O11" s="761"/>
      <c r="P11" s="761"/>
      <c r="Q11" s="761"/>
      <c r="R11" s="761"/>
    </row>
    <row r="12" spans="1:18" ht="66.75" customHeight="1" thickBot="1">
      <c r="A12" s="862" t="s">
        <v>258</v>
      </c>
      <c r="B12" s="863"/>
      <c r="C12" s="863"/>
      <c r="D12" s="864"/>
      <c r="E12" s="758"/>
      <c r="F12" s="767"/>
      <c r="G12" s="767"/>
      <c r="H12" s="767"/>
      <c r="I12" s="767"/>
      <c r="J12" s="761"/>
      <c r="K12" s="761"/>
      <c r="L12" s="761"/>
      <c r="M12" s="761"/>
      <c r="N12" s="761"/>
      <c r="O12" s="761"/>
      <c r="P12" s="761"/>
      <c r="Q12" s="761"/>
      <c r="R12" s="761"/>
    </row>
    <row r="13" spans="1:18" ht="27.95" customHeight="1" thickBot="1">
      <c r="A13" s="846" t="s">
        <v>98</v>
      </c>
      <c r="B13" s="847"/>
      <c r="C13" s="847"/>
      <c r="D13" s="847"/>
      <c r="E13" s="758"/>
      <c r="F13" s="768"/>
      <c r="G13" s="768"/>
      <c r="H13" s="768"/>
      <c r="I13" s="768"/>
      <c r="J13" s="761"/>
      <c r="K13" s="761"/>
      <c r="L13" s="761"/>
      <c r="M13" s="761"/>
      <c r="N13" s="761"/>
      <c r="O13" s="761"/>
      <c r="P13" s="761"/>
      <c r="Q13" s="761"/>
      <c r="R13" s="761"/>
    </row>
    <row r="14" spans="1:18" ht="43.5" customHeight="1">
      <c r="A14" s="848" t="s">
        <v>85</v>
      </c>
      <c r="B14" s="849"/>
      <c r="C14" s="849"/>
      <c r="D14" s="850"/>
      <c r="E14" s="758"/>
      <c r="F14" s="769"/>
      <c r="G14" s="769"/>
      <c r="H14" s="769"/>
      <c r="I14" s="769"/>
      <c r="J14" s="761"/>
      <c r="K14" s="761"/>
      <c r="L14" s="761"/>
      <c r="M14" s="761"/>
      <c r="N14" s="761"/>
      <c r="O14" s="761"/>
      <c r="P14" s="761"/>
      <c r="Q14" s="761"/>
      <c r="R14" s="761"/>
    </row>
    <row r="15" spans="1:18" ht="39" customHeight="1" thickBot="1">
      <c r="A15" s="851" t="s">
        <v>86</v>
      </c>
      <c r="B15" s="852"/>
      <c r="C15" s="852"/>
      <c r="D15" s="853"/>
      <c r="E15" s="758"/>
      <c r="F15" s="769"/>
      <c r="G15" s="769"/>
      <c r="H15" s="769"/>
      <c r="I15" s="769"/>
      <c r="J15" s="761"/>
      <c r="K15" s="761"/>
      <c r="L15" s="761"/>
      <c r="M15" s="761"/>
      <c r="N15" s="761"/>
      <c r="O15" s="761"/>
      <c r="P15" s="761"/>
      <c r="Q15" s="761"/>
      <c r="R15" s="761"/>
    </row>
    <row r="16" spans="1:18" ht="27.95" customHeight="1" thickBot="1">
      <c r="A16" s="854" t="s">
        <v>87</v>
      </c>
      <c r="B16" s="855"/>
      <c r="C16" s="855"/>
      <c r="D16" s="855"/>
      <c r="E16" s="758"/>
      <c r="F16" s="759"/>
      <c r="G16" s="759"/>
      <c r="H16" s="759"/>
      <c r="I16" s="759"/>
      <c r="J16" s="761"/>
      <c r="K16" s="761"/>
      <c r="L16" s="761"/>
      <c r="M16" s="761"/>
      <c r="N16" s="761"/>
      <c r="O16" s="761"/>
      <c r="P16" s="761"/>
      <c r="Q16" s="761"/>
      <c r="R16" s="761"/>
    </row>
    <row r="17" spans="1:18" ht="33" customHeight="1">
      <c r="A17" s="848" t="s">
        <v>89</v>
      </c>
      <c r="B17" s="849"/>
      <c r="C17" s="849"/>
      <c r="D17" s="850"/>
      <c r="E17" s="766"/>
      <c r="F17" s="759"/>
      <c r="G17" s="759"/>
      <c r="H17" s="759"/>
      <c r="I17" s="759"/>
      <c r="J17" s="761"/>
      <c r="K17" s="761"/>
      <c r="L17" s="761"/>
      <c r="M17" s="761"/>
      <c r="N17" s="761"/>
      <c r="O17" s="761"/>
      <c r="P17" s="761"/>
      <c r="Q17" s="761"/>
      <c r="R17" s="761"/>
    </row>
    <row r="18" spans="1:18" ht="27.95" customHeight="1" thickBot="1">
      <c r="A18" s="856" t="s">
        <v>88</v>
      </c>
      <c r="B18" s="857"/>
      <c r="C18" s="857"/>
      <c r="D18" s="858"/>
      <c r="E18" s="766"/>
      <c r="F18" s="759"/>
      <c r="G18" s="759"/>
      <c r="H18" s="759"/>
      <c r="I18" s="759"/>
      <c r="J18" s="761"/>
      <c r="K18" s="761"/>
      <c r="L18" s="761"/>
      <c r="M18" s="761"/>
      <c r="N18" s="761"/>
      <c r="O18" s="761"/>
      <c r="P18" s="761"/>
      <c r="Q18" s="761"/>
      <c r="R18" s="761"/>
    </row>
    <row r="19" spans="1:18" ht="28.5" thickBot="1">
      <c r="A19" s="893" t="s">
        <v>90</v>
      </c>
      <c r="B19" s="894"/>
      <c r="C19" s="894"/>
      <c r="D19" s="894"/>
      <c r="E19" s="753"/>
      <c r="F19" s="759"/>
      <c r="G19" s="759"/>
      <c r="H19" s="759"/>
      <c r="I19" s="759"/>
    </row>
    <row r="20" spans="1:18" ht="27.75" customHeight="1">
      <c r="A20" s="848" t="s">
        <v>91</v>
      </c>
      <c r="B20" s="849"/>
      <c r="C20" s="849"/>
      <c r="D20" s="850"/>
      <c r="E20" s="753"/>
      <c r="F20" s="770"/>
      <c r="G20" s="770"/>
      <c r="H20" s="770"/>
      <c r="I20" s="770"/>
    </row>
    <row r="21" spans="1:18" ht="44.25" customHeight="1">
      <c r="A21" s="887" t="s">
        <v>179</v>
      </c>
      <c r="B21" s="888"/>
      <c r="C21" s="888"/>
      <c r="D21" s="889"/>
      <c r="E21" s="753"/>
      <c r="F21" s="770"/>
      <c r="G21" s="770"/>
      <c r="H21" s="770"/>
      <c r="I21" s="770"/>
    </row>
    <row r="22" spans="1:18" ht="21.75" customHeight="1">
      <c r="A22" s="890" t="s">
        <v>92</v>
      </c>
      <c r="B22" s="891"/>
      <c r="C22" s="891"/>
      <c r="D22" s="892"/>
      <c r="E22" s="753"/>
      <c r="F22" s="771"/>
      <c r="G22" s="771"/>
      <c r="H22" s="771"/>
      <c r="I22" s="771"/>
    </row>
    <row r="23" spans="1:18" ht="23.25" customHeight="1" thickBot="1">
      <c r="A23" s="856" t="s">
        <v>93</v>
      </c>
      <c r="B23" s="857"/>
      <c r="C23" s="857"/>
      <c r="D23" s="858"/>
      <c r="E23" s="753"/>
      <c r="F23" s="772"/>
      <c r="G23" s="772"/>
      <c r="H23" s="772"/>
      <c r="I23" s="772"/>
    </row>
    <row r="24" spans="1:18" ht="34.5" thickBot="1">
      <c r="A24" s="876" t="s">
        <v>95</v>
      </c>
      <c r="B24" s="877"/>
      <c r="C24" s="877"/>
      <c r="D24" s="877"/>
      <c r="E24" s="753"/>
      <c r="F24" s="773"/>
      <c r="G24" s="773"/>
      <c r="H24" s="773"/>
      <c r="I24" s="773"/>
    </row>
    <row r="25" spans="1:18" ht="46.5" customHeight="1">
      <c r="A25" s="878" t="s">
        <v>151</v>
      </c>
      <c r="B25" s="879"/>
      <c r="C25" s="879"/>
      <c r="D25" s="880"/>
      <c r="E25" s="753"/>
      <c r="F25" s="774"/>
      <c r="G25" s="774"/>
      <c r="H25" s="774"/>
      <c r="I25" s="774"/>
    </row>
    <row r="26" spans="1:18" ht="39.75" customHeight="1">
      <c r="A26" s="881" t="s">
        <v>96</v>
      </c>
      <c r="B26" s="882"/>
      <c r="C26" s="882"/>
      <c r="D26" s="883"/>
      <c r="E26" s="753"/>
      <c r="F26" s="774"/>
      <c r="G26" s="774"/>
      <c r="H26" s="774"/>
      <c r="I26" s="774"/>
    </row>
    <row r="27" spans="1:18" ht="96.75" customHeight="1" thickBot="1">
      <c r="A27" s="884" t="s">
        <v>99</v>
      </c>
      <c r="B27" s="885"/>
      <c r="C27" s="885"/>
      <c r="D27" s="886"/>
      <c r="E27" s="753"/>
      <c r="F27" s="775"/>
      <c r="G27" s="775"/>
      <c r="H27" s="775"/>
      <c r="I27" s="775"/>
    </row>
    <row r="28" spans="1:18" ht="34.5" thickBot="1">
      <c r="A28" s="868" t="s">
        <v>97</v>
      </c>
      <c r="B28" s="869"/>
      <c r="C28" s="869"/>
      <c r="D28" s="869"/>
      <c r="E28" s="753"/>
      <c r="F28" s="773"/>
      <c r="G28" s="773"/>
      <c r="H28" s="773"/>
      <c r="I28" s="773"/>
    </row>
    <row r="29" spans="1:18" ht="23.25" customHeight="1">
      <c r="A29" s="870" t="s">
        <v>100</v>
      </c>
      <c r="B29" s="871"/>
      <c r="C29" s="871"/>
      <c r="D29" s="872"/>
      <c r="E29" s="753"/>
    </row>
    <row r="30" spans="1:18" ht="72.75" customHeight="1" thickBot="1">
      <c r="A30" s="915" t="s">
        <v>101</v>
      </c>
      <c r="B30" s="916"/>
      <c r="C30" s="916"/>
      <c r="D30" s="917"/>
      <c r="E30" s="753"/>
    </row>
    <row r="31" spans="1:18" ht="38.25" customHeight="1" thickBot="1">
      <c r="A31" s="918" t="s">
        <v>102</v>
      </c>
      <c r="B31" s="919"/>
      <c r="C31" s="919"/>
      <c r="D31" s="920"/>
      <c r="E31" s="753"/>
    </row>
    <row r="32" spans="1:18" ht="27.95" customHeight="1">
      <c r="A32" s="921" t="s">
        <v>72</v>
      </c>
      <c r="B32" s="922"/>
      <c r="C32" s="922"/>
      <c r="D32" s="923"/>
      <c r="E32" s="753"/>
    </row>
    <row r="33" spans="1:5" ht="27.95" customHeight="1">
      <c r="A33" s="924" t="s">
        <v>67</v>
      </c>
      <c r="B33" s="925"/>
      <c r="C33" s="925"/>
      <c r="D33" s="926"/>
      <c r="E33" s="753"/>
    </row>
    <row r="34" spans="1:5" ht="21">
      <c r="A34" s="927" t="s">
        <v>73</v>
      </c>
      <c r="B34" s="928"/>
      <c r="C34" s="928"/>
      <c r="D34" s="929"/>
      <c r="E34" s="753"/>
    </row>
    <row r="35" spans="1:5" ht="27.95" customHeight="1">
      <c r="A35" s="909" t="s">
        <v>68</v>
      </c>
      <c r="B35" s="910"/>
      <c r="C35" s="910"/>
      <c r="D35" s="911"/>
      <c r="E35" s="753"/>
    </row>
    <row r="36" spans="1:5" ht="27.95" customHeight="1">
      <c r="A36" s="912" t="s">
        <v>69</v>
      </c>
      <c r="B36" s="913"/>
      <c r="C36" s="913"/>
      <c r="D36" s="914"/>
      <c r="E36" s="753"/>
    </row>
    <row r="37" spans="1:5" ht="27.95" customHeight="1">
      <c r="A37" s="865" t="s">
        <v>70</v>
      </c>
      <c r="B37" s="866"/>
      <c r="C37" s="866"/>
      <c r="D37" s="867"/>
      <c r="E37" s="753"/>
    </row>
    <row r="38" spans="1:5" ht="27.95" customHeight="1" thickBot="1">
      <c r="A38" s="832" t="s">
        <v>256</v>
      </c>
      <c r="B38" s="833"/>
      <c r="C38" s="833"/>
      <c r="D38" s="834"/>
      <c r="E38" s="753"/>
    </row>
    <row r="39" spans="1:5" ht="27.95" customHeight="1">
      <c r="A39" s="753"/>
      <c r="B39" s="753"/>
      <c r="C39" s="753"/>
      <c r="D39" s="753"/>
      <c r="E39" s="753"/>
    </row>
    <row r="40" spans="1:5" ht="27.95" customHeight="1">
      <c r="A40" s="753"/>
      <c r="B40" s="753"/>
      <c r="C40" s="753"/>
      <c r="D40" s="753"/>
      <c r="E40" s="753"/>
    </row>
    <row r="41" spans="1:5" ht="27.95" hidden="1" customHeight="1">
      <c r="E41" s="753"/>
    </row>
    <row r="42" spans="1:5" ht="27.95" hidden="1" customHeight="1">
      <c r="E42" s="753"/>
    </row>
    <row r="43" spans="1:5" ht="27.95" hidden="1" customHeight="1">
      <c r="E43" s="753"/>
    </row>
    <row r="44" spans="1:5" ht="27.95" hidden="1" customHeight="1">
      <c r="E44" s="753"/>
    </row>
    <row r="45" spans="1:5" ht="27.95" hidden="1" customHeight="1">
      <c r="E45" s="753"/>
    </row>
    <row r="46" spans="1:5" ht="27.95" hidden="1" customHeight="1">
      <c r="E46" s="753"/>
    </row>
    <row r="47" spans="1:5" ht="27.95" hidden="1" customHeight="1">
      <c r="E47" s="753"/>
    </row>
    <row r="48" spans="1:5" ht="27.95" hidden="1" customHeight="1">
      <c r="E48" s="753"/>
    </row>
    <row r="49" spans="5:5" ht="27.95" hidden="1" customHeight="1">
      <c r="E49" s="753"/>
    </row>
    <row r="50" spans="5:5" ht="27.95" hidden="1" customHeight="1">
      <c r="E50" s="753"/>
    </row>
    <row r="51" spans="5:5" ht="27.95" hidden="1" customHeight="1">
      <c r="E51" s="753"/>
    </row>
    <row r="52" spans="5:5" ht="27.95" hidden="1" customHeight="1">
      <c r="E52" s="753"/>
    </row>
    <row r="53" spans="5:5" ht="27.95" hidden="1" customHeight="1">
      <c r="E53" s="753"/>
    </row>
    <row r="54" spans="5:5" ht="27.95" hidden="1" customHeight="1">
      <c r="E54" s="753"/>
    </row>
    <row r="55" spans="5:5" ht="27.95" hidden="1" customHeight="1">
      <c r="E55" s="753"/>
    </row>
    <row r="56" spans="5:5" ht="27.95" hidden="1" customHeight="1">
      <c r="E56" s="753"/>
    </row>
    <row r="57" spans="5:5" ht="27.95" hidden="1" customHeight="1">
      <c r="E57" s="753"/>
    </row>
    <row r="58" spans="5:5" ht="27.95" hidden="1" customHeight="1">
      <c r="E58" s="753"/>
    </row>
    <row r="59" spans="5:5" ht="27.95" hidden="1" customHeight="1">
      <c r="E59" s="753"/>
    </row>
    <row r="60" spans="5:5" ht="27.95" hidden="1" customHeight="1">
      <c r="E60" s="753"/>
    </row>
    <row r="61" spans="5:5" ht="27.95" hidden="1" customHeight="1">
      <c r="E61" s="753"/>
    </row>
    <row r="62" spans="5:5" ht="27.95" hidden="1" customHeight="1">
      <c r="E62" s="753"/>
    </row>
    <row r="63" spans="5:5" ht="27.95" customHeight="1"/>
  </sheetData>
  <sheetProtection password="C1FB" sheet="1" objects="1" scenarios="1" selectLockedCells="1"/>
  <mergeCells count="38">
    <mergeCell ref="A35:D35"/>
    <mergeCell ref="A36:D36"/>
    <mergeCell ref="A30:D30"/>
    <mergeCell ref="A31:D31"/>
    <mergeCell ref="A32:D32"/>
    <mergeCell ref="A33:D33"/>
    <mergeCell ref="A34:D34"/>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s>
  <hyperlinks>
    <hyperlink ref="A37" r:id="rId1"/>
    <hyperlink ref="E6" r:id="rId2"/>
    <hyperlink ref="A38" r:id="rId3"/>
    <hyperlink ref="E7" r:id="rId4"/>
    <hyperlink ref="E11" r:id="rId5"/>
    <hyperlink ref="E4" r:id="rId6"/>
  </hyperlinks>
  <pageMargins left="0.7" right="0.7" top="0.75" bottom="0.75" header="0.3" footer="0.3"/>
  <pageSetup orientation="portrait" r:id="rId7"/>
  <drawing r:id="rId8"/>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6" sqref="W6"/>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78" t="str">
        <f>IF('School Profile'!D12="Hindi",CONCATENATE("विद्यालय का नाम :-","  ",'School Profile'!D9),CONCATENATE("School Name :-","  ",'School Profile'!D8))</f>
        <v xml:space="preserve">विद्यालय का नाम :-  महात्मा गाँधी राजकीय विद्यालय (अंग्रेजी माध्यम) बर, पाली </v>
      </c>
      <c r="B1" s="1378"/>
      <c r="C1" s="1378"/>
      <c r="D1" s="1378"/>
      <c r="E1" s="1378"/>
      <c r="F1" s="1378"/>
      <c r="G1" s="1378"/>
      <c r="H1" s="1378"/>
      <c r="I1" s="1378"/>
      <c r="J1" s="1378"/>
      <c r="K1" s="1480" t="str">
        <f>IF('School Profile'!D12="Hindi","विषयवार परीक्षा परिणाम कक्षा -9","Subject-wise Result Class 9th")</f>
        <v>विषयवार परीक्षा परिणाम कक्षा -9</v>
      </c>
      <c r="L1" s="1480"/>
      <c r="M1" s="1480"/>
      <c r="N1" s="1480"/>
      <c r="O1" s="1480"/>
      <c r="P1" s="1480"/>
      <c r="Q1" s="1480"/>
      <c r="R1" s="1480"/>
      <c r="S1" s="1480"/>
      <c r="T1" s="1480"/>
      <c r="U1" s="1480"/>
      <c r="V1" s="1480"/>
    </row>
    <row r="2" spans="1:64" ht="18.75" customHeight="1">
      <c r="A2" s="1481" t="str">
        <f>IF('School Profile'!D12="Hindi","कक्षा :-","CLASS :-")</f>
        <v>कक्षा :-</v>
      </c>
      <c r="B2" s="1482"/>
      <c r="C2" s="1487" t="str">
        <f>'Supp. Result Entry'!C2</f>
        <v>9th</v>
      </c>
      <c r="D2" s="1487"/>
      <c r="E2" s="1487"/>
      <c r="F2" s="1487"/>
      <c r="G2" s="1485" t="str">
        <f>IF('School Profile'!D12="Hindi","सत्र  :-","Session :-")</f>
        <v>सत्र  :-</v>
      </c>
      <c r="H2" s="1487" t="str">
        <f>'Supp. Result Entry'!G2</f>
        <v>2024-2025</v>
      </c>
      <c r="I2" s="1487"/>
      <c r="J2" s="1489"/>
      <c r="K2" s="1492" t="str">
        <f>IF('School Profile'!$D$12="Hindi","मुख्य परीक्षा परिणाम","Main Exam Result")</f>
        <v>मुख्य परीक्षा परिणाम</v>
      </c>
      <c r="L2" s="1493"/>
      <c r="M2" s="1493"/>
      <c r="N2" s="1493"/>
      <c r="O2" s="1493"/>
      <c r="P2" s="1493"/>
      <c r="Q2" s="1493"/>
      <c r="R2" s="1493"/>
      <c r="S2" s="1493"/>
      <c r="T2" s="1493"/>
      <c r="U2" s="1494"/>
      <c r="V2" s="1495" t="str">
        <f>IF('School Profile'!$D$12="Hindi"," पूरक परीक्षा / सा.उतीर्ण/  पुनः परीक्षा के विषय","Supplementary,  Re-Exam &amp; By Grace Pass Subject")</f>
        <v xml:space="preserve"> पूरक परीक्षा / सा.उतीर्ण/  पुनः परीक्षा के विषय</v>
      </c>
    </row>
    <row r="3" spans="1:64" s="177" customFormat="1" ht="18" customHeight="1">
      <c r="A3" s="1483"/>
      <c r="B3" s="1484"/>
      <c r="C3" s="1488"/>
      <c r="D3" s="1488"/>
      <c r="E3" s="1488"/>
      <c r="F3" s="1488"/>
      <c r="G3" s="1486"/>
      <c r="H3" s="1488"/>
      <c r="I3" s="1488"/>
      <c r="J3" s="1488"/>
      <c r="K3" s="1497" t="str">
        <f>'Statement of Marks'!GN5</f>
        <v>हिंदी</v>
      </c>
      <c r="L3" s="1497" t="str">
        <f>'Statement of Marks'!GQ5</f>
        <v>अंग्रेजी</v>
      </c>
      <c r="M3" s="1490" t="str">
        <f>'Statement of Marks'!GU4</f>
        <v>तृतीय भाषा</v>
      </c>
      <c r="N3" s="1383"/>
      <c r="O3" s="1383"/>
      <c r="P3" s="1383"/>
      <c r="Q3" s="1491"/>
      <c r="R3" s="1497" t="str">
        <f>'Statement of Marks'!HB5</f>
        <v>गणित</v>
      </c>
      <c r="S3" s="1497" t="str">
        <f>'Statement of Marks'!HE5</f>
        <v>विज्ञान</v>
      </c>
      <c r="T3" s="1497" t="str">
        <f>'Statement of Marks'!HH4</f>
        <v>सामाजिक विज्ञान</v>
      </c>
      <c r="U3" s="1497" t="str">
        <f>IF('School Profile'!$D$12="Hindi","व्यावसायिक शिक्षा","Vocational Education")</f>
        <v>व्यावसायिक शिक्षा</v>
      </c>
      <c r="V3" s="1496"/>
    </row>
    <row r="4" spans="1:64" s="177" customFormat="1" ht="90.75" customHeight="1">
      <c r="A4" s="629" t="str">
        <f>'Result Aggregate'!A3</f>
        <v xml:space="preserve">क्र. स. </v>
      </c>
      <c r="B4" s="629" t="str">
        <f>'Result Aggregate'!B3</f>
        <v>रोल न.</v>
      </c>
      <c r="C4" s="629" t="str">
        <f>'Result Aggregate'!C3</f>
        <v>प्रवेशांक</v>
      </c>
      <c r="D4" s="630" t="str">
        <f>'Result Aggregate'!D2</f>
        <v xml:space="preserve">जन्मतिथि </v>
      </c>
      <c r="E4" s="630" t="str">
        <f>'Result Aggregate'!E2</f>
        <v xml:space="preserve">विद्यार्थी का नाम </v>
      </c>
      <c r="F4" s="630" t="str">
        <f>'Result Aggregate'!F2</f>
        <v xml:space="preserve">पिता का नाम </v>
      </c>
      <c r="G4" s="630" t="str">
        <f>'Result Aggregate'!G2</f>
        <v xml:space="preserve">माता का नाम </v>
      </c>
      <c r="H4" s="632" t="str">
        <f>IF('School Profile'!$D$12="Hindi","परिणाम ","Result")</f>
        <v xml:space="preserve">परिणाम </v>
      </c>
      <c r="I4" s="631" t="str">
        <f>IF('School Profile'!$D$12="Hindi","श्रेणी","Division")</f>
        <v>श्रेणी</v>
      </c>
      <c r="J4" s="387" t="str">
        <f>IF('School Profile'!D12="Hindi","प्राप्तांक प्रतिशत","Marks Obtained Percentage")</f>
        <v>प्राप्तांक प्रतिशत</v>
      </c>
      <c r="K4" s="1497"/>
      <c r="L4" s="1497"/>
      <c r="M4" s="391" t="str">
        <f>'Statement of Marks'!GU5</f>
        <v>संस्कृत (71)</v>
      </c>
      <c r="N4" s="391" t="str">
        <f>'Statement of Marks'!GV5</f>
        <v xml:space="preserve">उर्दू (72) </v>
      </c>
      <c r="O4" s="391" t="str">
        <f>'Statement of Marks'!GW5</f>
        <v>गुजराती (73)</v>
      </c>
      <c r="P4" s="391" t="str">
        <f>'Statement of Marks'!GX5</f>
        <v xml:space="preserve">सिंधी (74) </v>
      </c>
      <c r="Q4" s="395" t="str">
        <f>'Statement of Marks'!GY5</f>
        <v>पंजाबी (75)</v>
      </c>
      <c r="R4" s="1497"/>
      <c r="S4" s="1497"/>
      <c r="T4" s="1497"/>
      <c r="U4" s="1497"/>
      <c r="V4" s="1496"/>
    </row>
    <row r="5" spans="1:64" ht="21" customHeight="1">
      <c r="A5" s="169">
        <f>IF('Statement of Marks'!A7="","",'Statement of Marks'!A7)</f>
        <v>1</v>
      </c>
      <c r="B5" s="169">
        <f>IF('Statement of Marks'!B7="","",'Statement of Marks'!B7)</f>
        <v>901</v>
      </c>
      <c r="C5" s="169">
        <f>IF('Statement of Marks'!D7="","",'Statement of Marks'!D7)</f>
        <v>521</v>
      </c>
      <c r="D5" s="315">
        <f>IF('Statement of Marks'!E7="","",'Statement of Marks'!E7)</f>
        <v>40461</v>
      </c>
      <c r="E5" s="316" t="str">
        <f>IF('Statement of Marks'!F7="","",'Statement of Marks'!F7)</f>
        <v>RAHUL JAT</v>
      </c>
      <c r="F5" s="316" t="str">
        <f>IF('Statement of Marks'!G7="","",'Statement of Marks'!G7)</f>
        <v>HL JAT</v>
      </c>
      <c r="G5" s="316" t="str">
        <f>IF('Statement of Marks'!H7="","",'Statement of Marks'!H7)</f>
        <v>LALI</v>
      </c>
      <c r="H5" s="830" t="str">
        <f>IF('Statement of Marks'!HS7="","",'Statement of Marks'!HS7)</f>
        <v>PASS</v>
      </c>
      <c r="I5" s="172" t="str">
        <f>IF('Statement of Marks'!HV7="","",'Statement of Marks'!HV7)</f>
        <v>1st</v>
      </c>
      <c r="J5" s="317">
        <f>IF('Statement of Marks'!HW7="","",'Statement of Marks'!HW7)</f>
        <v>73.833333333333329</v>
      </c>
      <c r="K5" s="392" t="str">
        <f>'Statement of Marks'!GN7</f>
        <v>I</v>
      </c>
      <c r="L5" s="392" t="str">
        <f>'Statement of Marks'!GQ7</f>
        <v>I</v>
      </c>
      <c r="M5" s="181" t="str">
        <f>'Statement of Marks'!GU7</f>
        <v>I</v>
      </c>
      <c r="N5" s="181" t="str">
        <f>'Statement of Marks'!GV7</f>
        <v/>
      </c>
      <c r="O5" s="181" t="str">
        <f>'Statement of Marks'!GW7</f>
        <v/>
      </c>
      <c r="P5" s="181" t="str">
        <f>'Statement of Marks'!GX7</f>
        <v/>
      </c>
      <c r="Q5" s="181" t="str">
        <f>'Statement of Marks'!GY7</f>
        <v/>
      </c>
      <c r="R5" s="392" t="str">
        <f>'Statement of Marks'!HB7</f>
        <v>I</v>
      </c>
      <c r="S5" s="392" t="str">
        <f>'Statement of Marks'!HE7</f>
        <v>I</v>
      </c>
      <c r="T5" s="392" t="str">
        <f>'Statement of Marks'!HH7</f>
        <v>I</v>
      </c>
      <c r="U5" s="392" t="str">
        <f>'Statement of Marks'!HK7</f>
        <v>D</v>
      </c>
      <c r="V5" s="318"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9">
        <f>IF('Statement of Marks'!A8="","",'Statement of Marks'!A8)</f>
        <v>2</v>
      </c>
      <c r="B6" s="169">
        <f>IF('Statement of Marks'!B8="","",'Statement of Marks'!B8)</f>
        <v>902</v>
      </c>
      <c r="C6" s="169">
        <f>IF('Statement of Marks'!D8="","",'Statement of Marks'!D8)</f>
        <v>501</v>
      </c>
      <c r="D6" s="315">
        <f>IF('Statement of Marks'!E8="","",'Statement of Marks'!E8)</f>
        <v>40065</v>
      </c>
      <c r="E6" s="316" t="str">
        <f>IF('Statement of Marks'!F8="","",'Statement of Marks'!F8)</f>
        <v>RAM</v>
      </c>
      <c r="F6" s="316" t="str">
        <f>IF('Statement of Marks'!G8="","",'Statement of Marks'!G8)</f>
        <v>SHYAM</v>
      </c>
      <c r="G6" s="316" t="str">
        <f>IF('Statement of Marks'!H8="","",'Statement of Marks'!H8)</f>
        <v>SITA</v>
      </c>
      <c r="H6" s="830" t="str">
        <f>IF('Statement of Marks'!HS8="","",'Statement of Marks'!HS8)</f>
        <v>PASS</v>
      </c>
      <c r="I6" s="172" t="str">
        <f>IF('Statement of Marks'!HV8="","",'Statement of Marks'!HV8)</f>
        <v>1st</v>
      </c>
      <c r="J6" s="317">
        <f>IF('Statement of Marks'!HW8="","",'Statement of Marks'!HW8)</f>
        <v>71.583333333333329</v>
      </c>
      <c r="K6" s="392" t="str">
        <f>'Statement of Marks'!GN8</f>
        <v>I</v>
      </c>
      <c r="L6" s="392" t="str">
        <f>'Statement of Marks'!GQ8</f>
        <v>D</v>
      </c>
      <c r="M6" s="181" t="str">
        <f>'Statement of Marks'!GU8</f>
        <v>D</v>
      </c>
      <c r="N6" s="181" t="str">
        <f>'Statement of Marks'!GV8</f>
        <v/>
      </c>
      <c r="O6" s="181" t="str">
        <f>'Statement of Marks'!GW8</f>
        <v/>
      </c>
      <c r="P6" s="181" t="str">
        <f>'Statement of Marks'!GX8</f>
        <v/>
      </c>
      <c r="Q6" s="181" t="str">
        <f>'Statement of Marks'!GY8</f>
        <v/>
      </c>
      <c r="R6" s="392" t="str">
        <f>'Statement of Marks'!HB8</f>
        <v>II</v>
      </c>
      <c r="S6" s="392" t="str">
        <f>'Statement of Marks'!HE8</f>
        <v>II</v>
      </c>
      <c r="T6" s="392" t="str">
        <f>'Statement of Marks'!HH8</f>
        <v>I</v>
      </c>
      <c r="U6" s="392" t="str">
        <f>'Statement of Marks'!HK8</f>
        <v>II</v>
      </c>
      <c r="V6" s="318"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9">
        <f>IF('Statement of Marks'!A9="","",'Statement of Marks'!A9)</f>
        <v>3</v>
      </c>
      <c r="B7" s="169">
        <f>IF('Statement of Marks'!B9="","",'Statement of Marks'!B9)</f>
        <v>903</v>
      </c>
      <c r="C7" s="169" t="str">
        <f>IF('Statement of Marks'!D9="","",'Statement of Marks'!D9)</f>
        <v/>
      </c>
      <c r="D7" s="315">
        <f>IF('Statement of Marks'!E9="","",'Statement of Marks'!E9)</f>
        <v>41192</v>
      </c>
      <c r="E7" s="316" t="str">
        <f>IF('Statement of Marks'!F9="","",'Statement of Marks'!F9)</f>
        <v>DINESH</v>
      </c>
      <c r="F7" s="316" t="str">
        <f>IF('Statement of Marks'!G9="","",'Statement of Marks'!G9)</f>
        <v/>
      </c>
      <c r="G7" s="316" t="str">
        <f>IF('Statement of Marks'!H9="","",'Statement of Marks'!H9)</f>
        <v/>
      </c>
      <c r="H7" s="830" t="str">
        <f>IF('Statement of Marks'!HS9="","",'Statement of Marks'!HS9)</f>
        <v>FAIL</v>
      </c>
      <c r="I7" s="172" t="str">
        <f>IF('Statement of Marks'!HV9="","",'Statement of Marks'!HV9)</f>
        <v/>
      </c>
      <c r="J7" s="317" t="str">
        <f>IF('Statement of Marks'!HW9="","",'Statement of Marks'!HW9)</f>
        <v/>
      </c>
      <c r="K7" s="392" t="str">
        <f>'Statement of Marks'!GN9</f>
        <v>F</v>
      </c>
      <c r="L7" s="392" t="str">
        <f>'Statement of Marks'!GQ9</f>
        <v>D</v>
      </c>
      <c r="M7" s="181" t="str">
        <f>'Statement of Marks'!GU9</f>
        <v>II</v>
      </c>
      <c r="N7" s="181" t="str">
        <f>'Statement of Marks'!GV9</f>
        <v/>
      </c>
      <c r="O7" s="181" t="str">
        <f>'Statement of Marks'!GW9</f>
        <v/>
      </c>
      <c r="P7" s="181" t="str">
        <f>'Statement of Marks'!GX9</f>
        <v/>
      </c>
      <c r="Q7" s="181" t="str">
        <f>'Statement of Marks'!GY9</f>
        <v/>
      </c>
      <c r="R7" s="392" t="str">
        <f>'Statement of Marks'!HB9</f>
        <v>D</v>
      </c>
      <c r="S7" s="392" t="str">
        <f>'Statement of Marks'!HE9</f>
        <v>II</v>
      </c>
      <c r="T7" s="392" t="str">
        <f>'Statement of Marks'!HH9</f>
        <v>II</v>
      </c>
      <c r="U7" s="392" t="str">
        <f>'Statement of Marks'!HK9</f>
        <v>D</v>
      </c>
      <c r="V7" s="318"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9">
        <f>IF('Statement of Marks'!A10="","",'Statement of Marks'!A10)</f>
        <v>4</v>
      </c>
      <c r="B8" s="169">
        <f>IF('Statement of Marks'!B10="","",'Statement of Marks'!B10)</f>
        <v>904</v>
      </c>
      <c r="C8" s="169" t="str">
        <f>IF('Statement of Marks'!D10="","",'Statement of Marks'!D10)</f>
        <v/>
      </c>
      <c r="D8" s="315">
        <f>IF('Statement of Marks'!E10="","",'Statement of Marks'!E10)</f>
        <v>40670</v>
      </c>
      <c r="E8" s="316" t="str">
        <f>IF('Statement of Marks'!F10="","",'Statement of Marks'!F10)</f>
        <v>RAMESH</v>
      </c>
      <c r="F8" s="316" t="str">
        <f>IF('Statement of Marks'!G10="","",'Statement of Marks'!G10)</f>
        <v/>
      </c>
      <c r="G8" s="316" t="str">
        <f>IF('Statement of Marks'!H10="","",'Statement of Marks'!H10)</f>
        <v/>
      </c>
      <c r="H8" s="830" t="str">
        <f>IF('Statement of Marks'!HS10="","",'Statement of Marks'!HS10)</f>
        <v>BY GRACE PASS</v>
      </c>
      <c r="I8" s="172" t="str">
        <f>IF('Statement of Marks'!HV10="","",'Statement of Marks'!HV10)</f>
        <v>2nd</v>
      </c>
      <c r="J8" s="317">
        <f>IF('Statement of Marks'!HW10="","",'Statement of Marks'!HW10)</f>
        <v>57.75</v>
      </c>
      <c r="K8" s="392" t="str">
        <f>'Statement of Marks'!GN10</f>
        <v>I</v>
      </c>
      <c r="L8" s="392" t="str">
        <f>'Statement of Marks'!GQ10</f>
        <v>D</v>
      </c>
      <c r="M8" s="181" t="str">
        <f>'Statement of Marks'!GU10</f>
        <v>II</v>
      </c>
      <c r="N8" s="181" t="str">
        <f>'Statement of Marks'!GV10</f>
        <v/>
      </c>
      <c r="O8" s="181" t="str">
        <f>'Statement of Marks'!GW10</f>
        <v/>
      </c>
      <c r="P8" s="181" t="str">
        <f>'Statement of Marks'!GX10</f>
        <v/>
      </c>
      <c r="Q8" s="181" t="str">
        <f>'Statement of Marks'!GY10</f>
        <v/>
      </c>
      <c r="R8" s="392" t="str">
        <f>'Statement of Marks'!HB10</f>
        <v>G</v>
      </c>
      <c r="S8" s="392" t="str">
        <f>'Statement of Marks'!HE10</f>
        <v>II</v>
      </c>
      <c r="T8" s="392" t="str">
        <f>'Statement of Marks'!HH10</f>
        <v>II</v>
      </c>
      <c r="U8" s="392" t="str">
        <f>'Statement of Marks'!HK10</f>
        <v/>
      </c>
      <c r="V8" s="318"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9">
        <f>IF('Statement of Marks'!A11="","",'Statement of Marks'!A11)</f>
        <v>5</v>
      </c>
      <c r="B9" s="169">
        <f>IF('Statement of Marks'!B11="","",'Statement of Marks'!B11)</f>
        <v>905</v>
      </c>
      <c r="C9" s="169" t="str">
        <f>IF('Statement of Marks'!D11="","",'Statement of Marks'!D11)</f>
        <v/>
      </c>
      <c r="D9" s="315">
        <f>IF('Statement of Marks'!E11="","",'Statement of Marks'!E11)</f>
        <v>41525</v>
      </c>
      <c r="E9" s="316" t="str">
        <f>IF('Statement of Marks'!F11="","",'Statement of Marks'!F11)</f>
        <v>SHYAM</v>
      </c>
      <c r="F9" s="316" t="str">
        <f>IF('Statement of Marks'!G11="","",'Statement of Marks'!G11)</f>
        <v/>
      </c>
      <c r="G9" s="316" t="str">
        <f>IF('Statement of Marks'!H11="","",'Statement of Marks'!H11)</f>
        <v/>
      </c>
      <c r="H9" s="830" t="str">
        <f>IF('Statement of Marks'!HS11="","",'Statement of Marks'!HS11)</f>
        <v>PASS</v>
      </c>
      <c r="I9" s="172" t="str">
        <f>IF('Statement of Marks'!HV11="","",'Statement of Marks'!HV11)</f>
        <v>1st</v>
      </c>
      <c r="J9" s="317">
        <f>IF('Statement of Marks'!HW11="","",'Statement of Marks'!HW11)</f>
        <v>60.75</v>
      </c>
      <c r="K9" s="392" t="str">
        <f>'Statement of Marks'!GN11</f>
        <v>I</v>
      </c>
      <c r="L9" s="392" t="str">
        <f>'Statement of Marks'!GQ11</f>
        <v>I</v>
      </c>
      <c r="M9" s="181" t="str">
        <f>'Statement of Marks'!GU11</f>
        <v/>
      </c>
      <c r="N9" s="181" t="str">
        <f>'Statement of Marks'!GV11</f>
        <v>II</v>
      </c>
      <c r="O9" s="181" t="str">
        <f>'Statement of Marks'!GW11</f>
        <v/>
      </c>
      <c r="P9" s="181" t="str">
        <f>'Statement of Marks'!GX11</f>
        <v/>
      </c>
      <c r="Q9" s="181" t="str">
        <f>'Statement of Marks'!GY11</f>
        <v/>
      </c>
      <c r="R9" s="392" t="str">
        <f>'Statement of Marks'!HB11</f>
        <v>II</v>
      </c>
      <c r="S9" s="392" t="str">
        <f>'Statement of Marks'!HE11</f>
        <v>II</v>
      </c>
      <c r="T9" s="392" t="str">
        <f>'Statement of Marks'!HH11</f>
        <v>II</v>
      </c>
      <c r="U9" s="392" t="str">
        <f>'Statement of Marks'!HK11</f>
        <v/>
      </c>
      <c r="V9" s="318"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9">
        <f>IF('Statement of Marks'!A12="","",'Statement of Marks'!A12)</f>
        <v>6</v>
      </c>
      <c r="B10" s="169">
        <f>IF('Statement of Marks'!B12="","",'Statement of Marks'!B12)</f>
        <v>906</v>
      </c>
      <c r="C10" s="169" t="str">
        <f>IF('Statement of Marks'!D12="","",'Statement of Marks'!D12)</f>
        <v/>
      </c>
      <c r="D10" s="315">
        <f>IF('Statement of Marks'!E12="","",'Statement of Marks'!E12)</f>
        <v>40933</v>
      </c>
      <c r="E10" s="316" t="str">
        <f>IF('Statement of Marks'!F12="","",'Statement of Marks'!F12)</f>
        <v>GITA</v>
      </c>
      <c r="F10" s="316" t="str">
        <f>IF('Statement of Marks'!G12="","",'Statement of Marks'!G12)</f>
        <v/>
      </c>
      <c r="G10" s="316" t="str">
        <f>IF('Statement of Marks'!H12="","",'Statement of Marks'!H12)</f>
        <v/>
      </c>
      <c r="H10" s="830" t="str">
        <f>IF('Statement of Marks'!HS12="","",'Statement of Marks'!HS12)</f>
        <v>PASS</v>
      </c>
      <c r="I10" s="172" t="str">
        <f>IF('Statement of Marks'!HV12="","",'Statement of Marks'!HV12)</f>
        <v>1st</v>
      </c>
      <c r="J10" s="317">
        <f>IF('Statement of Marks'!HW12="","",'Statement of Marks'!HW12)</f>
        <v>65.294117647058826</v>
      </c>
      <c r="K10" s="392" t="str">
        <f>'Statement of Marks'!GN12</f>
        <v>I</v>
      </c>
      <c r="L10" s="392" t="str">
        <f>'Statement of Marks'!GQ12</f>
        <v>D</v>
      </c>
      <c r="M10" s="181" t="str">
        <f>'Statement of Marks'!GU12</f>
        <v/>
      </c>
      <c r="N10" s="181" t="str">
        <f>'Statement of Marks'!GV12</f>
        <v>II</v>
      </c>
      <c r="O10" s="181" t="str">
        <f>'Statement of Marks'!GW12</f>
        <v/>
      </c>
      <c r="P10" s="181" t="str">
        <f>'Statement of Marks'!GX12</f>
        <v/>
      </c>
      <c r="Q10" s="181" t="str">
        <f>'Statement of Marks'!GY12</f>
        <v/>
      </c>
      <c r="R10" s="392" t="str">
        <f>'Statement of Marks'!HB12</f>
        <v>II</v>
      </c>
      <c r="S10" s="392" t="str">
        <f>'Statement of Marks'!HE12</f>
        <v>II</v>
      </c>
      <c r="T10" s="392" t="str">
        <f>'Statement of Marks'!HH12</f>
        <v>II</v>
      </c>
      <c r="U10" s="392" t="str">
        <f>'Statement of Marks'!HK12</f>
        <v/>
      </c>
      <c r="V10" s="318" t="str">
        <f>IF(COUNTIF(K10:U10,"F")&gt;0,"",CONCATENATE('Statement of Marks'!HO12,'Statement of Marks'!HP12,'Statement of Marks'!HQ12))</f>
        <v xml:space="preserve">                  </v>
      </c>
      <c r="W10" s="186"/>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9">
        <f>IF('Statement of Marks'!A13="","",'Statement of Marks'!A13)</f>
        <v>7</v>
      </c>
      <c r="B11" s="169">
        <f>IF('Statement of Marks'!B13="","",'Statement of Marks'!B13)</f>
        <v>907</v>
      </c>
      <c r="C11" s="169" t="str">
        <f>IF('Statement of Marks'!D13="","",'Statement of Marks'!D13)</f>
        <v/>
      </c>
      <c r="D11" s="315">
        <f>IF('Statement of Marks'!E13="","",'Statement of Marks'!E13)</f>
        <v>41317</v>
      </c>
      <c r="E11" s="316" t="str">
        <f>IF('Statement of Marks'!F13="","",'Statement of Marks'!F13)</f>
        <v>MITA</v>
      </c>
      <c r="F11" s="316" t="str">
        <f>IF('Statement of Marks'!G13="","",'Statement of Marks'!G13)</f>
        <v/>
      </c>
      <c r="G11" s="316" t="str">
        <f>IF('Statement of Marks'!H13="","",'Statement of Marks'!H13)</f>
        <v/>
      </c>
      <c r="H11" s="830" t="str">
        <f>IF('Statement of Marks'!HS13="","",'Statement of Marks'!HS13)</f>
        <v>SUPPLEMENTARY</v>
      </c>
      <c r="I11" s="172" t="str">
        <f>IF('Statement of Marks'!HV13="","",'Statement of Marks'!HV13)</f>
        <v/>
      </c>
      <c r="J11" s="317" t="str">
        <f>IF('Statement of Marks'!HW13="","",'Statement of Marks'!HW13)</f>
        <v/>
      </c>
      <c r="K11" s="392" t="str">
        <f>'Statement of Marks'!GN13</f>
        <v>I</v>
      </c>
      <c r="L11" s="392" t="str">
        <f>'Statement of Marks'!GQ13</f>
        <v>I</v>
      </c>
      <c r="M11" s="181" t="str">
        <f>'Statement of Marks'!GU13</f>
        <v/>
      </c>
      <c r="N11" s="181" t="str">
        <f>'Statement of Marks'!GV13</f>
        <v/>
      </c>
      <c r="O11" s="181" t="str">
        <f>'Statement of Marks'!GW13</f>
        <v>II</v>
      </c>
      <c r="P11" s="181" t="str">
        <f>'Statement of Marks'!GX13</f>
        <v/>
      </c>
      <c r="Q11" s="181" t="str">
        <f>'Statement of Marks'!GY13</f>
        <v/>
      </c>
      <c r="R11" s="392" t="str">
        <f>'Statement of Marks'!HB13</f>
        <v>S</v>
      </c>
      <c r="S11" s="392" t="str">
        <f>'Statement of Marks'!HE13</f>
        <v>II</v>
      </c>
      <c r="T11" s="392" t="str">
        <f>'Statement of Marks'!HH13</f>
        <v>I</v>
      </c>
      <c r="U11" s="392" t="str">
        <f>'Statement of Marks'!HK13</f>
        <v/>
      </c>
      <c r="V11" s="318"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9">
        <f>IF('Statement of Marks'!A14="","",'Statement of Marks'!A14)</f>
        <v>8</v>
      </c>
      <c r="B12" s="169">
        <f>IF('Statement of Marks'!B14="","",'Statement of Marks'!B14)</f>
        <v>908</v>
      </c>
      <c r="C12" s="169" t="str">
        <f>IF('Statement of Marks'!D14="","",'Statement of Marks'!D14)</f>
        <v/>
      </c>
      <c r="D12" s="315">
        <f>IF('Statement of Marks'!E14="","",'Statement of Marks'!E14)</f>
        <v>40282</v>
      </c>
      <c r="E12" s="316" t="str">
        <f>IF('Statement of Marks'!F14="","",'Statement of Marks'!F14)</f>
        <v>SITA</v>
      </c>
      <c r="F12" s="316" t="str">
        <f>IF('Statement of Marks'!G14="","",'Statement of Marks'!G14)</f>
        <v/>
      </c>
      <c r="G12" s="316" t="str">
        <f>IF('Statement of Marks'!H14="","",'Statement of Marks'!H14)</f>
        <v/>
      </c>
      <c r="H12" s="830" t="str">
        <f>IF('Statement of Marks'!HS14="","",'Statement of Marks'!HS14)</f>
        <v>PASS</v>
      </c>
      <c r="I12" s="172" t="str">
        <f>IF('Statement of Marks'!HV14="","",'Statement of Marks'!HV14)</f>
        <v>1st</v>
      </c>
      <c r="J12" s="317">
        <f>IF('Statement of Marks'!HW14="","",'Statement of Marks'!HW14)</f>
        <v>70.5</v>
      </c>
      <c r="K12" s="392" t="str">
        <f>'Statement of Marks'!GN14</f>
        <v>I</v>
      </c>
      <c r="L12" s="392" t="str">
        <f>'Statement of Marks'!GQ14</f>
        <v>D</v>
      </c>
      <c r="M12" s="181" t="str">
        <f>'Statement of Marks'!GU14</f>
        <v/>
      </c>
      <c r="N12" s="181" t="str">
        <f>'Statement of Marks'!GV14</f>
        <v/>
      </c>
      <c r="O12" s="181" t="str">
        <f>'Statement of Marks'!GW14</f>
        <v>D</v>
      </c>
      <c r="P12" s="181" t="str">
        <f>'Statement of Marks'!GX14</f>
        <v/>
      </c>
      <c r="Q12" s="181" t="str">
        <f>'Statement of Marks'!GY14</f>
        <v/>
      </c>
      <c r="R12" s="392" t="str">
        <f>'Statement of Marks'!HB14</f>
        <v>II</v>
      </c>
      <c r="S12" s="392" t="str">
        <f>'Statement of Marks'!HE14</f>
        <v>II</v>
      </c>
      <c r="T12" s="392" t="str">
        <f>'Statement of Marks'!HH14</f>
        <v>II</v>
      </c>
      <c r="U12" s="392" t="str">
        <f>'Statement of Marks'!HK14</f>
        <v/>
      </c>
      <c r="V12" s="318"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9">
        <f>IF('Statement of Marks'!A15="","",'Statement of Marks'!A15)</f>
        <v>9</v>
      </c>
      <c r="B13" s="169">
        <f>IF('Statement of Marks'!B15="","",'Statement of Marks'!B15)</f>
        <v>909</v>
      </c>
      <c r="C13" s="169" t="str">
        <f>IF('Statement of Marks'!D15="","",'Statement of Marks'!D15)</f>
        <v/>
      </c>
      <c r="D13" s="315">
        <f>IF('Statement of Marks'!E15="","",'Statement of Marks'!E15)</f>
        <v>40065</v>
      </c>
      <c r="E13" s="316" t="str">
        <f>IF('Statement of Marks'!F15="","",'Statement of Marks'!F15)</f>
        <v>RITA</v>
      </c>
      <c r="F13" s="316" t="str">
        <f>IF('Statement of Marks'!G15="","",'Statement of Marks'!G15)</f>
        <v/>
      </c>
      <c r="G13" s="316" t="str">
        <f>IF('Statement of Marks'!H15="","",'Statement of Marks'!H15)</f>
        <v/>
      </c>
      <c r="H13" s="830" t="str">
        <f>IF('Statement of Marks'!HS15="","",'Statement of Marks'!HS15)</f>
        <v>PASS</v>
      </c>
      <c r="I13" s="172" t="str">
        <f>IF('Statement of Marks'!HV15="","",'Statement of Marks'!HV15)</f>
        <v>1st</v>
      </c>
      <c r="J13" s="317">
        <f>IF('Statement of Marks'!HW15="","",'Statement of Marks'!HW15)</f>
        <v>60.333333333333336</v>
      </c>
      <c r="K13" s="392" t="str">
        <f>'Statement of Marks'!GN15</f>
        <v>II</v>
      </c>
      <c r="L13" s="392" t="str">
        <f>'Statement of Marks'!GQ15</f>
        <v>D</v>
      </c>
      <c r="M13" s="181" t="str">
        <f>'Statement of Marks'!GU15</f>
        <v/>
      </c>
      <c r="N13" s="181" t="str">
        <f>'Statement of Marks'!GV15</f>
        <v>II</v>
      </c>
      <c r="O13" s="181" t="str">
        <f>'Statement of Marks'!GW15</f>
        <v/>
      </c>
      <c r="P13" s="181" t="str">
        <f>'Statement of Marks'!GX15</f>
        <v/>
      </c>
      <c r="Q13" s="181" t="str">
        <f>'Statement of Marks'!GY15</f>
        <v/>
      </c>
      <c r="R13" s="392" t="str">
        <f>'Statement of Marks'!HB15</f>
        <v>III</v>
      </c>
      <c r="S13" s="392" t="str">
        <f>'Statement of Marks'!HE15</f>
        <v>II</v>
      </c>
      <c r="T13" s="392" t="str">
        <f>'Statement of Marks'!HH15</f>
        <v>II</v>
      </c>
      <c r="U13" s="392" t="str">
        <f>'Statement of Marks'!HK15</f>
        <v/>
      </c>
      <c r="V13" s="318"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9">
        <f>IF('Statement of Marks'!A16="","",'Statement of Marks'!A16)</f>
        <v>10</v>
      </c>
      <c r="B14" s="169">
        <f>IF('Statement of Marks'!B16="","",'Statement of Marks'!B16)</f>
        <v>910</v>
      </c>
      <c r="C14" s="169" t="str">
        <f>IF('Statement of Marks'!D16="","",'Statement of Marks'!D16)</f>
        <v/>
      </c>
      <c r="D14" s="315">
        <f>IF('Statement of Marks'!E16="","",'Statement of Marks'!E16)</f>
        <v>40737</v>
      </c>
      <c r="E14" s="316" t="str">
        <f>IF('Statement of Marks'!F16="","",'Statement of Marks'!F16)</f>
        <v>SONU</v>
      </c>
      <c r="F14" s="316" t="str">
        <f>IF('Statement of Marks'!G16="","",'Statement of Marks'!G16)</f>
        <v/>
      </c>
      <c r="G14" s="316" t="str">
        <f>IF('Statement of Marks'!H16="","",'Statement of Marks'!H16)</f>
        <v/>
      </c>
      <c r="H14" s="830" t="str">
        <f>IF('Statement of Marks'!HS16="","",'Statement of Marks'!HS16)</f>
        <v>BY GRACE PASS</v>
      </c>
      <c r="I14" s="172" t="str">
        <f>IF('Statement of Marks'!HV16="","",'Statement of Marks'!HV16)</f>
        <v>2nd</v>
      </c>
      <c r="J14" s="317">
        <f>IF('Statement of Marks'!HW16="","",'Statement of Marks'!HW16)</f>
        <v>52.75</v>
      </c>
      <c r="K14" s="392" t="str">
        <f>'Statement of Marks'!GN16</f>
        <v>I</v>
      </c>
      <c r="L14" s="392" t="str">
        <f>'Statement of Marks'!GQ16</f>
        <v>III</v>
      </c>
      <c r="M14" s="181" t="str">
        <f>'Statement of Marks'!GU16</f>
        <v>II</v>
      </c>
      <c r="N14" s="181" t="str">
        <f>'Statement of Marks'!GV16</f>
        <v/>
      </c>
      <c r="O14" s="181" t="str">
        <f>'Statement of Marks'!GW16</f>
        <v/>
      </c>
      <c r="P14" s="181" t="str">
        <f>'Statement of Marks'!GX16</f>
        <v/>
      </c>
      <c r="Q14" s="181" t="str">
        <f>'Statement of Marks'!GY16</f>
        <v/>
      </c>
      <c r="R14" s="392" t="str">
        <f>'Statement of Marks'!HB16</f>
        <v>G</v>
      </c>
      <c r="S14" s="392" t="str">
        <f>'Statement of Marks'!HE16</f>
        <v>II</v>
      </c>
      <c r="T14" s="392" t="str">
        <f>'Statement of Marks'!HH16</f>
        <v>II</v>
      </c>
      <c r="U14" s="392" t="str">
        <f>'Statement of Marks'!HK16</f>
        <v/>
      </c>
      <c r="V14" s="318"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9">
        <f>IF('Statement of Marks'!A17="","",'Statement of Marks'!A17)</f>
        <v>11</v>
      </c>
      <c r="B15" s="169">
        <f>IF('Statement of Marks'!B17="","",'Statement of Marks'!B17)</f>
        <v>911</v>
      </c>
      <c r="C15" s="169" t="str">
        <f>IF('Statement of Marks'!D17="","",'Statement of Marks'!D17)</f>
        <v/>
      </c>
      <c r="D15" s="315">
        <f>IF('Statement of Marks'!E17="","",'Statement of Marks'!E17)</f>
        <v>41878</v>
      </c>
      <c r="E15" s="316" t="str">
        <f>IF('Statement of Marks'!F17="","",'Statement of Marks'!F17)</f>
        <v>MONU</v>
      </c>
      <c r="F15" s="316" t="str">
        <f>IF('Statement of Marks'!G17="","",'Statement of Marks'!G17)</f>
        <v/>
      </c>
      <c r="G15" s="316" t="str">
        <f>IF('Statement of Marks'!H17="","",'Statement of Marks'!H17)</f>
        <v/>
      </c>
      <c r="H15" s="830" t="str">
        <f>IF('Statement of Marks'!HS17="","",'Statement of Marks'!HS17)</f>
        <v>FAIL</v>
      </c>
      <c r="I15" s="172" t="str">
        <f>IF('Statement of Marks'!HV17="","",'Statement of Marks'!HV17)</f>
        <v/>
      </c>
      <c r="J15" s="317" t="str">
        <f>IF('Statement of Marks'!HW17="","",'Statement of Marks'!HW17)</f>
        <v/>
      </c>
      <c r="K15" s="392" t="str">
        <f>'Statement of Marks'!GN17</f>
        <v>AB</v>
      </c>
      <c r="L15" s="392" t="str">
        <f>'Statement of Marks'!GQ17</f>
        <v>D</v>
      </c>
      <c r="M15" s="181" t="str">
        <f>'Statement of Marks'!GU17</f>
        <v>II</v>
      </c>
      <c r="N15" s="181" t="str">
        <f>'Statement of Marks'!GV17</f>
        <v/>
      </c>
      <c r="O15" s="181" t="str">
        <f>'Statement of Marks'!GW17</f>
        <v/>
      </c>
      <c r="P15" s="181" t="str">
        <f>'Statement of Marks'!GX17</f>
        <v/>
      </c>
      <c r="Q15" s="181" t="str">
        <f>'Statement of Marks'!GY17</f>
        <v/>
      </c>
      <c r="R15" s="392" t="str">
        <f>'Statement of Marks'!HB17</f>
        <v>II</v>
      </c>
      <c r="S15" s="392" t="str">
        <f>'Statement of Marks'!HE17</f>
        <v>II</v>
      </c>
      <c r="T15" s="392" t="str">
        <f>'Statement of Marks'!HH17</f>
        <v>II</v>
      </c>
      <c r="U15" s="392" t="str">
        <f>'Statement of Marks'!HK17</f>
        <v/>
      </c>
      <c r="V15" s="318"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9">
        <f>IF('Statement of Marks'!A18="","",'Statement of Marks'!A18)</f>
        <v>12</v>
      </c>
      <c r="B16" s="169">
        <f>IF('Statement of Marks'!B18="","",'Statement of Marks'!B18)</f>
        <v>912</v>
      </c>
      <c r="C16" s="169" t="str">
        <f>IF('Statement of Marks'!D18="","",'Statement of Marks'!D18)</f>
        <v/>
      </c>
      <c r="D16" s="315" t="str">
        <f>IF('Statement of Marks'!E18="","",'Statement of Marks'!E18)</f>
        <v/>
      </c>
      <c r="E16" s="316" t="str">
        <f>IF('Statement of Marks'!F18="","",'Statement of Marks'!F18)</f>
        <v>JAY</v>
      </c>
      <c r="F16" s="316" t="str">
        <f>IF('Statement of Marks'!G18="","",'Statement of Marks'!G18)</f>
        <v/>
      </c>
      <c r="G16" s="316" t="str">
        <f>IF('Statement of Marks'!H18="","",'Statement of Marks'!H18)</f>
        <v/>
      </c>
      <c r="H16" s="830" t="str">
        <f>IF('Statement of Marks'!HS18="","",'Statement of Marks'!HS18)</f>
        <v>BY GRACE PASS</v>
      </c>
      <c r="I16" s="172" t="str">
        <f>IF('Statement of Marks'!HV18="","",'Statement of Marks'!HV18)</f>
        <v>2nd</v>
      </c>
      <c r="J16" s="317">
        <f>IF('Statement of Marks'!HW18="","",'Statement of Marks'!HW18)</f>
        <v>59.833333333333336</v>
      </c>
      <c r="K16" s="392" t="str">
        <f>'Statement of Marks'!GN18</f>
        <v>I</v>
      </c>
      <c r="L16" s="392" t="str">
        <f>'Statement of Marks'!GQ18</f>
        <v>D</v>
      </c>
      <c r="M16" s="181" t="str">
        <f>'Statement of Marks'!GU18</f>
        <v>II</v>
      </c>
      <c r="N16" s="181" t="str">
        <f>'Statement of Marks'!GV18</f>
        <v/>
      </c>
      <c r="O16" s="181" t="str">
        <f>'Statement of Marks'!GW18</f>
        <v/>
      </c>
      <c r="P16" s="181" t="str">
        <f>'Statement of Marks'!GX18</f>
        <v/>
      </c>
      <c r="Q16" s="181" t="str">
        <f>'Statement of Marks'!GY18</f>
        <v/>
      </c>
      <c r="R16" s="392" t="str">
        <f>'Statement of Marks'!HB18</f>
        <v>G</v>
      </c>
      <c r="S16" s="392" t="str">
        <f>'Statement of Marks'!HE18</f>
        <v>II</v>
      </c>
      <c r="T16" s="392" t="str">
        <f>'Statement of Marks'!HH18</f>
        <v>II</v>
      </c>
      <c r="U16" s="392" t="str">
        <f>'Statement of Marks'!HK18</f>
        <v/>
      </c>
      <c r="V16" s="318"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9">
        <f>IF('Statement of Marks'!A19="","",'Statement of Marks'!A19)</f>
        <v>13</v>
      </c>
      <c r="B17" s="169">
        <f>IF('Statement of Marks'!B19="","",'Statement of Marks'!B19)</f>
        <v>913</v>
      </c>
      <c r="C17" s="169" t="str">
        <f>IF('Statement of Marks'!D19="","",'Statement of Marks'!D19)</f>
        <v/>
      </c>
      <c r="D17" s="315" t="str">
        <f>IF('Statement of Marks'!E19="","",'Statement of Marks'!E19)</f>
        <v/>
      </c>
      <c r="E17" s="316" t="str">
        <f>IF('Statement of Marks'!F19="","",'Statement of Marks'!F19)</f>
        <v>VIRU</v>
      </c>
      <c r="F17" s="316" t="str">
        <f>IF('Statement of Marks'!G19="","",'Statement of Marks'!G19)</f>
        <v/>
      </c>
      <c r="G17" s="316" t="str">
        <f>IF('Statement of Marks'!H19="","",'Statement of Marks'!H19)</f>
        <v/>
      </c>
      <c r="H17" s="830" t="str">
        <f>IF('Statement of Marks'!HS19="","",'Statement of Marks'!HS19)</f>
        <v>PASS</v>
      </c>
      <c r="I17" s="172" t="str">
        <f>IF('Statement of Marks'!HV19="","",'Statement of Marks'!HV19)</f>
        <v>1st</v>
      </c>
      <c r="J17" s="317">
        <f>IF('Statement of Marks'!HW19="","",'Statement of Marks'!HW19)</f>
        <v>60.083333333333336</v>
      </c>
      <c r="K17" s="392" t="str">
        <f>'Statement of Marks'!GN19</f>
        <v>I</v>
      </c>
      <c r="L17" s="392" t="str">
        <f>'Statement of Marks'!GQ19</f>
        <v>D</v>
      </c>
      <c r="M17" s="181" t="str">
        <f>'Statement of Marks'!GU19</f>
        <v/>
      </c>
      <c r="N17" s="181" t="str">
        <f>'Statement of Marks'!GV19</f>
        <v>II</v>
      </c>
      <c r="O17" s="181" t="str">
        <f>'Statement of Marks'!GW19</f>
        <v/>
      </c>
      <c r="P17" s="181" t="str">
        <f>'Statement of Marks'!GX19</f>
        <v/>
      </c>
      <c r="Q17" s="181" t="str">
        <f>'Statement of Marks'!GY19</f>
        <v/>
      </c>
      <c r="R17" s="392" t="str">
        <f>'Statement of Marks'!HB19</f>
        <v>II</v>
      </c>
      <c r="S17" s="392" t="str">
        <f>'Statement of Marks'!HE19</f>
        <v>II</v>
      </c>
      <c r="T17" s="392" t="str">
        <f>'Statement of Marks'!HH19</f>
        <v>II</v>
      </c>
      <c r="U17" s="392" t="str">
        <f>'Statement of Marks'!HK19</f>
        <v/>
      </c>
      <c r="V17" s="318"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9">
        <f>IF('Statement of Marks'!A20="","",'Statement of Marks'!A20)</f>
        <v>14</v>
      </c>
      <c r="B18" s="169">
        <f>IF('Statement of Marks'!B20="","",'Statement of Marks'!B20)</f>
        <v>914</v>
      </c>
      <c r="C18" s="169" t="str">
        <f>IF('Statement of Marks'!D20="","",'Statement of Marks'!D20)</f>
        <v/>
      </c>
      <c r="D18" s="315" t="str">
        <f>IF('Statement of Marks'!E20="","",'Statement of Marks'!E20)</f>
        <v/>
      </c>
      <c r="E18" s="316" t="str">
        <f>IF('Statement of Marks'!F20="","",'Statement of Marks'!F20)</f>
        <v>ANIL</v>
      </c>
      <c r="F18" s="316" t="str">
        <f>IF('Statement of Marks'!G20="","",'Statement of Marks'!G20)</f>
        <v/>
      </c>
      <c r="G18" s="316" t="str">
        <f>IF('Statement of Marks'!H20="","",'Statement of Marks'!H20)</f>
        <v/>
      </c>
      <c r="H18" s="830" t="str">
        <f>IF('Statement of Marks'!HS20="","",'Statement of Marks'!HS20)</f>
        <v>BY GRACE PASS</v>
      </c>
      <c r="I18" s="172" t="str">
        <f>IF('Statement of Marks'!HV20="","",'Statement of Marks'!HV20)</f>
        <v>2nd</v>
      </c>
      <c r="J18" s="317">
        <f>IF('Statement of Marks'!HW20="","",'Statement of Marks'!HW20)</f>
        <v>56.5</v>
      </c>
      <c r="K18" s="392" t="str">
        <f>'Statement of Marks'!GN20</f>
        <v>I</v>
      </c>
      <c r="L18" s="392" t="str">
        <f>'Statement of Marks'!GQ20</f>
        <v>D</v>
      </c>
      <c r="M18" s="181" t="str">
        <f>'Statement of Marks'!GU20</f>
        <v/>
      </c>
      <c r="N18" s="181" t="str">
        <f>'Statement of Marks'!GV20</f>
        <v/>
      </c>
      <c r="O18" s="181" t="str">
        <f>'Statement of Marks'!GW20</f>
        <v/>
      </c>
      <c r="P18" s="181" t="str">
        <f>'Statement of Marks'!GX20</f>
        <v>II</v>
      </c>
      <c r="Q18" s="181" t="str">
        <f>'Statement of Marks'!GY20</f>
        <v/>
      </c>
      <c r="R18" s="392" t="str">
        <f>'Statement of Marks'!HB20</f>
        <v>G</v>
      </c>
      <c r="S18" s="392" t="str">
        <f>'Statement of Marks'!HE20</f>
        <v>G</v>
      </c>
      <c r="T18" s="392" t="str">
        <f>'Statement of Marks'!HH20</f>
        <v>II</v>
      </c>
      <c r="U18" s="392" t="str">
        <f>'Statement of Marks'!HK20</f>
        <v/>
      </c>
      <c r="V18" s="318"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9">
        <f>IF('Statement of Marks'!A21="","",'Statement of Marks'!A21)</f>
        <v>15</v>
      </c>
      <c r="B19" s="169">
        <f>IF('Statement of Marks'!B21="","",'Statement of Marks'!B21)</f>
        <v>915</v>
      </c>
      <c r="C19" s="169" t="str">
        <f>IF('Statement of Marks'!D21="","",'Statement of Marks'!D21)</f>
        <v/>
      </c>
      <c r="D19" s="315" t="str">
        <f>IF('Statement of Marks'!E21="","",'Statement of Marks'!E21)</f>
        <v/>
      </c>
      <c r="E19" s="316" t="str">
        <f>IF('Statement of Marks'!F21="","",'Statement of Marks'!F21)</f>
        <v>RAHIM</v>
      </c>
      <c r="F19" s="316" t="str">
        <f>IF('Statement of Marks'!G21="","",'Statement of Marks'!G21)</f>
        <v/>
      </c>
      <c r="G19" s="316" t="str">
        <f>IF('Statement of Marks'!H21="","",'Statement of Marks'!H21)</f>
        <v/>
      </c>
      <c r="H19" s="830" t="str">
        <f>IF('Statement of Marks'!HS21="","",'Statement of Marks'!HS21)</f>
        <v>PASS</v>
      </c>
      <c r="I19" s="172" t="str">
        <f>IF('Statement of Marks'!HV21="","",'Statement of Marks'!HV21)</f>
        <v>2nd</v>
      </c>
      <c r="J19" s="317">
        <f>IF('Statement of Marks'!HW21="","",'Statement of Marks'!HW21)</f>
        <v>57.25</v>
      </c>
      <c r="K19" s="392" t="str">
        <f>'Statement of Marks'!GN21</f>
        <v>II</v>
      </c>
      <c r="L19" s="392" t="str">
        <f>'Statement of Marks'!GQ21</f>
        <v>D</v>
      </c>
      <c r="M19" s="181" t="str">
        <f>'Statement of Marks'!GU21</f>
        <v/>
      </c>
      <c r="N19" s="181" t="str">
        <f>'Statement of Marks'!GV21</f>
        <v/>
      </c>
      <c r="O19" s="181" t="str">
        <f>'Statement of Marks'!GW21</f>
        <v/>
      </c>
      <c r="P19" s="181" t="str">
        <f>'Statement of Marks'!GX21</f>
        <v>II</v>
      </c>
      <c r="Q19" s="181" t="str">
        <f>'Statement of Marks'!GY21</f>
        <v/>
      </c>
      <c r="R19" s="392" t="str">
        <f>'Statement of Marks'!HB21</f>
        <v>III</v>
      </c>
      <c r="S19" s="392" t="str">
        <f>'Statement of Marks'!HE21</f>
        <v>II</v>
      </c>
      <c r="T19" s="392" t="str">
        <f>'Statement of Marks'!HH21</f>
        <v>II</v>
      </c>
      <c r="U19" s="392" t="str">
        <f>'Statement of Marks'!HK21</f>
        <v/>
      </c>
      <c r="V19" s="318"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9">
        <f>IF('Statement of Marks'!A22="","",'Statement of Marks'!A22)</f>
        <v>16</v>
      </c>
      <c r="B20" s="169">
        <f>IF('Statement of Marks'!B22="","",'Statement of Marks'!B22)</f>
        <v>916</v>
      </c>
      <c r="C20" s="169" t="str">
        <f>IF('Statement of Marks'!D22="","",'Statement of Marks'!D22)</f>
        <v/>
      </c>
      <c r="D20" s="315" t="str">
        <f>IF('Statement of Marks'!E22="","",'Statement of Marks'!E22)</f>
        <v/>
      </c>
      <c r="E20" s="316" t="str">
        <f>IF('Statement of Marks'!F22="","",'Statement of Marks'!F22)</f>
        <v>KARIM</v>
      </c>
      <c r="F20" s="316" t="str">
        <f>IF('Statement of Marks'!G22="","",'Statement of Marks'!G22)</f>
        <v/>
      </c>
      <c r="G20" s="316" t="str">
        <f>IF('Statement of Marks'!H22="","",'Statement of Marks'!H22)</f>
        <v/>
      </c>
      <c r="H20" s="830" t="str">
        <f>IF('Statement of Marks'!HS22="","",'Statement of Marks'!HS22)</f>
        <v>PASS</v>
      </c>
      <c r="I20" s="172" t="str">
        <f>IF('Statement of Marks'!HV22="","",'Statement of Marks'!HV22)</f>
        <v>1st</v>
      </c>
      <c r="J20" s="317">
        <f>IF('Statement of Marks'!HW22="","",'Statement of Marks'!HW22)</f>
        <v>64</v>
      </c>
      <c r="K20" s="392" t="str">
        <f>'Statement of Marks'!GN22</f>
        <v>I</v>
      </c>
      <c r="L20" s="392" t="str">
        <f>'Statement of Marks'!GQ22</f>
        <v>D</v>
      </c>
      <c r="M20" s="181" t="str">
        <f>'Statement of Marks'!GU22</f>
        <v/>
      </c>
      <c r="N20" s="181" t="str">
        <f>'Statement of Marks'!GV22</f>
        <v/>
      </c>
      <c r="O20" s="181" t="str">
        <f>'Statement of Marks'!GW22</f>
        <v/>
      </c>
      <c r="P20" s="181" t="str">
        <f>'Statement of Marks'!GX22</f>
        <v/>
      </c>
      <c r="Q20" s="181" t="str">
        <f>'Statement of Marks'!GY22</f>
        <v>II</v>
      </c>
      <c r="R20" s="392" t="str">
        <f>'Statement of Marks'!HB22</f>
        <v>II</v>
      </c>
      <c r="S20" s="392" t="str">
        <f>'Statement of Marks'!HE22</f>
        <v>II</v>
      </c>
      <c r="T20" s="392" t="str">
        <f>'Statement of Marks'!HH22</f>
        <v>II</v>
      </c>
      <c r="U20" s="392" t="str">
        <f>'Statement of Marks'!HK22</f>
        <v/>
      </c>
      <c r="V20" s="318"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9">
        <f>IF('Statement of Marks'!A23="","",'Statement of Marks'!A23)</f>
        <v>17</v>
      </c>
      <c r="B21" s="169">
        <f>IF('Statement of Marks'!B23="","",'Statement of Marks'!B23)</f>
        <v>917</v>
      </c>
      <c r="C21" s="169" t="str">
        <f>IF('Statement of Marks'!D23="","",'Statement of Marks'!D23)</f>
        <v/>
      </c>
      <c r="D21" s="315" t="str">
        <f>IF('Statement of Marks'!E23="","",'Statement of Marks'!E23)</f>
        <v/>
      </c>
      <c r="E21" s="316" t="str">
        <f>IF('Statement of Marks'!F23="","",'Statement of Marks'!F23)</f>
        <v>FATIMA</v>
      </c>
      <c r="F21" s="316" t="str">
        <f>IF('Statement of Marks'!G23="","",'Statement of Marks'!G23)</f>
        <v/>
      </c>
      <c r="G21" s="316" t="str">
        <f>IF('Statement of Marks'!H23="","",'Statement of Marks'!H23)</f>
        <v/>
      </c>
      <c r="H21" s="830" t="str">
        <f>IF('Statement of Marks'!HS23="","",'Statement of Marks'!HS23)</f>
        <v>PASS</v>
      </c>
      <c r="I21" s="172" t="str">
        <f>IF('Statement of Marks'!HV23="","",'Statement of Marks'!HV23)</f>
        <v>1st</v>
      </c>
      <c r="J21" s="317">
        <f>IF('Statement of Marks'!HW23="","",'Statement of Marks'!HW23)</f>
        <v>64.083333333333329</v>
      </c>
      <c r="K21" s="392" t="str">
        <f>'Statement of Marks'!GN23</f>
        <v>I</v>
      </c>
      <c r="L21" s="392" t="str">
        <f>'Statement of Marks'!GQ23</f>
        <v>D</v>
      </c>
      <c r="M21" s="181" t="str">
        <f>'Statement of Marks'!GU23</f>
        <v/>
      </c>
      <c r="N21" s="181" t="str">
        <f>'Statement of Marks'!GV23</f>
        <v/>
      </c>
      <c r="O21" s="181" t="str">
        <f>'Statement of Marks'!GW23</f>
        <v/>
      </c>
      <c r="P21" s="181" t="str">
        <f>'Statement of Marks'!GX23</f>
        <v/>
      </c>
      <c r="Q21" s="181" t="str">
        <f>'Statement of Marks'!GY23</f>
        <v>II</v>
      </c>
      <c r="R21" s="392" t="str">
        <f>'Statement of Marks'!HB23</f>
        <v>II</v>
      </c>
      <c r="S21" s="392" t="str">
        <f>'Statement of Marks'!HE23</f>
        <v>II</v>
      </c>
      <c r="T21" s="392" t="str">
        <f>'Statement of Marks'!HH23</f>
        <v>II</v>
      </c>
      <c r="U21" s="392" t="str">
        <f>'Statement of Marks'!HK23</f>
        <v/>
      </c>
      <c r="V21" s="318"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9">
        <f>IF('Statement of Marks'!A24="","",'Statement of Marks'!A24)</f>
        <v>18</v>
      </c>
      <c r="B22" s="169">
        <f>IF('Statement of Marks'!B24="","",'Statement of Marks'!B24)</f>
        <v>918</v>
      </c>
      <c r="C22" s="169" t="str">
        <f>IF('Statement of Marks'!D24="","",'Statement of Marks'!D24)</f>
        <v/>
      </c>
      <c r="D22" s="315" t="str">
        <f>IF('Statement of Marks'!E24="","",'Statement of Marks'!E24)</f>
        <v/>
      </c>
      <c r="E22" s="316" t="str">
        <f>IF('Statement of Marks'!F24="","",'Statement of Marks'!F24)</f>
        <v>LAXMI</v>
      </c>
      <c r="F22" s="316" t="str">
        <f>IF('Statement of Marks'!G24="","",'Statement of Marks'!G24)</f>
        <v/>
      </c>
      <c r="G22" s="316" t="str">
        <f>IF('Statement of Marks'!H24="","",'Statement of Marks'!H24)</f>
        <v/>
      </c>
      <c r="H22" s="830" t="str">
        <f>IF('Statement of Marks'!HS24="","",'Statement of Marks'!HS24)</f>
        <v>PASS</v>
      </c>
      <c r="I22" s="172" t="str">
        <f>IF('Statement of Marks'!HV24="","",'Statement of Marks'!HV24)</f>
        <v>1st</v>
      </c>
      <c r="J22" s="317">
        <f>IF('Statement of Marks'!HW24="","",'Statement of Marks'!HW24)</f>
        <v>64</v>
      </c>
      <c r="K22" s="392" t="str">
        <f>'Statement of Marks'!GN24</f>
        <v>I</v>
      </c>
      <c r="L22" s="392" t="str">
        <f>'Statement of Marks'!GQ24</f>
        <v>D</v>
      </c>
      <c r="M22" s="181" t="str">
        <f>'Statement of Marks'!GU24</f>
        <v/>
      </c>
      <c r="N22" s="181" t="str">
        <f>'Statement of Marks'!GV24</f>
        <v>II</v>
      </c>
      <c r="O22" s="181" t="str">
        <f>'Statement of Marks'!GW24</f>
        <v/>
      </c>
      <c r="P22" s="181" t="str">
        <f>'Statement of Marks'!GX24</f>
        <v/>
      </c>
      <c r="Q22" s="181" t="str">
        <f>'Statement of Marks'!GY24</f>
        <v/>
      </c>
      <c r="R22" s="392" t="str">
        <f>'Statement of Marks'!HB24</f>
        <v>II</v>
      </c>
      <c r="S22" s="392" t="str">
        <f>'Statement of Marks'!HE24</f>
        <v>II</v>
      </c>
      <c r="T22" s="392" t="str">
        <f>'Statement of Marks'!HH24</f>
        <v>II</v>
      </c>
      <c r="U22" s="392" t="str">
        <f>'Statement of Marks'!HK24</f>
        <v/>
      </c>
      <c r="V22" s="318"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9">
        <f>IF('Statement of Marks'!A25="","",'Statement of Marks'!A25)</f>
        <v>19</v>
      </c>
      <c r="B23" s="169">
        <f>IF('Statement of Marks'!B25="","",'Statement of Marks'!B25)</f>
        <v>919</v>
      </c>
      <c r="C23" s="169" t="str">
        <f>IF('Statement of Marks'!D25="","",'Statement of Marks'!D25)</f>
        <v/>
      </c>
      <c r="D23" s="315" t="str">
        <f>IF('Statement of Marks'!E25="","",'Statement of Marks'!E25)</f>
        <v/>
      </c>
      <c r="E23" s="316" t="str">
        <f>IF('Statement of Marks'!F25="","",'Statement of Marks'!F25)</f>
        <v>RAZA</v>
      </c>
      <c r="F23" s="316" t="str">
        <f>IF('Statement of Marks'!G25="","",'Statement of Marks'!G25)</f>
        <v/>
      </c>
      <c r="G23" s="316" t="str">
        <f>IF('Statement of Marks'!H25="","",'Statement of Marks'!H25)</f>
        <v/>
      </c>
      <c r="H23" s="830" t="str">
        <f>IF('Statement of Marks'!HS25="","",'Statement of Marks'!HS25)</f>
        <v>PASS</v>
      </c>
      <c r="I23" s="172" t="str">
        <f>IF('Statement of Marks'!HV25="","",'Statement of Marks'!HV25)</f>
        <v>1st</v>
      </c>
      <c r="J23" s="317">
        <f>IF('Statement of Marks'!HW25="","",'Statement of Marks'!HW25)</f>
        <v>64</v>
      </c>
      <c r="K23" s="392" t="str">
        <f>'Statement of Marks'!GN25</f>
        <v>I</v>
      </c>
      <c r="L23" s="392" t="str">
        <f>'Statement of Marks'!GQ25</f>
        <v>D</v>
      </c>
      <c r="M23" s="181" t="str">
        <f>'Statement of Marks'!GU25</f>
        <v/>
      </c>
      <c r="N23" s="181" t="str">
        <f>'Statement of Marks'!GV25</f>
        <v>II</v>
      </c>
      <c r="O23" s="181" t="str">
        <f>'Statement of Marks'!GW25</f>
        <v/>
      </c>
      <c r="P23" s="181" t="str">
        <f>'Statement of Marks'!GX25</f>
        <v/>
      </c>
      <c r="Q23" s="181" t="str">
        <f>'Statement of Marks'!GY25</f>
        <v/>
      </c>
      <c r="R23" s="392" t="str">
        <f>'Statement of Marks'!HB25</f>
        <v>II</v>
      </c>
      <c r="S23" s="392" t="str">
        <f>'Statement of Marks'!HE25</f>
        <v>II</v>
      </c>
      <c r="T23" s="392" t="str">
        <f>'Statement of Marks'!HH25</f>
        <v>II</v>
      </c>
      <c r="U23" s="392" t="str">
        <f>'Statement of Marks'!HK25</f>
        <v/>
      </c>
      <c r="V23" s="318"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9">
        <f>IF('Statement of Marks'!A26="","",'Statement of Marks'!A26)</f>
        <v>20</v>
      </c>
      <c r="B24" s="169">
        <f>IF('Statement of Marks'!B26="","",'Statement of Marks'!B26)</f>
        <v>920</v>
      </c>
      <c r="C24" s="169" t="str">
        <f>IF('Statement of Marks'!D26="","",'Statement of Marks'!D26)</f>
        <v/>
      </c>
      <c r="D24" s="315" t="str">
        <f>IF('Statement of Marks'!E26="","",'Statement of Marks'!E26)</f>
        <v/>
      </c>
      <c r="E24" s="316" t="str">
        <f>IF('Statement of Marks'!F26="","",'Statement of Marks'!F26)</f>
        <v>ROZA</v>
      </c>
      <c r="F24" s="316" t="str">
        <f>IF('Statement of Marks'!G26="","",'Statement of Marks'!G26)</f>
        <v/>
      </c>
      <c r="G24" s="316" t="str">
        <f>IF('Statement of Marks'!H26="","",'Statement of Marks'!H26)</f>
        <v/>
      </c>
      <c r="H24" s="830" t="str">
        <f>IF('Statement of Marks'!HS26="","",'Statement of Marks'!HS26)</f>
        <v>PASS</v>
      </c>
      <c r="I24" s="172" t="str">
        <f>IF('Statement of Marks'!HV26="","",'Statement of Marks'!HV26)</f>
        <v>1st</v>
      </c>
      <c r="J24" s="317">
        <f>IF('Statement of Marks'!HW26="","",'Statement of Marks'!HW26)</f>
        <v>64</v>
      </c>
      <c r="K24" s="392" t="str">
        <f>'Statement of Marks'!GN26</f>
        <v>I</v>
      </c>
      <c r="L24" s="392" t="str">
        <f>'Statement of Marks'!GQ26</f>
        <v>D</v>
      </c>
      <c r="M24" s="181" t="str">
        <f>'Statement of Marks'!GU26</f>
        <v/>
      </c>
      <c r="N24" s="181" t="str">
        <f>'Statement of Marks'!GV26</f>
        <v/>
      </c>
      <c r="O24" s="181" t="str">
        <f>'Statement of Marks'!GW26</f>
        <v/>
      </c>
      <c r="P24" s="181" t="str">
        <f>'Statement of Marks'!GX26</f>
        <v>II</v>
      </c>
      <c r="Q24" s="181" t="str">
        <f>'Statement of Marks'!GY26</f>
        <v/>
      </c>
      <c r="R24" s="392" t="str">
        <f>'Statement of Marks'!HB26</f>
        <v>II</v>
      </c>
      <c r="S24" s="392" t="str">
        <f>'Statement of Marks'!HE26</f>
        <v>II</v>
      </c>
      <c r="T24" s="392" t="str">
        <f>'Statement of Marks'!HH26</f>
        <v>II</v>
      </c>
      <c r="U24" s="392" t="str">
        <f>'Statement of Marks'!HK26</f>
        <v/>
      </c>
      <c r="V24" s="318"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9">
        <f>IF('Statement of Marks'!A27="","",'Statement of Marks'!A27)</f>
        <v>21</v>
      </c>
      <c r="B25" s="169">
        <f>IF('Statement of Marks'!B27="","",'Statement of Marks'!B27)</f>
        <v>921</v>
      </c>
      <c r="C25" s="169" t="str">
        <f>IF('Statement of Marks'!D27="","",'Statement of Marks'!D27)</f>
        <v/>
      </c>
      <c r="D25" s="315" t="str">
        <f>IF('Statement of Marks'!E27="","",'Statement of Marks'!E27)</f>
        <v/>
      </c>
      <c r="E25" s="316" t="str">
        <f>IF('Statement of Marks'!F27="","",'Statement of Marks'!F27)</f>
        <v>VILIAM</v>
      </c>
      <c r="F25" s="316" t="str">
        <f>IF('Statement of Marks'!G27="","",'Statement of Marks'!G27)</f>
        <v/>
      </c>
      <c r="G25" s="316" t="str">
        <f>IF('Statement of Marks'!H27="","",'Statement of Marks'!H27)</f>
        <v/>
      </c>
      <c r="H25" s="830" t="str">
        <f>IF('Statement of Marks'!HS27="","",'Statement of Marks'!HS27)</f>
        <v>PASS</v>
      </c>
      <c r="I25" s="172" t="str">
        <f>IF('Statement of Marks'!HV27="","",'Statement of Marks'!HV27)</f>
        <v>1st</v>
      </c>
      <c r="J25" s="317">
        <f>IF('Statement of Marks'!HW27="","",'Statement of Marks'!HW27)</f>
        <v>64</v>
      </c>
      <c r="K25" s="392" t="str">
        <f>'Statement of Marks'!GN27</f>
        <v>I</v>
      </c>
      <c r="L25" s="392" t="str">
        <f>'Statement of Marks'!GQ27</f>
        <v>D</v>
      </c>
      <c r="M25" s="181" t="str">
        <f>'Statement of Marks'!GU27</f>
        <v/>
      </c>
      <c r="N25" s="181" t="str">
        <f>'Statement of Marks'!GV27</f>
        <v>II</v>
      </c>
      <c r="O25" s="181" t="str">
        <f>'Statement of Marks'!GW27</f>
        <v/>
      </c>
      <c r="P25" s="181" t="str">
        <f>'Statement of Marks'!GX27</f>
        <v/>
      </c>
      <c r="Q25" s="181" t="str">
        <f>'Statement of Marks'!GY27</f>
        <v/>
      </c>
      <c r="R25" s="392" t="str">
        <f>'Statement of Marks'!HB27</f>
        <v>II</v>
      </c>
      <c r="S25" s="392" t="str">
        <f>'Statement of Marks'!HE27</f>
        <v>II</v>
      </c>
      <c r="T25" s="392" t="str">
        <f>'Statement of Marks'!HH27</f>
        <v>II</v>
      </c>
      <c r="U25" s="392" t="str">
        <f>'Statement of Marks'!HK27</f>
        <v/>
      </c>
      <c r="V25" s="318"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9">
        <f>IF('Statement of Marks'!A28="","",'Statement of Marks'!A28)</f>
        <v>22</v>
      </c>
      <c r="B26" s="169">
        <f>IF('Statement of Marks'!B28="","",'Statement of Marks'!B28)</f>
        <v>922</v>
      </c>
      <c r="C26" s="169" t="str">
        <f>IF('Statement of Marks'!D28="","",'Statement of Marks'!D28)</f>
        <v/>
      </c>
      <c r="D26" s="315" t="str">
        <f>IF('Statement of Marks'!E28="","",'Statement of Marks'!E28)</f>
        <v/>
      </c>
      <c r="E26" s="316" t="str">
        <f>IF('Statement of Marks'!F28="","",'Statement of Marks'!F28)</f>
        <v>ROZER</v>
      </c>
      <c r="F26" s="316" t="str">
        <f>IF('Statement of Marks'!G28="","",'Statement of Marks'!G28)</f>
        <v/>
      </c>
      <c r="G26" s="316" t="str">
        <f>IF('Statement of Marks'!H28="","",'Statement of Marks'!H28)</f>
        <v/>
      </c>
      <c r="H26" s="830" t="str">
        <f>IF('Statement of Marks'!HS28="","",'Statement of Marks'!HS28)</f>
        <v>PASS</v>
      </c>
      <c r="I26" s="172" t="str">
        <f>IF('Statement of Marks'!HV28="","",'Statement of Marks'!HV28)</f>
        <v>1st</v>
      </c>
      <c r="J26" s="317">
        <f>IF('Statement of Marks'!HW28="","",'Statement of Marks'!HW28)</f>
        <v>64.25</v>
      </c>
      <c r="K26" s="392" t="str">
        <f>'Statement of Marks'!GN28</f>
        <v>I</v>
      </c>
      <c r="L26" s="392" t="str">
        <f>'Statement of Marks'!GQ28</f>
        <v>D</v>
      </c>
      <c r="M26" s="181" t="str">
        <f>'Statement of Marks'!GU28</f>
        <v/>
      </c>
      <c r="N26" s="181" t="str">
        <f>'Statement of Marks'!GV28</f>
        <v>II</v>
      </c>
      <c r="O26" s="181" t="str">
        <f>'Statement of Marks'!GW28</f>
        <v/>
      </c>
      <c r="P26" s="181" t="str">
        <f>'Statement of Marks'!GX28</f>
        <v/>
      </c>
      <c r="Q26" s="181" t="str">
        <f>'Statement of Marks'!GY28</f>
        <v/>
      </c>
      <c r="R26" s="392" t="str">
        <f>'Statement of Marks'!HB28</f>
        <v>II</v>
      </c>
      <c r="S26" s="392" t="str">
        <f>'Statement of Marks'!HE28</f>
        <v>II</v>
      </c>
      <c r="T26" s="392" t="str">
        <f>'Statement of Marks'!HH28</f>
        <v>II</v>
      </c>
      <c r="U26" s="392" t="str">
        <f>'Statement of Marks'!HK28</f>
        <v/>
      </c>
      <c r="V26" s="318"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9">
        <f>IF('Statement of Marks'!A29="","",'Statement of Marks'!A29)</f>
        <v>23</v>
      </c>
      <c r="B27" s="169">
        <f>IF('Statement of Marks'!B29="","",'Statement of Marks'!B29)</f>
        <v>923</v>
      </c>
      <c r="C27" s="169" t="str">
        <f>IF('Statement of Marks'!D29="","",'Statement of Marks'!D29)</f>
        <v/>
      </c>
      <c r="D27" s="315" t="str">
        <f>IF('Statement of Marks'!E29="","",'Statement of Marks'!E29)</f>
        <v/>
      </c>
      <c r="E27" s="316" t="str">
        <f>IF('Statement of Marks'!F29="","",'Statement of Marks'!F29)</f>
        <v>DINESH</v>
      </c>
      <c r="F27" s="316" t="str">
        <f>IF('Statement of Marks'!G29="","",'Statement of Marks'!G29)</f>
        <v/>
      </c>
      <c r="G27" s="316" t="str">
        <f>IF('Statement of Marks'!H29="","",'Statement of Marks'!H29)</f>
        <v/>
      </c>
      <c r="H27" s="830" t="str">
        <f>IF('Statement of Marks'!HS29="","",'Statement of Marks'!HS29)</f>
        <v>PASS</v>
      </c>
      <c r="I27" s="172" t="str">
        <f>IF('Statement of Marks'!HV29="","",'Statement of Marks'!HV29)</f>
        <v>1st</v>
      </c>
      <c r="J27" s="317">
        <f>IF('Statement of Marks'!HW29="","",'Statement of Marks'!HW29)</f>
        <v>64.083333333333329</v>
      </c>
      <c r="K27" s="392" t="str">
        <f>'Statement of Marks'!GN29</f>
        <v>I</v>
      </c>
      <c r="L27" s="392" t="str">
        <f>'Statement of Marks'!GQ29</f>
        <v>D</v>
      </c>
      <c r="M27" s="181" t="str">
        <f>'Statement of Marks'!GU29</f>
        <v/>
      </c>
      <c r="N27" s="181" t="str">
        <f>'Statement of Marks'!GV29</f>
        <v/>
      </c>
      <c r="O27" s="181" t="str">
        <f>'Statement of Marks'!GW29</f>
        <v>II</v>
      </c>
      <c r="P27" s="181" t="str">
        <f>'Statement of Marks'!GX29</f>
        <v/>
      </c>
      <c r="Q27" s="181" t="str">
        <f>'Statement of Marks'!GY29</f>
        <v/>
      </c>
      <c r="R27" s="392" t="str">
        <f>'Statement of Marks'!HB29</f>
        <v>II</v>
      </c>
      <c r="S27" s="392" t="str">
        <f>'Statement of Marks'!HE29</f>
        <v>II</v>
      </c>
      <c r="T27" s="392" t="str">
        <f>'Statement of Marks'!HH29</f>
        <v>II</v>
      </c>
      <c r="U27" s="392" t="str">
        <f>'Statement of Marks'!HK29</f>
        <v/>
      </c>
      <c r="V27" s="318"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9">
        <f>IF('Statement of Marks'!A30="","",'Statement of Marks'!A30)</f>
        <v>24</v>
      </c>
      <c r="B28" s="169">
        <f>IF('Statement of Marks'!B30="","",'Statement of Marks'!B30)</f>
        <v>924</v>
      </c>
      <c r="C28" s="169" t="str">
        <f>IF('Statement of Marks'!D30="","",'Statement of Marks'!D30)</f>
        <v/>
      </c>
      <c r="D28" s="315" t="str">
        <f>IF('Statement of Marks'!E30="","",'Statement of Marks'!E30)</f>
        <v/>
      </c>
      <c r="E28" s="316" t="str">
        <f>IF('Statement of Marks'!F30="","",'Statement of Marks'!F30)</f>
        <v>MAHESH</v>
      </c>
      <c r="F28" s="316" t="str">
        <f>IF('Statement of Marks'!G30="","",'Statement of Marks'!G30)</f>
        <v/>
      </c>
      <c r="G28" s="316" t="str">
        <f>IF('Statement of Marks'!H30="","",'Statement of Marks'!H30)</f>
        <v/>
      </c>
      <c r="H28" s="830" t="str">
        <f>IF('Statement of Marks'!HS30="","",'Statement of Marks'!HS30)</f>
        <v>PASS</v>
      </c>
      <c r="I28" s="172" t="str">
        <f>IF('Statement of Marks'!HV30="","",'Statement of Marks'!HV30)</f>
        <v>1st</v>
      </c>
      <c r="J28" s="317">
        <f>IF('Statement of Marks'!HW30="","",'Statement of Marks'!HW30)</f>
        <v>64</v>
      </c>
      <c r="K28" s="392" t="str">
        <f>'Statement of Marks'!GN30</f>
        <v>I</v>
      </c>
      <c r="L28" s="392" t="str">
        <f>'Statement of Marks'!GQ30</f>
        <v>D</v>
      </c>
      <c r="M28" s="181" t="str">
        <f>'Statement of Marks'!GU30</f>
        <v>II</v>
      </c>
      <c r="N28" s="181" t="str">
        <f>'Statement of Marks'!GV30</f>
        <v/>
      </c>
      <c r="O28" s="181" t="str">
        <f>'Statement of Marks'!GW30</f>
        <v/>
      </c>
      <c r="P28" s="181" t="str">
        <f>'Statement of Marks'!GX30</f>
        <v/>
      </c>
      <c r="Q28" s="181" t="str">
        <f>'Statement of Marks'!GY30</f>
        <v/>
      </c>
      <c r="R28" s="392" t="str">
        <f>'Statement of Marks'!HB30</f>
        <v>II</v>
      </c>
      <c r="S28" s="392" t="str">
        <f>'Statement of Marks'!HE30</f>
        <v>II</v>
      </c>
      <c r="T28" s="392" t="str">
        <f>'Statement of Marks'!HH30</f>
        <v>II</v>
      </c>
      <c r="U28" s="392" t="str">
        <f>'Statement of Marks'!HK30</f>
        <v/>
      </c>
      <c r="V28" s="318"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9">
        <f>IF('Statement of Marks'!A31="","",'Statement of Marks'!A31)</f>
        <v>25</v>
      </c>
      <c r="B29" s="169">
        <f>IF('Statement of Marks'!B31="","",'Statement of Marks'!B31)</f>
        <v>925</v>
      </c>
      <c r="C29" s="169" t="str">
        <f>IF('Statement of Marks'!D31="","",'Statement of Marks'!D31)</f>
        <v/>
      </c>
      <c r="D29" s="315" t="str">
        <f>IF('Statement of Marks'!E31="","",'Statement of Marks'!E31)</f>
        <v/>
      </c>
      <c r="E29" s="316" t="str">
        <f>IF('Statement of Marks'!F31="","",'Statement of Marks'!F31)</f>
        <v>RINA</v>
      </c>
      <c r="F29" s="316" t="str">
        <f>IF('Statement of Marks'!G31="","",'Statement of Marks'!G31)</f>
        <v/>
      </c>
      <c r="G29" s="316" t="str">
        <f>IF('Statement of Marks'!H31="","",'Statement of Marks'!H31)</f>
        <v/>
      </c>
      <c r="H29" s="830" t="str">
        <f>IF('Statement of Marks'!HS31="","",'Statement of Marks'!HS31)</f>
        <v>PASS</v>
      </c>
      <c r="I29" s="172" t="str">
        <f>IF('Statement of Marks'!HV31="","",'Statement of Marks'!HV31)</f>
        <v>1st</v>
      </c>
      <c r="J29" s="317">
        <f>IF('Statement of Marks'!HW31="","",'Statement of Marks'!HW31)</f>
        <v>64</v>
      </c>
      <c r="K29" s="392" t="str">
        <f>'Statement of Marks'!GN31</f>
        <v>I</v>
      </c>
      <c r="L29" s="392" t="str">
        <f>'Statement of Marks'!GQ31</f>
        <v>D</v>
      </c>
      <c r="M29" s="181" t="str">
        <f>'Statement of Marks'!GU31</f>
        <v/>
      </c>
      <c r="N29" s="181" t="str">
        <f>'Statement of Marks'!GV31</f>
        <v/>
      </c>
      <c r="O29" s="181" t="str">
        <f>'Statement of Marks'!GW31</f>
        <v>II</v>
      </c>
      <c r="P29" s="181" t="str">
        <f>'Statement of Marks'!GX31</f>
        <v/>
      </c>
      <c r="Q29" s="181" t="str">
        <f>'Statement of Marks'!GY31</f>
        <v/>
      </c>
      <c r="R29" s="392" t="str">
        <f>'Statement of Marks'!HB31</f>
        <v>II</v>
      </c>
      <c r="S29" s="392" t="str">
        <f>'Statement of Marks'!HE31</f>
        <v>II</v>
      </c>
      <c r="T29" s="392" t="str">
        <f>'Statement of Marks'!HH31</f>
        <v>II</v>
      </c>
      <c r="U29" s="392" t="str">
        <f>'Statement of Marks'!HK31</f>
        <v/>
      </c>
      <c r="V29" s="318"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9">
        <f>IF('Statement of Marks'!A32="","",'Statement of Marks'!A32)</f>
        <v>26</v>
      </c>
      <c r="B30" s="169">
        <f>IF('Statement of Marks'!B32="","",'Statement of Marks'!B32)</f>
        <v>926</v>
      </c>
      <c r="C30" s="169" t="str">
        <f>IF('Statement of Marks'!D32="","",'Statement of Marks'!D32)</f>
        <v/>
      </c>
      <c r="D30" s="315" t="str">
        <f>IF('Statement of Marks'!E32="","",'Statement of Marks'!E32)</f>
        <v/>
      </c>
      <c r="E30" s="316" t="str">
        <f>IF('Statement of Marks'!F32="","",'Statement of Marks'!F32)</f>
        <v>DIZA</v>
      </c>
      <c r="F30" s="316" t="str">
        <f>IF('Statement of Marks'!G32="","",'Statement of Marks'!G32)</f>
        <v/>
      </c>
      <c r="G30" s="316" t="str">
        <f>IF('Statement of Marks'!H32="","",'Statement of Marks'!H32)</f>
        <v/>
      </c>
      <c r="H30" s="830" t="str">
        <f>IF('Statement of Marks'!HS32="","",'Statement of Marks'!HS32)</f>
        <v>PASS</v>
      </c>
      <c r="I30" s="172" t="str">
        <f>IF('Statement of Marks'!HV32="","",'Statement of Marks'!HV32)</f>
        <v>1st</v>
      </c>
      <c r="J30" s="317">
        <f>IF('Statement of Marks'!HW32="","",'Statement of Marks'!HW32)</f>
        <v>63.25</v>
      </c>
      <c r="K30" s="392" t="str">
        <f>'Statement of Marks'!GN32</f>
        <v>I</v>
      </c>
      <c r="L30" s="392" t="str">
        <f>'Statement of Marks'!GQ32</f>
        <v>D</v>
      </c>
      <c r="M30" s="181" t="str">
        <f>'Statement of Marks'!GU32</f>
        <v/>
      </c>
      <c r="N30" s="181" t="str">
        <f>'Statement of Marks'!GV32</f>
        <v/>
      </c>
      <c r="O30" s="181" t="str">
        <f>'Statement of Marks'!GW32</f>
        <v/>
      </c>
      <c r="P30" s="181" t="str">
        <f>'Statement of Marks'!GX32</f>
        <v>II</v>
      </c>
      <c r="Q30" s="181" t="str">
        <f>'Statement of Marks'!GY32</f>
        <v/>
      </c>
      <c r="R30" s="392" t="str">
        <f>'Statement of Marks'!HB32</f>
        <v>II</v>
      </c>
      <c r="S30" s="392" t="str">
        <f>'Statement of Marks'!HE32</f>
        <v>II</v>
      </c>
      <c r="T30" s="392" t="str">
        <f>'Statement of Marks'!HH32</f>
        <v>II</v>
      </c>
      <c r="U30" s="392" t="str">
        <f>'Statement of Marks'!HK32</f>
        <v/>
      </c>
      <c r="V30" s="318"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9">
        <f>IF('Statement of Marks'!A33="","",'Statement of Marks'!A33)</f>
        <v>27</v>
      </c>
      <c r="B31" s="169">
        <f>IF('Statement of Marks'!B33="","",'Statement of Marks'!B33)</f>
        <v>927</v>
      </c>
      <c r="C31" s="169" t="str">
        <f>IF('Statement of Marks'!D33="","",'Statement of Marks'!D33)</f>
        <v/>
      </c>
      <c r="D31" s="315" t="str">
        <f>IF('Statement of Marks'!E33="","",'Statement of Marks'!E33)</f>
        <v/>
      </c>
      <c r="E31" s="316" t="str">
        <f>IF('Statement of Marks'!F33="","",'Statement of Marks'!F33)</f>
        <v>BIPASA</v>
      </c>
      <c r="F31" s="316" t="str">
        <f>IF('Statement of Marks'!G33="","",'Statement of Marks'!G33)</f>
        <v/>
      </c>
      <c r="G31" s="316" t="str">
        <f>IF('Statement of Marks'!H33="","",'Statement of Marks'!H33)</f>
        <v/>
      </c>
      <c r="H31" s="830" t="str">
        <f>IF('Statement of Marks'!HS33="","",'Statement of Marks'!HS33)</f>
        <v>PASS</v>
      </c>
      <c r="I31" s="172" t="str">
        <f>IF('Statement of Marks'!HV33="","",'Statement of Marks'!HV33)</f>
        <v>1st</v>
      </c>
      <c r="J31" s="317">
        <f>IF('Statement of Marks'!HW33="","",'Statement of Marks'!HW33)</f>
        <v>61.583333333333336</v>
      </c>
      <c r="K31" s="392" t="str">
        <f>'Statement of Marks'!GN33</f>
        <v>II</v>
      </c>
      <c r="L31" s="392" t="str">
        <f>'Statement of Marks'!GQ33</f>
        <v>D</v>
      </c>
      <c r="M31" s="181" t="str">
        <f>'Statement of Marks'!GU33</f>
        <v/>
      </c>
      <c r="N31" s="181" t="str">
        <f>'Statement of Marks'!GV33</f>
        <v/>
      </c>
      <c r="O31" s="181" t="str">
        <f>'Statement of Marks'!GW33</f>
        <v/>
      </c>
      <c r="P31" s="181" t="str">
        <f>'Statement of Marks'!GX33</f>
        <v/>
      </c>
      <c r="Q31" s="181" t="str">
        <f>'Statement of Marks'!GY33</f>
        <v>II</v>
      </c>
      <c r="R31" s="392" t="str">
        <f>'Statement of Marks'!HB33</f>
        <v>II</v>
      </c>
      <c r="S31" s="392" t="str">
        <f>'Statement of Marks'!HE33</f>
        <v>II</v>
      </c>
      <c r="T31" s="392" t="str">
        <f>'Statement of Marks'!HH33</f>
        <v>II</v>
      </c>
      <c r="U31" s="392" t="str">
        <f>'Statement of Marks'!HK33</f>
        <v/>
      </c>
      <c r="V31" s="318"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9">
        <f>IF('Statement of Marks'!A34="","",'Statement of Marks'!A34)</f>
        <v>28</v>
      </c>
      <c r="B32" s="169">
        <f>IF('Statement of Marks'!B34="","",'Statement of Marks'!B34)</f>
        <v>928</v>
      </c>
      <c r="C32" s="169" t="str">
        <f>IF('Statement of Marks'!D34="","",'Statement of Marks'!D34)</f>
        <v/>
      </c>
      <c r="D32" s="315" t="str">
        <f>IF('Statement of Marks'!E34="","",'Statement of Marks'!E34)</f>
        <v/>
      </c>
      <c r="E32" s="316" t="str">
        <f>IF('Statement of Marks'!F34="","",'Statement of Marks'!F34)</f>
        <v>DIMPLE</v>
      </c>
      <c r="F32" s="316" t="str">
        <f>IF('Statement of Marks'!G34="","",'Statement of Marks'!G34)</f>
        <v/>
      </c>
      <c r="G32" s="316" t="str">
        <f>IF('Statement of Marks'!H34="","",'Statement of Marks'!H34)</f>
        <v/>
      </c>
      <c r="H32" s="830" t="str">
        <f>IF('Statement of Marks'!HS34="","",'Statement of Marks'!HS34)</f>
        <v>PASS</v>
      </c>
      <c r="I32" s="172" t="str">
        <f>IF('Statement of Marks'!HV34="","",'Statement of Marks'!HV34)</f>
        <v>1st</v>
      </c>
      <c r="J32" s="317">
        <f>IF('Statement of Marks'!HW34="","",'Statement of Marks'!HW34)</f>
        <v>61.5</v>
      </c>
      <c r="K32" s="392" t="str">
        <f>'Statement of Marks'!GN34</f>
        <v>II</v>
      </c>
      <c r="L32" s="392" t="str">
        <f>'Statement of Marks'!GQ34</f>
        <v>D</v>
      </c>
      <c r="M32" s="181" t="str">
        <f>'Statement of Marks'!GU34</f>
        <v>II</v>
      </c>
      <c r="N32" s="181" t="str">
        <f>'Statement of Marks'!GV34</f>
        <v/>
      </c>
      <c r="O32" s="181" t="str">
        <f>'Statement of Marks'!GW34</f>
        <v/>
      </c>
      <c r="P32" s="181" t="str">
        <f>'Statement of Marks'!GX34</f>
        <v/>
      </c>
      <c r="Q32" s="181" t="str">
        <f>'Statement of Marks'!GY34</f>
        <v/>
      </c>
      <c r="R32" s="392" t="str">
        <f>'Statement of Marks'!HB34</f>
        <v>II</v>
      </c>
      <c r="S32" s="392" t="str">
        <f>'Statement of Marks'!HE34</f>
        <v>II</v>
      </c>
      <c r="T32" s="392" t="str">
        <f>'Statement of Marks'!HH34</f>
        <v>II</v>
      </c>
      <c r="U32" s="392" t="str">
        <f>'Statement of Marks'!HK34</f>
        <v/>
      </c>
      <c r="V32" s="318"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9">
        <f>IF('Statement of Marks'!A35="","",'Statement of Marks'!A35)</f>
        <v>29</v>
      </c>
      <c r="B33" s="169">
        <f>IF('Statement of Marks'!B35="","",'Statement of Marks'!B35)</f>
        <v>929</v>
      </c>
      <c r="C33" s="169" t="str">
        <f>IF('Statement of Marks'!D35="","",'Statement of Marks'!D35)</f>
        <v/>
      </c>
      <c r="D33" s="315" t="str">
        <f>IF('Statement of Marks'!E35="","",'Statement of Marks'!E35)</f>
        <v/>
      </c>
      <c r="E33" s="316" t="str">
        <f>IF('Statement of Marks'!F35="","",'Statement of Marks'!F35)</f>
        <v>DIPIKA</v>
      </c>
      <c r="F33" s="316" t="str">
        <f>IF('Statement of Marks'!G35="","",'Statement of Marks'!G35)</f>
        <v/>
      </c>
      <c r="G33" s="316" t="str">
        <f>IF('Statement of Marks'!H35="","",'Statement of Marks'!H35)</f>
        <v/>
      </c>
      <c r="H33" s="830" t="str">
        <f>IF('Statement of Marks'!HS35="","",'Statement of Marks'!HS35)</f>
        <v>PASS</v>
      </c>
      <c r="I33" s="172" t="str">
        <f>IF('Statement of Marks'!HV35="","",'Statement of Marks'!HV35)</f>
        <v>1st</v>
      </c>
      <c r="J33" s="317">
        <f>IF('Statement of Marks'!HW35="","",'Statement of Marks'!HW35)</f>
        <v>61.5</v>
      </c>
      <c r="K33" s="392" t="str">
        <f>'Statement of Marks'!GN35</f>
        <v>II</v>
      </c>
      <c r="L33" s="392" t="str">
        <f>'Statement of Marks'!GQ35</f>
        <v>D</v>
      </c>
      <c r="M33" s="181" t="str">
        <f>'Statement of Marks'!GU35</f>
        <v/>
      </c>
      <c r="N33" s="181" t="str">
        <f>'Statement of Marks'!GV35</f>
        <v>II</v>
      </c>
      <c r="O33" s="181" t="str">
        <f>'Statement of Marks'!GW35</f>
        <v/>
      </c>
      <c r="P33" s="181" t="str">
        <f>'Statement of Marks'!GX35</f>
        <v/>
      </c>
      <c r="Q33" s="181" t="str">
        <f>'Statement of Marks'!GY35</f>
        <v/>
      </c>
      <c r="R33" s="392" t="str">
        <f>'Statement of Marks'!HB35</f>
        <v>II</v>
      </c>
      <c r="S33" s="392" t="str">
        <f>'Statement of Marks'!HE35</f>
        <v>II</v>
      </c>
      <c r="T33" s="392" t="str">
        <f>'Statement of Marks'!HH35</f>
        <v>II</v>
      </c>
      <c r="U33" s="392" t="str">
        <f>'Statement of Marks'!HK35</f>
        <v/>
      </c>
      <c r="V33" s="318"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9">
        <f>IF('Statement of Marks'!A36="","",'Statement of Marks'!A36)</f>
        <v>30</v>
      </c>
      <c r="B34" s="169">
        <f>IF('Statement of Marks'!B36="","",'Statement of Marks'!B36)</f>
        <v>930</v>
      </c>
      <c r="C34" s="169" t="str">
        <f>IF('Statement of Marks'!D36="","",'Statement of Marks'!D36)</f>
        <v/>
      </c>
      <c r="D34" s="315" t="str">
        <f>IF('Statement of Marks'!E36="","",'Statement of Marks'!E36)</f>
        <v/>
      </c>
      <c r="E34" s="316" t="str">
        <f>IF('Statement of Marks'!F36="","",'Statement of Marks'!F36)</f>
        <v>DEVENDRA</v>
      </c>
      <c r="F34" s="316" t="str">
        <f>IF('Statement of Marks'!G36="","",'Statement of Marks'!G36)</f>
        <v/>
      </c>
      <c r="G34" s="316" t="str">
        <f>IF('Statement of Marks'!H36="","",'Statement of Marks'!H36)</f>
        <v/>
      </c>
      <c r="H34" s="830" t="str">
        <f>IF('Statement of Marks'!HS36="","",'Statement of Marks'!HS36)</f>
        <v>PASS</v>
      </c>
      <c r="I34" s="172" t="str">
        <f>IF('Statement of Marks'!HV36="","",'Statement of Marks'!HV36)</f>
        <v>1st</v>
      </c>
      <c r="J34" s="317">
        <f>IF('Statement of Marks'!HW36="","",'Statement of Marks'!HW36)</f>
        <v>61.5</v>
      </c>
      <c r="K34" s="392" t="str">
        <f>'Statement of Marks'!GN36</f>
        <v>II</v>
      </c>
      <c r="L34" s="392" t="str">
        <f>'Statement of Marks'!GQ36</f>
        <v>D</v>
      </c>
      <c r="M34" s="181" t="str">
        <f>'Statement of Marks'!GU36</f>
        <v>II</v>
      </c>
      <c r="N34" s="181" t="str">
        <f>'Statement of Marks'!GV36</f>
        <v/>
      </c>
      <c r="O34" s="181" t="str">
        <f>'Statement of Marks'!GW36</f>
        <v/>
      </c>
      <c r="P34" s="181" t="str">
        <f>'Statement of Marks'!GX36</f>
        <v/>
      </c>
      <c r="Q34" s="181" t="str">
        <f>'Statement of Marks'!GY36</f>
        <v/>
      </c>
      <c r="R34" s="392" t="str">
        <f>'Statement of Marks'!HB36</f>
        <v>II</v>
      </c>
      <c r="S34" s="392" t="str">
        <f>'Statement of Marks'!HE36</f>
        <v>II</v>
      </c>
      <c r="T34" s="392" t="str">
        <f>'Statement of Marks'!HH36</f>
        <v>II</v>
      </c>
      <c r="U34" s="392" t="str">
        <f>'Statement of Marks'!HK36</f>
        <v/>
      </c>
      <c r="V34" s="318"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9">
        <f>IF('Statement of Marks'!A37="","",'Statement of Marks'!A37)</f>
        <v>31</v>
      </c>
      <c r="B35" s="169">
        <f>IF('Statement of Marks'!B37="","",'Statement of Marks'!B37)</f>
        <v>931</v>
      </c>
      <c r="C35" s="169" t="str">
        <f>IF('Statement of Marks'!D37="","",'Statement of Marks'!D37)</f>
        <v/>
      </c>
      <c r="D35" s="315" t="str">
        <f>IF('Statement of Marks'!E37="","",'Statement of Marks'!E37)</f>
        <v/>
      </c>
      <c r="E35" s="316" t="str">
        <f>IF('Statement of Marks'!F37="","",'Statement of Marks'!F37)</f>
        <v>RAVINDRA</v>
      </c>
      <c r="F35" s="316" t="str">
        <f>IF('Statement of Marks'!G37="","",'Statement of Marks'!G37)</f>
        <v/>
      </c>
      <c r="G35" s="316" t="str">
        <f>IF('Statement of Marks'!H37="","",'Statement of Marks'!H37)</f>
        <v/>
      </c>
      <c r="H35" s="830" t="str">
        <f>IF('Statement of Marks'!HS37="","",'Statement of Marks'!HS37)</f>
        <v>PASS</v>
      </c>
      <c r="I35" s="172" t="str">
        <f>IF('Statement of Marks'!HV37="","",'Statement of Marks'!HV37)</f>
        <v>1st</v>
      </c>
      <c r="J35" s="317">
        <f>IF('Statement of Marks'!HW37="","",'Statement of Marks'!HW37)</f>
        <v>61.583333333333336</v>
      </c>
      <c r="K35" s="392" t="str">
        <f>'Statement of Marks'!GN37</f>
        <v>II</v>
      </c>
      <c r="L35" s="392" t="str">
        <f>'Statement of Marks'!GQ37</f>
        <v>D</v>
      </c>
      <c r="M35" s="181" t="str">
        <f>'Statement of Marks'!GU37</f>
        <v>II</v>
      </c>
      <c r="N35" s="181" t="str">
        <f>'Statement of Marks'!GV37</f>
        <v/>
      </c>
      <c r="O35" s="181" t="str">
        <f>'Statement of Marks'!GW37</f>
        <v/>
      </c>
      <c r="P35" s="181" t="str">
        <f>'Statement of Marks'!GX37</f>
        <v/>
      </c>
      <c r="Q35" s="181" t="str">
        <f>'Statement of Marks'!GY37</f>
        <v/>
      </c>
      <c r="R35" s="392" t="str">
        <f>'Statement of Marks'!HB37</f>
        <v>II</v>
      </c>
      <c r="S35" s="392" t="str">
        <f>'Statement of Marks'!HE37</f>
        <v>II</v>
      </c>
      <c r="T35" s="392" t="str">
        <f>'Statement of Marks'!HH37</f>
        <v>II</v>
      </c>
      <c r="U35" s="392" t="str">
        <f>'Statement of Marks'!HK37</f>
        <v/>
      </c>
      <c r="V35" s="318"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9">
        <f>IF('Statement of Marks'!A38="","",'Statement of Marks'!A38)</f>
        <v>32</v>
      </c>
      <c r="B36" s="169" t="str">
        <f>IF('Statement of Marks'!B38="","",'Statement of Marks'!B38)</f>
        <v/>
      </c>
      <c r="C36" s="169" t="str">
        <f>IF('Statement of Marks'!D38="","",'Statement of Marks'!D38)</f>
        <v/>
      </c>
      <c r="D36" s="315" t="str">
        <f>IF('Statement of Marks'!E38="","",'Statement of Marks'!E38)</f>
        <v/>
      </c>
      <c r="E36" s="316" t="str">
        <f>IF('Statement of Marks'!F38="","",'Statement of Marks'!F38)</f>
        <v/>
      </c>
      <c r="F36" s="316" t="str">
        <f>IF('Statement of Marks'!G38="","",'Statement of Marks'!G38)</f>
        <v/>
      </c>
      <c r="G36" s="316" t="str">
        <f>IF('Statement of Marks'!H38="","",'Statement of Marks'!H38)</f>
        <v/>
      </c>
      <c r="H36" s="830" t="str">
        <f>IF('Statement of Marks'!HS38="","",'Statement of Marks'!HS38)</f>
        <v/>
      </c>
      <c r="I36" s="172" t="str">
        <f>IF('Statement of Marks'!HV38="","",'Statement of Marks'!HV38)</f>
        <v/>
      </c>
      <c r="J36" s="317" t="str">
        <f>IF('Statement of Marks'!HW38="","",'Statement of Marks'!HW38)</f>
        <v/>
      </c>
      <c r="K36" s="392" t="str">
        <f>'Statement of Marks'!GN38</f>
        <v/>
      </c>
      <c r="L36" s="392" t="str">
        <f>'Statement of Marks'!GQ38</f>
        <v/>
      </c>
      <c r="M36" s="181" t="str">
        <f>'Statement of Marks'!GU38</f>
        <v/>
      </c>
      <c r="N36" s="181" t="str">
        <f>'Statement of Marks'!GV38</f>
        <v/>
      </c>
      <c r="O36" s="181" t="str">
        <f>'Statement of Marks'!GW38</f>
        <v/>
      </c>
      <c r="P36" s="181" t="str">
        <f>'Statement of Marks'!GX38</f>
        <v/>
      </c>
      <c r="Q36" s="181" t="str">
        <f>'Statement of Marks'!GY38</f>
        <v/>
      </c>
      <c r="R36" s="392" t="str">
        <f>'Statement of Marks'!HB38</f>
        <v/>
      </c>
      <c r="S36" s="392" t="str">
        <f>'Statement of Marks'!HE38</f>
        <v/>
      </c>
      <c r="T36" s="392" t="str">
        <f>'Statement of Marks'!HH38</f>
        <v/>
      </c>
      <c r="U36" s="392" t="str">
        <f>'Statement of Marks'!HK38</f>
        <v/>
      </c>
      <c r="V36" s="318"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9">
        <f>IF('Statement of Marks'!A39="","",'Statement of Marks'!A39)</f>
        <v>33</v>
      </c>
      <c r="B37" s="169" t="str">
        <f>IF('Statement of Marks'!B39="","",'Statement of Marks'!B39)</f>
        <v/>
      </c>
      <c r="C37" s="169" t="str">
        <f>IF('Statement of Marks'!D39="","",'Statement of Marks'!D39)</f>
        <v/>
      </c>
      <c r="D37" s="315" t="str">
        <f>IF('Statement of Marks'!E39="","",'Statement of Marks'!E39)</f>
        <v/>
      </c>
      <c r="E37" s="316" t="str">
        <f>IF('Statement of Marks'!F39="","",'Statement of Marks'!F39)</f>
        <v/>
      </c>
      <c r="F37" s="316" t="str">
        <f>IF('Statement of Marks'!G39="","",'Statement of Marks'!G39)</f>
        <v/>
      </c>
      <c r="G37" s="316" t="str">
        <f>IF('Statement of Marks'!H39="","",'Statement of Marks'!H39)</f>
        <v/>
      </c>
      <c r="H37" s="830" t="str">
        <f>IF('Statement of Marks'!HS39="","",'Statement of Marks'!HS39)</f>
        <v/>
      </c>
      <c r="I37" s="172" t="str">
        <f>IF('Statement of Marks'!HV39="","",'Statement of Marks'!HV39)</f>
        <v/>
      </c>
      <c r="J37" s="317" t="str">
        <f>IF('Statement of Marks'!HW39="","",'Statement of Marks'!HW39)</f>
        <v/>
      </c>
      <c r="K37" s="392" t="str">
        <f>'Statement of Marks'!GN39</f>
        <v/>
      </c>
      <c r="L37" s="392" t="str">
        <f>'Statement of Marks'!GQ39</f>
        <v/>
      </c>
      <c r="M37" s="181" t="str">
        <f>'Statement of Marks'!GU39</f>
        <v/>
      </c>
      <c r="N37" s="181" t="str">
        <f>'Statement of Marks'!GV39</f>
        <v/>
      </c>
      <c r="O37" s="181" t="str">
        <f>'Statement of Marks'!GW39</f>
        <v/>
      </c>
      <c r="P37" s="181" t="str">
        <f>'Statement of Marks'!GX39</f>
        <v/>
      </c>
      <c r="Q37" s="181" t="str">
        <f>'Statement of Marks'!GY39</f>
        <v/>
      </c>
      <c r="R37" s="392" t="str">
        <f>'Statement of Marks'!HB39</f>
        <v/>
      </c>
      <c r="S37" s="392" t="str">
        <f>'Statement of Marks'!HE39</f>
        <v/>
      </c>
      <c r="T37" s="392" t="str">
        <f>'Statement of Marks'!HH39</f>
        <v/>
      </c>
      <c r="U37" s="392" t="str">
        <f>'Statement of Marks'!HK39</f>
        <v/>
      </c>
      <c r="V37" s="318"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9">
        <f>IF('Statement of Marks'!A40="","",'Statement of Marks'!A40)</f>
        <v>34</v>
      </c>
      <c r="B38" s="169" t="str">
        <f>IF('Statement of Marks'!B40="","",'Statement of Marks'!B40)</f>
        <v/>
      </c>
      <c r="C38" s="169" t="str">
        <f>IF('Statement of Marks'!D40="","",'Statement of Marks'!D40)</f>
        <v/>
      </c>
      <c r="D38" s="315" t="str">
        <f>IF('Statement of Marks'!E40="","",'Statement of Marks'!E40)</f>
        <v/>
      </c>
      <c r="E38" s="316" t="str">
        <f>IF('Statement of Marks'!F40="","",'Statement of Marks'!F40)</f>
        <v/>
      </c>
      <c r="F38" s="316" t="str">
        <f>IF('Statement of Marks'!G40="","",'Statement of Marks'!G40)</f>
        <v/>
      </c>
      <c r="G38" s="316" t="str">
        <f>IF('Statement of Marks'!H40="","",'Statement of Marks'!H40)</f>
        <v/>
      </c>
      <c r="H38" s="830" t="str">
        <f>IF('Statement of Marks'!HS40="","",'Statement of Marks'!HS40)</f>
        <v/>
      </c>
      <c r="I38" s="172" t="str">
        <f>IF('Statement of Marks'!HV40="","",'Statement of Marks'!HV40)</f>
        <v/>
      </c>
      <c r="J38" s="317" t="str">
        <f>IF('Statement of Marks'!HW40="","",'Statement of Marks'!HW40)</f>
        <v/>
      </c>
      <c r="K38" s="392" t="str">
        <f>'Statement of Marks'!GN40</f>
        <v/>
      </c>
      <c r="L38" s="392" t="str">
        <f>'Statement of Marks'!GQ40</f>
        <v/>
      </c>
      <c r="M38" s="181" t="str">
        <f>'Statement of Marks'!GU40</f>
        <v/>
      </c>
      <c r="N38" s="181" t="str">
        <f>'Statement of Marks'!GV40</f>
        <v/>
      </c>
      <c r="O38" s="181" t="str">
        <f>'Statement of Marks'!GW40</f>
        <v/>
      </c>
      <c r="P38" s="181" t="str">
        <f>'Statement of Marks'!GX40</f>
        <v/>
      </c>
      <c r="Q38" s="181" t="str">
        <f>'Statement of Marks'!GY40</f>
        <v/>
      </c>
      <c r="R38" s="392" t="str">
        <f>'Statement of Marks'!HB40</f>
        <v/>
      </c>
      <c r="S38" s="392" t="str">
        <f>'Statement of Marks'!HE40</f>
        <v/>
      </c>
      <c r="T38" s="392" t="str">
        <f>'Statement of Marks'!HH40</f>
        <v/>
      </c>
      <c r="U38" s="392" t="str">
        <f>'Statement of Marks'!HK40</f>
        <v/>
      </c>
      <c r="V38" s="318"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9">
        <f>IF('Statement of Marks'!A41="","",'Statement of Marks'!A41)</f>
        <v>35</v>
      </c>
      <c r="B39" s="169" t="str">
        <f>IF('Statement of Marks'!B41="","",'Statement of Marks'!B41)</f>
        <v/>
      </c>
      <c r="C39" s="169" t="str">
        <f>IF('Statement of Marks'!D41="","",'Statement of Marks'!D41)</f>
        <v/>
      </c>
      <c r="D39" s="315" t="str">
        <f>IF('Statement of Marks'!E41="","",'Statement of Marks'!E41)</f>
        <v/>
      </c>
      <c r="E39" s="316" t="str">
        <f>IF('Statement of Marks'!F41="","",'Statement of Marks'!F41)</f>
        <v/>
      </c>
      <c r="F39" s="316" t="str">
        <f>IF('Statement of Marks'!G41="","",'Statement of Marks'!G41)</f>
        <v/>
      </c>
      <c r="G39" s="316" t="str">
        <f>IF('Statement of Marks'!H41="","",'Statement of Marks'!H41)</f>
        <v/>
      </c>
      <c r="H39" s="830" t="str">
        <f>IF('Statement of Marks'!HS41="","",'Statement of Marks'!HS41)</f>
        <v/>
      </c>
      <c r="I39" s="172" t="str">
        <f>IF('Statement of Marks'!HV41="","",'Statement of Marks'!HV41)</f>
        <v/>
      </c>
      <c r="J39" s="317" t="str">
        <f>IF('Statement of Marks'!HW41="","",'Statement of Marks'!HW41)</f>
        <v/>
      </c>
      <c r="K39" s="392" t="str">
        <f>'Statement of Marks'!GN41</f>
        <v/>
      </c>
      <c r="L39" s="392" t="str">
        <f>'Statement of Marks'!GQ41</f>
        <v/>
      </c>
      <c r="M39" s="181" t="str">
        <f>'Statement of Marks'!GU41</f>
        <v/>
      </c>
      <c r="N39" s="181" t="str">
        <f>'Statement of Marks'!GV41</f>
        <v/>
      </c>
      <c r="O39" s="181" t="str">
        <f>'Statement of Marks'!GW41</f>
        <v/>
      </c>
      <c r="P39" s="181" t="str">
        <f>'Statement of Marks'!GX41</f>
        <v/>
      </c>
      <c r="Q39" s="181" t="str">
        <f>'Statement of Marks'!GY41</f>
        <v/>
      </c>
      <c r="R39" s="392" t="str">
        <f>'Statement of Marks'!HB41</f>
        <v/>
      </c>
      <c r="S39" s="392" t="str">
        <f>'Statement of Marks'!HE41</f>
        <v/>
      </c>
      <c r="T39" s="392" t="str">
        <f>'Statement of Marks'!HH41</f>
        <v/>
      </c>
      <c r="U39" s="392" t="str">
        <f>'Statement of Marks'!HK41</f>
        <v/>
      </c>
      <c r="V39" s="318"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9">
        <f>IF('Statement of Marks'!A42="","",'Statement of Marks'!A42)</f>
        <v>36</v>
      </c>
      <c r="B40" s="169" t="str">
        <f>IF('Statement of Marks'!B42="","",'Statement of Marks'!B42)</f>
        <v/>
      </c>
      <c r="C40" s="169" t="str">
        <f>IF('Statement of Marks'!D42="","",'Statement of Marks'!D42)</f>
        <v/>
      </c>
      <c r="D40" s="315" t="str">
        <f>IF('Statement of Marks'!E42="","",'Statement of Marks'!E42)</f>
        <v/>
      </c>
      <c r="E40" s="316" t="str">
        <f>IF('Statement of Marks'!F42="","",'Statement of Marks'!F42)</f>
        <v/>
      </c>
      <c r="F40" s="316" t="str">
        <f>IF('Statement of Marks'!G42="","",'Statement of Marks'!G42)</f>
        <v/>
      </c>
      <c r="G40" s="316" t="str">
        <f>IF('Statement of Marks'!H42="","",'Statement of Marks'!H42)</f>
        <v/>
      </c>
      <c r="H40" s="830" t="str">
        <f>IF('Statement of Marks'!HS42="","",'Statement of Marks'!HS42)</f>
        <v/>
      </c>
      <c r="I40" s="172" t="str">
        <f>IF('Statement of Marks'!HV42="","",'Statement of Marks'!HV42)</f>
        <v/>
      </c>
      <c r="J40" s="317" t="str">
        <f>IF('Statement of Marks'!HW42="","",'Statement of Marks'!HW42)</f>
        <v/>
      </c>
      <c r="K40" s="392" t="str">
        <f>'Statement of Marks'!GN42</f>
        <v/>
      </c>
      <c r="L40" s="392" t="str">
        <f>'Statement of Marks'!GQ42</f>
        <v/>
      </c>
      <c r="M40" s="181" t="str">
        <f>'Statement of Marks'!GU42</f>
        <v/>
      </c>
      <c r="N40" s="181" t="str">
        <f>'Statement of Marks'!GV42</f>
        <v/>
      </c>
      <c r="O40" s="181" t="str">
        <f>'Statement of Marks'!GW42</f>
        <v/>
      </c>
      <c r="P40" s="181" t="str">
        <f>'Statement of Marks'!GX42</f>
        <v/>
      </c>
      <c r="Q40" s="181" t="str">
        <f>'Statement of Marks'!GY42</f>
        <v/>
      </c>
      <c r="R40" s="392" t="str">
        <f>'Statement of Marks'!HB42</f>
        <v/>
      </c>
      <c r="S40" s="392" t="str">
        <f>'Statement of Marks'!HE42</f>
        <v/>
      </c>
      <c r="T40" s="392" t="str">
        <f>'Statement of Marks'!HH42</f>
        <v/>
      </c>
      <c r="U40" s="392" t="str">
        <f>'Statement of Marks'!HK42</f>
        <v/>
      </c>
      <c r="V40" s="318"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9">
        <f>IF('Statement of Marks'!A43="","",'Statement of Marks'!A43)</f>
        <v>37</v>
      </c>
      <c r="B41" s="169" t="str">
        <f>IF('Statement of Marks'!B43="","",'Statement of Marks'!B43)</f>
        <v/>
      </c>
      <c r="C41" s="169" t="str">
        <f>IF('Statement of Marks'!D43="","",'Statement of Marks'!D43)</f>
        <v/>
      </c>
      <c r="D41" s="315" t="str">
        <f>IF('Statement of Marks'!E43="","",'Statement of Marks'!E43)</f>
        <v/>
      </c>
      <c r="E41" s="316" t="str">
        <f>IF('Statement of Marks'!F43="","",'Statement of Marks'!F43)</f>
        <v/>
      </c>
      <c r="F41" s="316" t="str">
        <f>IF('Statement of Marks'!G43="","",'Statement of Marks'!G43)</f>
        <v/>
      </c>
      <c r="G41" s="316" t="str">
        <f>IF('Statement of Marks'!H43="","",'Statement of Marks'!H43)</f>
        <v/>
      </c>
      <c r="H41" s="830" t="str">
        <f>IF('Statement of Marks'!HS43="","",'Statement of Marks'!HS43)</f>
        <v/>
      </c>
      <c r="I41" s="172" t="str">
        <f>IF('Statement of Marks'!HV43="","",'Statement of Marks'!HV43)</f>
        <v/>
      </c>
      <c r="J41" s="317" t="str">
        <f>IF('Statement of Marks'!HW43="","",'Statement of Marks'!HW43)</f>
        <v/>
      </c>
      <c r="K41" s="392" t="str">
        <f>'Statement of Marks'!GN43</f>
        <v/>
      </c>
      <c r="L41" s="392" t="str">
        <f>'Statement of Marks'!GQ43</f>
        <v/>
      </c>
      <c r="M41" s="181" t="str">
        <f>'Statement of Marks'!GU43</f>
        <v/>
      </c>
      <c r="N41" s="181" t="str">
        <f>'Statement of Marks'!GV43</f>
        <v/>
      </c>
      <c r="O41" s="181" t="str">
        <f>'Statement of Marks'!GW43</f>
        <v/>
      </c>
      <c r="P41" s="181" t="str">
        <f>'Statement of Marks'!GX43</f>
        <v/>
      </c>
      <c r="Q41" s="181" t="str">
        <f>'Statement of Marks'!GY43</f>
        <v/>
      </c>
      <c r="R41" s="392" t="str">
        <f>'Statement of Marks'!HB43</f>
        <v/>
      </c>
      <c r="S41" s="392" t="str">
        <f>'Statement of Marks'!HE43</f>
        <v/>
      </c>
      <c r="T41" s="392" t="str">
        <f>'Statement of Marks'!HH43</f>
        <v/>
      </c>
      <c r="U41" s="392" t="str">
        <f>'Statement of Marks'!HK43</f>
        <v/>
      </c>
      <c r="V41" s="318"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9">
        <f>IF('Statement of Marks'!A44="","",'Statement of Marks'!A44)</f>
        <v>38</v>
      </c>
      <c r="B42" s="169" t="str">
        <f>IF('Statement of Marks'!B44="","",'Statement of Marks'!B44)</f>
        <v/>
      </c>
      <c r="C42" s="169" t="str">
        <f>IF('Statement of Marks'!D44="","",'Statement of Marks'!D44)</f>
        <v/>
      </c>
      <c r="D42" s="315" t="str">
        <f>IF('Statement of Marks'!E44="","",'Statement of Marks'!E44)</f>
        <v/>
      </c>
      <c r="E42" s="316" t="str">
        <f>IF('Statement of Marks'!F44="","",'Statement of Marks'!F44)</f>
        <v/>
      </c>
      <c r="F42" s="316" t="str">
        <f>IF('Statement of Marks'!G44="","",'Statement of Marks'!G44)</f>
        <v/>
      </c>
      <c r="G42" s="316" t="str">
        <f>IF('Statement of Marks'!H44="","",'Statement of Marks'!H44)</f>
        <v/>
      </c>
      <c r="H42" s="830" t="str">
        <f>IF('Statement of Marks'!HS44="","",'Statement of Marks'!HS44)</f>
        <v/>
      </c>
      <c r="I42" s="172" t="str">
        <f>IF('Statement of Marks'!HV44="","",'Statement of Marks'!HV44)</f>
        <v/>
      </c>
      <c r="J42" s="317" t="str">
        <f>IF('Statement of Marks'!HW44="","",'Statement of Marks'!HW44)</f>
        <v/>
      </c>
      <c r="K42" s="392" t="str">
        <f>'Statement of Marks'!GN44</f>
        <v/>
      </c>
      <c r="L42" s="392" t="str">
        <f>'Statement of Marks'!GQ44</f>
        <v/>
      </c>
      <c r="M42" s="181" t="str">
        <f>'Statement of Marks'!GU44</f>
        <v/>
      </c>
      <c r="N42" s="181" t="str">
        <f>'Statement of Marks'!GV44</f>
        <v/>
      </c>
      <c r="O42" s="181" t="str">
        <f>'Statement of Marks'!GW44</f>
        <v/>
      </c>
      <c r="P42" s="181" t="str">
        <f>'Statement of Marks'!GX44</f>
        <v/>
      </c>
      <c r="Q42" s="181" t="str">
        <f>'Statement of Marks'!GY44</f>
        <v/>
      </c>
      <c r="R42" s="392" t="str">
        <f>'Statement of Marks'!HB44</f>
        <v/>
      </c>
      <c r="S42" s="392" t="str">
        <f>'Statement of Marks'!HE44</f>
        <v/>
      </c>
      <c r="T42" s="392" t="str">
        <f>'Statement of Marks'!HH44</f>
        <v/>
      </c>
      <c r="U42" s="392" t="str">
        <f>'Statement of Marks'!HK44</f>
        <v/>
      </c>
      <c r="V42" s="318"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9">
        <f>IF('Statement of Marks'!A45="","",'Statement of Marks'!A45)</f>
        <v>39</v>
      </c>
      <c r="B43" s="169" t="str">
        <f>IF('Statement of Marks'!B45="","",'Statement of Marks'!B45)</f>
        <v/>
      </c>
      <c r="C43" s="169" t="str">
        <f>IF('Statement of Marks'!D45="","",'Statement of Marks'!D45)</f>
        <v/>
      </c>
      <c r="D43" s="315" t="str">
        <f>IF('Statement of Marks'!E45="","",'Statement of Marks'!E45)</f>
        <v/>
      </c>
      <c r="E43" s="316" t="str">
        <f>IF('Statement of Marks'!F45="","",'Statement of Marks'!F45)</f>
        <v/>
      </c>
      <c r="F43" s="316" t="str">
        <f>IF('Statement of Marks'!G45="","",'Statement of Marks'!G45)</f>
        <v/>
      </c>
      <c r="G43" s="316" t="str">
        <f>IF('Statement of Marks'!H45="","",'Statement of Marks'!H45)</f>
        <v/>
      </c>
      <c r="H43" s="830" t="str">
        <f>IF('Statement of Marks'!HS45="","",'Statement of Marks'!HS45)</f>
        <v/>
      </c>
      <c r="I43" s="172" t="str">
        <f>IF('Statement of Marks'!HV45="","",'Statement of Marks'!HV45)</f>
        <v/>
      </c>
      <c r="J43" s="317" t="str">
        <f>IF('Statement of Marks'!HW45="","",'Statement of Marks'!HW45)</f>
        <v/>
      </c>
      <c r="K43" s="392" t="str">
        <f>'Statement of Marks'!GN45</f>
        <v/>
      </c>
      <c r="L43" s="392" t="str">
        <f>'Statement of Marks'!GQ45</f>
        <v/>
      </c>
      <c r="M43" s="181" t="str">
        <f>'Statement of Marks'!GU45</f>
        <v/>
      </c>
      <c r="N43" s="181" t="str">
        <f>'Statement of Marks'!GV45</f>
        <v/>
      </c>
      <c r="O43" s="181" t="str">
        <f>'Statement of Marks'!GW45</f>
        <v/>
      </c>
      <c r="P43" s="181" t="str">
        <f>'Statement of Marks'!GX45</f>
        <v/>
      </c>
      <c r="Q43" s="181" t="str">
        <f>'Statement of Marks'!GY45</f>
        <v/>
      </c>
      <c r="R43" s="392" t="str">
        <f>'Statement of Marks'!HB45</f>
        <v/>
      </c>
      <c r="S43" s="392" t="str">
        <f>'Statement of Marks'!HE45</f>
        <v/>
      </c>
      <c r="T43" s="392" t="str">
        <f>'Statement of Marks'!HH45</f>
        <v/>
      </c>
      <c r="U43" s="392" t="str">
        <f>'Statement of Marks'!HK45</f>
        <v/>
      </c>
      <c r="V43" s="318"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9">
        <f>IF('Statement of Marks'!A46="","",'Statement of Marks'!A46)</f>
        <v>40</v>
      </c>
      <c r="B44" s="169" t="str">
        <f>IF('Statement of Marks'!B46="","",'Statement of Marks'!B46)</f>
        <v/>
      </c>
      <c r="C44" s="169" t="str">
        <f>IF('Statement of Marks'!D46="","",'Statement of Marks'!D46)</f>
        <v/>
      </c>
      <c r="D44" s="315" t="str">
        <f>IF('Statement of Marks'!E46="","",'Statement of Marks'!E46)</f>
        <v/>
      </c>
      <c r="E44" s="316" t="str">
        <f>IF('Statement of Marks'!F46="","",'Statement of Marks'!F46)</f>
        <v/>
      </c>
      <c r="F44" s="316" t="str">
        <f>IF('Statement of Marks'!G46="","",'Statement of Marks'!G46)</f>
        <v/>
      </c>
      <c r="G44" s="316" t="str">
        <f>IF('Statement of Marks'!H46="","",'Statement of Marks'!H46)</f>
        <v/>
      </c>
      <c r="H44" s="830" t="str">
        <f>IF('Statement of Marks'!HS46="","",'Statement of Marks'!HS46)</f>
        <v/>
      </c>
      <c r="I44" s="172" t="str">
        <f>IF('Statement of Marks'!HV46="","",'Statement of Marks'!HV46)</f>
        <v/>
      </c>
      <c r="J44" s="317" t="str">
        <f>IF('Statement of Marks'!HW46="","",'Statement of Marks'!HW46)</f>
        <v/>
      </c>
      <c r="K44" s="392" t="str">
        <f>'Statement of Marks'!GN46</f>
        <v/>
      </c>
      <c r="L44" s="392" t="str">
        <f>'Statement of Marks'!GQ46</f>
        <v/>
      </c>
      <c r="M44" s="181" t="str">
        <f>'Statement of Marks'!GU46</f>
        <v/>
      </c>
      <c r="N44" s="181" t="str">
        <f>'Statement of Marks'!GV46</f>
        <v/>
      </c>
      <c r="O44" s="181" t="str">
        <f>'Statement of Marks'!GW46</f>
        <v/>
      </c>
      <c r="P44" s="181" t="str">
        <f>'Statement of Marks'!GX46</f>
        <v/>
      </c>
      <c r="Q44" s="181" t="str">
        <f>'Statement of Marks'!GY46</f>
        <v/>
      </c>
      <c r="R44" s="392" t="str">
        <f>'Statement of Marks'!HB46</f>
        <v/>
      </c>
      <c r="S44" s="392" t="str">
        <f>'Statement of Marks'!HE46</f>
        <v/>
      </c>
      <c r="T44" s="392" t="str">
        <f>'Statement of Marks'!HH46</f>
        <v/>
      </c>
      <c r="U44" s="392" t="str">
        <f>'Statement of Marks'!HK46</f>
        <v/>
      </c>
      <c r="V44" s="318"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9">
        <f>IF('Statement of Marks'!A47="","",'Statement of Marks'!A47)</f>
        <v>41</v>
      </c>
      <c r="B45" s="169" t="str">
        <f>IF('Statement of Marks'!B47="","",'Statement of Marks'!B47)</f>
        <v/>
      </c>
      <c r="C45" s="169" t="str">
        <f>IF('Statement of Marks'!D47="","",'Statement of Marks'!D47)</f>
        <v/>
      </c>
      <c r="D45" s="315" t="str">
        <f>IF('Statement of Marks'!E47="","",'Statement of Marks'!E47)</f>
        <v/>
      </c>
      <c r="E45" s="316" t="str">
        <f>IF('Statement of Marks'!F47="","",'Statement of Marks'!F47)</f>
        <v/>
      </c>
      <c r="F45" s="316" t="str">
        <f>IF('Statement of Marks'!G47="","",'Statement of Marks'!G47)</f>
        <v/>
      </c>
      <c r="G45" s="316" t="str">
        <f>IF('Statement of Marks'!H47="","",'Statement of Marks'!H47)</f>
        <v/>
      </c>
      <c r="H45" s="830" t="str">
        <f>IF('Statement of Marks'!HS47="","",'Statement of Marks'!HS47)</f>
        <v/>
      </c>
      <c r="I45" s="172" t="str">
        <f>IF('Statement of Marks'!HV47="","",'Statement of Marks'!HV47)</f>
        <v/>
      </c>
      <c r="J45" s="317" t="str">
        <f>IF('Statement of Marks'!HW47="","",'Statement of Marks'!HW47)</f>
        <v/>
      </c>
      <c r="K45" s="392" t="str">
        <f>'Statement of Marks'!GN47</f>
        <v/>
      </c>
      <c r="L45" s="392" t="str">
        <f>'Statement of Marks'!GQ47</f>
        <v/>
      </c>
      <c r="M45" s="181" t="str">
        <f>'Statement of Marks'!GU47</f>
        <v/>
      </c>
      <c r="N45" s="181" t="str">
        <f>'Statement of Marks'!GV47</f>
        <v/>
      </c>
      <c r="O45" s="181" t="str">
        <f>'Statement of Marks'!GW47</f>
        <v/>
      </c>
      <c r="P45" s="181" t="str">
        <f>'Statement of Marks'!GX47</f>
        <v/>
      </c>
      <c r="Q45" s="181" t="str">
        <f>'Statement of Marks'!GY47</f>
        <v/>
      </c>
      <c r="R45" s="392" t="str">
        <f>'Statement of Marks'!HB47</f>
        <v/>
      </c>
      <c r="S45" s="392" t="str">
        <f>'Statement of Marks'!HE47</f>
        <v/>
      </c>
      <c r="T45" s="392" t="str">
        <f>'Statement of Marks'!HH47</f>
        <v/>
      </c>
      <c r="U45" s="392" t="str">
        <f>'Statement of Marks'!HK47</f>
        <v/>
      </c>
      <c r="V45" s="318"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9">
        <f>IF('Statement of Marks'!A48="","",'Statement of Marks'!A48)</f>
        <v>42</v>
      </c>
      <c r="B46" s="169" t="str">
        <f>IF('Statement of Marks'!B48="","",'Statement of Marks'!B48)</f>
        <v/>
      </c>
      <c r="C46" s="169" t="str">
        <f>IF('Statement of Marks'!D48="","",'Statement of Marks'!D48)</f>
        <v/>
      </c>
      <c r="D46" s="315" t="str">
        <f>IF('Statement of Marks'!E48="","",'Statement of Marks'!E48)</f>
        <v/>
      </c>
      <c r="E46" s="316" t="str">
        <f>IF('Statement of Marks'!F48="","",'Statement of Marks'!F48)</f>
        <v/>
      </c>
      <c r="F46" s="316" t="str">
        <f>IF('Statement of Marks'!G48="","",'Statement of Marks'!G48)</f>
        <v/>
      </c>
      <c r="G46" s="316" t="str">
        <f>IF('Statement of Marks'!H48="","",'Statement of Marks'!H48)</f>
        <v/>
      </c>
      <c r="H46" s="830" t="str">
        <f>IF('Statement of Marks'!HS48="","",'Statement of Marks'!HS48)</f>
        <v/>
      </c>
      <c r="I46" s="172" t="str">
        <f>IF('Statement of Marks'!HV48="","",'Statement of Marks'!HV48)</f>
        <v/>
      </c>
      <c r="J46" s="317" t="str">
        <f>IF('Statement of Marks'!HW48="","",'Statement of Marks'!HW48)</f>
        <v/>
      </c>
      <c r="K46" s="392" t="str">
        <f>'Statement of Marks'!GN48</f>
        <v/>
      </c>
      <c r="L46" s="392" t="str">
        <f>'Statement of Marks'!GQ48</f>
        <v/>
      </c>
      <c r="M46" s="181" t="str">
        <f>'Statement of Marks'!GU48</f>
        <v/>
      </c>
      <c r="N46" s="181" t="str">
        <f>'Statement of Marks'!GV48</f>
        <v/>
      </c>
      <c r="O46" s="181" t="str">
        <f>'Statement of Marks'!GW48</f>
        <v/>
      </c>
      <c r="P46" s="181" t="str">
        <f>'Statement of Marks'!GX48</f>
        <v/>
      </c>
      <c r="Q46" s="181" t="str">
        <f>'Statement of Marks'!GY48</f>
        <v/>
      </c>
      <c r="R46" s="392" t="str">
        <f>'Statement of Marks'!HB48</f>
        <v/>
      </c>
      <c r="S46" s="392" t="str">
        <f>'Statement of Marks'!HE48</f>
        <v/>
      </c>
      <c r="T46" s="392" t="str">
        <f>'Statement of Marks'!HH48</f>
        <v/>
      </c>
      <c r="U46" s="392" t="str">
        <f>'Statement of Marks'!HK48</f>
        <v/>
      </c>
      <c r="V46" s="318"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9">
        <f>IF('Statement of Marks'!A49="","",'Statement of Marks'!A49)</f>
        <v>43</v>
      </c>
      <c r="B47" s="169" t="str">
        <f>IF('Statement of Marks'!B49="","",'Statement of Marks'!B49)</f>
        <v/>
      </c>
      <c r="C47" s="169" t="str">
        <f>IF('Statement of Marks'!D49="","",'Statement of Marks'!D49)</f>
        <v/>
      </c>
      <c r="D47" s="315" t="str">
        <f>IF('Statement of Marks'!E49="","",'Statement of Marks'!E49)</f>
        <v/>
      </c>
      <c r="E47" s="316" t="str">
        <f>IF('Statement of Marks'!F49="","",'Statement of Marks'!F49)</f>
        <v/>
      </c>
      <c r="F47" s="316" t="str">
        <f>IF('Statement of Marks'!G49="","",'Statement of Marks'!G49)</f>
        <v/>
      </c>
      <c r="G47" s="316" t="str">
        <f>IF('Statement of Marks'!H49="","",'Statement of Marks'!H49)</f>
        <v/>
      </c>
      <c r="H47" s="830" t="str">
        <f>IF('Statement of Marks'!HS49="","",'Statement of Marks'!HS49)</f>
        <v/>
      </c>
      <c r="I47" s="172" t="str">
        <f>IF('Statement of Marks'!HV49="","",'Statement of Marks'!HV49)</f>
        <v/>
      </c>
      <c r="J47" s="317" t="str">
        <f>IF('Statement of Marks'!HW49="","",'Statement of Marks'!HW49)</f>
        <v/>
      </c>
      <c r="K47" s="392" t="str">
        <f>'Statement of Marks'!GN49</f>
        <v/>
      </c>
      <c r="L47" s="392" t="str">
        <f>'Statement of Marks'!GQ49</f>
        <v/>
      </c>
      <c r="M47" s="181" t="str">
        <f>'Statement of Marks'!GU49</f>
        <v/>
      </c>
      <c r="N47" s="181" t="str">
        <f>'Statement of Marks'!GV49</f>
        <v/>
      </c>
      <c r="O47" s="181" t="str">
        <f>'Statement of Marks'!GW49</f>
        <v/>
      </c>
      <c r="P47" s="181" t="str">
        <f>'Statement of Marks'!GX49</f>
        <v/>
      </c>
      <c r="Q47" s="181" t="str">
        <f>'Statement of Marks'!GY49</f>
        <v/>
      </c>
      <c r="R47" s="392" t="str">
        <f>'Statement of Marks'!HB49</f>
        <v/>
      </c>
      <c r="S47" s="392" t="str">
        <f>'Statement of Marks'!HE49</f>
        <v/>
      </c>
      <c r="T47" s="392" t="str">
        <f>'Statement of Marks'!HH49</f>
        <v/>
      </c>
      <c r="U47" s="392" t="str">
        <f>'Statement of Marks'!HK49</f>
        <v/>
      </c>
      <c r="V47" s="318"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9">
        <f>IF('Statement of Marks'!A50="","",'Statement of Marks'!A50)</f>
        <v>44</v>
      </c>
      <c r="B48" s="169" t="str">
        <f>IF('Statement of Marks'!B50="","",'Statement of Marks'!B50)</f>
        <v/>
      </c>
      <c r="C48" s="169" t="str">
        <f>IF('Statement of Marks'!D50="","",'Statement of Marks'!D50)</f>
        <v/>
      </c>
      <c r="D48" s="315" t="str">
        <f>IF('Statement of Marks'!E50="","",'Statement of Marks'!E50)</f>
        <v/>
      </c>
      <c r="E48" s="316" t="str">
        <f>IF('Statement of Marks'!F50="","",'Statement of Marks'!F50)</f>
        <v/>
      </c>
      <c r="F48" s="316" t="str">
        <f>IF('Statement of Marks'!G50="","",'Statement of Marks'!G50)</f>
        <v/>
      </c>
      <c r="G48" s="316" t="str">
        <f>IF('Statement of Marks'!H50="","",'Statement of Marks'!H50)</f>
        <v/>
      </c>
      <c r="H48" s="830" t="str">
        <f>IF('Statement of Marks'!HS50="","",'Statement of Marks'!HS50)</f>
        <v/>
      </c>
      <c r="I48" s="172" t="str">
        <f>IF('Statement of Marks'!HV50="","",'Statement of Marks'!HV50)</f>
        <v/>
      </c>
      <c r="J48" s="317" t="str">
        <f>IF('Statement of Marks'!HW50="","",'Statement of Marks'!HW50)</f>
        <v/>
      </c>
      <c r="K48" s="392" t="str">
        <f>'Statement of Marks'!GN50</f>
        <v/>
      </c>
      <c r="L48" s="392" t="str">
        <f>'Statement of Marks'!GQ50</f>
        <v/>
      </c>
      <c r="M48" s="181" t="str">
        <f>'Statement of Marks'!GU50</f>
        <v/>
      </c>
      <c r="N48" s="181" t="str">
        <f>'Statement of Marks'!GV50</f>
        <v/>
      </c>
      <c r="O48" s="181" t="str">
        <f>'Statement of Marks'!GW50</f>
        <v/>
      </c>
      <c r="P48" s="181" t="str">
        <f>'Statement of Marks'!GX50</f>
        <v/>
      </c>
      <c r="Q48" s="181" t="str">
        <f>'Statement of Marks'!GY50</f>
        <v/>
      </c>
      <c r="R48" s="392" t="str">
        <f>'Statement of Marks'!HB50</f>
        <v/>
      </c>
      <c r="S48" s="392" t="str">
        <f>'Statement of Marks'!HE50</f>
        <v/>
      </c>
      <c r="T48" s="392" t="str">
        <f>'Statement of Marks'!HH50</f>
        <v/>
      </c>
      <c r="U48" s="392" t="str">
        <f>'Statement of Marks'!HK50</f>
        <v/>
      </c>
      <c r="V48" s="318"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9">
        <f>IF('Statement of Marks'!A51="","",'Statement of Marks'!A51)</f>
        <v>45</v>
      </c>
      <c r="B49" s="169" t="str">
        <f>IF('Statement of Marks'!B51="","",'Statement of Marks'!B51)</f>
        <v/>
      </c>
      <c r="C49" s="169" t="str">
        <f>IF('Statement of Marks'!D51="","",'Statement of Marks'!D51)</f>
        <v/>
      </c>
      <c r="D49" s="315" t="str">
        <f>IF('Statement of Marks'!E51="","",'Statement of Marks'!E51)</f>
        <v/>
      </c>
      <c r="E49" s="316" t="str">
        <f>IF('Statement of Marks'!F51="","",'Statement of Marks'!F51)</f>
        <v/>
      </c>
      <c r="F49" s="316" t="str">
        <f>IF('Statement of Marks'!G51="","",'Statement of Marks'!G51)</f>
        <v/>
      </c>
      <c r="G49" s="316" t="str">
        <f>IF('Statement of Marks'!H51="","",'Statement of Marks'!H51)</f>
        <v/>
      </c>
      <c r="H49" s="830" t="str">
        <f>IF('Statement of Marks'!HS51="","",'Statement of Marks'!HS51)</f>
        <v/>
      </c>
      <c r="I49" s="172" t="str">
        <f>IF('Statement of Marks'!HV51="","",'Statement of Marks'!HV51)</f>
        <v/>
      </c>
      <c r="J49" s="317" t="str">
        <f>IF('Statement of Marks'!HW51="","",'Statement of Marks'!HW51)</f>
        <v/>
      </c>
      <c r="K49" s="392" t="str">
        <f>'Statement of Marks'!GN51</f>
        <v/>
      </c>
      <c r="L49" s="392" t="str">
        <f>'Statement of Marks'!GQ51</f>
        <v/>
      </c>
      <c r="M49" s="181" t="str">
        <f>'Statement of Marks'!GU51</f>
        <v/>
      </c>
      <c r="N49" s="181" t="str">
        <f>'Statement of Marks'!GV51</f>
        <v/>
      </c>
      <c r="O49" s="181" t="str">
        <f>'Statement of Marks'!GW51</f>
        <v/>
      </c>
      <c r="P49" s="181" t="str">
        <f>'Statement of Marks'!GX51</f>
        <v/>
      </c>
      <c r="Q49" s="181" t="str">
        <f>'Statement of Marks'!GY51</f>
        <v/>
      </c>
      <c r="R49" s="392" t="str">
        <f>'Statement of Marks'!HB51</f>
        <v/>
      </c>
      <c r="S49" s="392" t="str">
        <f>'Statement of Marks'!HE51</f>
        <v/>
      </c>
      <c r="T49" s="392" t="str">
        <f>'Statement of Marks'!HH51</f>
        <v/>
      </c>
      <c r="U49" s="392" t="str">
        <f>'Statement of Marks'!HK51</f>
        <v/>
      </c>
      <c r="V49" s="318"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9">
        <f>IF('Statement of Marks'!A52="","",'Statement of Marks'!A52)</f>
        <v>46</v>
      </c>
      <c r="B50" s="169" t="str">
        <f>IF('Statement of Marks'!B52="","",'Statement of Marks'!B52)</f>
        <v/>
      </c>
      <c r="C50" s="169" t="str">
        <f>IF('Statement of Marks'!D52="","",'Statement of Marks'!D52)</f>
        <v/>
      </c>
      <c r="D50" s="315" t="str">
        <f>IF('Statement of Marks'!E52="","",'Statement of Marks'!E52)</f>
        <v/>
      </c>
      <c r="E50" s="316" t="str">
        <f>IF('Statement of Marks'!F52="","",'Statement of Marks'!F52)</f>
        <v/>
      </c>
      <c r="F50" s="316" t="str">
        <f>IF('Statement of Marks'!G52="","",'Statement of Marks'!G52)</f>
        <v/>
      </c>
      <c r="G50" s="316" t="str">
        <f>IF('Statement of Marks'!H52="","",'Statement of Marks'!H52)</f>
        <v/>
      </c>
      <c r="H50" s="830" t="str">
        <f>IF('Statement of Marks'!HS52="","",'Statement of Marks'!HS52)</f>
        <v/>
      </c>
      <c r="I50" s="172" t="str">
        <f>IF('Statement of Marks'!HV52="","",'Statement of Marks'!HV52)</f>
        <v/>
      </c>
      <c r="J50" s="317" t="str">
        <f>IF('Statement of Marks'!HW52="","",'Statement of Marks'!HW52)</f>
        <v/>
      </c>
      <c r="K50" s="392" t="str">
        <f>'Statement of Marks'!GN52</f>
        <v/>
      </c>
      <c r="L50" s="392" t="str">
        <f>'Statement of Marks'!GQ52</f>
        <v/>
      </c>
      <c r="M50" s="181" t="str">
        <f>'Statement of Marks'!GU52</f>
        <v/>
      </c>
      <c r="N50" s="181" t="str">
        <f>'Statement of Marks'!GV52</f>
        <v/>
      </c>
      <c r="O50" s="181" t="str">
        <f>'Statement of Marks'!GW52</f>
        <v/>
      </c>
      <c r="P50" s="181" t="str">
        <f>'Statement of Marks'!GX52</f>
        <v/>
      </c>
      <c r="Q50" s="181" t="str">
        <f>'Statement of Marks'!GY52</f>
        <v/>
      </c>
      <c r="R50" s="392" t="str">
        <f>'Statement of Marks'!HB52</f>
        <v/>
      </c>
      <c r="S50" s="392" t="str">
        <f>'Statement of Marks'!HE52</f>
        <v/>
      </c>
      <c r="T50" s="392" t="str">
        <f>'Statement of Marks'!HH52</f>
        <v/>
      </c>
      <c r="U50" s="392" t="str">
        <f>'Statement of Marks'!HK52</f>
        <v/>
      </c>
      <c r="V50" s="318"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9">
        <f>IF('Statement of Marks'!A53="","",'Statement of Marks'!A53)</f>
        <v>47</v>
      </c>
      <c r="B51" s="169" t="str">
        <f>IF('Statement of Marks'!B53="","",'Statement of Marks'!B53)</f>
        <v/>
      </c>
      <c r="C51" s="169" t="str">
        <f>IF('Statement of Marks'!D53="","",'Statement of Marks'!D53)</f>
        <v/>
      </c>
      <c r="D51" s="315" t="str">
        <f>IF('Statement of Marks'!E53="","",'Statement of Marks'!E53)</f>
        <v/>
      </c>
      <c r="E51" s="316" t="str">
        <f>IF('Statement of Marks'!F53="","",'Statement of Marks'!F53)</f>
        <v/>
      </c>
      <c r="F51" s="316" t="str">
        <f>IF('Statement of Marks'!G53="","",'Statement of Marks'!G53)</f>
        <v/>
      </c>
      <c r="G51" s="316" t="str">
        <f>IF('Statement of Marks'!H53="","",'Statement of Marks'!H53)</f>
        <v/>
      </c>
      <c r="H51" s="830" t="str">
        <f>IF('Statement of Marks'!HS53="","",'Statement of Marks'!HS53)</f>
        <v/>
      </c>
      <c r="I51" s="172" t="str">
        <f>IF('Statement of Marks'!HV53="","",'Statement of Marks'!HV53)</f>
        <v/>
      </c>
      <c r="J51" s="317" t="str">
        <f>IF('Statement of Marks'!HW53="","",'Statement of Marks'!HW53)</f>
        <v/>
      </c>
      <c r="K51" s="392" t="str">
        <f>'Statement of Marks'!GN53</f>
        <v/>
      </c>
      <c r="L51" s="392" t="str">
        <f>'Statement of Marks'!GQ53</f>
        <v/>
      </c>
      <c r="M51" s="181" t="str">
        <f>'Statement of Marks'!GU53</f>
        <v/>
      </c>
      <c r="N51" s="181" t="str">
        <f>'Statement of Marks'!GV53</f>
        <v/>
      </c>
      <c r="O51" s="181" t="str">
        <f>'Statement of Marks'!GW53</f>
        <v/>
      </c>
      <c r="P51" s="181" t="str">
        <f>'Statement of Marks'!GX53</f>
        <v/>
      </c>
      <c r="Q51" s="181" t="str">
        <f>'Statement of Marks'!GY53</f>
        <v/>
      </c>
      <c r="R51" s="392" t="str">
        <f>'Statement of Marks'!HB53</f>
        <v/>
      </c>
      <c r="S51" s="392" t="str">
        <f>'Statement of Marks'!HE53</f>
        <v/>
      </c>
      <c r="T51" s="392" t="str">
        <f>'Statement of Marks'!HH53</f>
        <v/>
      </c>
      <c r="U51" s="392" t="str">
        <f>'Statement of Marks'!HK53</f>
        <v/>
      </c>
      <c r="V51" s="318"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9">
        <f>IF('Statement of Marks'!A54="","",'Statement of Marks'!A54)</f>
        <v>48</v>
      </c>
      <c r="B52" s="169" t="str">
        <f>IF('Statement of Marks'!B54="","",'Statement of Marks'!B54)</f>
        <v/>
      </c>
      <c r="C52" s="169" t="str">
        <f>IF('Statement of Marks'!D54="","",'Statement of Marks'!D54)</f>
        <v/>
      </c>
      <c r="D52" s="315" t="str">
        <f>IF('Statement of Marks'!E54="","",'Statement of Marks'!E54)</f>
        <v/>
      </c>
      <c r="E52" s="316" t="str">
        <f>IF('Statement of Marks'!F54="","",'Statement of Marks'!F54)</f>
        <v/>
      </c>
      <c r="F52" s="316" t="str">
        <f>IF('Statement of Marks'!G54="","",'Statement of Marks'!G54)</f>
        <v/>
      </c>
      <c r="G52" s="316" t="str">
        <f>IF('Statement of Marks'!H54="","",'Statement of Marks'!H54)</f>
        <v/>
      </c>
      <c r="H52" s="830" t="str">
        <f>IF('Statement of Marks'!HS54="","",'Statement of Marks'!HS54)</f>
        <v/>
      </c>
      <c r="I52" s="172" t="str">
        <f>IF('Statement of Marks'!HV54="","",'Statement of Marks'!HV54)</f>
        <v/>
      </c>
      <c r="J52" s="317" t="str">
        <f>IF('Statement of Marks'!HW54="","",'Statement of Marks'!HW54)</f>
        <v/>
      </c>
      <c r="K52" s="392" t="str">
        <f>'Statement of Marks'!GN54</f>
        <v/>
      </c>
      <c r="L52" s="392" t="str">
        <f>'Statement of Marks'!GQ54</f>
        <v/>
      </c>
      <c r="M52" s="181" t="str">
        <f>'Statement of Marks'!GU54</f>
        <v/>
      </c>
      <c r="N52" s="181" t="str">
        <f>'Statement of Marks'!GV54</f>
        <v/>
      </c>
      <c r="O52" s="181" t="str">
        <f>'Statement of Marks'!GW54</f>
        <v/>
      </c>
      <c r="P52" s="181" t="str">
        <f>'Statement of Marks'!GX54</f>
        <v/>
      </c>
      <c r="Q52" s="181" t="str">
        <f>'Statement of Marks'!GY54</f>
        <v/>
      </c>
      <c r="R52" s="392" t="str">
        <f>'Statement of Marks'!HB54</f>
        <v/>
      </c>
      <c r="S52" s="392" t="str">
        <f>'Statement of Marks'!HE54</f>
        <v/>
      </c>
      <c r="T52" s="392" t="str">
        <f>'Statement of Marks'!HH54</f>
        <v/>
      </c>
      <c r="U52" s="392" t="str">
        <f>'Statement of Marks'!HK54</f>
        <v/>
      </c>
      <c r="V52" s="318"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9">
        <f>IF('Statement of Marks'!A55="","",'Statement of Marks'!A55)</f>
        <v>49</v>
      </c>
      <c r="B53" s="169" t="str">
        <f>IF('Statement of Marks'!B55="","",'Statement of Marks'!B55)</f>
        <v/>
      </c>
      <c r="C53" s="169" t="str">
        <f>IF('Statement of Marks'!D55="","",'Statement of Marks'!D55)</f>
        <v/>
      </c>
      <c r="D53" s="315" t="str">
        <f>IF('Statement of Marks'!E55="","",'Statement of Marks'!E55)</f>
        <v/>
      </c>
      <c r="E53" s="316" t="str">
        <f>IF('Statement of Marks'!F55="","",'Statement of Marks'!F55)</f>
        <v/>
      </c>
      <c r="F53" s="316" t="str">
        <f>IF('Statement of Marks'!G55="","",'Statement of Marks'!G55)</f>
        <v/>
      </c>
      <c r="G53" s="316" t="str">
        <f>IF('Statement of Marks'!H55="","",'Statement of Marks'!H55)</f>
        <v/>
      </c>
      <c r="H53" s="830" t="str">
        <f>IF('Statement of Marks'!HS55="","",'Statement of Marks'!HS55)</f>
        <v/>
      </c>
      <c r="I53" s="172" t="str">
        <f>IF('Statement of Marks'!HV55="","",'Statement of Marks'!HV55)</f>
        <v/>
      </c>
      <c r="J53" s="317" t="str">
        <f>IF('Statement of Marks'!HW55="","",'Statement of Marks'!HW55)</f>
        <v/>
      </c>
      <c r="K53" s="392" t="str">
        <f>'Statement of Marks'!GN55</f>
        <v/>
      </c>
      <c r="L53" s="392" t="str">
        <f>'Statement of Marks'!GQ55</f>
        <v/>
      </c>
      <c r="M53" s="181" t="str">
        <f>'Statement of Marks'!GU55</f>
        <v/>
      </c>
      <c r="N53" s="181" t="str">
        <f>'Statement of Marks'!GV55</f>
        <v/>
      </c>
      <c r="O53" s="181" t="str">
        <f>'Statement of Marks'!GW55</f>
        <v/>
      </c>
      <c r="P53" s="181" t="str">
        <f>'Statement of Marks'!GX55</f>
        <v/>
      </c>
      <c r="Q53" s="181" t="str">
        <f>'Statement of Marks'!GY55</f>
        <v/>
      </c>
      <c r="R53" s="392" t="str">
        <f>'Statement of Marks'!HB55</f>
        <v/>
      </c>
      <c r="S53" s="392" t="str">
        <f>'Statement of Marks'!HE55</f>
        <v/>
      </c>
      <c r="T53" s="392" t="str">
        <f>'Statement of Marks'!HH55</f>
        <v/>
      </c>
      <c r="U53" s="392" t="str">
        <f>'Statement of Marks'!HK55</f>
        <v/>
      </c>
      <c r="V53" s="318"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9">
        <f>IF('Statement of Marks'!A56="","",'Statement of Marks'!A56)</f>
        <v>50</v>
      </c>
      <c r="B54" s="169" t="str">
        <f>IF('Statement of Marks'!B56="","",'Statement of Marks'!B56)</f>
        <v/>
      </c>
      <c r="C54" s="169" t="str">
        <f>IF('Statement of Marks'!D56="","",'Statement of Marks'!D56)</f>
        <v/>
      </c>
      <c r="D54" s="315" t="str">
        <f>IF('Statement of Marks'!E56="","",'Statement of Marks'!E56)</f>
        <v/>
      </c>
      <c r="E54" s="316" t="str">
        <f>IF('Statement of Marks'!F56="","",'Statement of Marks'!F56)</f>
        <v/>
      </c>
      <c r="F54" s="316" t="str">
        <f>IF('Statement of Marks'!G56="","",'Statement of Marks'!G56)</f>
        <v/>
      </c>
      <c r="G54" s="316" t="str">
        <f>IF('Statement of Marks'!H56="","",'Statement of Marks'!H56)</f>
        <v/>
      </c>
      <c r="H54" s="830" t="str">
        <f>IF('Statement of Marks'!HS56="","",'Statement of Marks'!HS56)</f>
        <v/>
      </c>
      <c r="I54" s="172" t="str">
        <f>IF('Statement of Marks'!HV56="","",'Statement of Marks'!HV56)</f>
        <v/>
      </c>
      <c r="J54" s="317" t="str">
        <f>IF('Statement of Marks'!HW56="","",'Statement of Marks'!HW56)</f>
        <v/>
      </c>
      <c r="K54" s="392" t="str">
        <f>'Statement of Marks'!GN56</f>
        <v/>
      </c>
      <c r="L54" s="392" t="str">
        <f>'Statement of Marks'!GQ56</f>
        <v/>
      </c>
      <c r="M54" s="181" t="str">
        <f>'Statement of Marks'!GU56</f>
        <v/>
      </c>
      <c r="N54" s="181" t="str">
        <f>'Statement of Marks'!GV56</f>
        <v/>
      </c>
      <c r="O54" s="181" t="str">
        <f>'Statement of Marks'!GW56</f>
        <v/>
      </c>
      <c r="P54" s="181" t="str">
        <f>'Statement of Marks'!GX56</f>
        <v/>
      </c>
      <c r="Q54" s="181" t="str">
        <f>'Statement of Marks'!GY56</f>
        <v/>
      </c>
      <c r="R54" s="392" t="str">
        <f>'Statement of Marks'!HB56</f>
        <v/>
      </c>
      <c r="S54" s="392" t="str">
        <f>'Statement of Marks'!HE56</f>
        <v/>
      </c>
      <c r="T54" s="392" t="str">
        <f>'Statement of Marks'!HH56</f>
        <v/>
      </c>
      <c r="U54" s="392" t="str">
        <f>'Statement of Marks'!HK56</f>
        <v/>
      </c>
      <c r="V54" s="318"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9">
        <f>IF('Statement of Marks'!A57="","",'Statement of Marks'!A57)</f>
        <v>51</v>
      </c>
      <c r="B55" s="169" t="str">
        <f>IF('Statement of Marks'!B57="","",'Statement of Marks'!B57)</f>
        <v/>
      </c>
      <c r="C55" s="169" t="str">
        <f>IF('Statement of Marks'!D57="","",'Statement of Marks'!D57)</f>
        <v/>
      </c>
      <c r="D55" s="315" t="str">
        <f>IF('Statement of Marks'!E57="","",'Statement of Marks'!E57)</f>
        <v/>
      </c>
      <c r="E55" s="316" t="str">
        <f>IF('Statement of Marks'!F57="","",'Statement of Marks'!F57)</f>
        <v/>
      </c>
      <c r="F55" s="316" t="str">
        <f>IF('Statement of Marks'!G57="","",'Statement of Marks'!G57)</f>
        <v/>
      </c>
      <c r="G55" s="316" t="str">
        <f>IF('Statement of Marks'!H57="","",'Statement of Marks'!H57)</f>
        <v/>
      </c>
      <c r="H55" s="830" t="str">
        <f>IF('Statement of Marks'!HS57="","",'Statement of Marks'!HS57)</f>
        <v/>
      </c>
      <c r="I55" s="172" t="str">
        <f>IF('Statement of Marks'!HV57="","",'Statement of Marks'!HV57)</f>
        <v/>
      </c>
      <c r="J55" s="317" t="str">
        <f>IF('Statement of Marks'!HW57="","",'Statement of Marks'!HW57)</f>
        <v/>
      </c>
      <c r="K55" s="392" t="str">
        <f>'Statement of Marks'!GN57</f>
        <v/>
      </c>
      <c r="L55" s="392" t="str">
        <f>'Statement of Marks'!GQ57</f>
        <v/>
      </c>
      <c r="M55" s="181" t="str">
        <f>'Statement of Marks'!GU57</f>
        <v/>
      </c>
      <c r="N55" s="181" t="str">
        <f>'Statement of Marks'!GV57</f>
        <v/>
      </c>
      <c r="O55" s="181" t="str">
        <f>'Statement of Marks'!GW57</f>
        <v/>
      </c>
      <c r="P55" s="181" t="str">
        <f>'Statement of Marks'!GX57</f>
        <v/>
      </c>
      <c r="Q55" s="181" t="str">
        <f>'Statement of Marks'!GY57</f>
        <v/>
      </c>
      <c r="R55" s="392" t="str">
        <f>'Statement of Marks'!HB57</f>
        <v/>
      </c>
      <c r="S55" s="392" t="str">
        <f>'Statement of Marks'!HE57</f>
        <v/>
      </c>
      <c r="T55" s="392" t="str">
        <f>'Statement of Marks'!HH57</f>
        <v/>
      </c>
      <c r="U55" s="392" t="str">
        <f>'Statement of Marks'!HK57</f>
        <v/>
      </c>
      <c r="V55" s="318"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9">
        <f>IF('Statement of Marks'!A58="","",'Statement of Marks'!A58)</f>
        <v>52</v>
      </c>
      <c r="B56" s="169" t="str">
        <f>IF('Statement of Marks'!B58="","",'Statement of Marks'!B58)</f>
        <v/>
      </c>
      <c r="C56" s="169" t="str">
        <f>IF('Statement of Marks'!D58="","",'Statement of Marks'!D58)</f>
        <v/>
      </c>
      <c r="D56" s="315" t="str">
        <f>IF('Statement of Marks'!E58="","",'Statement of Marks'!E58)</f>
        <v/>
      </c>
      <c r="E56" s="316" t="str">
        <f>IF('Statement of Marks'!F58="","",'Statement of Marks'!F58)</f>
        <v/>
      </c>
      <c r="F56" s="316" t="str">
        <f>IF('Statement of Marks'!G58="","",'Statement of Marks'!G58)</f>
        <v/>
      </c>
      <c r="G56" s="316" t="str">
        <f>IF('Statement of Marks'!H58="","",'Statement of Marks'!H58)</f>
        <v/>
      </c>
      <c r="H56" s="830" t="str">
        <f>IF('Statement of Marks'!HS58="","",'Statement of Marks'!HS58)</f>
        <v/>
      </c>
      <c r="I56" s="172" t="str">
        <f>IF('Statement of Marks'!HV58="","",'Statement of Marks'!HV58)</f>
        <v/>
      </c>
      <c r="J56" s="317" t="str">
        <f>IF('Statement of Marks'!HW58="","",'Statement of Marks'!HW58)</f>
        <v/>
      </c>
      <c r="K56" s="392" t="str">
        <f>'Statement of Marks'!GN58</f>
        <v/>
      </c>
      <c r="L56" s="392" t="str">
        <f>'Statement of Marks'!GQ58</f>
        <v/>
      </c>
      <c r="M56" s="181" t="str">
        <f>'Statement of Marks'!GU58</f>
        <v/>
      </c>
      <c r="N56" s="181" t="str">
        <f>'Statement of Marks'!GV58</f>
        <v/>
      </c>
      <c r="O56" s="181" t="str">
        <f>'Statement of Marks'!GW58</f>
        <v/>
      </c>
      <c r="P56" s="181" t="str">
        <f>'Statement of Marks'!GX58</f>
        <v/>
      </c>
      <c r="Q56" s="181" t="str">
        <f>'Statement of Marks'!GY58</f>
        <v/>
      </c>
      <c r="R56" s="392" t="str">
        <f>'Statement of Marks'!HB58</f>
        <v/>
      </c>
      <c r="S56" s="392" t="str">
        <f>'Statement of Marks'!HE58</f>
        <v/>
      </c>
      <c r="T56" s="392" t="str">
        <f>'Statement of Marks'!HH58</f>
        <v/>
      </c>
      <c r="U56" s="392" t="str">
        <f>'Statement of Marks'!HK58</f>
        <v/>
      </c>
      <c r="V56" s="318"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9">
        <f>IF('Statement of Marks'!A59="","",'Statement of Marks'!A59)</f>
        <v>53</v>
      </c>
      <c r="B57" s="169" t="str">
        <f>IF('Statement of Marks'!B59="","",'Statement of Marks'!B59)</f>
        <v/>
      </c>
      <c r="C57" s="169" t="str">
        <f>IF('Statement of Marks'!D59="","",'Statement of Marks'!D59)</f>
        <v/>
      </c>
      <c r="D57" s="315" t="str">
        <f>IF('Statement of Marks'!E59="","",'Statement of Marks'!E59)</f>
        <v/>
      </c>
      <c r="E57" s="316" t="str">
        <f>IF('Statement of Marks'!F59="","",'Statement of Marks'!F59)</f>
        <v/>
      </c>
      <c r="F57" s="316" t="str">
        <f>IF('Statement of Marks'!G59="","",'Statement of Marks'!G59)</f>
        <v/>
      </c>
      <c r="G57" s="316" t="str">
        <f>IF('Statement of Marks'!H59="","",'Statement of Marks'!H59)</f>
        <v/>
      </c>
      <c r="H57" s="830" t="str">
        <f>IF('Statement of Marks'!HS59="","",'Statement of Marks'!HS59)</f>
        <v/>
      </c>
      <c r="I57" s="172" t="str">
        <f>IF('Statement of Marks'!HV59="","",'Statement of Marks'!HV59)</f>
        <v/>
      </c>
      <c r="J57" s="317" t="str">
        <f>IF('Statement of Marks'!HW59="","",'Statement of Marks'!HW59)</f>
        <v/>
      </c>
      <c r="K57" s="392" t="str">
        <f>'Statement of Marks'!GN59</f>
        <v/>
      </c>
      <c r="L57" s="392" t="str">
        <f>'Statement of Marks'!GQ59</f>
        <v/>
      </c>
      <c r="M57" s="181" t="str">
        <f>'Statement of Marks'!GU59</f>
        <v/>
      </c>
      <c r="N57" s="181" t="str">
        <f>'Statement of Marks'!GV59</f>
        <v/>
      </c>
      <c r="O57" s="181" t="str">
        <f>'Statement of Marks'!GW59</f>
        <v/>
      </c>
      <c r="P57" s="181" t="str">
        <f>'Statement of Marks'!GX59</f>
        <v/>
      </c>
      <c r="Q57" s="181" t="str">
        <f>'Statement of Marks'!GY59</f>
        <v/>
      </c>
      <c r="R57" s="392" t="str">
        <f>'Statement of Marks'!HB59</f>
        <v/>
      </c>
      <c r="S57" s="392" t="str">
        <f>'Statement of Marks'!HE59</f>
        <v/>
      </c>
      <c r="T57" s="392" t="str">
        <f>'Statement of Marks'!HH59</f>
        <v/>
      </c>
      <c r="U57" s="392" t="str">
        <f>'Statement of Marks'!HK59</f>
        <v/>
      </c>
      <c r="V57" s="318"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9">
        <f>IF('Statement of Marks'!A60="","",'Statement of Marks'!A60)</f>
        <v>54</v>
      </c>
      <c r="B58" s="169" t="str">
        <f>IF('Statement of Marks'!B60="","",'Statement of Marks'!B60)</f>
        <v/>
      </c>
      <c r="C58" s="169" t="str">
        <f>IF('Statement of Marks'!D60="","",'Statement of Marks'!D60)</f>
        <v/>
      </c>
      <c r="D58" s="315" t="str">
        <f>IF('Statement of Marks'!E60="","",'Statement of Marks'!E60)</f>
        <v/>
      </c>
      <c r="E58" s="316" t="str">
        <f>IF('Statement of Marks'!F60="","",'Statement of Marks'!F60)</f>
        <v/>
      </c>
      <c r="F58" s="316" t="str">
        <f>IF('Statement of Marks'!G60="","",'Statement of Marks'!G60)</f>
        <v/>
      </c>
      <c r="G58" s="316" t="str">
        <f>IF('Statement of Marks'!H60="","",'Statement of Marks'!H60)</f>
        <v/>
      </c>
      <c r="H58" s="830" t="str">
        <f>IF('Statement of Marks'!HS60="","",'Statement of Marks'!HS60)</f>
        <v/>
      </c>
      <c r="I58" s="172" t="str">
        <f>IF('Statement of Marks'!HV60="","",'Statement of Marks'!HV60)</f>
        <v/>
      </c>
      <c r="J58" s="317" t="str">
        <f>IF('Statement of Marks'!HW60="","",'Statement of Marks'!HW60)</f>
        <v/>
      </c>
      <c r="K58" s="392" t="str">
        <f>'Statement of Marks'!GN60</f>
        <v/>
      </c>
      <c r="L58" s="392" t="str">
        <f>'Statement of Marks'!GQ60</f>
        <v/>
      </c>
      <c r="M58" s="181" t="str">
        <f>'Statement of Marks'!GU60</f>
        <v/>
      </c>
      <c r="N58" s="181" t="str">
        <f>'Statement of Marks'!GV60</f>
        <v/>
      </c>
      <c r="O58" s="181" t="str">
        <f>'Statement of Marks'!GW60</f>
        <v/>
      </c>
      <c r="P58" s="181" t="str">
        <f>'Statement of Marks'!GX60</f>
        <v/>
      </c>
      <c r="Q58" s="181" t="str">
        <f>'Statement of Marks'!GY60</f>
        <v/>
      </c>
      <c r="R58" s="392" t="str">
        <f>'Statement of Marks'!HB60</f>
        <v/>
      </c>
      <c r="S58" s="392" t="str">
        <f>'Statement of Marks'!HE60</f>
        <v/>
      </c>
      <c r="T58" s="392" t="str">
        <f>'Statement of Marks'!HH60</f>
        <v/>
      </c>
      <c r="U58" s="392" t="str">
        <f>'Statement of Marks'!HK60</f>
        <v/>
      </c>
      <c r="V58" s="318"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9">
        <f>IF('Statement of Marks'!A61="","",'Statement of Marks'!A61)</f>
        <v>55</v>
      </c>
      <c r="B59" s="169" t="str">
        <f>IF('Statement of Marks'!B61="","",'Statement of Marks'!B61)</f>
        <v/>
      </c>
      <c r="C59" s="169" t="str">
        <f>IF('Statement of Marks'!D61="","",'Statement of Marks'!D61)</f>
        <v/>
      </c>
      <c r="D59" s="315" t="str">
        <f>IF('Statement of Marks'!E61="","",'Statement of Marks'!E61)</f>
        <v/>
      </c>
      <c r="E59" s="316" t="str">
        <f>IF('Statement of Marks'!F61="","",'Statement of Marks'!F61)</f>
        <v/>
      </c>
      <c r="F59" s="316" t="str">
        <f>IF('Statement of Marks'!G61="","",'Statement of Marks'!G61)</f>
        <v/>
      </c>
      <c r="G59" s="316" t="str">
        <f>IF('Statement of Marks'!H61="","",'Statement of Marks'!H61)</f>
        <v/>
      </c>
      <c r="H59" s="830" t="str">
        <f>IF('Statement of Marks'!HS61="","",'Statement of Marks'!HS61)</f>
        <v/>
      </c>
      <c r="I59" s="172" t="str">
        <f>IF('Statement of Marks'!HV61="","",'Statement of Marks'!HV61)</f>
        <v/>
      </c>
      <c r="J59" s="317" t="str">
        <f>IF('Statement of Marks'!HW61="","",'Statement of Marks'!HW61)</f>
        <v/>
      </c>
      <c r="K59" s="392" t="str">
        <f>'Statement of Marks'!GN61</f>
        <v/>
      </c>
      <c r="L59" s="392" t="str">
        <f>'Statement of Marks'!GQ61</f>
        <v/>
      </c>
      <c r="M59" s="181" t="str">
        <f>'Statement of Marks'!GU61</f>
        <v/>
      </c>
      <c r="N59" s="181" t="str">
        <f>'Statement of Marks'!GV61</f>
        <v/>
      </c>
      <c r="O59" s="181" t="str">
        <f>'Statement of Marks'!GW61</f>
        <v/>
      </c>
      <c r="P59" s="181" t="str">
        <f>'Statement of Marks'!GX61</f>
        <v/>
      </c>
      <c r="Q59" s="181" t="str">
        <f>'Statement of Marks'!GY61</f>
        <v/>
      </c>
      <c r="R59" s="392" t="str">
        <f>'Statement of Marks'!HB61</f>
        <v/>
      </c>
      <c r="S59" s="392" t="str">
        <f>'Statement of Marks'!HE61</f>
        <v/>
      </c>
      <c r="T59" s="392" t="str">
        <f>'Statement of Marks'!HH61</f>
        <v/>
      </c>
      <c r="U59" s="392" t="str">
        <f>'Statement of Marks'!HK61</f>
        <v/>
      </c>
      <c r="V59" s="318"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9">
        <f>IF('Statement of Marks'!A62="","",'Statement of Marks'!A62)</f>
        <v>56</v>
      </c>
      <c r="B60" s="169" t="str">
        <f>IF('Statement of Marks'!B62="","",'Statement of Marks'!B62)</f>
        <v/>
      </c>
      <c r="C60" s="169" t="str">
        <f>IF('Statement of Marks'!D62="","",'Statement of Marks'!D62)</f>
        <v/>
      </c>
      <c r="D60" s="315" t="str">
        <f>IF('Statement of Marks'!E62="","",'Statement of Marks'!E62)</f>
        <v/>
      </c>
      <c r="E60" s="316" t="str">
        <f>IF('Statement of Marks'!F62="","",'Statement of Marks'!F62)</f>
        <v/>
      </c>
      <c r="F60" s="316" t="str">
        <f>IF('Statement of Marks'!G62="","",'Statement of Marks'!G62)</f>
        <v/>
      </c>
      <c r="G60" s="316" t="str">
        <f>IF('Statement of Marks'!H62="","",'Statement of Marks'!H62)</f>
        <v/>
      </c>
      <c r="H60" s="830" t="str">
        <f>IF('Statement of Marks'!HS62="","",'Statement of Marks'!HS62)</f>
        <v/>
      </c>
      <c r="I60" s="172" t="str">
        <f>IF('Statement of Marks'!HV62="","",'Statement of Marks'!HV62)</f>
        <v/>
      </c>
      <c r="J60" s="317" t="str">
        <f>IF('Statement of Marks'!HW62="","",'Statement of Marks'!HW62)</f>
        <v/>
      </c>
      <c r="K60" s="392" t="str">
        <f>'Statement of Marks'!GN62</f>
        <v/>
      </c>
      <c r="L60" s="392" t="str">
        <f>'Statement of Marks'!GQ62</f>
        <v/>
      </c>
      <c r="M60" s="181" t="str">
        <f>'Statement of Marks'!GU62</f>
        <v/>
      </c>
      <c r="N60" s="181" t="str">
        <f>'Statement of Marks'!GV62</f>
        <v/>
      </c>
      <c r="O60" s="181" t="str">
        <f>'Statement of Marks'!GW62</f>
        <v/>
      </c>
      <c r="P60" s="181" t="str">
        <f>'Statement of Marks'!GX62</f>
        <v/>
      </c>
      <c r="Q60" s="181" t="str">
        <f>'Statement of Marks'!GY62</f>
        <v/>
      </c>
      <c r="R60" s="392" t="str">
        <f>'Statement of Marks'!HB62</f>
        <v/>
      </c>
      <c r="S60" s="392" t="str">
        <f>'Statement of Marks'!HE62</f>
        <v/>
      </c>
      <c r="T60" s="392" t="str">
        <f>'Statement of Marks'!HH62</f>
        <v/>
      </c>
      <c r="U60" s="392" t="str">
        <f>'Statement of Marks'!HK62</f>
        <v/>
      </c>
      <c r="V60" s="318"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9">
        <f>IF('Statement of Marks'!A63="","",'Statement of Marks'!A63)</f>
        <v>57</v>
      </c>
      <c r="B61" s="169" t="str">
        <f>IF('Statement of Marks'!B63="","",'Statement of Marks'!B63)</f>
        <v/>
      </c>
      <c r="C61" s="169" t="str">
        <f>IF('Statement of Marks'!D63="","",'Statement of Marks'!D63)</f>
        <v/>
      </c>
      <c r="D61" s="315" t="str">
        <f>IF('Statement of Marks'!E63="","",'Statement of Marks'!E63)</f>
        <v/>
      </c>
      <c r="E61" s="316" t="str">
        <f>IF('Statement of Marks'!F63="","",'Statement of Marks'!F63)</f>
        <v/>
      </c>
      <c r="F61" s="316" t="str">
        <f>IF('Statement of Marks'!G63="","",'Statement of Marks'!G63)</f>
        <v/>
      </c>
      <c r="G61" s="316" t="str">
        <f>IF('Statement of Marks'!H63="","",'Statement of Marks'!H63)</f>
        <v/>
      </c>
      <c r="H61" s="830" t="str">
        <f>IF('Statement of Marks'!HS63="","",'Statement of Marks'!HS63)</f>
        <v/>
      </c>
      <c r="I61" s="172" t="str">
        <f>IF('Statement of Marks'!HV63="","",'Statement of Marks'!HV63)</f>
        <v/>
      </c>
      <c r="J61" s="317" t="str">
        <f>IF('Statement of Marks'!HW63="","",'Statement of Marks'!HW63)</f>
        <v/>
      </c>
      <c r="K61" s="392" t="str">
        <f>'Statement of Marks'!GN63</f>
        <v/>
      </c>
      <c r="L61" s="392" t="str">
        <f>'Statement of Marks'!GQ63</f>
        <v/>
      </c>
      <c r="M61" s="181" t="str">
        <f>'Statement of Marks'!GU63</f>
        <v/>
      </c>
      <c r="N61" s="181" t="str">
        <f>'Statement of Marks'!GV63</f>
        <v/>
      </c>
      <c r="O61" s="181" t="str">
        <f>'Statement of Marks'!GW63</f>
        <v/>
      </c>
      <c r="P61" s="181" t="str">
        <f>'Statement of Marks'!GX63</f>
        <v/>
      </c>
      <c r="Q61" s="181" t="str">
        <f>'Statement of Marks'!GY63</f>
        <v/>
      </c>
      <c r="R61" s="392" t="str">
        <f>'Statement of Marks'!HB63</f>
        <v/>
      </c>
      <c r="S61" s="392" t="str">
        <f>'Statement of Marks'!HE63</f>
        <v/>
      </c>
      <c r="T61" s="392" t="str">
        <f>'Statement of Marks'!HH63</f>
        <v/>
      </c>
      <c r="U61" s="392" t="str">
        <f>'Statement of Marks'!HK63</f>
        <v/>
      </c>
      <c r="V61" s="318"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9">
        <f>IF('Statement of Marks'!A64="","",'Statement of Marks'!A64)</f>
        <v>58</v>
      </c>
      <c r="B62" s="169" t="str">
        <f>IF('Statement of Marks'!B64="","",'Statement of Marks'!B64)</f>
        <v/>
      </c>
      <c r="C62" s="169" t="str">
        <f>IF('Statement of Marks'!D64="","",'Statement of Marks'!D64)</f>
        <v/>
      </c>
      <c r="D62" s="315" t="str">
        <f>IF('Statement of Marks'!E64="","",'Statement of Marks'!E64)</f>
        <v/>
      </c>
      <c r="E62" s="316" t="str">
        <f>IF('Statement of Marks'!F64="","",'Statement of Marks'!F64)</f>
        <v/>
      </c>
      <c r="F62" s="316" t="str">
        <f>IF('Statement of Marks'!G64="","",'Statement of Marks'!G64)</f>
        <v/>
      </c>
      <c r="G62" s="316" t="str">
        <f>IF('Statement of Marks'!H64="","",'Statement of Marks'!H64)</f>
        <v/>
      </c>
      <c r="H62" s="830" t="str">
        <f>IF('Statement of Marks'!HS64="","",'Statement of Marks'!HS64)</f>
        <v/>
      </c>
      <c r="I62" s="172" t="str">
        <f>IF('Statement of Marks'!HV64="","",'Statement of Marks'!HV64)</f>
        <v/>
      </c>
      <c r="J62" s="317" t="str">
        <f>IF('Statement of Marks'!HW64="","",'Statement of Marks'!HW64)</f>
        <v/>
      </c>
      <c r="K62" s="392" t="str">
        <f>'Statement of Marks'!GN64</f>
        <v/>
      </c>
      <c r="L62" s="392" t="str">
        <f>'Statement of Marks'!GQ64</f>
        <v/>
      </c>
      <c r="M62" s="181" t="str">
        <f>'Statement of Marks'!GU64</f>
        <v/>
      </c>
      <c r="N62" s="181" t="str">
        <f>'Statement of Marks'!GV64</f>
        <v/>
      </c>
      <c r="O62" s="181" t="str">
        <f>'Statement of Marks'!GW64</f>
        <v/>
      </c>
      <c r="P62" s="181" t="str">
        <f>'Statement of Marks'!GX64</f>
        <v/>
      </c>
      <c r="Q62" s="181" t="str">
        <f>'Statement of Marks'!GY64</f>
        <v/>
      </c>
      <c r="R62" s="392" t="str">
        <f>'Statement of Marks'!HB64</f>
        <v/>
      </c>
      <c r="S62" s="392" t="str">
        <f>'Statement of Marks'!HE64</f>
        <v/>
      </c>
      <c r="T62" s="392" t="str">
        <f>'Statement of Marks'!HH64</f>
        <v/>
      </c>
      <c r="U62" s="392" t="str">
        <f>'Statement of Marks'!HK64</f>
        <v/>
      </c>
      <c r="V62" s="318"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9">
        <f>IF('Statement of Marks'!A65="","",'Statement of Marks'!A65)</f>
        <v>59</v>
      </c>
      <c r="B63" s="169" t="str">
        <f>IF('Statement of Marks'!B65="","",'Statement of Marks'!B65)</f>
        <v/>
      </c>
      <c r="C63" s="169" t="str">
        <f>IF('Statement of Marks'!D65="","",'Statement of Marks'!D65)</f>
        <v/>
      </c>
      <c r="D63" s="315" t="str">
        <f>IF('Statement of Marks'!E65="","",'Statement of Marks'!E65)</f>
        <v/>
      </c>
      <c r="E63" s="316" t="str">
        <f>IF('Statement of Marks'!F65="","",'Statement of Marks'!F65)</f>
        <v/>
      </c>
      <c r="F63" s="316" t="str">
        <f>IF('Statement of Marks'!G65="","",'Statement of Marks'!G65)</f>
        <v/>
      </c>
      <c r="G63" s="316" t="str">
        <f>IF('Statement of Marks'!H65="","",'Statement of Marks'!H65)</f>
        <v/>
      </c>
      <c r="H63" s="830" t="str">
        <f>IF('Statement of Marks'!HS65="","",'Statement of Marks'!HS65)</f>
        <v/>
      </c>
      <c r="I63" s="172" t="str">
        <f>IF('Statement of Marks'!HV65="","",'Statement of Marks'!HV65)</f>
        <v/>
      </c>
      <c r="J63" s="317" t="str">
        <f>IF('Statement of Marks'!HW65="","",'Statement of Marks'!HW65)</f>
        <v/>
      </c>
      <c r="K63" s="392" t="str">
        <f>'Statement of Marks'!GN65</f>
        <v/>
      </c>
      <c r="L63" s="392" t="str">
        <f>'Statement of Marks'!GQ65</f>
        <v/>
      </c>
      <c r="M63" s="181" t="str">
        <f>'Statement of Marks'!GU65</f>
        <v/>
      </c>
      <c r="N63" s="181" t="str">
        <f>'Statement of Marks'!GV65</f>
        <v/>
      </c>
      <c r="O63" s="181" t="str">
        <f>'Statement of Marks'!GW65</f>
        <v/>
      </c>
      <c r="P63" s="181" t="str">
        <f>'Statement of Marks'!GX65</f>
        <v/>
      </c>
      <c r="Q63" s="181" t="str">
        <f>'Statement of Marks'!GY65</f>
        <v/>
      </c>
      <c r="R63" s="392" t="str">
        <f>'Statement of Marks'!HB65</f>
        <v/>
      </c>
      <c r="S63" s="392" t="str">
        <f>'Statement of Marks'!HE65</f>
        <v/>
      </c>
      <c r="T63" s="392" t="str">
        <f>'Statement of Marks'!HH65</f>
        <v/>
      </c>
      <c r="U63" s="392" t="str">
        <f>'Statement of Marks'!HK65</f>
        <v/>
      </c>
      <c r="V63" s="318"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9">
        <f>IF('Statement of Marks'!A66="","",'Statement of Marks'!A66)</f>
        <v>60</v>
      </c>
      <c r="B64" s="169" t="str">
        <f>IF('Statement of Marks'!B66="","",'Statement of Marks'!B66)</f>
        <v/>
      </c>
      <c r="C64" s="169" t="str">
        <f>IF('Statement of Marks'!D66="","",'Statement of Marks'!D66)</f>
        <v/>
      </c>
      <c r="D64" s="315" t="str">
        <f>IF('Statement of Marks'!E66="","",'Statement of Marks'!E66)</f>
        <v/>
      </c>
      <c r="E64" s="316" t="str">
        <f>IF('Statement of Marks'!F66="","",'Statement of Marks'!F66)</f>
        <v/>
      </c>
      <c r="F64" s="316" t="str">
        <f>IF('Statement of Marks'!G66="","",'Statement of Marks'!G66)</f>
        <v/>
      </c>
      <c r="G64" s="316" t="str">
        <f>IF('Statement of Marks'!H66="","",'Statement of Marks'!H66)</f>
        <v/>
      </c>
      <c r="H64" s="830" t="str">
        <f>IF('Statement of Marks'!HS66="","",'Statement of Marks'!HS66)</f>
        <v/>
      </c>
      <c r="I64" s="172" t="str">
        <f>IF('Statement of Marks'!HV66="","",'Statement of Marks'!HV66)</f>
        <v/>
      </c>
      <c r="J64" s="317" t="str">
        <f>IF('Statement of Marks'!HW66="","",'Statement of Marks'!HW66)</f>
        <v/>
      </c>
      <c r="K64" s="392" t="str">
        <f>'Statement of Marks'!GN66</f>
        <v/>
      </c>
      <c r="L64" s="392" t="str">
        <f>'Statement of Marks'!GQ66</f>
        <v/>
      </c>
      <c r="M64" s="181" t="str">
        <f>'Statement of Marks'!GU66</f>
        <v/>
      </c>
      <c r="N64" s="181" t="str">
        <f>'Statement of Marks'!GV66</f>
        <v/>
      </c>
      <c r="O64" s="181" t="str">
        <f>'Statement of Marks'!GW66</f>
        <v/>
      </c>
      <c r="P64" s="181" t="str">
        <f>'Statement of Marks'!GX66</f>
        <v/>
      </c>
      <c r="Q64" s="181" t="str">
        <f>'Statement of Marks'!GY66</f>
        <v/>
      </c>
      <c r="R64" s="392" t="str">
        <f>'Statement of Marks'!HB66</f>
        <v/>
      </c>
      <c r="S64" s="392" t="str">
        <f>'Statement of Marks'!HE66</f>
        <v/>
      </c>
      <c r="T64" s="392" t="str">
        <f>'Statement of Marks'!HH66</f>
        <v/>
      </c>
      <c r="U64" s="392" t="str">
        <f>'Statement of Marks'!HK66</f>
        <v/>
      </c>
      <c r="V64" s="318"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9">
        <f>IF('Statement of Marks'!A67="","",'Statement of Marks'!A67)</f>
        <v>61</v>
      </c>
      <c r="B65" s="169" t="str">
        <f>IF('Statement of Marks'!B67="","",'Statement of Marks'!B67)</f>
        <v/>
      </c>
      <c r="C65" s="169" t="str">
        <f>IF('Statement of Marks'!D67="","",'Statement of Marks'!D67)</f>
        <v/>
      </c>
      <c r="D65" s="315" t="str">
        <f>IF('Statement of Marks'!E67="","",'Statement of Marks'!E67)</f>
        <v/>
      </c>
      <c r="E65" s="316" t="str">
        <f>IF('Statement of Marks'!F67="","",'Statement of Marks'!F67)</f>
        <v/>
      </c>
      <c r="F65" s="316" t="str">
        <f>IF('Statement of Marks'!G67="","",'Statement of Marks'!G67)</f>
        <v/>
      </c>
      <c r="G65" s="316" t="str">
        <f>IF('Statement of Marks'!H67="","",'Statement of Marks'!H67)</f>
        <v/>
      </c>
      <c r="H65" s="830" t="str">
        <f>IF('Statement of Marks'!HS67="","",'Statement of Marks'!HS67)</f>
        <v/>
      </c>
      <c r="I65" s="172" t="str">
        <f>IF('Statement of Marks'!HV67="","",'Statement of Marks'!HV67)</f>
        <v/>
      </c>
      <c r="J65" s="317" t="str">
        <f>IF('Statement of Marks'!HW67="","",'Statement of Marks'!HW67)</f>
        <v/>
      </c>
      <c r="K65" s="392" t="str">
        <f>'Statement of Marks'!GN67</f>
        <v/>
      </c>
      <c r="L65" s="392" t="str">
        <f>'Statement of Marks'!GQ67</f>
        <v/>
      </c>
      <c r="M65" s="181" t="str">
        <f>'Statement of Marks'!GU67</f>
        <v/>
      </c>
      <c r="N65" s="181" t="str">
        <f>'Statement of Marks'!GV67</f>
        <v/>
      </c>
      <c r="O65" s="181" t="str">
        <f>'Statement of Marks'!GW67</f>
        <v/>
      </c>
      <c r="P65" s="181" t="str">
        <f>'Statement of Marks'!GX67</f>
        <v/>
      </c>
      <c r="Q65" s="181" t="str">
        <f>'Statement of Marks'!GY67</f>
        <v/>
      </c>
      <c r="R65" s="392" t="str">
        <f>'Statement of Marks'!HB67</f>
        <v/>
      </c>
      <c r="S65" s="392" t="str">
        <f>'Statement of Marks'!HE67</f>
        <v/>
      </c>
      <c r="T65" s="392" t="str">
        <f>'Statement of Marks'!HH67</f>
        <v/>
      </c>
      <c r="U65" s="392" t="str">
        <f>'Statement of Marks'!HK67</f>
        <v/>
      </c>
      <c r="V65" s="318"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9">
        <f>IF('Statement of Marks'!A68="","",'Statement of Marks'!A68)</f>
        <v>62</v>
      </c>
      <c r="B66" s="169" t="str">
        <f>IF('Statement of Marks'!B68="","",'Statement of Marks'!B68)</f>
        <v/>
      </c>
      <c r="C66" s="169" t="str">
        <f>IF('Statement of Marks'!D68="","",'Statement of Marks'!D68)</f>
        <v/>
      </c>
      <c r="D66" s="315" t="str">
        <f>IF('Statement of Marks'!E68="","",'Statement of Marks'!E68)</f>
        <v/>
      </c>
      <c r="E66" s="316" t="str">
        <f>IF('Statement of Marks'!F68="","",'Statement of Marks'!F68)</f>
        <v/>
      </c>
      <c r="F66" s="316" t="str">
        <f>IF('Statement of Marks'!G68="","",'Statement of Marks'!G68)</f>
        <v/>
      </c>
      <c r="G66" s="316" t="str">
        <f>IF('Statement of Marks'!H68="","",'Statement of Marks'!H68)</f>
        <v/>
      </c>
      <c r="H66" s="830" t="str">
        <f>IF('Statement of Marks'!HS68="","",'Statement of Marks'!HS68)</f>
        <v/>
      </c>
      <c r="I66" s="172" t="str">
        <f>IF('Statement of Marks'!HV68="","",'Statement of Marks'!HV68)</f>
        <v/>
      </c>
      <c r="J66" s="317" t="str">
        <f>IF('Statement of Marks'!HW68="","",'Statement of Marks'!HW68)</f>
        <v/>
      </c>
      <c r="K66" s="392" t="str">
        <f>'Statement of Marks'!GN68</f>
        <v/>
      </c>
      <c r="L66" s="392" t="str">
        <f>'Statement of Marks'!GQ68</f>
        <v/>
      </c>
      <c r="M66" s="181" t="str">
        <f>'Statement of Marks'!GU68</f>
        <v/>
      </c>
      <c r="N66" s="181" t="str">
        <f>'Statement of Marks'!GV68</f>
        <v/>
      </c>
      <c r="O66" s="181" t="str">
        <f>'Statement of Marks'!GW68</f>
        <v/>
      </c>
      <c r="P66" s="181" t="str">
        <f>'Statement of Marks'!GX68</f>
        <v/>
      </c>
      <c r="Q66" s="181" t="str">
        <f>'Statement of Marks'!GY68</f>
        <v/>
      </c>
      <c r="R66" s="392" t="str">
        <f>'Statement of Marks'!HB68</f>
        <v/>
      </c>
      <c r="S66" s="392" t="str">
        <f>'Statement of Marks'!HE68</f>
        <v/>
      </c>
      <c r="T66" s="392" t="str">
        <f>'Statement of Marks'!HH68</f>
        <v/>
      </c>
      <c r="U66" s="392" t="str">
        <f>'Statement of Marks'!HK68</f>
        <v/>
      </c>
      <c r="V66" s="318"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9">
        <f>IF('Statement of Marks'!A69="","",'Statement of Marks'!A69)</f>
        <v>63</v>
      </c>
      <c r="B67" s="169" t="str">
        <f>IF('Statement of Marks'!B69="","",'Statement of Marks'!B69)</f>
        <v/>
      </c>
      <c r="C67" s="169" t="str">
        <f>IF('Statement of Marks'!D69="","",'Statement of Marks'!D69)</f>
        <v/>
      </c>
      <c r="D67" s="315" t="str">
        <f>IF('Statement of Marks'!E69="","",'Statement of Marks'!E69)</f>
        <v/>
      </c>
      <c r="E67" s="316" t="str">
        <f>IF('Statement of Marks'!F69="","",'Statement of Marks'!F69)</f>
        <v/>
      </c>
      <c r="F67" s="316" t="str">
        <f>IF('Statement of Marks'!G69="","",'Statement of Marks'!G69)</f>
        <v/>
      </c>
      <c r="G67" s="316" t="str">
        <f>IF('Statement of Marks'!H69="","",'Statement of Marks'!H69)</f>
        <v/>
      </c>
      <c r="H67" s="830" t="str">
        <f>IF('Statement of Marks'!HS69="","",'Statement of Marks'!HS69)</f>
        <v/>
      </c>
      <c r="I67" s="172" t="str">
        <f>IF('Statement of Marks'!HV69="","",'Statement of Marks'!HV69)</f>
        <v/>
      </c>
      <c r="J67" s="317" t="str">
        <f>IF('Statement of Marks'!HW69="","",'Statement of Marks'!HW69)</f>
        <v/>
      </c>
      <c r="K67" s="392" t="str">
        <f>'Statement of Marks'!GN69</f>
        <v/>
      </c>
      <c r="L67" s="392" t="str">
        <f>'Statement of Marks'!GQ69</f>
        <v/>
      </c>
      <c r="M67" s="181" t="str">
        <f>'Statement of Marks'!GU69</f>
        <v/>
      </c>
      <c r="N67" s="181" t="str">
        <f>'Statement of Marks'!GV69</f>
        <v/>
      </c>
      <c r="O67" s="181" t="str">
        <f>'Statement of Marks'!GW69</f>
        <v/>
      </c>
      <c r="P67" s="181" t="str">
        <f>'Statement of Marks'!GX69</f>
        <v/>
      </c>
      <c r="Q67" s="181" t="str">
        <f>'Statement of Marks'!GY69</f>
        <v/>
      </c>
      <c r="R67" s="392" t="str">
        <f>'Statement of Marks'!HB69</f>
        <v/>
      </c>
      <c r="S67" s="392" t="str">
        <f>'Statement of Marks'!HE69</f>
        <v/>
      </c>
      <c r="T67" s="392" t="str">
        <f>'Statement of Marks'!HH69</f>
        <v/>
      </c>
      <c r="U67" s="392" t="str">
        <f>'Statement of Marks'!HK69</f>
        <v/>
      </c>
      <c r="V67" s="318"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9">
        <f>IF('Statement of Marks'!A70="","",'Statement of Marks'!A70)</f>
        <v>64</v>
      </c>
      <c r="B68" s="169" t="str">
        <f>IF('Statement of Marks'!B70="","",'Statement of Marks'!B70)</f>
        <v/>
      </c>
      <c r="C68" s="169" t="str">
        <f>IF('Statement of Marks'!D70="","",'Statement of Marks'!D70)</f>
        <v/>
      </c>
      <c r="D68" s="315" t="str">
        <f>IF('Statement of Marks'!E70="","",'Statement of Marks'!E70)</f>
        <v/>
      </c>
      <c r="E68" s="316" t="str">
        <f>IF('Statement of Marks'!F70="","",'Statement of Marks'!F70)</f>
        <v/>
      </c>
      <c r="F68" s="316" t="str">
        <f>IF('Statement of Marks'!G70="","",'Statement of Marks'!G70)</f>
        <v/>
      </c>
      <c r="G68" s="316" t="str">
        <f>IF('Statement of Marks'!H70="","",'Statement of Marks'!H70)</f>
        <v/>
      </c>
      <c r="H68" s="830" t="str">
        <f>IF('Statement of Marks'!HS70="","",'Statement of Marks'!HS70)</f>
        <v/>
      </c>
      <c r="I68" s="172" t="str">
        <f>IF('Statement of Marks'!HV70="","",'Statement of Marks'!HV70)</f>
        <v/>
      </c>
      <c r="J68" s="317" t="str">
        <f>IF('Statement of Marks'!HW70="","",'Statement of Marks'!HW70)</f>
        <v/>
      </c>
      <c r="K68" s="392" t="str">
        <f>'Statement of Marks'!GN70</f>
        <v/>
      </c>
      <c r="L68" s="392" t="str">
        <f>'Statement of Marks'!GQ70</f>
        <v/>
      </c>
      <c r="M68" s="181" t="str">
        <f>'Statement of Marks'!GU70</f>
        <v/>
      </c>
      <c r="N68" s="181" t="str">
        <f>'Statement of Marks'!GV70</f>
        <v/>
      </c>
      <c r="O68" s="181" t="str">
        <f>'Statement of Marks'!GW70</f>
        <v/>
      </c>
      <c r="P68" s="181" t="str">
        <f>'Statement of Marks'!GX70</f>
        <v/>
      </c>
      <c r="Q68" s="181" t="str">
        <f>'Statement of Marks'!GY70</f>
        <v/>
      </c>
      <c r="R68" s="392" t="str">
        <f>'Statement of Marks'!HB70</f>
        <v/>
      </c>
      <c r="S68" s="392" t="str">
        <f>'Statement of Marks'!HE70</f>
        <v/>
      </c>
      <c r="T68" s="392" t="str">
        <f>'Statement of Marks'!HH70</f>
        <v/>
      </c>
      <c r="U68" s="392" t="str">
        <f>'Statement of Marks'!HK70</f>
        <v/>
      </c>
      <c r="V68" s="318"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9">
        <f>IF('Statement of Marks'!A71="","",'Statement of Marks'!A71)</f>
        <v>65</v>
      </c>
      <c r="B69" s="169" t="str">
        <f>IF('Statement of Marks'!B71="","",'Statement of Marks'!B71)</f>
        <v/>
      </c>
      <c r="C69" s="169" t="str">
        <f>IF('Statement of Marks'!D71="","",'Statement of Marks'!D71)</f>
        <v/>
      </c>
      <c r="D69" s="315" t="str">
        <f>IF('Statement of Marks'!E71="","",'Statement of Marks'!E71)</f>
        <v/>
      </c>
      <c r="E69" s="316" t="str">
        <f>IF('Statement of Marks'!F71="","",'Statement of Marks'!F71)</f>
        <v/>
      </c>
      <c r="F69" s="316" t="str">
        <f>IF('Statement of Marks'!G71="","",'Statement of Marks'!G71)</f>
        <v/>
      </c>
      <c r="G69" s="316" t="str">
        <f>IF('Statement of Marks'!H71="","",'Statement of Marks'!H71)</f>
        <v/>
      </c>
      <c r="H69" s="830" t="str">
        <f>IF('Statement of Marks'!HS71="","",'Statement of Marks'!HS71)</f>
        <v/>
      </c>
      <c r="I69" s="172" t="str">
        <f>IF('Statement of Marks'!HV71="","",'Statement of Marks'!HV71)</f>
        <v/>
      </c>
      <c r="J69" s="317" t="str">
        <f>IF('Statement of Marks'!HW71="","",'Statement of Marks'!HW71)</f>
        <v/>
      </c>
      <c r="K69" s="392" t="str">
        <f>'Statement of Marks'!GN71</f>
        <v/>
      </c>
      <c r="L69" s="392" t="str">
        <f>'Statement of Marks'!GQ71</f>
        <v/>
      </c>
      <c r="M69" s="181" t="str">
        <f>'Statement of Marks'!GU71</f>
        <v/>
      </c>
      <c r="N69" s="181" t="str">
        <f>'Statement of Marks'!GV71</f>
        <v/>
      </c>
      <c r="O69" s="181" t="str">
        <f>'Statement of Marks'!GW71</f>
        <v/>
      </c>
      <c r="P69" s="181" t="str">
        <f>'Statement of Marks'!GX71</f>
        <v/>
      </c>
      <c r="Q69" s="181" t="str">
        <f>'Statement of Marks'!GY71</f>
        <v/>
      </c>
      <c r="R69" s="392" t="str">
        <f>'Statement of Marks'!HB71</f>
        <v/>
      </c>
      <c r="S69" s="392" t="str">
        <f>'Statement of Marks'!HE71</f>
        <v/>
      </c>
      <c r="T69" s="392" t="str">
        <f>'Statement of Marks'!HH71</f>
        <v/>
      </c>
      <c r="U69" s="392" t="str">
        <f>'Statement of Marks'!HK71</f>
        <v/>
      </c>
      <c r="V69" s="318"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9">
        <f>IF('Statement of Marks'!A72="","",'Statement of Marks'!A72)</f>
        <v>66</v>
      </c>
      <c r="B70" s="169" t="str">
        <f>IF('Statement of Marks'!B72="","",'Statement of Marks'!B72)</f>
        <v/>
      </c>
      <c r="C70" s="169" t="str">
        <f>IF('Statement of Marks'!D72="","",'Statement of Marks'!D72)</f>
        <v/>
      </c>
      <c r="D70" s="315" t="str">
        <f>IF('Statement of Marks'!E72="","",'Statement of Marks'!E72)</f>
        <v/>
      </c>
      <c r="E70" s="316" t="str">
        <f>IF('Statement of Marks'!F72="","",'Statement of Marks'!F72)</f>
        <v/>
      </c>
      <c r="F70" s="316" t="str">
        <f>IF('Statement of Marks'!G72="","",'Statement of Marks'!G72)</f>
        <v/>
      </c>
      <c r="G70" s="316" t="str">
        <f>IF('Statement of Marks'!H72="","",'Statement of Marks'!H72)</f>
        <v/>
      </c>
      <c r="H70" s="830" t="str">
        <f>IF('Statement of Marks'!HS72="","",'Statement of Marks'!HS72)</f>
        <v/>
      </c>
      <c r="I70" s="172" t="str">
        <f>IF('Statement of Marks'!HV72="","",'Statement of Marks'!HV72)</f>
        <v/>
      </c>
      <c r="J70" s="317" t="str">
        <f>IF('Statement of Marks'!HW72="","",'Statement of Marks'!HW72)</f>
        <v/>
      </c>
      <c r="K70" s="392" t="str">
        <f>'Statement of Marks'!GN72</f>
        <v/>
      </c>
      <c r="L70" s="392" t="str">
        <f>'Statement of Marks'!GQ72</f>
        <v/>
      </c>
      <c r="M70" s="181" t="str">
        <f>'Statement of Marks'!GU72</f>
        <v/>
      </c>
      <c r="N70" s="181" t="str">
        <f>'Statement of Marks'!GV72</f>
        <v/>
      </c>
      <c r="O70" s="181" t="str">
        <f>'Statement of Marks'!GW72</f>
        <v/>
      </c>
      <c r="P70" s="181" t="str">
        <f>'Statement of Marks'!GX72</f>
        <v/>
      </c>
      <c r="Q70" s="181" t="str">
        <f>'Statement of Marks'!GY72</f>
        <v/>
      </c>
      <c r="R70" s="392" t="str">
        <f>'Statement of Marks'!HB72</f>
        <v/>
      </c>
      <c r="S70" s="392" t="str">
        <f>'Statement of Marks'!HE72</f>
        <v/>
      </c>
      <c r="T70" s="392" t="str">
        <f>'Statement of Marks'!HH72</f>
        <v/>
      </c>
      <c r="U70" s="392" t="str">
        <f>'Statement of Marks'!HK72</f>
        <v/>
      </c>
      <c r="V70" s="318"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9">
        <f>IF('Statement of Marks'!A73="","",'Statement of Marks'!A73)</f>
        <v>67</v>
      </c>
      <c r="B71" s="169" t="str">
        <f>IF('Statement of Marks'!B73="","",'Statement of Marks'!B73)</f>
        <v/>
      </c>
      <c r="C71" s="169" t="str">
        <f>IF('Statement of Marks'!D73="","",'Statement of Marks'!D73)</f>
        <v/>
      </c>
      <c r="D71" s="315" t="str">
        <f>IF('Statement of Marks'!E73="","",'Statement of Marks'!E73)</f>
        <v/>
      </c>
      <c r="E71" s="316" t="str">
        <f>IF('Statement of Marks'!F73="","",'Statement of Marks'!F73)</f>
        <v/>
      </c>
      <c r="F71" s="316" t="str">
        <f>IF('Statement of Marks'!G73="","",'Statement of Marks'!G73)</f>
        <v/>
      </c>
      <c r="G71" s="316" t="str">
        <f>IF('Statement of Marks'!H73="","",'Statement of Marks'!H73)</f>
        <v/>
      </c>
      <c r="H71" s="830" t="str">
        <f>IF('Statement of Marks'!HS73="","",'Statement of Marks'!HS73)</f>
        <v/>
      </c>
      <c r="I71" s="172" t="str">
        <f>IF('Statement of Marks'!HV73="","",'Statement of Marks'!HV73)</f>
        <v/>
      </c>
      <c r="J71" s="317" t="str">
        <f>IF('Statement of Marks'!HW73="","",'Statement of Marks'!HW73)</f>
        <v/>
      </c>
      <c r="K71" s="392" t="str">
        <f>'Statement of Marks'!GN73</f>
        <v/>
      </c>
      <c r="L71" s="392" t="str">
        <f>'Statement of Marks'!GQ73</f>
        <v/>
      </c>
      <c r="M71" s="181" t="str">
        <f>'Statement of Marks'!GU73</f>
        <v/>
      </c>
      <c r="N71" s="181" t="str">
        <f>'Statement of Marks'!GV73</f>
        <v/>
      </c>
      <c r="O71" s="181" t="str">
        <f>'Statement of Marks'!GW73</f>
        <v/>
      </c>
      <c r="P71" s="181" t="str">
        <f>'Statement of Marks'!GX73</f>
        <v/>
      </c>
      <c r="Q71" s="181" t="str">
        <f>'Statement of Marks'!GY73</f>
        <v/>
      </c>
      <c r="R71" s="392" t="str">
        <f>'Statement of Marks'!HB73</f>
        <v/>
      </c>
      <c r="S71" s="392" t="str">
        <f>'Statement of Marks'!HE73</f>
        <v/>
      </c>
      <c r="T71" s="392" t="str">
        <f>'Statement of Marks'!HH73</f>
        <v/>
      </c>
      <c r="U71" s="392" t="str">
        <f>'Statement of Marks'!HK73</f>
        <v/>
      </c>
      <c r="V71" s="318"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9">
        <f>IF('Statement of Marks'!A74="","",'Statement of Marks'!A74)</f>
        <v>68</v>
      </c>
      <c r="B72" s="169" t="str">
        <f>IF('Statement of Marks'!B74="","",'Statement of Marks'!B74)</f>
        <v/>
      </c>
      <c r="C72" s="169" t="str">
        <f>IF('Statement of Marks'!D74="","",'Statement of Marks'!D74)</f>
        <v/>
      </c>
      <c r="D72" s="315" t="str">
        <f>IF('Statement of Marks'!E74="","",'Statement of Marks'!E74)</f>
        <v/>
      </c>
      <c r="E72" s="316" t="str">
        <f>IF('Statement of Marks'!F74="","",'Statement of Marks'!F74)</f>
        <v/>
      </c>
      <c r="F72" s="316" t="str">
        <f>IF('Statement of Marks'!G74="","",'Statement of Marks'!G74)</f>
        <v/>
      </c>
      <c r="G72" s="316" t="str">
        <f>IF('Statement of Marks'!H74="","",'Statement of Marks'!H74)</f>
        <v/>
      </c>
      <c r="H72" s="830" t="str">
        <f>IF('Statement of Marks'!HS74="","",'Statement of Marks'!HS74)</f>
        <v/>
      </c>
      <c r="I72" s="172" t="str">
        <f>IF('Statement of Marks'!HV74="","",'Statement of Marks'!HV74)</f>
        <v/>
      </c>
      <c r="J72" s="317" t="str">
        <f>IF('Statement of Marks'!HW74="","",'Statement of Marks'!HW74)</f>
        <v/>
      </c>
      <c r="K72" s="392" t="str">
        <f>'Statement of Marks'!GN74</f>
        <v/>
      </c>
      <c r="L72" s="392" t="str">
        <f>'Statement of Marks'!GQ74</f>
        <v/>
      </c>
      <c r="M72" s="181" t="str">
        <f>'Statement of Marks'!GU74</f>
        <v/>
      </c>
      <c r="N72" s="181" t="str">
        <f>'Statement of Marks'!GV74</f>
        <v/>
      </c>
      <c r="O72" s="181" t="str">
        <f>'Statement of Marks'!GW74</f>
        <v/>
      </c>
      <c r="P72" s="181" t="str">
        <f>'Statement of Marks'!GX74</f>
        <v/>
      </c>
      <c r="Q72" s="181" t="str">
        <f>'Statement of Marks'!GY74</f>
        <v/>
      </c>
      <c r="R72" s="392" t="str">
        <f>'Statement of Marks'!HB74</f>
        <v/>
      </c>
      <c r="S72" s="392" t="str">
        <f>'Statement of Marks'!HE74</f>
        <v/>
      </c>
      <c r="T72" s="392" t="str">
        <f>'Statement of Marks'!HH74</f>
        <v/>
      </c>
      <c r="U72" s="392" t="str">
        <f>'Statement of Marks'!HK74</f>
        <v/>
      </c>
      <c r="V72" s="318"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9">
        <f>IF('Statement of Marks'!A75="","",'Statement of Marks'!A75)</f>
        <v>69</v>
      </c>
      <c r="B73" s="169" t="str">
        <f>IF('Statement of Marks'!B75="","",'Statement of Marks'!B75)</f>
        <v/>
      </c>
      <c r="C73" s="169" t="str">
        <f>IF('Statement of Marks'!D75="","",'Statement of Marks'!D75)</f>
        <v/>
      </c>
      <c r="D73" s="315" t="str">
        <f>IF('Statement of Marks'!E75="","",'Statement of Marks'!E75)</f>
        <v/>
      </c>
      <c r="E73" s="316" t="str">
        <f>IF('Statement of Marks'!F75="","",'Statement of Marks'!F75)</f>
        <v/>
      </c>
      <c r="F73" s="316" t="str">
        <f>IF('Statement of Marks'!G75="","",'Statement of Marks'!G75)</f>
        <v/>
      </c>
      <c r="G73" s="316" t="str">
        <f>IF('Statement of Marks'!H75="","",'Statement of Marks'!H75)</f>
        <v/>
      </c>
      <c r="H73" s="830" t="str">
        <f>IF('Statement of Marks'!HS75="","",'Statement of Marks'!HS75)</f>
        <v/>
      </c>
      <c r="I73" s="172" t="str">
        <f>IF('Statement of Marks'!HV75="","",'Statement of Marks'!HV75)</f>
        <v/>
      </c>
      <c r="J73" s="317" t="str">
        <f>IF('Statement of Marks'!HW75="","",'Statement of Marks'!HW75)</f>
        <v/>
      </c>
      <c r="K73" s="392" t="str">
        <f>'Statement of Marks'!GN75</f>
        <v/>
      </c>
      <c r="L73" s="392" t="str">
        <f>'Statement of Marks'!GQ75</f>
        <v/>
      </c>
      <c r="M73" s="181" t="str">
        <f>'Statement of Marks'!GU75</f>
        <v/>
      </c>
      <c r="N73" s="181" t="str">
        <f>'Statement of Marks'!GV75</f>
        <v/>
      </c>
      <c r="O73" s="181" t="str">
        <f>'Statement of Marks'!GW75</f>
        <v/>
      </c>
      <c r="P73" s="181" t="str">
        <f>'Statement of Marks'!GX75</f>
        <v/>
      </c>
      <c r="Q73" s="181" t="str">
        <f>'Statement of Marks'!GY75</f>
        <v/>
      </c>
      <c r="R73" s="392" t="str">
        <f>'Statement of Marks'!HB75</f>
        <v/>
      </c>
      <c r="S73" s="392" t="str">
        <f>'Statement of Marks'!HE75</f>
        <v/>
      </c>
      <c r="T73" s="392" t="str">
        <f>'Statement of Marks'!HH75</f>
        <v/>
      </c>
      <c r="U73" s="392" t="str">
        <f>'Statement of Marks'!HK75</f>
        <v/>
      </c>
      <c r="V73" s="318"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9">
        <f>IF('Statement of Marks'!A76="","",'Statement of Marks'!A76)</f>
        <v>70</v>
      </c>
      <c r="B74" s="169" t="str">
        <f>IF('Statement of Marks'!B76="","",'Statement of Marks'!B76)</f>
        <v/>
      </c>
      <c r="C74" s="169" t="str">
        <f>IF('Statement of Marks'!D76="","",'Statement of Marks'!D76)</f>
        <v/>
      </c>
      <c r="D74" s="315" t="str">
        <f>IF('Statement of Marks'!E76="","",'Statement of Marks'!E76)</f>
        <v/>
      </c>
      <c r="E74" s="316" t="str">
        <f>IF('Statement of Marks'!F76="","",'Statement of Marks'!F76)</f>
        <v/>
      </c>
      <c r="F74" s="316" t="str">
        <f>IF('Statement of Marks'!G76="","",'Statement of Marks'!G76)</f>
        <v/>
      </c>
      <c r="G74" s="316" t="str">
        <f>IF('Statement of Marks'!H76="","",'Statement of Marks'!H76)</f>
        <v/>
      </c>
      <c r="H74" s="830" t="str">
        <f>IF('Statement of Marks'!HS76="","",'Statement of Marks'!HS76)</f>
        <v/>
      </c>
      <c r="I74" s="172" t="str">
        <f>IF('Statement of Marks'!HV76="","",'Statement of Marks'!HV76)</f>
        <v/>
      </c>
      <c r="J74" s="317" t="str">
        <f>IF('Statement of Marks'!HW76="","",'Statement of Marks'!HW76)</f>
        <v/>
      </c>
      <c r="K74" s="392" t="str">
        <f>'Statement of Marks'!GN76</f>
        <v/>
      </c>
      <c r="L74" s="392" t="str">
        <f>'Statement of Marks'!GQ76</f>
        <v/>
      </c>
      <c r="M74" s="181" t="str">
        <f>'Statement of Marks'!GU76</f>
        <v/>
      </c>
      <c r="N74" s="181" t="str">
        <f>'Statement of Marks'!GV76</f>
        <v/>
      </c>
      <c r="O74" s="181" t="str">
        <f>'Statement of Marks'!GW76</f>
        <v/>
      </c>
      <c r="P74" s="181" t="str">
        <f>'Statement of Marks'!GX76</f>
        <v/>
      </c>
      <c r="Q74" s="181" t="str">
        <f>'Statement of Marks'!GY76</f>
        <v/>
      </c>
      <c r="R74" s="392" t="str">
        <f>'Statement of Marks'!HB76</f>
        <v/>
      </c>
      <c r="S74" s="392" t="str">
        <f>'Statement of Marks'!HE76</f>
        <v/>
      </c>
      <c r="T74" s="392" t="str">
        <f>'Statement of Marks'!HH76</f>
        <v/>
      </c>
      <c r="U74" s="392" t="str">
        <f>'Statement of Marks'!HK76</f>
        <v/>
      </c>
      <c r="V74" s="318"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9">
        <f>IF('Statement of Marks'!A77="","",'Statement of Marks'!A77)</f>
        <v>71</v>
      </c>
      <c r="B75" s="169" t="str">
        <f>IF('Statement of Marks'!B77="","",'Statement of Marks'!B77)</f>
        <v/>
      </c>
      <c r="C75" s="169" t="str">
        <f>IF('Statement of Marks'!D77="","",'Statement of Marks'!D77)</f>
        <v/>
      </c>
      <c r="D75" s="315" t="str">
        <f>IF('Statement of Marks'!E77="","",'Statement of Marks'!E77)</f>
        <v/>
      </c>
      <c r="E75" s="316" t="str">
        <f>IF('Statement of Marks'!F77="","",'Statement of Marks'!F77)</f>
        <v/>
      </c>
      <c r="F75" s="316" t="str">
        <f>IF('Statement of Marks'!G77="","",'Statement of Marks'!G77)</f>
        <v/>
      </c>
      <c r="G75" s="316" t="str">
        <f>IF('Statement of Marks'!H77="","",'Statement of Marks'!H77)</f>
        <v/>
      </c>
      <c r="H75" s="830" t="str">
        <f>IF('Statement of Marks'!HS77="","",'Statement of Marks'!HS77)</f>
        <v/>
      </c>
      <c r="I75" s="172" t="str">
        <f>IF('Statement of Marks'!HV77="","",'Statement of Marks'!HV77)</f>
        <v/>
      </c>
      <c r="J75" s="317" t="str">
        <f>IF('Statement of Marks'!HW77="","",'Statement of Marks'!HW77)</f>
        <v/>
      </c>
      <c r="K75" s="392" t="str">
        <f>'Statement of Marks'!GN77</f>
        <v/>
      </c>
      <c r="L75" s="392" t="str">
        <f>'Statement of Marks'!GQ77</f>
        <v/>
      </c>
      <c r="M75" s="181" t="str">
        <f>'Statement of Marks'!GU77</f>
        <v/>
      </c>
      <c r="N75" s="181" t="str">
        <f>'Statement of Marks'!GV77</f>
        <v/>
      </c>
      <c r="O75" s="181" t="str">
        <f>'Statement of Marks'!GW77</f>
        <v/>
      </c>
      <c r="P75" s="181" t="str">
        <f>'Statement of Marks'!GX77</f>
        <v/>
      </c>
      <c r="Q75" s="181" t="str">
        <f>'Statement of Marks'!GY77</f>
        <v/>
      </c>
      <c r="R75" s="392" t="str">
        <f>'Statement of Marks'!HB77</f>
        <v/>
      </c>
      <c r="S75" s="392" t="str">
        <f>'Statement of Marks'!HE77</f>
        <v/>
      </c>
      <c r="T75" s="392" t="str">
        <f>'Statement of Marks'!HH77</f>
        <v/>
      </c>
      <c r="U75" s="392" t="str">
        <f>'Statement of Marks'!HK77</f>
        <v/>
      </c>
      <c r="V75" s="318"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9">
        <f>IF('Statement of Marks'!A78="","",'Statement of Marks'!A78)</f>
        <v>72</v>
      </c>
      <c r="B76" s="169" t="str">
        <f>IF('Statement of Marks'!B78="","",'Statement of Marks'!B78)</f>
        <v/>
      </c>
      <c r="C76" s="169" t="str">
        <f>IF('Statement of Marks'!D78="","",'Statement of Marks'!D78)</f>
        <v/>
      </c>
      <c r="D76" s="315" t="str">
        <f>IF('Statement of Marks'!E78="","",'Statement of Marks'!E78)</f>
        <v/>
      </c>
      <c r="E76" s="316" t="str">
        <f>IF('Statement of Marks'!F78="","",'Statement of Marks'!F78)</f>
        <v/>
      </c>
      <c r="F76" s="316" t="str">
        <f>IF('Statement of Marks'!G78="","",'Statement of Marks'!G78)</f>
        <v/>
      </c>
      <c r="G76" s="316" t="str">
        <f>IF('Statement of Marks'!H78="","",'Statement of Marks'!H78)</f>
        <v/>
      </c>
      <c r="H76" s="830" t="str">
        <f>IF('Statement of Marks'!HS78="","",'Statement of Marks'!HS78)</f>
        <v/>
      </c>
      <c r="I76" s="172" t="str">
        <f>IF('Statement of Marks'!HV78="","",'Statement of Marks'!HV78)</f>
        <v/>
      </c>
      <c r="J76" s="317" t="str">
        <f>IF('Statement of Marks'!HW78="","",'Statement of Marks'!HW78)</f>
        <v/>
      </c>
      <c r="K76" s="392" t="str">
        <f>'Statement of Marks'!GN78</f>
        <v/>
      </c>
      <c r="L76" s="392" t="str">
        <f>'Statement of Marks'!GQ78</f>
        <v/>
      </c>
      <c r="M76" s="181" t="str">
        <f>'Statement of Marks'!GU78</f>
        <v/>
      </c>
      <c r="N76" s="181" t="str">
        <f>'Statement of Marks'!GV78</f>
        <v/>
      </c>
      <c r="O76" s="181" t="str">
        <f>'Statement of Marks'!GW78</f>
        <v/>
      </c>
      <c r="P76" s="181" t="str">
        <f>'Statement of Marks'!GX78</f>
        <v/>
      </c>
      <c r="Q76" s="181" t="str">
        <f>'Statement of Marks'!GY78</f>
        <v/>
      </c>
      <c r="R76" s="392" t="str">
        <f>'Statement of Marks'!HB78</f>
        <v/>
      </c>
      <c r="S76" s="392" t="str">
        <f>'Statement of Marks'!HE78</f>
        <v/>
      </c>
      <c r="T76" s="392" t="str">
        <f>'Statement of Marks'!HH78</f>
        <v/>
      </c>
      <c r="U76" s="392" t="str">
        <f>'Statement of Marks'!HK78</f>
        <v/>
      </c>
      <c r="V76" s="318"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9">
        <f>IF('Statement of Marks'!A79="","",'Statement of Marks'!A79)</f>
        <v>73</v>
      </c>
      <c r="B77" s="169" t="str">
        <f>IF('Statement of Marks'!B79="","",'Statement of Marks'!B79)</f>
        <v/>
      </c>
      <c r="C77" s="169" t="str">
        <f>IF('Statement of Marks'!D79="","",'Statement of Marks'!D79)</f>
        <v/>
      </c>
      <c r="D77" s="315" t="str">
        <f>IF('Statement of Marks'!E79="","",'Statement of Marks'!E79)</f>
        <v/>
      </c>
      <c r="E77" s="316" t="str">
        <f>IF('Statement of Marks'!F79="","",'Statement of Marks'!F79)</f>
        <v/>
      </c>
      <c r="F77" s="316" t="str">
        <f>IF('Statement of Marks'!G79="","",'Statement of Marks'!G79)</f>
        <v/>
      </c>
      <c r="G77" s="316" t="str">
        <f>IF('Statement of Marks'!H79="","",'Statement of Marks'!H79)</f>
        <v/>
      </c>
      <c r="H77" s="830" t="str">
        <f>IF('Statement of Marks'!HS79="","",'Statement of Marks'!HS79)</f>
        <v/>
      </c>
      <c r="I77" s="172" t="str">
        <f>IF('Statement of Marks'!HV79="","",'Statement of Marks'!HV79)</f>
        <v/>
      </c>
      <c r="J77" s="317" t="str">
        <f>IF('Statement of Marks'!HW79="","",'Statement of Marks'!HW79)</f>
        <v/>
      </c>
      <c r="K77" s="392" t="str">
        <f>'Statement of Marks'!GN79</f>
        <v/>
      </c>
      <c r="L77" s="392" t="str">
        <f>'Statement of Marks'!GQ79</f>
        <v/>
      </c>
      <c r="M77" s="181" t="str">
        <f>'Statement of Marks'!GU79</f>
        <v/>
      </c>
      <c r="N77" s="181" t="str">
        <f>'Statement of Marks'!GV79</f>
        <v/>
      </c>
      <c r="O77" s="181" t="str">
        <f>'Statement of Marks'!GW79</f>
        <v/>
      </c>
      <c r="P77" s="181" t="str">
        <f>'Statement of Marks'!GX79</f>
        <v/>
      </c>
      <c r="Q77" s="181" t="str">
        <f>'Statement of Marks'!GY79</f>
        <v/>
      </c>
      <c r="R77" s="392" t="str">
        <f>'Statement of Marks'!HB79</f>
        <v/>
      </c>
      <c r="S77" s="392" t="str">
        <f>'Statement of Marks'!HE79</f>
        <v/>
      </c>
      <c r="T77" s="392" t="str">
        <f>'Statement of Marks'!HH79</f>
        <v/>
      </c>
      <c r="U77" s="392" t="str">
        <f>'Statement of Marks'!HK79</f>
        <v/>
      </c>
      <c r="V77" s="318"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9">
        <f>IF('Statement of Marks'!A80="","",'Statement of Marks'!A80)</f>
        <v>74</v>
      </c>
      <c r="B78" s="169" t="str">
        <f>IF('Statement of Marks'!B80="","",'Statement of Marks'!B80)</f>
        <v/>
      </c>
      <c r="C78" s="169" t="str">
        <f>IF('Statement of Marks'!D80="","",'Statement of Marks'!D80)</f>
        <v/>
      </c>
      <c r="D78" s="315" t="str">
        <f>IF('Statement of Marks'!E80="","",'Statement of Marks'!E80)</f>
        <v/>
      </c>
      <c r="E78" s="316" t="str">
        <f>IF('Statement of Marks'!F80="","",'Statement of Marks'!F80)</f>
        <v/>
      </c>
      <c r="F78" s="316" t="str">
        <f>IF('Statement of Marks'!G80="","",'Statement of Marks'!G80)</f>
        <v/>
      </c>
      <c r="G78" s="316" t="str">
        <f>IF('Statement of Marks'!H80="","",'Statement of Marks'!H80)</f>
        <v/>
      </c>
      <c r="H78" s="830" t="str">
        <f>IF('Statement of Marks'!HS80="","",'Statement of Marks'!HS80)</f>
        <v/>
      </c>
      <c r="I78" s="172" t="str">
        <f>IF('Statement of Marks'!HV80="","",'Statement of Marks'!HV80)</f>
        <v/>
      </c>
      <c r="J78" s="317" t="str">
        <f>IF('Statement of Marks'!HW80="","",'Statement of Marks'!HW80)</f>
        <v/>
      </c>
      <c r="K78" s="392" t="str">
        <f>'Statement of Marks'!GN80</f>
        <v/>
      </c>
      <c r="L78" s="392" t="str">
        <f>'Statement of Marks'!GQ80</f>
        <v/>
      </c>
      <c r="M78" s="181" t="str">
        <f>'Statement of Marks'!GU80</f>
        <v/>
      </c>
      <c r="N78" s="181" t="str">
        <f>'Statement of Marks'!GV80</f>
        <v/>
      </c>
      <c r="O78" s="181" t="str">
        <f>'Statement of Marks'!GW80</f>
        <v/>
      </c>
      <c r="P78" s="181" t="str">
        <f>'Statement of Marks'!GX80</f>
        <v/>
      </c>
      <c r="Q78" s="181" t="str">
        <f>'Statement of Marks'!GY80</f>
        <v/>
      </c>
      <c r="R78" s="392" t="str">
        <f>'Statement of Marks'!HB80</f>
        <v/>
      </c>
      <c r="S78" s="392" t="str">
        <f>'Statement of Marks'!HE80</f>
        <v/>
      </c>
      <c r="T78" s="392" t="str">
        <f>'Statement of Marks'!HH80</f>
        <v/>
      </c>
      <c r="U78" s="392" t="str">
        <f>'Statement of Marks'!HK80</f>
        <v/>
      </c>
      <c r="V78" s="318"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9">
        <f>IF('Statement of Marks'!A81="","",'Statement of Marks'!A81)</f>
        <v>75</v>
      </c>
      <c r="B79" s="169" t="str">
        <f>IF('Statement of Marks'!B81="","",'Statement of Marks'!B81)</f>
        <v/>
      </c>
      <c r="C79" s="169" t="str">
        <f>IF('Statement of Marks'!D81="","",'Statement of Marks'!D81)</f>
        <v/>
      </c>
      <c r="D79" s="315" t="str">
        <f>IF('Statement of Marks'!E81="","",'Statement of Marks'!E81)</f>
        <v/>
      </c>
      <c r="E79" s="316" t="str">
        <f>IF('Statement of Marks'!F81="","",'Statement of Marks'!F81)</f>
        <v/>
      </c>
      <c r="F79" s="316" t="str">
        <f>IF('Statement of Marks'!G81="","",'Statement of Marks'!G81)</f>
        <v/>
      </c>
      <c r="G79" s="316" t="str">
        <f>IF('Statement of Marks'!H81="","",'Statement of Marks'!H81)</f>
        <v/>
      </c>
      <c r="H79" s="830" t="str">
        <f>IF('Statement of Marks'!HS81="","",'Statement of Marks'!HS81)</f>
        <v/>
      </c>
      <c r="I79" s="172" t="str">
        <f>IF('Statement of Marks'!HV81="","",'Statement of Marks'!HV81)</f>
        <v/>
      </c>
      <c r="J79" s="317" t="str">
        <f>IF('Statement of Marks'!HW81="","",'Statement of Marks'!HW81)</f>
        <v/>
      </c>
      <c r="K79" s="392" t="str">
        <f>'Statement of Marks'!GN81</f>
        <v/>
      </c>
      <c r="L79" s="392" t="str">
        <f>'Statement of Marks'!GQ81</f>
        <v/>
      </c>
      <c r="M79" s="181" t="str">
        <f>'Statement of Marks'!GU81</f>
        <v/>
      </c>
      <c r="N79" s="181" t="str">
        <f>'Statement of Marks'!GV81</f>
        <v/>
      </c>
      <c r="O79" s="181" t="str">
        <f>'Statement of Marks'!GW81</f>
        <v/>
      </c>
      <c r="P79" s="181" t="str">
        <f>'Statement of Marks'!GX81</f>
        <v/>
      </c>
      <c r="Q79" s="181" t="str">
        <f>'Statement of Marks'!GY81</f>
        <v/>
      </c>
      <c r="R79" s="392" t="str">
        <f>'Statement of Marks'!HB81</f>
        <v/>
      </c>
      <c r="S79" s="392" t="str">
        <f>'Statement of Marks'!HE81</f>
        <v/>
      </c>
      <c r="T79" s="392" t="str">
        <f>'Statement of Marks'!HH81</f>
        <v/>
      </c>
      <c r="U79" s="392" t="str">
        <f>'Statement of Marks'!HK81</f>
        <v/>
      </c>
      <c r="V79" s="318"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9">
        <f>IF('Statement of Marks'!A82="","",'Statement of Marks'!A82)</f>
        <v>76</v>
      </c>
      <c r="B80" s="169" t="str">
        <f>IF('Statement of Marks'!B82="","",'Statement of Marks'!B82)</f>
        <v/>
      </c>
      <c r="C80" s="169" t="str">
        <f>IF('Statement of Marks'!D82="","",'Statement of Marks'!D82)</f>
        <v/>
      </c>
      <c r="D80" s="315" t="str">
        <f>IF('Statement of Marks'!E82="","",'Statement of Marks'!E82)</f>
        <v/>
      </c>
      <c r="E80" s="316" t="str">
        <f>IF('Statement of Marks'!F82="","",'Statement of Marks'!F82)</f>
        <v/>
      </c>
      <c r="F80" s="316" t="str">
        <f>IF('Statement of Marks'!G82="","",'Statement of Marks'!G82)</f>
        <v/>
      </c>
      <c r="G80" s="316" t="str">
        <f>IF('Statement of Marks'!H82="","",'Statement of Marks'!H82)</f>
        <v/>
      </c>
      <c r="H80" s="830" t="str">
        <f>IF('Statement of Marks'!HS82="","",'Statement of Marks'!HS82)</f>
        <v/>
      </c>
      <c r="I80" s="172" t="str">
        <f>IF('Statement of Marks'!HV82="","",'Statement of Marks'!HV82)</f>
        <v/>
      </c>
      <c r="J80" s="317" t="str">
        <f>IF('Statement of Marks'!HW82="","",'Statement of Marks'!HW82)</f>
        <v/>
      </c>
      <c r="K80" s="392" t="str">
        <f>'Statement of Marks'!GN82</f>
        <v/>
      </c>
      <c r="L80" s="392" t="str">
        <f>'Statement of Marks'!GQ82</f>
        <v/>
      </c>
      <c r="M80" s="181" t="str">
        <f>'Statement of Marks'!GU82</f>
        <v/>
      </c>
      <c r="N80" s="181" t="str">
        <f>'Statement of Marks'!GV82</f>
        <v/>
      </c>
      <c r="O80" s="181" t="str">
        <f>'Statement of Marks'!GW82</f>
        <v/>
      </c>
      <c r="P80" s="181" t="str">
        <f>'Statement of Marks'!GX82</f>
        <v/>
      </c>
      <c r="Q80" s="181" t="str">
        <f>'Statement of Marks'!GY82</f>
        <v/>
      </c>
      <c r="R80" s="392" t="str">
        <f>'Statement of Marks'!HB82</f>
        <v/>
      </c>
      <c r="S80" s="392" t="str">
        <f>'Statement of Marks'!HE82</f>
        <v/>
      </c>
      <c r="T80" s="392" t="str">
        <f>'Statement of Marks'!HH82</f>
        <v/>
      </c>
      <c r="U80" s="392" t="str">
        <f>'Statement of Marks'!HK82</f>
        <v/>
      </c>
      <c r="V80" s="318"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9">
        <f>IF('Statement of Marks'!A83="","",'Statement of Marks'!A83)</f>
        <v>77</v>
      </c>
      <c r="B81" s="169" t="str">
        <f>IF('Statement of Marks'!B83="","",'Statement of Marks'!B83)</f>
        <v/>
      </c>
      <c r="C81" s="169" t="str">
        <f>IF('Statement of Marks'!D83="","",'Statement of Marks'!D83)</f>
        <v/>
      </c>
      <c r="D81" s="315" t="str">
        <f>IF('Statement of Marks'!E83="","",'Statement of Marks'!E83)</f>
        <v/>
      </c>
      <c r="E81" s="316" t="str">
        <f>IF('Statement of Marks'!F83="","",'Statement of Marks'!F83)</f>
        <v/>
      </c>
      <c r="F81" s="316" t="str">
        <f>IF('Statement of Marks'!G83="","",'Statement of Marks'!G83)</f>
        <v/>
      </c>
      <c r="G81" s="316" t="str">
        <f>IF('Statement of Marks'!H83="","",'Statement of Marks'!H83)</f>
        <v/>
      </c>
      <c r="H81" s="830" t="str">
        <f>IF('Statement of Marks'!HS83="","",'Statement of Marks'!HS83)</f>
        <v/>
      </c>
      <c r="I81" s="172" t="str">
        <f>IF('Statement of Marks'!HV83="","",'Statement of Marks'!HV83)</f>
        <v/>
      </c>
      <c r="J81" s="317" t="str">
        <f>IF('Statement of Marks'!HW83="","",'Statement of Marks'!HW83)</f>
        <v/>
      </c>
      <c r="K81" s="392" t="str">
        <f>'Statement of Marks'!GN83</f>
        <v/>
      </c>
      <c r="L81" s="392" t="str">
        <f>'Statement of Marks'!GQ83</f>
        <v/>
      </c>
      <c r="M81" s="181" t="str">
        <f>'Statement of Marks'!GU83</f>
        <v/>
      </c>
      <c r="N81" s="181" t="str">
        <f>'Statement of Marks'!GV83</f>
        <v/>
      </c>
      <c r="O81" s="181" t="str">
        <f>'Statement of Marks'!GW83</f>
        <v/>
      </c>
      <c r="P81" s="181" t="str">
        <f>'Statement of Marks'!GX83</f>
        <v/>
      </c>
      <c r="Q81" s="181" t="str">
        <f>'Statement of Marks'!GY83</f>
        <v/>
      </c>
      <c r="R81" s="392" t="str">
        <f>'Statement of Marks'!HB83</f>
        <v/>
      </c>
      <c r="S81" s="392" t="str">
        <f>'Statement of Marks'!HE83</f>
        <v/>
      </c>
      <c r="T81" s="392" t="str">
        <f>'Statement of Marks'!HH83</f>
        <v/>
      </c>
      <c r="U81" s="392" t="str">
        <f>'Statement of Marks'!HK83</f>
        <v/>
      </c>
      <c r="V81" s="318"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9">
        <f>IF('Statement of Marks'!A84="","",'Statement of Marks'!A84)</f>
        <v>78</v>
      </c>
      <c r="B82" s="169" t="str">
        <f>IF('Statement of Marks'!B84="","",'Statement of Marks'!B84)</f>
        <v/>
      </c>
      <c r="C82" s="169" t="str">
        <f>IF('Statement of Marks'!D84="","",'Statement of Marks'!D84)</f>
        <v/>
      </c>
      <c r="D82" s="315" t="str">
        <f>IF('Statement of Marks'!E84="","",'Statement of Marks'!E84)</f>
        <v/>
      </c>
      <c r="E82" s="316" t="str">
        <f>IF('Statement of Marks'!F84="","",'Statement of Marks'!F84)</f>
        <v/>
      </c>
      <c r="F82" s="316" t="str">
        <f>IF('Statement of Marks'!G84="","",'Statement of Marks'!G84)</f>
        <v/>
      </c>
      <c r="G82" s="316" t="str">
        <f>IF('Statement of Marks'!H84="","",'Statement of Marks'!H84)</f>
        <v/>
      </c>
      <c r="H82" s="830" t="str">
        <f>IF('Statement of Marks'!HS84="","",'Statement of Marks'!HS84)</f>
        <v/>
      </c>
      <c r="I82" s="172" t="str">
        <f>IF('Statement of Marks'!HV84="","",'Statement of Marks'!HV84)</f>
        <v/>
      </c>
      <c r="J82" s="317" t="str">
        <f>IF('Statement of Marks'!HW84="","",'Statement of Marks'!HW84)</f>
        <v/>
      </c>
      <c r="K82" s="392" t="str">
        <f>'Statement of Marks'!GN84</f>
        <v/>
      </c>
      <c r="L82" s="392" t="str">
        <f>'Statement of Marks'!GQ84</f>
        <v/>
      </c>
      <c r="M82" s="181" t="str">
        <f>'Statement of Marks'!GU84</f>
        <v/>
      </c>
      <c r="N82" s="181" t="str">
        <f>'Statement of Marks'!GV84</f>
        <v/>
      </c>
      <c r="O82" s="181" t="str">
        <f>'Statement of Marks'!GW84</f>
        <v/>
      </c>
      <c r="P82" s="181" t="str">
        <f>'Statement of Marks'!GX84</f>
        <v/>
      </c>
      <c r="Q82" s="181" t="str">
        <f>'Statement of Marks'!GY84</f>
        <v/>
      </c>
      <c r="R82" s="392" t="str">
        <f>'Statement of Marks'!HB84</f>
        <v/>
      </c>
      <c r="S82" s="392" t="str">
        <f>'Statement of Marks'!HE84</f>
        <v/>
      </c>
      <c r="T82" s="392" t="str">
        <f>'Statement of Marks'!HH84</f>
        <v/>
      </c>
      <c r="U82" s="392" t="str">
        <f>'Statement of Marks'!HK84</f>
        <v/>
      </c>
      <c r="V82" s="318"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9">
        <f>IF('Statement of Marks'!A85="","",'Statement of Marks'!A85)</f>
        <v>79</v>
      </c>
      <c r="B83" s="169" t="str">
        <f>IF('Statement of Marks'!B85="","",'Statement of Marks'!B85)</f>
        <v/>
      </c>
      <c r="C83" s="169" t="str">
        <f>IF('Statement of Marks'!D85="","",'Statement of Marks'!D85)</f>
        <v/>
      </c>
      <c r="D83" s="315" t="str">
        <f>IF('Statement of Marks'!E85="","",'Statement of Marks'!E85)</f>
        <v/>
      </c>
      <c r="E83" s="316" t="str">
        <f>IF('Statement of Marks'!F85="","",'Statement of Marks'!F85)</f>
        <v/>
      </c>
      <c r="F83" s="316" t="str">
        <f>IF('Statement of Marks'!G85="","",'Statement of Marks'!G85)</f>
        <v/>
      </c>
      <c r="G83" s="316" t="str">
        <f>IF('Statement of Marks'!H85="","",'Statement of Marks'!H85)</f>
        <v/>
      </c>
      <c r="H83" s="830" t="str">
        <f>IF('Statement of Marks'!HS85="","",'Statement of Marks'!HS85)</f>
        <v/>
      </c>
      <c r="I83" s="172" t="str">
        <f>IF('Statement of Marks'!HV85="","",'Statement of Marks'!HV85)</f>
        <v/>
      </c>
      <c r="J83" s="317" t="str">
        <f>IF('Statement of Marks'!HW85="","",'Statement of Marks'!HW85)</f>
        <v/>
      </c>
      <c r="K83" s="392" t="str">
        <f>'Statement of Marks'!GN85</f>
        <v/>
      </c>
      <c r="L83" s="392" t="str">
        <f>'Statement of Marks'!GQ85</f>
        <v/>
      </c>
      <c r="M83" s="181" t="str">
        <f>'Statement of Marks'!GU85</f>
        <v/>
      </c>
      <c r="N83" s="181" t="str">
        <f>'Statement of Marks'!GV85</f>
        <v/>
      </c>
      <c r="O83" s="181" t="str">
        <f>'Statement of Marks'!GW85</f>
        <v/>
      </c>
      <c r="P83" s="181" t="str">
        <f>'Statement of Marks'!GX85</f>
        <v/>
      </c>
      <c r="Q83" s="181" t="str">
        <f>'Statement of Marks'!GY85</f>
        <v/>
      </c>
      <c r="R83" s="392" t="str">
        <f>'Statement of Marks'!HB85</f>
        <v/>
      </c>
      <c r="S83" s="392" t="str">
        <f>'Statement of Marks'!HE85</f>
        <v/>
      </c>
      <c r="T83" s="392" t="str">
        <f>'Statement of Marks'!HH85</f>
        <v/>
      </c>
      <c r="U83" s="392" t="str">
        <f>'Statement of Marks'!HK85</f>
        <v/>
      </c>
      <c r="V83" s="318"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9">
        <f>IF('Statement of Marks'!A86="","",'Statement of Marks'!A86)</f>
        <v>80</v>
      </c>
      <c r="B84" s="169" t="str">
        <f>IF('Statement of Marks'!B86="","",'Statement of Marks'!B86)</f>
        <v/>
      </c>
      <c r="C84" s="169" t="str">
        <f>IF('Statement of Marks'!D86="","",'Statement of Marks'!D86)</f>
        <v/>
      </c>
      <c r="D84" s="315" t="str">
        <f>IF('Statement of Marks'!E86="","",'Statement of Marks'!E86)</f>
        <v/>
      </c>
      <c r="E84" s="316" t="str">
        <f>IF('Statement of Marks'!F86="","",'Statement of Marks'!F86)</f>
        <v/>
      </c>
      <c r="F84" s="316" t="str">
        <f>IF('Statement of Marks'!G86="","",'Statement of Marks'!G86)</f>
        <v/>
      </c>
      <c r="G84" s="316" t="str">
        <f>IF('Statement of Marks'!H86="","",'Statement of Marks'!H86)</f>
        <v/>
      </c>
      <c r="H84" s="830" t="str">
        <f>IF('Statement of Marks'!HS86="","",'Statement of Marks'!HS86)</f>
        <v/>
      </c>
      <c r="I84" s="172" t="str">
        <f>IF('Statement of Marks'!HV86="","",'Statement of Marks'!HV86)</f>
        <v/>
      </c>
      <c r="J84" s="317" t="str">
        <f>IF('Statement of Marks'!HW86="","",'Statement of Marks'!HW86)</f>
        <v/>
      </c>
      <c r="K84" s="392" t="str">
        <f>'Statement of Marks'!GN86</f>
        <v/>
      </c>
      <c r="L84" s="392" t="str">
        <f>'Statement of Marks'!GQ86</f>
        <v/>
      </c>
      <c r="M84" s="181" t="str">
        <f>'Statement of Marks'!GU86</f>
        <v/>
      </c>
      <c r="N84" s="181" t="str">
        <f>'Statement of Marks'!GV86</f>
        <v/>
      </c>
      <c r="O84" s="181" t="str">
        <f>'Statement of Marks'!GW86</f>
        <v/>
      </c>
      <c r="P84" s="181" t="str">
        <f>'Statement of Marks'!GX86</f>
        <v/>
      </c>
      <c r="Q84" s="181" t="str">
        <f>'Statement of Marks'!GY86</f>
        <v/>
      </c>
      <c r="R84" s="392" t="str">
        <f>'Statement of Marks'!HB86</f>
        <v/>
      </c>
      <c r="S84" s="392" t="str">
        <f>'Statement of Marks'!HE86</f>
        <v/>
      </c>
      <c r="T84" s="392" t="str">
        <f>'Statement of Marks'!HH86</f>
        <v/>
      </c>
      <c r="U84" s="392" t="str">
        <f>'Statement of Marks'!HK86</f>
        <v/>
      </c>
      <c r="V84" s="318"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9">
        <f>IF('Statement of Marks'!A87="","",'Statement of Marks'!A87)</f>
        <v>81</v>
      </c>
      <c r="B85" s="169" t="str">
        <f>IF('Statement of Marks'!B87="","",'Statement of Marks'!B87)</f>
        <v/>
      </c>
      <c r="C85" s="169" t="str">
        <f>IF('Statement of Marks'!D87="","",'Statement of Marks'!D87)</f>
        <v/>
      </c>
      <c r="D85" s="315" t="str">
        <f>IF('Statement of Marks'!E87="","",'Statement of Marks'!E87)</f>
        <v/>
      </c>
      <c r="E85" s="316" t="str">
        <f>IF('Statement of Marks'!F87="","",'Statement of Marks'!F87)</f>
        <v/>
      </c>
      <c r="F85" s="316" t="str">
        <f>IF('Statement of Marks'!G87="","",'Statement of Marks'!G87)</f>
        <v/>
      </c>
      <c r="G85" s="316" t="str">
        <f>IF('Statement of Marks'!H87="","",'Statement of Marks'!H87)</f>
        <v/>
      </c>
      <c r="H85" s="830" t="str">
        <f>IF('Statement of Marks'!HS87="","",'Statement of Marks'!HS87)</f>
        <v/>
      </c>
      <c r="I85" s="172" t="str">
        <f>IF('Statement of Marks'!HV87="","",'Statement of Marks'!HV87)</f>
        <v/>
      </c>
      <c r="J85" s="317" t="str">
        <f>IF('Statement of Marks'!HW87="","",'Statement of Marks'!HW87)</f>
        <v/>
      </c>
      <c r="K85" s="392" t="str">
        <f>'Statement of Marks'!GN87</f>
        <v/>
      </c>
      <c r="L85" s="392" t="str">
        <f>'Statement of Marks'!GQ87</f>
        <v/>
      </c>
      <c r="M85" s="181" t="str">
        <f>'Statement of Marks'!GU87</f>
        <v/>
      </c>
      <c r="N85" s="181" t="str">
        <f>'Statement of Marks'!GV87</f>
        <v/>
      </c>
      <c r="O85" s="181" t="str">
        <f>'Statement of Marks'!GW87</f>
        <v/>
      </c>
      <c r="P85" s="181" t="str">
        <f>'Statement of Marks'!GX87</f>
        <v/>
      </c>
      <c r="Q85" s="181" t="str">
        <f>'Statement of Marks'!GY87</f>
        <v/>
      </c>
      <c r="R85" s="392" t="str">
        <f>'Statement of Marks'!HB87</f>
        <v/>
      </c>
      <c r="S85" s="392" t="str">
        <f>'Statement of Marks'!HE87</f>
        <v/>
      </c>
      <c r="T85" s="392" t="str">
        <f>'Statement of Marks'!HH87</f>
        <v/>
      </c>
      <c r="U85" s="392" t="str">
        <f>'Statement of Marks'!HK87</f>
        <v/>
      </c>
      <c r="V85" s="318"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9">
        <f>IF('Statement of Marks'!A88="","",'Statement of Marks'!A88)</f>
        <v>82</v>
      </c>
      <c r="B86" s="169" t="str">
        <f>IF('Statement of Marks'!B88="","",'Statement of Marks'!B88)</f>
        <v/>
      </c>
      <c r="C86" s="169" t="str">
        <f>IF('Statement of Marks'!D88="","",'Statement of Marks'!D88)</f>
        <v/>
      </c>
      <c r="D86" s="315" t="str">
        <f>IF('Statement of Marks'!E88="","",'Statement of Marks'!E88)</f>
        <v/>
      </c>
      <c r="E86" s="316" t="str">
        <f>IF('Statement of Marks'!F88="","",'Statement of Marks'!F88)</f>
        <v/>
      </c>
      <c r="F86" s="316" t="str">
        <f>IF('Statement of Marks'!G88="","",'Statement of Marks'!G88)</f>
        <v/>
      </c>
      <c r="G86" s="316" t="str">
        <f>IF('Statement of Marks'!H88="","",'Statement of Marks'!H88)</f>
        <v/>
      </c>
      <c r="H86" s="830" t="str">
        <f>IF('Statement of Marks'!HS88="","",'Statement of Marks'!HS88)</f>
        <v/>
      </c>
      <c r="I86" s="172" t="str">
        <f>IF('Statement of Marks'!HV88="","",'Statement of Marks'!HV88)</f>
        <v/>
      </c>
      <c r="J86" s="317" t="str">
        <f>IF('Statement of Marks'!HW88="","",'Statement of Marks'!HW88)</f>
        <v/>
      </c>
      <c r="K86" s="392" t="str">
        <f>'Statement of Marks'!GN88</f>
        <v/>
      </c>
      <c r="L86" s="392" t="str">
        <f>'Statement of Marks'!GQ88</f>
        <v/>
      </c>
      <c r="M86" s="181" t="str">
        <f>'Statement of Marks'!GU88</f>
        <v/>
      </c>
      <c r="N86" s="181" t="str">
        <f>'Statement of Marks'!GV88</f>
        <v/>
      </c>
      <c r="O86" s="181" t="str">
        <f>'Statement of Marks'!GW88</f>
        <v/>
      </c>
      <c r="P86" s="181" t="str">
        <f>'Statement of Marks'!GX88</f>
        <v/>
      </c>
      <c r="Q86" s="181" t="str">
        <f>'Statement of Marks'!GY88</f>
        <v/>
      </c>
      <c r="R86" s="392" t="str">
        <f>'Statement of Marks'!HB88</f>
        <v/>
      </c>
      <c r="S86" s="392" t="str">
        <f>'Statement of Marks'!HE88</f>
        <v/>
      </c>
      <c r="T86" s="392" t="str">
        <f>'Statement of Marks'!HH88</f>
        <v/>
      </c>
      <c r="U86" s="392" t="str">
        <f>'Statement of Marks'!HK88</f>
        <v/>
      </c>
      <c r="V86" s="318"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9">
        <f>IF('Statement of Marks'!A89="","",'Statement of Marks'!A89)</f>
        <v>83</v>
      </c>
      <c r="B87" s="169" t="str">
        <f>IF('Statement of Marks'!B89="","",'Statement of Marks'!B89)</f>
        <v/>
      </c>
      <c r="C87" s="169" t="str">
        <f>IF('Statement of Marks'!D89="","",'Statement of Marks'!D89)</f>
        <v/>
      </c>
      <c r="D87" s="315" t="str">
        <f>IF('Statement of Marks'!E89="","",'Statement of Marks'!E89)</f>
        <v/>
      </c>
      <c r="E87" s="316" t="str">
        <f>IF('Statement of Marks'!F89="","",'Statement of Marks'!F89)</f>
        <v/>
      </c>
      <c r="F87" s="316" t="str">
        <f>IF('Statement of Marks'!G89="","",'Statement of Marks'!G89)</f>
        <v/>
      </c>
      <c r="G87" s="316" t="str">
        <f>IF('Statement of Marks'!H89="","",'Statement of Marks'!H89)</f>
        <v/>
      </c>
      <c r="H87" s="830" t="str">
        <f>IF('Statement of Marks'!HS89="","",'Statement of Marks'!HS89)</f>
        <v/>
      </c>
      <c r="I87" s="172" t="str">
        <f>IF('Statement of Marks'!HV89="","",'Statement of Marks'!HV89)</f>
        <v/>
      </c>
      <c r="J87" s="317" t="str">
        <f>IF('Statement of Marks'!HW89="","",'Statement of Marks'!HW89)</f>
        <v/>
      </c>
      <c r="K87" s="392" t="str">
        <f>'Statement of Marks'!GN89</f>
        <v/>
      </c>
      <c r="L87" s="392" t="str">
        <f>'Statement of Marks'!GQ89</f>
        <v/>
      </c>
      <c r="M87" s="181" t="str">
        <f>'Statement of Marks'!GU89</f>
        <v/>
      </c>
      <c r="N87" s="181" t="str">
        <f>'Statement of Marks'!GV89</f>
        <v/>
      </c>
      <c r="O87" s="181" t="str">
        <f>'Statement of Marks'!GW89</f>
        <v/>
      </c>
      <c r="P87" s="181" t="str">
        <f>'Statement of Marks'!GX89</f>
        <v/>
      </c>
      <c r="Q87" s="181" t="str">
        <f>'Statement of Marks'!GY89</f>
        <v/>
      </c>
      <c r="R87" s="392" t="str">
        <f>'Statement of Marks'!HB89</f>
        <v/>
      </c>
      <c r="S87" s="392" t="str">
        <f>'Statement of Marks'!HE89</f>
        <v/>
      </c>
      <c r="T87" s="392" t="str">
        <f>'Statement of Marks'!HH89</f>
        <v/>
      </c>
      <c r="U87" s="392" t="str">
        <f>'Statement of Marks'!HK89</f>
        <v/>
      </c>
      <c r="V87" s="318"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9">
        <f>IF('Statement of Marks'!A90="","",'Statement of Marks'!A90)</f>
        <v>84</v>
      </c>
      <c r="B88" s="169" t="str">
        <f>IF('Statement of Marks'!B90="","",'Statement of Marks'!B90)</f>
        <v/>
      </c>
      <c r="C88" s="169" t="str">
        <f>IF('Statement of Marks'!D90="","",'Statement of Marks'!D90)</f>
        <v/>
      </c>
      <c r="D88" s="315" t="str">
        <f>IF('Statement of Marks'!E90="","",'Statement of Marks'!E90)</f>
        <v/>
      </c>
      <c r="E88" s="316" t="str">
        <f>IF('Statement of Marks'!F90="","",'Statement of Marks'!F90)</f>
        <v/>
      </c>
      <c r="F88" s="316" t="str">
        <f>IF('Statement of Marks'!G90="","",'Statement of Marks'!G90)</f>
        <v/>
      </c>
      <c r="G88" s="316" t="str">
        <f>IF('Statement of Marks'!H90="","",'Statement of Marks'!H90)</f>
        <v/>
      </c>
      <c r="H88" s="830" t="str">
        <f>IF('Statement of Marks'!HS90="","",'Statement of Marks'!HS90)</f>
        <v/>
      </c>
      <c r="I88" s="172" t="str">
        <f>IF('Statement of Marks'!HV90="","",'Statement of Marks'!HV90)</f>
        <v/>
      </c>
      <c r="J88" s="317" t="str">
        <f>IF('Statement of Marks'!HW90="","",'Statement of Marks'!HW90)</f>
        <v/>
      </c>
      <c r="K88" s="392" t="str">
        <f>'Statement of Marks'!GN90</f>
        <v/>
      </c>
      <c r="L88" s="392" t="str">
        <f>'Statement of Marks'!GQ90</f>
        <v/>
      </c>
      <c r="M88" s="181" t="str">
        <f>'Statement of Marks'!GU90</f>
        <v/>
      </c>
      <c r="N88" s="181" t="str">
        <f>'Statement of Marks'!GV90</f>
        <v/>
      </c>
      <c r="O88" s="181" t="str">
        <f>'Statement of Marks'!GW90</f>
        <v/>
      </c>
      <c r="P88" s="181" t="str">
        <f>'Statement of Marks'!GX90</f>
        <v/>
      </c>
      <c r="Q88" s="181" t="str">
        <f>'Statement of Marks'!GY90</f>
        <v/>
      </c>
      <c r="R88" s="392" t="str">
        <f>'Statement of Marks'!HB90</f>
        <v/>
      </c>
      <c r="S88" s="392" t="str">
        <f>'Statement of Marks'!HE90</f>
        <v/>
      </c>
      <c r="T88" s="392" t="str">
        <f>'Statement of Marks'!HH90</f>
        <v/>
      </c>
      <c r="U88" s="392" t="str">
        <f>'Statement of Marks'!HK90</f>
        <v/>
      </c>
      <c r="V88" s="318"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9">
        <f>IF('Statement of Marks'!A91="","",'Statement of Marks'!A91)</f>
        <v>85</v>
      </c>
      <c r="B89" s="169" t="str">
        <f>IF('Statement of Marks'!B91="","",'Statement of Marks'!B91)</f>
        <v/>
      </c>
      <c r="C89" s="169" t="str">
        <f>IF('Statement of Marks'!D91="","",'Statement of Marks'!D91)</f>
        <v/>
      </c>
      <c r="D89" s="315" t="str">
        <f>IF('Statement of Marks'!E91="","",'Statement of Marks'!E91)</f>
        <v/>
      </c>
      <c r="E89" s="316" t="str">
        <f>IF('Statement of Marks'!F91="","",'Statement of Marks'!F91)</f>
        <v/>
      </c>
      <c r="F89" s="316" t="str">
        <f>IF('Statement of Marks'!G91="","",'Statement of Marks'!G91)</f>
        <v/>
      </c>
      <c r="G89" s="316" t="str">
        <f>IF('Statement of Marks'!H91="","",'Statement of Marks'!H91)</f>
        <v/>
      </c>
      <c r="H89" s="830" t="str">
        <f>IF('Statement of Marks'!HS91="","",'Statement of Marks'!HS91)</f>
        <v/>
      </c>
      <c r="I89" s="172" t="str">
        <f>IF('Statement of Marks'!HV91="","",'Statement of Marks'!HV91)</f>
        <v/>
      </c>
      <c r="J89" s="317" t="str">
        <f>IF('Statement of Marks'!HW91="","",'Statement of Marks'!HW91)</f>
        <v/>
      </c>
      <c r="K89" s="392" t="str">
        <f>'Statement of Marks'!GN91</f>
        <v/>
      </c>
      <c r="L89" s="392" t="str">
        <f>'Statement of Marks'!GQ91</f>
        <v/>
      </c>
      <c r="M89" s="181" t="str">
        <f>'Statement of Marks'!GU91</f>
        <v/>
      </c>
      <c r="N89" s="181" t="str">
        <f>'Statement of Marks'!GV91</f>
        <v/>
      </c>
      <c r="O89" s="181" t="str">
        <f>'Statement of Marks'!GW91</f>
        <v/>
      </c>
      <c r="P89" s="181" t="str">
        <f>'Statement of Marks'!GX91</f>
        <v/>
      </c>
      <c r="Q89" s="181" t="str">
        <f>'Statement of Marks'!GY91</f>
        <v/>
      </c>
      <c r="R89" s="392" t="str">
        <f>'Statement of Marks'!HB91</f>
        <v/>
      </c>
      <c r="S89" s="392" t="str">
        <f>'Statement of Marks'!HE91</f>
        <v/>
      </c>
      <c r="T89" s="392" t="str">
        <f>'Statement of Marks'!HH91</f>
        <v/>
      </c>
      <c r="U89" s="392" t="str">
        <f>'Statement of Marks'!HK91</f>
        <v/>
      </c>
      <c r="V89" s="318"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9">
        <f>IF('Statement of Marks'!A92="","",'Statement of Marks'!A92)</f>
        <v>86</v>
      </c>
      <c r="B90" s="169" t="str">
        <f>IF('Statement of Marks'!B92="","",'Statement of Marks'!B92)</f>
        <v/>
      </c>
      <c r="C90" s="169" t="str">
        <f>IF('Statement of Marks'!D92="","",'Statement of Marks'!D92)</f>
        <v/>
      </c>
      <c r="D90" s="315" t="str">
        <f>IF('Statement of Marks'!E92="","",'Statement of Marks'!E92)</f>
        <v/>
      </c>
      <c r="E90" s="316" t="str">
        <f>IF('Statement of Marks'!F92="","",'Statement of Marks'!F92)</f>
        <v/>
      </c>
      <c r="F90" s="316" t="str">
        <f>IF('Statement of Marks'!G92="","",'Statement of Marks'!G92)</f>
        <v/>
      </c>
      <c r="G90" s="316" t="str">
        <f>IF('Statement of Marks'!H92="","",'Statement of Marks'!H92)</f>
        <v/>
      </c>
      <c r="H90" s="830" t="str">
        <f>IF('Statement of Marks'!HS92="","",'Statement of Marks'!HS92)</f>
        <v/>
      </c>
      <c r="I90" s="172" t="str">
        <f>IF('Statement of Marks'!HV92="","",'Statement of Marks'!HV92)</f>
        <v/>
      </c>
      <c r="J90" s="317" t="str">
        <f>IF('Statement of Marks'!HW92="","",'Statement of Marks'!HW92)</f>
        <v/>
      </c>
      <c r="K90" s="392" t="str">
        <f>'Statement of Marks'!GN92</f>
        <v/>
      </c>
      <c r="L90" s="392" t="str">
        <f>'Statement of Marks'!GQ92</f>
        <v/>
      </c>
      <c r="M90" s="181" t="str">
        <f>'Statement of Marks'!GU92</f>
        <v/>
      </c>
      <c r="N90" s="181" t="str">
        <f>'Statement of Marks'!GV92</f>
        <v/>
      </c>
      <c r="O90" s="181" t="str">
        <f>'Statement of Marks'!GW92</f>
        <v/>
      </c>
      <c r="P90" s="181" t="str">
        <f>'Statement of Marks'!GX92</f>
        <v/>
      </c>
      <c r="Q90" s="181" t="str">
        <f>'Statement of Marks'!GY92</f>
        <v/>
      </c>
      <c r="R90" s="392" t="str">
        <f>'Statement of Marks'!HB92</f>
        <v/>
      </c>
      <c r="S90" s="392" t="str">
        <f>'Statement of Marks'!HE92</f>
        <v/>
      </c>
      <c r="T90" s="392" t="str">
        <f>'Statement of Marks'!HH92</f>
        <v/>
      </c>
      <c r="U90" s="392" t="str">
        <f>'Statement of Marks'!HK92</f>
        <v/>
      </c>
      <c r="V90" s="318"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9">
        <f>IF('Statement of Marks'!A93="","",'Statement of Marks'!A93)</f>
        <v>87</v>
      </c>
      <c r="B91" s="169" t="str">
        <f>IF('Statement of Marks'!B93="","",'Statement of Marks'!B93)</f>
        <v/>
      </c>
      <c r="C91" s="169" t="str">
        <f>IF('Statement of Marks'!D93="","",'Statement of Marks'!D93)</f>
        <v/>
      </c>
      <c r="D91" s="315" t="str">
        <f>IF('Statement of Marks'!E93="","",'Statement of Marks'!E93)</f>
        <v/>
      </c>
      <c r="E91" s="316" t="str">
        <f>IF('Statement of Marks'!F93="","",'Statement of Marks'!F93)</f>
        <v/>
      </c>
      <c r="F91" s="316" t="str">
        <f>IF('Statement of Marks'!G93="","",'Statement of Marks'!G93)</f>
        <v/>
      </c>
      <c r="G91" s="316" t="str">
        <f>IF('Statement of Marks'!H93="","",'Statement of Marks'!H93)</f>
        <v/>
      </c>
      <c r="H91" s="830" t="str">
        <f>IF('Statement of Marks'!HS93="","",'Statement of Marks'!HS93)</f>
        <v/>
      </c>
      <c r="I91" s="172" t="str">
        <f>IF('Statement of Marks'!HV93="","",'Statement of Marks'!HV93)</f>
        <v/>
      </c>
      <c r="J91" s="317" t="str">
        <f>IF('Statement of Marks'!HW93="","",'Statement of Marks'!HW93)</f>
        <v/>
      </c>
      <c r="K91" s="392" t="str">
        <f>'Statement of Marks'!GN93</f>
        <v/>
      </c>
      <c r="L91" s="392" t="str">
        <f>'Statement of Marks'!GQ93</f>
        <v/>
      </c>
      <c r="M91" s="181" t="str">
        <f>'Statement of Marks'!GU93</f>
        <v/>
      </c>
      <c r="N91" s="181" t="str">
        <f>'Statement of Marks'!GV93</f>
        <v/>
      </c>
      <c r="O91" s="181" t="str">
        <f>'Statement of Marks'!GW93</f>
        <v/>
      </c>
      <c r="P91" s="181" t="str">
        <f>'Statement of Marks'!GX93</f>
        <v/>
      </c>
      <c r="Q91" s="181" t="str">
        <f>'Statement of Marks'!GY93</f>
        <v/>
      </c>
      <c r="R91" s="392" t="str">
        <f>'Statement of Marks'!HB93</f>
        <v/>
      </c>
      <c r="S91" s="392" t="str">
        <f>'Statement of Marks'!HE93</f>
        <v/>
      </c>
      <c r="T91" s="392" t="str">
        <f>'Statement of Marks'!HH93</f>
        <v/>
      </c>
      <c r="U91" s="392" t="str">
        <f>'Statement of Marks'!HK93</f>
        <v/>
      </c>
      <c r="V91" s="318"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9">
        <f>IF('Statement of Marks'!A94="","",'Statement of Marks'!A94)</f>
        <v>88</v>
      </c>
      <c r="B92" s="169" t="str">
        <f>IF('Statement of Marks'!B94="","",'Statement of Marks'!B94)</f>
        <v/>
      </c>
      <c r="C92" s="169" t="str">
        <f>IF('Statement of Marks'!D94="","",'Statement of Marks'!D94)</f>
        <v/>
      </c>
      <c r="D92" s="315" t="str">
        <f>IF('Statement of Marks'!E94="","",'Statement of Marks'!E94)</f>
        <v/>
      </c>
      <c r="E92" s="316" t="str">
        <f>IF('Statement of Marks'!F94="","",'Statement of Marks'!F94)</f>
        <v/>
      </c>
      <c r="F92" s="316" t="str">
        <f>IF('Statement of Marks'!G94="","",'Statement of Marks'!G94)</f>
        <v/>
      </c>
      <c r="G92" s="316" t="str">
        <f>IF('Statement of Marks'!H94="","",'Statement of Marks'!H94)</f>
        <v/>
      </c>
      <c r="H92" s="830" t="str">
        <f>IF('Statement of Marks'!HS94="","",'Statement of Marks'!HS94)</f>
        <v/>
      </c>
      <c r="I92" s="172" t="str">
        <f>IF('Statement of Marks'!HV94="","",'Statement of Marks'!HV94)</f>
        <v/>
      </c>
      <c r="J92" s="317" t="str">
        <f>IF('Statement of Marks'!HW94="","",'Statement of Marks'!HW94)</f>
        <v/>
      </c>
      <c r="K92" s="392" t="str">
        <f>'Statement of Marks'!GN94</f>
        <v/>
      </c>
      <c r="L92" s="392" t="str">
        <f>'Statement of Marks'!GQ94</f>
        <v/>
      </c>
      <c r="M92" s="181" t="str">
        <f>'Statement of Marks'!GU94</f>
        <v/>
      </c>
      <c r="N92" s="181" t="str">
        <f>'Statement of Marks'!GV94</f>
        <v/>
      </c>
      <c r="O92" s="181" t="str">
        <f>'Statement of Marks'!GW94</f>
        <v/>
      </c>
      <c r="P92" s="181" t="str">
        <f>'Statement of Marks'!GX94</f>
        <v/>
      </c>
      <c r="Q92" s="181" t="str">
        <f>'Statement of Marks'!GY94</f>
        <v/>
      </c>
      <c r="R92" s="392" t="str">
        <f>'Statement of Marks'!HB94</f>
        <v/>
      </c>
      <c r="S92" s="392" t="str">
        <f>'Statement of Marks'!HE94</f>
        <v/>
      </c>
      <c r="T92" s="392" t="str">
        <f>'Statement of Marks'!HH94</f>
        <v/>
      </c>
      <c r="U92" s="392" t="str">
        <f>'Statement of Marks'!HK94</f>
        <v/>
      </c>
      <c r="V92" s="318"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9">
        <f>IF('Statement of Marks'!A95="","",'Statement of Marks'!A95)</f>
        <v>89</v>
      </c>
      <c r="B93" s="169" t="str">
        <f>IF('Statement of Marks'!B95="","",'Statement of Marks'!B95)</f>
        <v/>
      </c>
      <c r="C93" s="169" t="str">
        <f>IF('Statement of Marks'!D95="","",'Statement of Marks'!D95)</f>
        <v/>
      </c>
      <c r="D93" s="315" t="str">
        <f>IF('Statement of Marks'!E95="","",'Statement of Marks'!E95)</f>
        <v/>
      </c>
      <c r="E93" s="316" t="str">
        <f>IF('Statement of Marks'!F95="","",'Statement of Marks'!F95)</f>
        <v/>
      </c>
      <c r="F93" s="316" t="str">
        <f>IF('Statement of Marks'!G95="","",'Statement of Marks'!G95)</f>
        <v/>
      </c>
      <c r="G93" s="316" t="str">
        <f>IF('Statement of Marks'!H95="","",'Statement of Marks'!H95)</f>
        <v/>
      </c>
      <c r="H93" s="830" t="str">
        <f>IF('Statement of Marks'!HS95="","",'Statement of Marks'!HS95)</f>
        <v/>
      </c>
      <c r="I93" s="172" t="str">
        <f>IF('Statement of Marks'!HV95="","",'Statement of Marks'!HV95)</f>
        <v/>
      </c>
      <c r="J93" s="317" t="str">
        <f>IF('Statement of Marks'!HW95="","",'Statement of Marks'!HW95)</f>
        <v/>
      </c>
      <c r="K93" s="392" t="str">
        <f>'Statement of Marks'!GN95</f>
        <v/>
      </c>
      <c r="L93" s="392" t="str">
        <f>'Statement of Marks'!GQ95</f>
        <v/>
      </c>
      <c r="M93" s="181" t="str">
        <f>'Statement of Marks'!GU95</f>
        <v/>
      </c>
      <c r="N93" s="181" t="str">
        <f>'Statement of Marks'!GV95</f>
        <v/>
      </c>
      <c r="O93" s="181" t="str">
        <f>'Statement of Marks'!GW95</f>
        <v/>
      </c>
      <c r="P93" s="181" t="str">
        <f>'Statement of Marks'!GX95</f>
        <v/>
      </c>
      <c r="Q93" s="181" t="str">
        <f>'Statement of Marks'!GY95</f>
        <v/>
      </c>
      <c r="R93" s="392" t="str">
        <f>'Statement of Marks'!HB95</f>
        <v/>
      </c>
      <c r="S93" s="392" t="str">
        <f>'Statement of Marks'!HE95</f>
        <v/>
      </c>
      <c r="T93" s="392" t="str">
        <f>'Statement of Marks'!HH95</f>
        <v/>
      </c>
      <c r="U93" s="392" t="str">
        <f>'Statement of Marks'!HK95</f>
        <v/>
      </c>
      <c r="V93" s="318"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9">
        <f>IF('Statement of Marks'!A96="","",'Statement of Marks'!A96)</f>
        <v>90</v>
      </c>
      <c r="B94" s="169" t="str">
        <f>IF('Statement of Marks'!B96="","",'Statement of Marks'!B96)</f>
        <v/>
      </c>
      <c r="C94" s="169" t="str">
        <f>IF('Statement of Marks'!D96="","",'Statement of Marks'!D96)</f>
        <v/>
      </c>
      <c r="D94" s="315" t="str">
        <f>IF('Statement of Marks'!E96="","",'Statement of Marks'!E96)</f>
        <v/>
      </c>
      <c r="E94" s="316" t="str">
        <f>IF('Statement of Marks'!F96="","",'Statement of Marks'!F96)</f>
        <v/>
      </c>
      <c r="F94" s="316" t="str">
        <f>IF('Statement of Marks'!G96="","",'Statement of Marks'!G96)</f>
        <v/>
      </c>
      <c r="G94" s="316" t="str">
        <f>IF('Statement of Marks'!H96="","",'Statement of Marks'!H96)</f>
        <v/>
      </c>
      <c r="H94" s="830" t="str">
        <f>IF('Statement of Marks'!HS96="","",'Statement of Marks'!HS96)</f>
        <v/>
      </c>
      <c r="I94" s="172" t="str">
        <f>IF('Statement of Marks'!HV96="","",'Statement of Marks'!HV96)</f>
        <v/>
      </c>
      <c r="J94" s="317" t="str">
        <f>IF('Statement of Marks'!HW96="","",'Statement of Marks'!HW96)</f>
        <v/>
      </c>
      <c r="K94" s="392" t="str">
        <f>'Statement of Marks'!GN96</f>
        <v/>
      </c>
      <c r="L94" s="392" t="str">
        <f>'Statement of Marks'!GQ96</f>
        <v/>
      </c>
      <c r="M94" s="181" t="str">
        <f>'Statement of Marks'!GU96</f>
        <v/>
      </c>
      <c r="N94" s="181" t="str">
        <f>'Statement of Marks'!GV96</f>
        <v/>
      </c>
      <c r="O94" s="181" t="str">
        <f>'Statement of Marks'!GW96</f>
        <v/>
      </c>
      <c r="P94" s="181" t="str">
        <f>'Statement of Marks'!GX96</f>
        <v/>
      </c>
      <c r="Q94" s="181" t="str">
        <f>'Statement of Marks'!GY96</f>
        <v/>
      </c>
      <c r="R94" s="392" t="str">
        <f>'Statement of Marks'!HB96</f>
        <v/>
      </c>
      <c r="S94" s="392" t="str">
        <f>'Statement of Marks'!HE96</f>
        <v/>
      </c>
      <c r="T94" s="392" t="str">
        <f>'Statement of Marks'!HH96</f>
        <v/>
      </c>
      <c r="U94" s="392" t="str">
        <f>'Statement of Marks'!HK96</f>
        <v/>
      </c>
      <c r="V94" s="318"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9">
        <f>IF('Statement of Marks'!A97="","",'Statement of Marks'!A97)</f>
        <v>91</v>
      </c>
      <c r="B95" s="169" t="str">
        <f>IF('Statement of Marks'!B97="","",'Statement of Marks'!B97)</f>
        <v/>
      </c>
      <c r="C95" s="169" t="str">
        <f>IF('Statement of Marks'!D97="","",'Statement of Marks'!D97)</f>
        <v/>
      </c>
      <c r="D95" s="315" t="str">
        <f>IF('Statement of Marks'!E97="","",'Statement of Marks'!E97)</f>
        <v/>
      </c>
      <c r="E95" s="316" t="str">
        <f>IF('Statement of Marks'!F97="","",'Statement of Marks'!F97)</f>
        <v/>
      </c>
      <c r="F95" s="316" t="str">
        <f>IF('Statement of Marks'!G97="","",'Statement of Marks'!G97)</f>
        <v/>
      </c>
      <c r="G95" s="316" t="str">
        <f>IF('Statement of Marks'!H97="","",'Statement of Marks'!H97)</f>
        <v/>
      </c>
      <c r="H95" s="830" t="str">
        <f>IF('Statement of Marks'!HS97="","",'Statement of Marks'!HS97)</f>
        <v/>
      </c>
      <c r="I95" s="172" t="str">
        <f>IF('Statement of Marks'!HV97="","",'Statement of Marks'!HV97)</f>
        <v/>
      </c>
      <c r="J95" s="317" t="str">
        <f>IF('Statement of Marks'!HW97="","",'Statement of Marks'!HW97)</f>
        <v/>
      </c>
      <c r="K95" s="392" t="str">
        <f>'Statement of Marks'!GN97</f>
        <v/>
      </c>
      <c r="L95" s="392" t="str">
        <f>'Statement of Marks'!GQ97</f>
        <v/>
      </c>
      <c r="M95" s="181" t="str">
        <f>'Statement of Marks'!GU97</f>
        <v/>
      </c>
      <c r="N95" s="181" t="str">
        <f>'Statement of Marks'!GV97</f>
        <v/>
      </c>
      <c r="O95" s="181" t="str">
        <f>'Statement of Marks'!GW97</f>
        <v/>
      </c>
      <c r="P95" s="181" t="str">
        <f>'Statement of Marks'!GX97</f>
        <v/>
      </c>
      <c r="Q95" s="181" t="str">
        <f>'Statement of Marks'!GY97</f>
        <v/>
      </c>
      <c r="R95" s="392" t="str">
        <f>'Statement of Marks'!HB97</f>
        <v/>
      </c>
      <c r="S95" s="392" t="str">
        <f>'Statement of Marks'!HE97</f>
        <v/>
      </c>
      <c r="T95" s="392" t="str">
        <f>'Statement of Marks'!HH97</f>
        <v/>
      </c>
      <c r="U95" s="392" t="str">
        <f>'Statement of Marks'!HK97</f>
        <v/>
      </c>
      <c r="V95" s="318"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9">
        <f>IF('Statement of Marks'!A98="","",'Statement of Marks'!A98)</f>
        <v>92</v>
      </c>
      <c r="B96" s="169" t="str">
        <f>IF('Statement of Marks'!B98="","",'Statement of Marks'!B98)</f>
        <v/>
      </c>
      <c r="C96" s="169" t="str">
        <f>IF('Statement of Marks'!D98="","",'Statement of Marks'!D98)</f>
        <v/>
      </c>
      <c r="D96" s="315" t="str">
        <f>IF('Statement of Marks'!E98="","",'Statement of Marks'!E98)</f>
        <v/>
      </c>
      <c r="E96" s="316" t="str">
        <f>IF('Statement of Marks'!F98="","",'Statement of Marks'!F98)</f>
        <v/>
      </c>
      <c r="F96" s="316" t="str">
        <f>IF('Statement of Marks'!G98="","",'Statement of Marks'!G98)</f>
        <v/>
      </c>
      <c r="G96" s="316" t="str">
        <f>IF('Statement of Marks'!H98="","",'Statement of Marks'!H98)</f>
        <v/>
      </c>
      <c r="H96" s="830" t="str">
        <f>IF('Statement of Marks'!HS98="","",'Statement of Marks'!HS98)</f>
        <v/>
      </c>
      <c r="I96" s="172" t="str">
        <f>IF('Statement of Marks'!HV98="","",'Statement of Marks'!HV98)</f>
        <v/>
      </c>
      <c r="J96" s="317" t="str">
        <f>IF('Statement of Marks'!HW98="","",'Statement of Marks'!HW98)</f>
        <v/>
      </c>
      <c r="K96" s="392" t="str">
        <f>'Statement of Marks'!GN98</f>
        <v/>
      </c>
      <c r="L96" s="392" t="str">
        <f>'Statement of Marks'!GQ98</f>
        <v/>
      </c>
      <c r="M96" s="181" t="str">
        <f>'Statement of Marks'!GU98</f>
        <v/>
      </c>
      <c r="N96" s="181" t="str">
        <f>'Statement of Marks'!GV98</f>
        <v/>
      </c>
      <c r="O96" s="181" t="str">
        <f>'Statement of Marks'!GW98</f>
        <v/>
      </c>
      <c r="P96" s="181" t="str">
        <f>'Statement of Marks'!GX98</f>
        <v/>
      </c>
      <c r="Q96" s="181" t="str">
        <f>'Statement of Marks'!GY98</f>
        <v/>
      </c>
      <c r="R96" s="392" t="str">
        <f>'Statement of Marks'!HB98</f>
        <v/>
      </c>
      <c r="S96" s="392" t="str">
        <f>'Statement of Marks'!HE98</f>
        <v/>
      </c>
      <c r="T96" s="392" t="str">
        <f>'Statement of Marks'!HH98</f>
        <v/>
      </c>
      <c r="U96" s="392" t="str">
        <f>'Statement of Marks'!HK98</f>
        <v/>
      </c>
      <c r="V96" s="318"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9">
        <f>IF('Statement of Marks'!A99="","",'Statement of Marks'!A99)</f>
        <v>93</v>
      </c>
      <c r="B97" s="169" t="str">
        <f>IF('Statement of Marks'!B99="","",'Statement of Marks'!B99)</f>
        <v/>
      </c>
      <c r="C97" s="169" t="str">
        <f>IF('Statement of Marks'!D99="","",'Statement of Marks'!D99)</f>
        <v/>
      </c>
      <c r="D97" s="315" t="str">
        <f>IF('Statement of Marks'!E99="","",'Statement of Marks'!E99)</f>
        <v/>
      </c>
      <c r="E97" s="316" t="str">
        <f>IF('Statement of Marks'!F99="","",'Statement of Marks'!F99)</f>
        <v/>
      </c>
      <c r="F97" s="316" t="str">
        <f>IF('Statement of Marks'!G99="","",'Statement of Marks'!G99)</f>
        <v/>
      </c>
      <c r="G97" s="316" t="str">
        <f>IF('Statement of Marks'!H99="","",'Statement of Marks'!H99)</f>
        <v/>
      </c>
      <c r="H97" s="830" t="str">
        <f>IF('Statement of Marks'!HS99="","",'Statement of Marks'!HS99)</f>
        <v/>
      </c>
      <c r="I97" s="172" t="str">
        <f>IF('Statement of Marks'!HV99="","",'Statement of Marks'!HV99)</f>
        <v/>
      </c>
      <c r="J97" s="317" t="str">
        <f>IF('Statement of Marks'!HW99="","",'Statement of Marks'!HW99)</f>
        <v/>
      </c>
      <c r="K97" s="392" t="str">
        <f>'Statement of Marks'!GN99</f>
        <v/>
      </c>
      <c r="L97" s="392" t="str">
        <f>'Statement of Marks'!GQ99</f>
        <v/>
      </c>
      <c r="M97" s="181" t="str">
        <f>'Statement of Marks'!GU99</f>
        <v/>
      </c>
      <c r="N97" s="181" t="str">
        <f>'Statement of Marks'!GV99</f>
        <v/>
      </c>
      <c r="O97" s="181" t="str">
        <f>'Statement of Marks'!GW99</f>
        <v/>
      </c>
      <c r="P97" s="181" t="str">
        <f>'Statement of Marks'!GX99</f>
        <v/>
      </c>
      <c r="Q97" s="181" t="str">
        <f>'Statement of Marks'!GY99</f>
        <v/>
      </c>
      <c r="R97" s="392" t="str">
        <f>'Statement of Marks'!HB99</f>
        <v/>
      </c>
      <c r="S97" s="392" t="str">
        <f>'Statement of Marks'!HE99</f>
        <v/>
      </c>
      <c r="T97" s="392" t="str">
        <f>'Statement of Marks'!HH99</f>
        <v/>
      </c>
      <c r="U97" s="392" t="str">
        <f>'Statement of Marks'!HK99</f>
        <v/>
      </c>
      <c r="V97" s="318"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9">
        <f>IF('Statement of Marks'!A100="","",'Statement of Marks'!A100)</f>
        <v>94</v>
      </c>
      <c r="B98" s="169" t="str">
        <f>IF('Statement of Marks'!B100="","",'Statement of Marks'!B100)</f>
        <v/>
      </c>
      <c r="C98" s="169" t="str">
        <f>IF('Statement of Marks'!D100="","",'Statement of Marks'!D100)</f>
        <v/>
      </c>
      <c r="D98" s="315" t="str">
        <f>IF('Statement of Marks'!E100="","",'Statement of Marks'!E100)</f>
        <v/>
      </c>
      <c r="E98" s="316" t="str">
        <f>IF('Statement of Marks'!F100="","",'Statement of Marks'!F100)</f>
        <v/>
      </c>
      <c r="F98" s="316" t="str">
        <f>IF('Statement of Marks'!G100="","",'Statement of Marks'!G100)</f>
        <v/>
      </c>
      <c r="G98" s="316" t="str">
        <f>IF('Statement of Marks'!H100="","",'Statement of Marks'!H100)</f>
        <v/>
      </c>
      <c r="H98" s="830" t="str">
        <f>IF('Statement of Marks'!HS100="","",'Statement of Marks'!HS100)</f>
        <v/>
      </c>
      <c r="I98" s="172" t="str">
        <f>IF('Statement of Marks'!HV100="","",'Statement of Marks'!HV100)</f>
        <v/>
      </c>
      <c r="J98" s="317" t="str">
        <f>IF('Statement of Marks'!HW100="","",'Statement of Marks'!HW100)</f>
        <v/>
      </c>
      <c r="K98" s="392" t="str">
        <f>'Statement of Marks'!GN100</f>
        <v/>
      </c>
      <c r="L98" s="392" t="str">
        <f>'Statement of Marks'!GQ100</f>
        <v/>
      </c>
      <c r="M98" s="181" t="str">
        <f>'Statement of Marks'!GU100</f>
        <v/>
      </c>
      <c r="N98" s="181" t="str">
        <f>'Statement of Marks'!GV100</f>
        <v/>
      </c>
      <c r="O98" s="181" t="str">
        <f>'Statement of Marks'!GW100</f>
        <v/>
      </c>
      <c r="P98" s="181" t="str">
        <f>'Statement of Marks'!GX100</f>
        <v/>
      </c>
      <c r="Q98" s="181" t="str">
        <f>'Statement of Marks'!GY100</f>
        <v/>
      </c>
      <c r="R98" s="392" t="str">
        <f>'Statement of Marks'!HB100</f>
        <v/>
      </c>
      <c r="S98" s="392" t="str">
        <f>'Statement of Marks'!HE100</f>
        <v/>
      </c>
      <c r="T98" s="392" t="str">
        <f>'Statement of Marks'!HH100</f>
        <v/>
      </c>
      <c r="U98" s="392" t="str">
        <f>'Statement of Marks'!HK100</f>
        <v/>
      </c>
      <c r="V98" s="318"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9">
        <f>IF('Statement of Marks'!A101="","",'Statement of Marks'!A101)</f>
        <v>95</v>
      </c>
      <c r="B99" s="169" t="str">
        <f>IF('Statement of Marks'!B101="","",'Statement of Marks'!B101)</f>
        <v/>
      </c>
      <c r="C99" s="169" t="str">
        <f>IF('Statement of Marks'!D101="","",'Statement of Marks'!D101)</f>
        <v/>
      </c>
      <c r="D99" s="315" t="str">
        <f>IF('Statement of Marks'!E101="","",'Statement of Marks'!E101)</f>
        <v/>
      </c>
      <c r="E99" s="316" t="str">
        <f>IF('Statement of Marks'!F101="","",'Statement of Marks'!F101)</f>
        <v/>
      </c>
      <c r="F99" s="316" t="str">
        <f>IF('Statement of Marks'!G101="","",'Statement of Marks'!G101)</f>
        <v/>
      </c>
      <c r="G99" s="316" t="str">
        <f>IF('Statement of Marks'!H101="","",'Statement of Marks'!H101)</f>
        <v/>
      </c>
      <c r="H99" s="830" t="str">
        <f>IF('Statement of Marks'!HS101="","",'Statement of Marks'!HS101)</f>
        <v/>
      </c>
      <c r="I99" s="172" t="str">
        <f>IF('Statement of Marks'!HV101="","",'Statement of Marks'!HV101)</f>
        <v/>
      </c>
      <c r="J99" s="317" t="str">
        <f>IF('Statement of Marks'!HW101="","",'Statement of Marks'!HW101)</f>
        <v/>
      </c>
      <c r="K99" s="392" t="str">
        <f>'Statement of Marks'!GN101</f>
        <v/>
      </c>
      <c r="L99" s="392" t="str">
        <f>'Statement of Marks'!GQ101</f>
        <v/>
      </c>
      <c r="M99" s="181" t="str">
        <f>'Statement of Marks'!GU101</f>
        <v/>
      </c>
      <c r="N99" s="181" t="str">
        <f>'Statement of Marks'!GV101</f>
        <v/>
      </c>
      <c r="O99" s="181" t="str">
        <f>'Statement of Marks'!GW101</f>
        <v/>
      </c>
      <c r="P99" s="181" t="str">
        <f>'Statement of Marks'!GX101</f>
        <v/>
      </c>
      <c r="Q99" s="181" t="str">
        <f>'Statement of Marks'!GY101</f>
        <v/>
      </c>
      <c r="R99" s="392" t="str">
        <f>'Statement of Marks'!HB101</f>
        <v/>
      </c>
      <c r="S99" s="392" t="str">
        <f>'Statement of Marks'!HE101</f>
        <v/>
      </c>
      <c r="T99" s="392" t="str">
        <f>'Statement of Marks'!HH101</f>
        <v/>
      </c>
      <c r="U99" s="392" t="str">
        <f>'Statement of Marks'!HK101</f>
        <v/>
      </c>
      <c r="V99" s="318"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9">
        <f>IF('Statement of Marks'!A102="","",'Statement of Marks'!A102)</f>
        <v>96</v>
      </c>
      <c r="B100" s="169" t="str">
        <f>IF('Statement of Marks'!B102="","",'Statement of Marks'!B102)</f>
        <v/>
      </c>
      <c r="C100" s="169" t="str">
        <f>IF('Statement of Marks'!D102="","",'Statement of Marks'!D102)</f>
        <v/>
      </c>
      <c r="D100" s="315" t="str">
        <f>IF('Statement of Marks'!E102="","",'Statement of Marks'!E102)</f>
        <v/>
      </c>
      <c r="E100" s="316" t="str">
        <f>IF('Statement of Marks'!F102="","",'Statement of Marks'!F102)</f>
        <v/>
      </c>
      <c r="F100" s="316" t="str">
        <f>IF('Statement of Marks'!G102="","",'Statement of Marks'!G102)</f>
        <v/>
      </c>
      <c r="G100" s="316" t="str">
        <f>IF('Statement of Marks'!H102="","",'Statement of Marks'!H102)</f>
        <v/>
      </c>
      <c r="H100" s="830" t="str">
        <f>IF('Statement of Marks'!HS102="","",'Statement of Marks'!HS102)</f>
        <v/>
      </c>
      <c r="I100" s="172" t="str">
        <f>IF('Statement of Marks'!HV102="","",'Statement of Marks'!HV102)</f>
        <v/>
      </c>
      <c r="J100" s="317" t="str">
        <f>IF('Statement of Marks'!HW102="","",'Statement of Marks'!HW102)</f>
        <v/>
      </c>
      <c r="K100" s="392" t="str">
        <f>'Statement of Marks'!GN102</f>
        <v/>
      </c>
      <c r="L100" s="392" t="str">
        <f>'Statement of Marks'!GQ102</f>
        <v/>
      </c>
      <c r="M100" s="181" t="str">
        <f>'Statement of Marks'!GU102</f>
        <v/>
      </c>
      <c r="N100" s="181" t="str">
        <f>'Statement of Marks'!GV102</f>
        <v/>
      </c>
      <c r="O100" s="181" t="str">
        <f>'Statement of Marks'!GW102</f>
        <v/>
      </c>
      <c r="P100" s="181" t="str">
        <f>'Statement of Marks'!GX102</f>
        <v/>
      </c>
      <c r="Q100" s="181" t="str">
        <f>'Statement of Marks'!GY102</f>
        <v/>
      </c>
      <c r="R100" s="392" t="str">
        <f>'Statement of Marks'!HB102</f>
        <v/>
      </c>
      <c r="S100" s="392" t="str">
        <f>'Statement of Marks'!HE102</f>
        <v/>
      </c>
      <c r="T100" s="392" t="str">
        <f>'Statement of Marks'!HH102</f>
        <v/>
      </c>
      <c r="U100" s="392" t="str">
        <f>'Statement of Marks'!HK102</f>
        <v/>
      </c>
      <c r="V100" s="318"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9">
        <f>IF('Statement of Marks'!A103="","",'Statement of Marks'!A103)</f>
        <v>97</v>
      </c>
      <c r="B101" s="169" t="str">
        <f>IF('Statement of Marks'!B103="","",'Statement of Marks'!B103)</f>
        <v/>
      </c>
      <c r="C101" s="169" t="str">
        <f>IF('Statement of Marks'!D103="","",'Statement of Marks'!D103)</f>
        <v/>
      </c>
      <c r="D101" s="315" t="str">
        <f>IF('Statement of Marks'!E103="","",'Statement of Marks'!E103)</f>
        <v/>
      </c>
      <c r="E101" s="316" t="str">
        <f>IF('Statement of Marks'!F103="","",'Statement of Marks'!F103)</f>
        <v/>
      </c>
      <c r="F101" s="316" t="str">
        <f>IF('Statement of Marks'!G103="","",'Statement of Marks'!G103)</f>
        <v/>
      </c>
      <c r="G101" s="316" t="str">
        <f>IF('Statement of Marks'!H103="","",'Statement of Marks'!H103)</f>
        <v/>
      </c>
      <c r="H101" s="830" t="str">
        <f>IF('Statement of Marks'!HS103="","",'Statement of Marks'!HS103)</f>
        <v/>
      </c>
      <c r="I101" s="172" t="str">
        <f>IF('Statement of Marks'!HV103="","",'Statement of Marks'!HV103)</f>
        <v/>
      </c>
      <c r="J101" s="317" t="str">
        <f>IF('Statement of Marks'!HW103="","",'Statement of Marks'!HW103)</f>
        <v/>
      </c>
      <c r="K101" s="392" t="str">
        <f>'Statement of Marks'!GN103</f>
        <v/>
      </c>
      <c r="L101" s="392" t="str">
        <f>'Statement of Marks'!GQ103</f>
        <v/>
      </c>
      <c r="M101" s="181" t="str">
        <f>'Statement of Marks'!GU103</f>
        <v/>
      </c>
      <c r="N101" s="181" t="str">
        <f>'Statement of Marks'!GV103</f>
        <v/>
      </c>
      <c r="O101" s="181" t="str">
        <f>'Statement of Marks'!GW103</f>
        <v/>
      </c>
      <c r="P101" s="181" t="str">
        <f>'Statement of Marks'!GX103</f>
        <v/>
      </c>
      <c r="Q101" s="181" t="str">
        <f>'Statement of Marks'!GY103</f>
        <v/>
      </c>
      <c r="R101" s="392" t="str">
        <f>'Statement of Marks'!HB103</f>
        <v/>
      </c>
      <c r="S101" s="392" t="str">
        <f>'Statement of Marks'!HE103</f>
        <v/>
      </c>
      <c r="T101" s="392" t="str">
        <f>'Statement of Marks'!HH103</f>
        <v/>
      </c>
      <c r="U101" s="392" t="str">
        <f>'Statement of Marks'!HK103</f>
        <v/>
      </c>
      <c r="V101" s="318"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9">
        <f>IF('Statement of Marks'!A104="","",'Statement of Marks'!A104)</f>
        <v>98</v>
      </c>
      <c r="B102" s="169" t="str">
        <f>IF('Statement of Marks'!B104="","",'Statement of Marks'!B104)</f>
        <v/>
      </c>
      <c r="C102" s="169" t="str">
        <f>IF('Statement of Marks'!D104="","",'Statement of Marks'!D104)</f>
        <v/>
      </c>
      <c r="D102" s="315" t="str">
        <f>IF('Statement of Marks'!E104="","",'Statement of Marks'!E104)</f>
        <v/>
      </c>
      <c r="E102" s="316" t="str">
        <f>IF('Statement of Marks'!F104="","",'Statement of Marks'!F104)</f>
        <v/>
      </c>
      <c r="F102" s="316" t="str">
        <f>IF('Statement of Marks'!G104="","",'Statement of Marks'!G104)</f>
        <v/>
      </c>
      <c r="G102" s="316" t="str">
        <f>IF('Statement of Marks'!H104="","",'Statement of Marks'!H104)</f>
        <v/>
      </c>
      <c r="H102" s="830" t="str">
        <f>IF('Statement of Marks'!HS104="","",'Statement of Marks'!HS104)</f>
        <v/>
      </c>
      <c r="I102" s="172" t="str">
        <f>IF('Statement of Marks'!HV104="","",'Statement of Marks'!HV104)</f>
        <v/>
      </c>
      <c r="J102" s="317" t="str">
        <f>IF('Statement of Marks'!HW104="","",'Statement of Marks'!HW104)</f>
        <v/>
      </c>
      <c r="K102" s="392" t="str">
        <f>'Statement of Marks'!GN104</f>
        <v/>
      </c>
      <c r="L102" s="392" t="str">
        <f>'Statement of Marks'!GQ104</f>
        <v/>
      </c>
      <c r="M102" s="181" t="str">
        <f>'Statement of Marks'!GU104</f>
        <v/>
      </c>
      <c r="N102" s="181" t="str">
        <f>'Statement of Marks'!GV104</f>
        <v/>
      </c>
      <c r="O102" s="181" t="str">
        <f>'Statement of Marks'!GW104</f>
        <v/>
      </c>
      <c r="P102" s="181" t="str">
        <f>'Statement of Marks'!GX104</f>
        <v/>
      </c>
      <c r="Q102" s="181" t="str">
        <f>'Statement of Marks'!GY104</f>
        <v/>
      </c>
      <c r="R102" s="392" t="str">
        <f>'Statement of Marks'!HB104</f>
        <v/>
      </c>
      <c r="S102" s="392" t="str">
        <f>'Statement of Marks'!HE104</f>
        <v/>
      </c>
      <c r="T102" s="392" t="str">
        <f>'Statement of Marks'!HH104</f>
        <v/>
      </c>
      <c r="U102" s="392" t="str">
        <f>'Statement of Marks'!HK104</f>
        <v/>
      </c>
      <c r="V102" s="318"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9">
        <f>IF('Statement of Marks'!A105="","",'Statement of Marks'!A105)</f>
        <v>99</v>
      </c>
      <c r="B103" s="169" t="str">
        <f>IF('Statement of Marks'!B105="","",'Statement of Marks'!B105)</f>
        <v/>
      </c>
      <c r="C103" s="169" t="str">
        <f>IF('Statement of Marks'!D105="","",'Statement of Marks'!D105)</f>
        <v/>
      </c>
      <c r="D103" s="315" t="str">
        <f>IF('Statement of Marks'!E105="","",'Statement of Marks'!E105)</f>
        <v/>
      </c>
      <c r="E103" s="316" t="str">
        <f>IF('Statement of Marks'!F105="","",'Statement of Marks'!F105)</f>
        <v/>
      </c>
      <c r="F103" s="316" t="str">
        <f>IF('Statement of Marks'!G105="","",'Statement of Marks'!G105)</f>
        <v/>
      </c>
      <c r="G103" s="316" t="str">
        <f>IF('Statement of Marks'!H105="","",'Statement of Marks'!H105)</f>
        <v/>
      </c>
      <c r="H103" s="830" t="str">
        <f>IF('Statement of Marks'!HS105="","",'Statement of Marks'!HS105)</f>
        <v/>
      </c>
      <c r="I103" s="172" t="str">
        <f>IF('Statement of Marks'!HV105="","",'Statement of Marks'!HV105)</f>
        <v/>
      </c>
      <c r="J103" s="317" t="str">
        <f>IF('Statement of Marks'!HW105="","",'Statement of Marks'!HW105)</f>
        <v/>
      </c>
      <c r="K103" s="392" t="str">
        <f>'Statement of Marks'!GN105</f>
        <v/>
      </c>
      <c r="L103" s="392" t="str">
        <f>'Statement of Marks'!GQ105</f>
        <v/>
      </c>
      <c r="M103" s="181" t="str">
        <f>'Statement of Marks'!GU105</f>
        <v/>
      </c>
      <c r="N103" s="181" t="str">
        <f>'Statement of Marks'!GV105</f>
        <v/>
      </c>
      <c r="O103" s="181" t="str">
        <f>'Statement of Marks'!GW105</f>
        <v/>
      </c>
      <c r="P103" s="181" t="str">
        <f>'Statement of Marks'!GX105</f>
        <v/>
      </c>
      <c r="Q103" s="181" t="str">
        <f>'Statement of Marks'!GY105</f>
        <v/>
      </c>
      <c r="R103" s="392" t="str">
        <f>'Statement of Marks'!HB105</f>
        <v/>
      </c>
      <c r="S103" s="392" t="str">
        <f>'Statement of Marks'!HE105</f>
        <v/>
      </c>
      <c r="T103" s="392" t="str">
        <f>'Statement of Marks'!HH105</f>
        <v/>
      </c>
      <c r="U103" s="392" t="str">
        <f>'Statement of Marks'!HK105</f>
        <v/>
      </c>
      <c r="V103" s="318"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9">
        <f>IF('Statement of Marks'!A106="","",'Statement of Marks'!A106)</f>
        <v>100</v>
      </c>
      <c r="B104" s="169" t="str">
        <f>IF('Statement of Marks'!B106="","",'Statement of Marks'!B106)</f>
        <v/>
      </c>
      <c r="C104" s="169" t="str">
        <f>IF('Statement of Marks'!D106="","",'Statement of Marks'!D106)</f>
        <v/>
      </c>
      <c r="D104" s="315" t="str">
        <f>IF('Statement of Marks'!E106="","",'Statement of Marks'!E106)</f>
        <v/>
      </c>
      <c r="E104" s="316" t="str">
        <f>IF('Statement of Marks'!F106="","",'Statement of Marks'!F106)</f>
        <v/>
      </c>
      <c r="F104" s="316" t="str">
        <f>IF('Statement of Marks'!G106="","",'Statement of Marks'!G106)</f>
        <v/>
      </c>
      <c r="G104" s="316" t="str">
        <f>IF('Statement of Marks'!H106="","",'Statement of Marks'!H106)</f>
        <v/>
      </c>
      <c r="H104" s="830" t="str">
        <f>IF('Statement of Marks'!HS106="","",'Statement of Marks'!HS106)</f>
        <v/>
      </c>
      <c r="I104" s="172" t="str">
        <f>IF('Statement of Marks'!HV106="","",'Statement of Marks'!HV106)</f>
        <v/>
      </c>
      <c r="J104" s="317" t="str">
        <f>IF('Statement of Marks'!HW106="","",'Statement of Marks'!HW106)</f>
        <v/>
      </c>
      <c r="K104" s="392" t="str">
        <f>'Statement of Marks'!GN106</f>
        <v/>
      </c>
      <c r="L104" s="392" t="str">
        <f>'Statement of Marks'!GQ106</f>
        <v/>
      </c>
      <c r="M104" s="181" t="str">
        <f>'Statement of Marks'!GU106</f>
        <v/>
      </c>
      <c r="N104" s="181" t="str">
        <f>'Statement of Marks'!GV106</f>
        <v/>
      </c>
      <c r="O104" s="181" t="str">
        <f>'Statement of Marks'!GW106</f>
        <v/>
      </c>
      <c r="P104" s="181" t="str">
        <f>'Statement of Marks'!GX106</f>
        <v/>
      </c>
      <c r="Q104" s="181" t="str">
        <f>'Statement of Marks'!GY106</f>
        <v/>
      </c>
      <c r="R104" s="392" t="str">
        <f>'Statement of Marks'!HB106</f>
        <v/>
      </c>
      <c r="S104" s="392" t="str">
        <f>'Statement of Marks'!HE106</f>
        <v/>
      </c>
      <c r="T104" s="392" t="str">
        <f>'Statement of Marks'!HH106</f>
        <v/>
      </c>
      <c r="U104" s="392" t="str">
        <f>'Statement of Marks'!HK106</f>
        <v/>
      </c>
      <c r="V104" s="318"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9">
        <f>IF('Statement of Marks'!A107="","",'Statement of Marks'!A107)</f>
        <v>101</v>
      </c>
      <c r="B105" s="169" t="str">
        <f>IF('Statement of Marks'!B107="","",'Statement of Marks'!B107)</f>
        <v/>
      </c>
      <c r="C105" s="169" t="str">
        <f>IF('Statement of Marks'!D107="","",'Statement of Marks'!D107)</f>
        <v/>
      </c>
      <c r="D105" s="315" t="str">
        <f>IF('Statement of Marks'!E107="","",'Statement of Marks'!E107)</f>
        <v/>
      </c>
      <c r="E105" s="316" t="str">
        <f>IF('Statement of Marks'!F107="","",'Statement of Marks'!F107)</f>
        <v/>
      </c>
      <c r="F105" s="316" t="str">
        <f>IF('Statement of Marks'!G107="","",'Statement of Marks'!G107)</f>
        <v/>
      </c>
      <c r="G105" s="316" t="str">
        <f>IF('Statement of Marks'!H107="","",'Statement of Marks'!H107)</f>
        <v/>
      </c>
      <c r="H105" s="830" t="str">
        <f>IF('Statement of Marks'!HS107="","",'Statement of Marks'!HS107)</f>
        <v/>
      </c>
      <c r="I105" s="172" t="str">
        <f>IF('Statement of Marks'!HV107="","",'Statement of Marks'!HV107)</f>
        <v/>
      </c>
      <c r="J105" s="317" t="str">
        <f>IF('Statement of Marks'!HW107="","",'Statement of Marks'!HW107)</f>
        <v/>
      </c>
      <c r="K105" s="392" t="str">
        <f>'Statement of Marks'!GN107</f>
        <v/>
      </c>
      <c r="L105" s="392" t="str">
        <f>'Statement of Marks'!GQ107</f>
        <v/>
      </c>
      <c r="M105" s="181" t="str">
        <f>'Statement of Marks'!GU107</f>
        <v/>
      </c>
      <c r="N105" s="181" t="str">
        <f>'Statement of Marks'!GV107</f>
        <v/>
      </c>
      <c r="O105" s="181" t="str">
        <f>'Statement of Marks'!GW107</f>
        <v/>
      </c>
      <c r="P105" s="181" t="str">
        <f>'Statement of Marks'!GX107</f>
        <v/>
      </c>
      <c r="Q105" s="181" t="str">
        <f>'Statement of Marks'!GY107</f>
        <v/>
      </c>
      <c r="R105" s="392" t="str">
        <f>'Statement of Marks'!HB107</f>
        <v/>
      </c>
      <c r="S105" s="392" t="str">
        <f>'Statement of Marks'!HE107</f>
        <v/>
      </c>
      <c r="T105" s="392" t="str">
        <f>'Statement of Marks'!HH107</f>
        <v/>
      </c>
      <c r="U105" s="392" t="str">
        <f>'Statement of Marks'!HK107</f>
        <v/>
      </c>
      <c r="V105" s="318"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9">
        <f>IF('Statement of Marks'!A108="","",'Statement of Marks'!A108)</f>
        <v>102</v>
      </c>
      <c r="B106" s="169" t="str">
        <f>IF('Statement of Marks'!B108="","",'Statement of Marks'!B108)</f>
        <v/>
      </c>
      <c r="C106" s="169" t="str">
        <f>IF('Statement of Marks'!D108="","",'Statement of Marks'!D108)</f>
        <v/>
      </c>
      <c r="D106" s="315" t="str">
        <f>IF('Statement of Marks'!E108="","",'Statement of Marks'!E108)</f>
        <v/>
      </c>
      <c r="E106" s="316" t="str">
        <f>IF('Statement of Marks'!F108="","",'Statement of Marks'!F108)</f>
        <v/>
      </c>
      <c r="F106" s="316" t="str">
        <f>IF('Statement of Marks'!G108="","",'Statement of Marks'!G108)</f>
        <v/>
      </c>
      <c r="G106" s="316" t="str">
        <f>IF('Statement of Marks'!H108="","",'Statement of Marks'!H108)</f>
        <v/>
      </c>
      <c r="H106" s="830" t="str">
        <f>IF('Statement of Marks'!HS108="","",'Statement of Marks'!HS108)</f>
        <v/>
      </c>
      <c r="I106" s="172" t="str">
        <f>IF('Statement of Marks'!HV108="","",'Statement of Marks'!HV108)</f>
        <v/>
      </c>
      <c r="J106" s="317" t="str">
        <f>IF('Statement of Marks'!HW108="","",'Statement of Marks'!HW108)</f>
        <v/>
      </c>
      <c r="K106" s="392" t="str">
        <f>'Statement of Marks'!GN108</f>
        <v/>
      </c>
      <c r="L106" s="392" t="str">
        <f>'Statement of Marks'!GQ108</f>
        <v/>
      </c>
      <c r="M106" s="181" t="str">
        <f>'Statement of Marks'!GU108</f>
        <v/>
      </c>
      <c r="N106" s="181" t="str">
        <f>'Statement of Marks'!GV108</f>
        <v/>
      </c>
      <c r="O106" s="181" t="str">
        <f>'Statement of Marks'!GW108</f>
        <v/>
      </c>
      <c r="P106" s="181" t="str">
        <f>'Statement of Marks'!GX108</f>
        <v/>
      </c>
      <c r="Q106" s="181" t="str">
        <f>'Statement of Marks'!GY108</f>
        <v/>
      </c>
      <c r="R106" s="392" t="str">
        <f>'Statement of Marks'!HB108</f>
        <v/>
      </c>
      <c r="S106" s="392" t="str">
        <f>'Statement of Marks'!HE108</f>
        <v/>
      </c>
      <c r="T106" s="392" t="str">
        <f>'Statement of Marks'!HH108</f>
        <v/>
      </c>
      <c r="U106" s="392" t="str">
        <f>'Statement of Marks'!HK108</f>
        <v/>
      </c>
      <c r="V106" s="318"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9">
        <f>IF('Statement of Marks'!A109="","",'Statement of Marks'!A109)</f>
        <v>103</v>
      </c>
      <c r="B107" s="169" t="str">
        <f>IF('Statement of Marks'!B109="","",'Statement of Marks'!B109)</f>
        <v/>
      </c>
      <c r="C107" s="169" t="str">
        <f>IF('Statement of Marks'!D109="","",'Statement of Marks'!D109)</f>
        <v/>
      </c>
      <c r="D107" s="315" t="str">
        <f>IF('Statement of Marks'!E109="","",'Statement of Marks'!E109)</f>
        <v/>
      </c>
      <c r="E107" s="316" t="str">
        <f>IF('Statement of Marks'!F109="","",'Statement of Marks'!F109)</f>
        <v/>
      </c>
      <c r="F107" s="316" t="str">
        <f>IF('Statement of Marks'!G109="","",'Statement of Marks'!G109)</f>
        <v/>
      </c>
      <c r="G107" s="316" t="str">
        <f>IF('Statement of Marks'!H109="","",'Statement of Marks'!H109)</f>
        <v/>
      </c>
      <c r="H107" s="830" t="str">
        <f>IF('Statement of Marks'!HS109="","",'Statement of Marks'!HS109)</f>
        <v/>
      </c>
      <c r="I107" s="172" t="str">
        <f>IF('Statement of Marks'!HV109="","",'Statement of Marks'!HV109)</f>
        <v/>
      </c>
      <c r="J107" s="317" t="str">
        <f>IF('Statement of Marks'!HW109="","",'Statement of Marks'!HW109)</f>
        <v/>
      </c>
      <c r="K107" s="392" t="str">
        <f>'Statement of Marks'!GN109</f>
        <v/>
      </c>
      <c r="L107" s="392" t="str">
        <f>'Statement of Marks'!GQ109</f>
        <v/>
      </c>
      <c r="M107" s="181" t="str">
        <f>'Statement of Marks'!GU109</f>
        <v/>
      </c>
      <c r="N107" s="181" t="str">
        <f>'Statement of Marks'!GV109</f>
        <v/>
      </c>
      <c r="O107" s="181" t="str">
        <f>'Statement of Marks'!GW109</f>
        <v/>
      </c>
      <c r="P107" s="181" t="str">
        <f>'Statement of Marks'!GX109</f>
        <v/>
      </c>
      <c r="Q107" s="181" t="str">
        <f>'Statement of Marks'!GY109</f>
        <v/>
      </c>
      <c r="R107" s="392" t="str">
        <f>'Statement of Marks'!HB109</f>
        <v/>
      </c>
      <c r="S107" s="392" t="str">
        <f>'Statement of Marks'!HE109</f>
        <v/>
      </c>
      <c r="T107" s="392" t="str">
        <f>'Statement of Marks'!HH109</f>
        <v/>
      </c>
      <c r="U107" s="392" t="str">
        <f>'Statement of Marks'!HK109</f>
        <v/>
      </c>
      <c r="V107" s="318"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9">
        <f>IF('Statement of Marks'!A110="","",'Statement of Marks'!A110)</f>
        <v>104</v>
      </c>
      <c r="B108" s="169" t="str">
        <f>IF('Statement of Marks'!B110="","",'Statement of Marks'!B110)</f>
        <v/>
      </c>
      <c r="C108" s="169" t="str">
        <f>IF('Statement of Marks'!D110="","",'Statement of Marks'!D110)</f>
        <v/>
      </c>
      <c r="D108" s="315" t="str">
        <f>IF('Statement of Marks'!E110="","",'Statement of Marks'!E110)</f>
        <v/>
      </c>
      <c r="E108" s="316" t="str">
        <f>IF('Statement of Marks'!F110="","",'Statement of Marks'!F110)</f>
        <v/>
      </c>
      <c r="F108" s="316" t="str">
        <f>IF('Statement of Marks'!G110="","",'Statement of Marks'!G110)</f>
        <v/>
      </c>
      <c r="G108" s="316" t="str">
        <f>IF('Statement of Marks'!H110="","",'Statement of Marks'!H110)</f>
        <v/>
      </c>
      <c r="H108" s="830" t="str">
        <f>IF('Statement of Marks'!HS110="","",'Statement of Marks'!HS110)</f>
        <v/>
      </c>
      <c r="I108" s="172" t="str">
        <f>IF('Statement of Marks'!HV110="","",'Statement of Marks'!HV110)</f>
        <v/>
      </c>
      <c r="J108" s="317" t="str">
        <f>IF('Statement of Marks'!HW110="","",'Statement of Marks'!HW110)</f>
        <v/>
      </c>
      <c r="K108" s="392" t="str">
        <f>'Statement of Marks'!GN110</f>
        <v/>
      </c>
      <c r="L108" s="392" t="str">
        <f>'Statement of Marks'!GQ110</f>
        <v/>
      </c>
      <c r="M108" s="181" t="str">
        <f>'Statement of Marks'!GU110</f>
        <v/>
      </c>
      <c r="N108" s="181" t="str">
        <f>'Statement of Marks'!GV110</f>
        <v/>
      </c>
      <c r="O108" s="181" t="str">
        <f>'Statement of Marks'!GW110</f>
        <v/>
      </c>
      <c r="P108" s="181" t="str">
        <f>'Statement of Marks'!GX110</f>
        <v/>
      </c>
      <c r="Q108" s="181" t="str">
        <f>'Statement of Marks'!GY110</f>
        <v/>
      </c>
      <c r="R108" s="392" t="str">
        <f>'Statement of Marks'!HB110</f>
        <v/>
      </c>
      <c r="S108" s="392" t="str">
        <f>'Statement of Marks'!HE110</f>
        <v/>
      </c>
      <c r="T108" s="392" t="str">
        <f>'Statement of Marks'!HH110</f>
        <v/>
      </c>
      <c r="U108" s="392" t="str">
        <f>'Statement of Marks'!HK110</f>
        <v/>
      </c>
      <c r="V108" s="318"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9">
        <f>IF('Statement of Marks'!A111="","",'Statement of Marks'!A111)</f>
        <v>105</v>
      </c>
      <c r="B109" s="169" t="str">
        <f>IF('Statement of Marks'!B111="","",'Statement of Marks'!B111)</f>
        <v/>
      </c>
      <c r="C109" s="169" t="str">
        <f>IF('Statement of Marks'!D111="","",'Statement of Marks'!D111)</f>
        <v/>
      </c>
      <c r="D109" s="315" t="str">
        <f>IF('Statement of Marks'!E111="","",'Statement of Marks'!E111)</f>
        <v/>
      </c>
      <c r="E109" s="316" t="str">
        <f>IF('Statement of Marks'!F111="","",'Statement of Marks'!F111)</f>
        <v/>
      </c>
      <c r="F109" s="316" t="str">
        <f>IF('Statement of Marks'!G111="","",'Statement of Marks'!G111)</f>
        <v/>
      </c>
      <c r="G109" s="316" t="str">
        <f>IF('Statement of Marks'!H111="","",'Statement of Marks'!H111)</f>
        <v/>
      </c>
      <c r="H109" s="830" t="str">
        <f>IF('Statement of Marks'!HS111="","",'Statement of Marks'!HS111)</f>
        <v/>
      </c>
      <c r="I109" s="172" t="str">
        <f>IF('Statement of Marks'!HV111="","",'Statement of Marks'!HV111)</f>
        <v/>
      </c>
      <c r="J109" s="317" t="str">
        <f>IF('Statement of Marks'!HW111="","",'Statement of Marks'!HW111)</f>
        <v/>
      </c>
      <c r="K109" s="392" t="str">
        <f>'Statement of Marks'!GN111</f>
        <v/>
      </c>
      <c r="L109" s="392" t="str">
        <f>'Statement of Marks'!GQ111</f>
        <v/>
      </c>
      <c r="M109" s="181" t="str">
        <f>'Statement of Marks'!GU111</f>
        <v/>
      </c>
      <c r="N109" s="181" t="str">
        <f>'Statement of Marks'!GV111</f>
        <v/>
      </c>
      <c r="O109" s="181" t="str">
        <f>'Statement of Marks'!GW111</f>
        <v/>
      </c>
      <c r="P109" s="181" t="str">
        <f>'Statement of Marks'!GX111</f>
        <v/>
      </c>
      <c r="Q109" s="181" t="str">
        <f>'Statement of Marks'!GY111</f>
        <v/>
      </c>
      <c r="R109" s="392" t="str">
        <f>'Statement of Marks'!HB111</f>
        <v/>
      </c>
      <c r="S109" s="392" t="str">
        <f>'Statement of Marks'!HE111</f>
        <v/>
      </c>
      <c r="T109" s="392" t="str">
        <f>'Statement of Marks'!HH111</f>
        <v/>
      </c>
      <c r="U109" s="392" t="str">
        <f>'Statement of Marks'!HK111</f>
        <v/>
      </c>
      <c r="V109" s="318"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9">
        <f>IF('Statement of Marks'!A112="","",'Statement of Marks'!A112)</f>
        <v>106</v>
      </c>
      <c r="B110" s="169" t="str">
        <f>IF('Statement of Marks'!B112="","",'Statement of Marks'!B112)</f>
        <v/>
      </c>
      <c r="C110" s="169" t="str">
        <f>IF('Statement of Marks'!D112="","",'Statement of Marks'!D112)</f>
        <v/>
      </c>
      <c r="D110" s="315" t="str">
        <f>IF('Statement of Marks'!E112="","",'Statement of Marks'!E112)</f>
        <v/>
      </c>
      <c r="E110" s="316" t="str">
        <f>IF('Statement of Marks'!F112="","",'Statement of Marks'!F112)</f>
        <v/>
      </c>
      <c r="F110" s="316" t="str">
        <f>IF('Statement of Marks'!G112="","",'Statement of Marks'!G112)</f>
        <v/>
      </c>
      <c r="G110" s="316" t="str">
        <f>IF('Statement of Marks'!H112="","",'Statement of Marks'!H112)</f>
        <v/>
      </c>
      <c r="H110" s="830" t="str">
        <f>IF('Statement of Marks'!HS112="","",'Statement of Marks'!HS112)</f>
        <v/>
      </c>
      <c r="I110" s="172" t="str">
        <f>IF('Statement of Marks'!HV112="","",'Statement of Marks'!HV112)</f>
        <v/>
      </c>
      <c r="J110" s="317" t="str">
        <f>IF('Statement of Marks'!HW112="","",'Statement of Marks'!HW112)</f>
        <v/>
      </c>
      <c r="K110" s="392" t="str">
        <f>'Statement of Marks'!GN112</f>
        <v/>
      </c>
      <c r="L110" s="392" t="str">
        <f>'Statement of Marks'!GQ112</f>
        <v/>
      </c>
      <c r="M110" s="181" t="str">
        <f>'Statement of Marks'!GU112</f>
        <v/>
      </c>
      <c r="N110" s="181" t="str">
        <f>'Statement of Marks'!GV112</f>
        <v/>
      </c>
      <c r="O110" s="181" t="str">
        <f>'Statement of Marks'!GW112</f>
        <v/>
      </c>
      <c r="P110" s="181" t="str">
        <f>'Statement of Marks'!GX112</f>
        <v/>
      </c>
      <c r="Q110" s="181" t="str">
        <f>'Statement of Marks'!GY112</f>
        <v/>
      </c>
      <c r="R110" s="392" t="str">
        <f>'Statement of Marks'!HB112</f>
        <v/>
      </c>
      <c r="S110" s="392" t="str">
        <f>'Statement of Marks'!HE112</f>
        <v/>
      </c>
      <c r="T110" s="392" t="str">
        <f>'Statement of Marks'!HH112</f>
        <v/>
      </c>
      <c r="U110" s="392" t="str">
        <f>'Statement of Marks'!HK112</f>
        <v/>
      </c>
      <c r="V110" s="318"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9">
        <f>IF('Statement of Marks'!A113="","",'Statement of Marks'!A113)</f>
        <v>107</v>
      </c>
      <c r="B111" s="169" t="str">
        <f>IF('Statement of Marks'!B113="","",'Statement of Marks'!B113)</f>
        <v/>
      </c>
      <c r="C111" s="169" t="str">
        <f>IF('Statement of Marks'!D113="","",'Statement of Marks'!D113)</f>
        <v/>
      </c>
      <c r="D111" s="315" t="str">
        <f>IF('Statement of Marks'!E113="","",'Statement of Marks'!E113)</f>
        <v/>
      </c>
      <c r="E111" s="316" t="str">
        <f>IF('Statement of Marks'!F113="","",'Statement of Marks'!F113)</f>
        <v/>
      </c>
      <c r="F111" s="316" t="str">
        <f>IF('Statement of Marks'!G113="","",'Statement of Marks'!G113)</f>
        <v/>
      </c>
      <c r="G111" s="316" t="str">
        <f>IF('Statement of Marks'!H113="","",'Statement of Marks'!H113)</f>
        <v/>
      </c>
      <c r="H111" s="830" t="str">
        <f>IF('Statement of Marks'!HS113="","",'Statement of Marks'!HS113)</f>
        <v/>
      </c>
      <c r="I111" s="172" t="str">
        <f>IF('Statement of Marks'!HV113="","",'Statement of Marks'!HV113)</f>
        <v/>
      </c>
      <c r="J111" s="317" t="str">
        <f>IF('Statement of Marks'!HW113="","",'Statement of Marks'!HW113)</f>
        <v/>
      </c>
      <c r="K111" s="392" t="str">
        <f>'Statement of Marks'!GN113</f>
        <v/>
      </c>
      <c r="L111" s="392" t="str">
        <f>'Statement of Marks'!GQ113</f>
        <v/>
      </c>
      <c r="M111" s="181" t="str">
        <f>'Statement of Marks'!GU113</f>
        <v/>
      </c>
      <c r="N111" s="181" t="str">
        <f>'Statement of Marks'!GV113</f>
        <v/>
      </c>
      <c r="O111" s="181" t="str">
        <f>'Statement of Marks'!GW113</f>
        <v/>
      </c>
      <c r="P111" s="181" t="str">
        <f>'Statement of Marks'!GX113</f>
        <v/>
      </c>
      <c r="Q111" s="181" t="str">
        <f>'Statement of Marks'!GY113</f>
        <v/>
      </c>
      <c r="R111" s="392" t="str">
        <f>'Statement of Marks'!HB113</f>
        <v/>
      </c>
      <c r="S111" s="392" t="str">
        <f>'Statement of Marks'!HE113</f>
        <v/>
      </c>
      <c r="T111" s="392" t="str">
        <f>'Statement of Marks'!HH113</f>
        <v/>
      </c>
      <c r="U111" s="392" t="str">
        <f>'Statement of Marks'!HK113</f>
        <v/>
      </c>
      <c r="V111" s="318"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9">
        <f>IF('Statement of Marks'!A114="","",'Statement of Marks'!A114)</f>
        <v>108</v>
      </c>
      <c r="B112" s="169" t="str">
        <f>IF('Statement of Marks'!B114="","",'Statement of Marks'!B114)</f>
        <v/>
      </c>
      <c r="C112" s="169" t="str">
        <f>IF('Statement of Marks'!D114="","",'Statement of Marks'!D114)</f>
        <v/>
      </c>
      <c r="D112" s="315" t="str">
        <f>IF('Statement of Marks'!E114="","",'Statement of Marks'!E114)</f>
        <v/>
      </c>
      <c r="E112" s="316" t="str">
        <f>IF('Statement of Marks'!F114="","",'Statement of Marks'!F114)</f>
        <v/>
      </c>
      <c r="F112" s="316" t="str">
        <f>IF('Statement of Marks'!G114="","",'Statement of Marks'!G114)</f>
        <v/>
      </c>
      <c r="G112" s="316" t="str">
        <f>IF('Statement of Marks'!H114="","",'Statement of Marks'!H114)</f>
        <v/>
      </c>
      <c r="H112" s="830" t="str">
        <f>IF('Statement of Marks'!HS114="","",'Statement of Marks'!HS114)</f>
        <v/>
      </c>
      <c r="I112" s="172" t="str">
        <f>IF('Statement of Marks'!HV114="","",'Statement of Marks'!HV114)</f>
        <v/>
      </c>
      <c r="J112" s="317" t="str">
        <f>IF('Statement of Marks'!HW114="","",'Statement of Marks'!HW114)</f>
        <v/>
      </c>
      <c r="K112" s="392" t="str">
        <f>'Statement of Marks'!GN114</f>
        <v/>
      </c>
      <c r="L112" s="392" t="str">
        <f>'Statement of Marks'!GQ114</f>
        <v/>
      </c>
      <c r="M112" s="181" t="str">
        <f>'Statement of Marks'!GU114</f>
        <v/>
      </c>
      <c r="N112" s="181" t="str">
        <f>'Statement of Marks'!GV114</f>
        <v/>
      </c>
      <c r="O112" s="181" t="str">
        <f>'Statement of Marks'!GW114</f>
        <v/>
      </c>
      <c r="P112" s="181" t="str">
        <f>'Statement of Marks'!GX114</f>
        <v/>
      </c>
      <c r="Q112" s="181" t="str">
        <f>'Statement of Marks'!GY114</f>
        <v/>
      </c>
      <c r="R112" s="392" t="str">
        <f>'Statement of Marks'!HB114</f>
        <v/>
      </c>
      <c r="S112" s="392" t="str">
        <f>'Statement of Marks'!HE114</f>
        <v/>
      </c>
      <c r="T112" s="392" t="str">
        <f>'Statement of Marks'!HH114</f>
        <v/>
      </c>
      <c r="U112" s="392" t="str">
        <f>'Statement of Marks'!HK114</f>
        <v/>
      </c>
      <c r="V112" s="318"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9">
        <f>IF('Statement of Marks'!A115="","",'Statement of Marks'!A115)</f>
        <v>109</v>
      </c>
      <c r="B113" s="169" t="str">
        <f>IF('Statement of Marks'!B115="","",'Statement of Marks'!B115)</f>
        <v/>
      </c>
      <c r="C113" s="169" t="str">
        <f>IF('Statement of Marks'!D115="","",'Statement of Marks'!D115)</f>
        <v/>
      </c>
      <c r="D113" s="315" t="str">
        <f>IF('Statement of Marks'!E115="","",'Statement of Marks'!E115)</f>
        <v/>
      </c>
      <c r="E113" s="316" t="str">
        <f>IF('Statement of Marks'!F115="","",'Statement of Marks'!F115)</f>
        <v/>
      </c>
      <c r="F113" s="316" t="str">
        <f>IF('Statement of Marks'!G115="","",'Statement of Marks'!G115)</f>
        <v/>
      </c>
      <c r="G113" s="316" t="str">
        <f>IF('Statement of Marks'!H115="","",'Statement of Marks'!H115)</f>
        <v/>
      </c>
      <c r="H113" s="830" t="str">
        <f>IF('Statement of Marks'!HS115="","",'Statement of Marks'!HS115)</f>
        <v/>
      </c>
      <c r="I113" s="172" t="str">
        <f>IF('Statement of Marks'!HV115="","",'Statement of Marks'!HV115)</f>
        <v/>
      </c>
      <c r="J113" s="317" t="str">
        <f>IF('Statement of Marks'!HW115="","",'Statement of Marks'!HW115)</f>
        <v/>
      </c>
      <c r="K113" s="392" t="str">
        <f>'Statement of Marks'!GN115</f>
        <v/>
      </c>
      <c r="L113" s="392" t="str">
        <f>'Statement of Marks'!GQ115</f>
        <v/>
      </c>
      <c r="M113" s="181" t="str">
        <f>'Statement of Marks'!GU115</f>
        <v/>
      </c>
      <c r="N113" s="181" t="str">
        <f>'Statement of Marks'!GV115</f>
        <v/>
      </c>
      <c r="O113" s="181" t="str">
        <f>'Statement of Marks'!GW115</f>
        <v/>
      </c>
      <c r="P113" s="181" t="str">
        <f>'Statement of Marks'!GX115</f>
        <v/>
      </c>
      <c r="Q113" s="181" t="str">
        <f>'Statement of Marks'!GY115</f>
        <v/>
      </c>
      <c r="R113" s="392" t="str">
        <f>'Statement of Marks'!HB115</f>
        <v/>
      </c>
      <c r="S113" s="392" t="str">
        <f>'Statement of Marks'!HE115</f>
        <v/>
      </c>
      <c r="T113" s="392" t="str">
        <f>'Statement of Marks'!HH115</f>
        <v/>
      </c>
      <c r="U113" s="392" t="str">
        <f>'Statement of Marks'!HK115</f>
        <v/>
      </c>
      <c r="V113" s="318"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9">
        <f>IF('Statement of Marks'!A116="","",'Statement of Marks'!A116)</f>
        <v>110</v>
      </c>
      <c r="B114" s="169" t="str">
        <f>IF('Statement of Marks'!B116="","",'Statement of Marks'!B116)</f>
        <v/>
      </c>
      <c r="C114" s="169" t="str">
        <f>IF('Statement of Marks'!D116="","",'Statement of Marks'!D116)</f>
        <v/>
      </c>
      <c r="D114" s="315" t="str">
        <f>IF('Statement of Marks'!E116="","",'Statement of Marks'!E116)</f>
        <v/>
      </c>
      <c r="E114" s="316" t="str">
        <f>IF('Statement of Marks'!F116="","",'Statement of Marks'!F116)</f>
        <v/>
      </c>
      <c r="F114" s="316" t="str">
        <f>IF('Statement of Marks'!G116="","",'Statement of Marks'!G116)</f>
        <v/>
      </c>
      <c r="G114" s="316" t="str">
        <f>IF('Statement of Marks'!H116="","",'Statement of Marks'!H116)</f>
        <v/>
      </c>
      <c r="H114" s="830" t="str">
        <f>IF('Statement of Marks'!HS116="","",'Statement of Marks'!HS116)</f>
        <v/>
      </c>
      <c r="I114" s="172" t="str">
        <f>IF('Statement of Marks'!HV116="","",'Statement of Marks'!HV116)</f>
        <v/>
      </c>
      <c r="J114" s="317" t="str">
        <f>IF('Statement of Marks'!HW116="","",'Statement of Marks'!HW116)</f>
        <v/>
      </c>
      <c r="K114" s="392" t="str">
        <f>'Statement of Marks'!GN116</f>
        <v/>
      </c>
      <c r="L114" s="392" t="str">
        <f>'Statement of Marks'!GQ116</f>
        <v/>
      </c>
      <c r="M114" s="181" t="str">
        <f>'Statement of Marks'!GU116</f>
        <v/>
      </c>
      <c r="N114" s="181" t="str">
        <f>'Statement of Marks'!GV116</f>
        <v/>
      </c>
      <c r="O114" s="181" t="str">
        <f>'Statement of Marks'!GW116</f>
        <v/>
      </c>
      <c r="P114" s="181" t="str">
        <f>'Statement of Marks'!GX116</f>
        <v/>
      </c>
      <c r="Q114" s="181" t="str">
        <f>'Statement of Marks'!GY116</f>
        <v/>
      </c>
      <c r="R114" s="392" t="str">
        <f>'Statement of Marks'!HB116</f>
        <v/>
      </c>
      <c r="S114" s="392" t="str">
        <f>'Statement of Marks'!HE116</f>
        <v/>
      </c>
      <c r="T114" s="392" t="str">
        <f>'Statement of Marks'!HH116</f>
        <v/>
      </c>
      <c r="U114" s="392" t="str">
        <f>'Statement of Marks'!HK116</f>
        <v/>
      </c>
      <c r="V114" s="318"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9">
        <f>IF('Statement of Marks'!A117="","",'Statement of Marks'!A117)</f>
        <v>111</v>
      </c>
      <c r="B115" s="169" t="str">
        <f>IF('Statement of Marks'!B117="","",'Statement of Marks'!B117)</f>
        <v/>
      </c>
      <c r="C115" s="169" t="str">
        <f>IF('Statement of Marks'!D117="","",'Statement of Marks'!D117)</f>
        <v/>
      </c>
      <c r="D115" s="315" t="str">
        <f>IF('Statement of Marks'!E117="","",'Statement of Marks'!E117)</f>
        <v/>
      </c>
      <c r="E115" s="316" t="str">
        <f>IF('Statement of Marks'!F117="","",'Statement of Marks'!F117)</f>
        <v/>
      </c>
      <c r="F115" s="316" t="str">
        <f>IF('Statement of Marks'!G117="","",'Statement of Marks'!G117)</f>
        <v/>
      </c>
      <c r="G115" s="316" t="str">
        <f>IF('Statement of Marks'!H117="","",'Statement of Marks'!H117)</f>
        <v/>
      </c>
      <c r="H115" s="830" t="str">
        <f>IF('Statement of Marks'!HS117="","",'Statement of Marks'!HS117)</f>
        <v/>
      </c>
      <c r="I115" s="172" t="str">
        <f>IF('Statement of Marks'!HV117="","",'Statement of Marks'!HV117)</f>
        <v/>
      </c>
      <c r="J115" s="317" t="str">
        <f>IF('Statement of Marks'!HW117="","",'Statement of Marks'!HW117)</f>
        <v/>
      </c>
      <c r="K115" s="392" t="str">
        <f>'Statement of Marks'!GN117</f>
        <v/>
      </c>
      <c r="L115" s="392" t="str">
        <f>'Statement of Marks'!GQ117</f>
        <v/>
      </c>
      <c r="M115" s="181" t="str">
        <f>'Statement of Marks'!GU117</f>
        <v/>
      </c>
      <c r="N115" s="181" t="str">
        <f>'Statement of Marks'!GV117</f>
        <v/>
      </c>
      <c r="O115" s="181" t="str">
        <f>'Statement of Marks'!GW117</f>
        <v/>
      </c>
      <c r="P115" s="181" t="str">
        <f>'Statement of Marks'!GX117</f>
        <v/>
      </c>
      <c r="Q115" s="181" t="str">
        <f>'Statement of Marks'!GY117</f>
        <v/>
      </c>
      <c r="R115" s="392" t="str">
        <f>'Statement of Marks'!HB117</f>
        <v/>
      </c>
      <c r="S115" s="392" t="str">
        <f>'Statement of Marks'!HE117</f>
        <v/>
      </c>
      <c r="T115" s="392" t="str">
        <f>'Statement of Marks'!HH117</f>
        <v/>
      </c>
      <c r="U115" s="392" t="str">
        <f>'Statement of Marks'!HK117</f>
        <v/>
      </c>
      <c r="V115" s="318"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9">
        <f>IF('Statement of Marks'!A118="","",'Statement of Marks'!A118)</f>
        <v>112</v>
      </c>
      <c r="B116" s="169" t="str">
        <f>IF('Statement of Marks'!B118="","",'Statement of Marks'!B118)</f>
        <v/>
      </c>
      <c r="C116" s="169" t="str">
        <f>IF('Statement of Marks'!D118="","",'Statement of Marks'!D118)</f>
        <v/>
      </c>
      <c r="D116" s="315" t="str">
        <f>IF('Statement of Marks'!E118="","",'Statement of Marks'!E118)</f>
        <v/>
      </c>
      <c r="E116" s="316" t="str">
        <f>IF('Statement of Marks'!F118="","",'Statement of Marks'!F118)</f>
        <v/>
      </c>
      <c r="F116" s="316" t="str">
        <f>IF('Statement of Marks'!G118="","",'Statement of Marks'!G118)</f>
        <v/>
      </c>
      <c r="G116" s="316" t="str">
        <f>IF('Statement of Marks'!H118="","",'Statement of Marks'!H118)</f>
        <v/>
      </c>
      <c r="H116" s="830" t="str">
        <f>IF('Statement of Marks'!HS118="","",'Statement of Marks'!HS118)</f>
        <v/>
      </c>
      <c r="I116" s="172" t="str">
        <f>IF('Statement of Marks'!HV118="","",'Statement of Marks'!HV118)</f>
        <v/>
      </c>
      <c r="J116" s="317" t="str">
        <f>IF('Statement of Marks'!HW118="","",'Statement of Marks'!HW118)</f>
        <v/>
      </c>
      <c r="K116" s="392" t="str">
        <f>'Statement of Marks'!GN118</f>
        <v/>
      </c>
      <c r="L116" s="392" t="str">
        <f>'Statement of Marks'!GQ118</f>
        <v/>
      </c>
      <c r="M116" s="181" t="str">
        <f>'Statement of Marks'!GU118</f>
        <v/>
      </c>
      <c r="N116" s="181" t="str">
        <f>'Statement of Marks'!GV118</f>
        <v/>
      </c>
      <c r="O116" s="181" t="str">
        <f>'Statement of Marks'!GW118</f>
        <v/>
      </c>
      <c r="P116" s="181" t="str">
        <f>'Statement of Marks'!GX118</f>
        <v/>
      </c>
      <c r="Q116" s="181" t="str">
        <f>'Statement of Marks'!GY118</f>
        <v/>
      </c>
      <c r="R116" s="392" t="str">
        <f>'Statement of Marks'!HB118</f>
        <v/>
      </c>
      <c r="S116" s="392" t="str">
        <f>'Statement of Marks'!HE118</f>
        <v/>
      </c>
      <c r="T116" s="392" t="str">
        <f>'Statement of Marks'!HH118</f>
        <v/>
      </c>
      <c r="U116" s="392" t="str">
        <f>'Statement of Marks'!HK118</f>
        <v/>
      </c>
      <c r="V116" s="318"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9">
        <f>IF('Statement of Marks'!A119="","",'Statement of Marks'!A119)</f>
        <v>113</v>
      </c>
      <c r="B117" s="169" t="str">
        <f>IF('Statement of Marks'!B119="","",'Statement of Marks'!B119)</f>
        <v/>
      </c>
      <c r="C117" s="169" t="str">
        <f>IF('Statement of Marks'!D119="","",'Statement of Marks'!D119)</f>
        <v/>
      </c>
      <c r="D117" s="315" t="str">
        <f>IF('Statement of Marks'!E119="","",'Statement of Marks'!E119)</f>
        <v/>
      </c>
      <c r="E117" s="316" t="str">
        <f>IF('Statement of Marks'!F119="","",'Statement of Marks'!F119)</f>
        <v/>
      </c>
      <c r="F117" s="316" t="str">
        <f>IF('Statement of Marks'!G119="","",'Statement of Marks'!G119)</f>
        <v/>
      </c>
      <c r="G117" s="316" t="str">
        <f>IF('Statement of Marks'!H119="","",'Statement of Marks'!H119)</f>
        <v/>
      </c>
      <c r="H117" s="830" t="str">
        <f>IF('Statement of Marks'!HS119="","",'Statement of Marks'!HS119)</f>
        <v/>
      </c>
      <c r="I117" s="172" t="str">
        <f>IF('Statement of Marks'!HV119="","",'Statement of Marks'!HV119)</f>
        <v/>
      </c>
      <c r="J117" s="317" t="str">
        <f>IF('Statement of Marks'!HW119="","",'Statement of Marks'!HW119)</f>
        <v/>
      </c>
      <c r="K117" s="392" t="str">
        <f>'Statement of Marks'!GN119</f>
        <v/>
      </c>
      <c r="L117" s="392" t="str">
        <f>'Statement of Marks'!GQ119</f>
        <v/>
      </c>
      <c r="M117" s="181" t="str">
        <f>'Statement of Marks'!GU119</f>
        <v/>
      </c>
      <c r="N117" s="181" t="str">
        <f>'Statement of Marks'!GV119</f>
        <v/>
      </c>
      <c r="O117" s="181" t="str">
        <f>'Statement of Marks'!GW119</f>
        <v/>
      </c>
      <c r="P117" s="181" t="str">
        <f>'Statement of Marks'!GX119</f>
        <v/>
      </c>
      <c r="Q117" s="181" t="str">
        <f>'Statement of Marks'!GY119</f>
        <v/>
      </c>
      <c r="R117" s="392" t="str">
        <f>'Statement of Marks'!HB119</f>
        <v/>
      </c>
      <c r="S117" s="392" t="str">
        <f>'Statement of Marks'!HE119</f>
        <v/>
      </c>
      <c r="T117" s="392" t="str">
        <f>'Statement of Marks'!HH119</f>
        <v/>
      </c>
      <c r="U117" s="392" t="str">
        <f>'Statement of Marks'!HK119</f>
        <v/>
      </c>
      <c r="V117" s="318"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9">
        <f>IF('Statement of Marks'!A120="","",'Statement of Marks'!A120)</f>
        <v>114</v>
      </c>
      <c r="B118" s="169" t="str">
        <f>IF('Statement of Marks'!B120="","",'Statement of Marks'!B120)</f>
        <v/>
      </c>
      <c r="C118" s="169" t="str">
        <f>IF('Statement of Marks'!D120="","",'Statement of Marks'!D120)</f>
        <v/>
      </c>
      <c r="D118" s="315" t="str">
        <f>IF('Statement of Marks'!E120="","",'Statement of Marks'!E120)</f>
        <v/>
      </c>
      <c r="E118" s="316" t="str">
        <f>IF('Statement of Marks'!F120="","",'Statement of Marks'!F120)</f>
        <v/>
      </c>
      <c r="F118" s="316" t="str">
        <f>IF('Statement of Marks'!G120="","",'Statement of Marks'!G120)</f>
        <v/>
      </c>
      <c r="G118" s="316" t="str">
        <f>IF('Statement of Marks'!H120="","",'Statement of Marks'!H120)</f>
        <v/>
      </c>
      <c r="H118" s="830" t="str">
        <f>IF('Statement of Marks'!HS120="","",'Statement of Marks'!HS120)</f>
        <v/>
      </c>
      <c r="I118" s="172" t="str">
        <f>IF('Statement of Marks'!HV120="","",'Statement of Marks'!HV120)</f>
        <v/>
      </c>
      <c r="J118" s="317" t="str">
        <f>IF('Statement of Marks'!HW120="","",'Statement of Marks'!HW120)</f>
        <v/>
      </c>
      <c r="K118" s="392" t="str">
        <f>'Statement of Marks'!GN120</f>
        <v/>
      </c>
      <c r="L118" s="392" t="str">
        <f>'Statement of Marks'!GQ120</f>
        <v/>
      </c>
      <c r="M118" s="181" t="str">
        <f>'Statement of Marks'!GU120</f>
        <v/>
      </c>
      <c r="N118" s="181" t="str">
        <f>'Statement of Marks'!GV120</f>
        <v/>
      </c>
      <c r="O118" s="181" t="str">
        <f>'Statement of Marks'!GW120</f>
        <v/>
      </c>
      <c r="P118" s="181" t="str">
        <f>'Statement of Marks'!GX120</f>
        <v/>
      </c>
      <c r="Q118" s="181" t="str">
        <f>'Statement of Marks'!GY120</f>
        <v/>
      </c>
      <c r="R118" s="392" t="str">
        <f>'Statement of Marks'!HB120</f>
        <v/>
      </c>
      <c r="S118" s="392" t="str">
        <f>'Statement of Marks'!HE120</f>
        <v/>
      </c>
      <c r="T118" s="392" t="str">
        <f>'Statement of Marks'!HH120</f>
        <v/>
      </c>
      <c r="U118" s="392" t="str">
        <f>'Statement of Marks'!HK120</f>
        <v/>
      </c>
      <c r="V118" s="318"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9">
        <f>IF('Statement of Marks'!A121="","",'Statement of Marks'!A121)</f>
        <v>115</v>
      </c>
      <c r="B119" s="169" t="str">
        <f>IF('Statement of Marks'!B121="","",'Statement of Marks'!B121)</f>
        <v/>
      </c>
      <c r="C119" s="169" t="str">
        <f>IF('Statement of Marks'!D121="","",'Statement of Marks'!D121)</f>
        <v/>
      </c>
      <c r="D119" s="315" t="str">
        <f>IF('Statement of Marks'!E121="","",'Statement of Marks'!E121)</f>
        <v/>
      </c>
      <c r="E119" s="316" t="str">
        <f>IF('Statement of Marks'!F121="","",'Statement of Marks'!F121)</f>
        <v/>
      </c>
      <c r="F119" s="316" t="str">
        <f>IF('Statement of Marks'!G121="","",'Statement of Marks'!G121)</f>
        <v/>
      </c>
      <c r="G119" s="316" t="str">
        <f>IF('Statement of Marks'!H121="","",'Statement of Marks'!H121)</f>
        <v/>
      </c>
      <c r="H119" s="830" t="str">
        <f>IF('Statement of Marks'!HS121="","",'Statement of Marks'!HS121)</f>
        <v/>
      </c>
      <c r="I119" s="172" t="str">
        <f>IF('Statement of Marks'!HV121="","",'Statement of Marks'!HV121)</f>
        <v/>
      </c>
      <c r="J119" s="317" t="str">
        <f>IF('Statement of Marks'!HW121="","",'Statement of Marks'!HW121)</f>
        <v/>
      </c>
      <c r="K119" s="392" t="str">
        <f>'Statement of Marks'!GN121</f>
        <v/>
      </c>
      <c r="L119" s="392" t="str">
        <f>'Statement of Marks'!GQ121</f>
        <v/>
      </c>
      <c r="M119" s="181" t="str">
        <f>'Statement of Marks'!GU121</f>
        <v/>
      </c>
      <c r="N119" s="181" t="str">
        <f>'Statement of Marks'!GV121</f>
        <v/>
      </c>
      <c r="O119" s="181" t="str">
        <f>'Statement of Marks'!GW121</f>
        <v/>
      </c>
      <c r="P119" s="181" t="str">
        <f>'Statement of Marks'!GX121</f>
        <v/>
      </c>
      <c r="Q119" s="181" t="str">
        <f>'Statement of Marks'!GY121</f>
        <v/>
      </c>
      <c r="R119" s="392" t="str">
        <f>'Statement of Marks'!HB121</f>
        <v/>
      </c>
      <c r="S119" s="392" t="str">
        <f>'Statement of Marks'!HE121</f>
        <v/>
      </c>
      <c r="T119" s="392" t="str">
        <f>'Statement of Marks'!HH121</f>
        <v/>
      </c>
      <c r="U119" s="392" t="str">
        <f>'Statement of Marks'!HK121</f>
        <v/>
      </c>
      <c r="V119" s="318"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9">
        <f>IF('Statement of Marks'!A122="","",'Statement of Marks'!A122)</f>
        <v>116</v>
      </c>
      <c r="B120" s="169" t="str">
        <f>IF('Statement of Marks'!B122="","",'Statement of Marks'!B122)</f>
        <v/>
      </c>
      <c r="C120" s="169" t="str">
        <f>IF('Statement of Marks'!D122="","",'Statement of Marks'!D122)</f>
        <v/>
      </c>
      <c r="D120" s="315" t="str">
        <f>IF('Statement of Marks'!E122="","",'Statement of Marks'!E122)</f>
        <v/>
      </c>
      <c r="E120" s="316" t="str">
        <f>IF('Statement of Marks'!F122="","",'Statement of Marks'!F122)</f>
        <v/>
      </c>
      <c r="F120" s="316" t="str">
        <f>IF('Statement of Marks'!G122="","",'Statement of Marks'!G122)</f>
        <v/>
      </c>
      <c r="G120" s="316" t="str">
        <f>IF('Statement of Marks'!H122="","",'Statement of Marks'!H122)</f>
        <v/>
      </c>
      <c r="H120" s="830" t="str">
        <f>IF('Statement of Marks'!HS122="","",'Statement of Marks'!HS122)</f>
        <v/>
      </c>
      <c r="I120" s="172" t="str">
        <f>IF('Statement of Marks'!HV122="","",'Statement of Marks'!HV122)</f>
        <v/>
      </c>
      <c r="J120" s="317" t="str">
        <f>IF('Statement of Marks'!HW122="","",'Statement of Marks'!HW122)</f>
        <v/>
      </c>
      <c r="K120" s="392" t="str">
        <f>'Statement of Marks'!GN122</f>
        <v/>
      </c>
      <c r="L120" s="392" t="str">
        <f>'Statement of Marks'!GQ122</f>
        <v/>
      </c>
      <c r="M120" s="181" t="str">
        <f>'Statement of Marks'!GU122</f>
        <v/>
      </c>
      <c r="N120" s="181" t="str">
        <f>'Statement of Marks'!GV122</f>
        <v/>
      </c>
      <c r="O120" s="181" t="str">
        <f>'Statement of Marks'!GW122</f>
        <v/>
      </c>
      <c r="P120" s="181" t="str">
        <f>'Statement of Marks'!GX122</f>
        <v/>
      </c>
      <c r="Q120" s="181" t="str">
        <f>'Statement of Marks'!GY122</f>
        <v/>
      </c>
      <c r="R120" s="392" t="str">
        <f>'Statement of Marks'!HB122</f>
        <v/>
      </c>
      <c r="S120" s="392" t="str">
        <f>'Statement of Marks'!HE122</f>
        <v/>
      </c>
      <c r="T120" s="392" t="str">
        <f>'Statement of Marks'!HH122</f>
        <v/>
      </c>
      <c r="U120" s="392" t="str">
        <f>'Statement of Marks'!HK122</f>
        <v/>
      </c>
      <c r="V120" s="318"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9">
        <f>IF('Statement of Marks'!A123="","",'Statement of Marks'!A123)</f>
        <v>117</v>
      </c>
      <c r="B121" s="169" t="str">
        <f>IF('Statement of Marks'!B123="","",'Statement of Marks'!B123)</f>
        <v/>
      </c>
      <c r="C121" s="169" t="str">
        <f>IF('Statement of Marks'!D123="","",'Statement of Marks'!D123)</f>
        <v/>
      </c>
      <c r="D121" s="315" t="str">
        <f>IF('Statement of Marks'!E123="","",'Statement of Marks'!E123)</f>
        <v/>
      </c>
      <c r="E121" s="316" t="str">
        <f>IF('Statement of Marks'!F123="","",'Statement of Marks'!F123)</f>
        <v/>
      </c>
      <c r="F121" s="316" t="str">
        <f>IF('Statement of Marks'!G123="","",'Statement of Marks'!G123)</f>
        <v/>
      </c>
      <c r="G121" s="316" t="str">
        <f>IF('Statement of Marks'!H123="","",'Statement of Marks'!H123)</f>
        <v/>
      </c>
      <c r="H121" s="830" t="str">
        <f>IF('Statement of Marks'!HS123="","",'Statement of Marks'!HS123)</f>
        <v/>
      </c>
      <c r="I121" s="172" t="str">
        <f>IF('Statement of Marks'!HV123="","",'Statement of Marks'!HV123)</f>
        <v/>
      </c>
      <c r="J121" s="317" t="str">
        <f>IF('Statement of Marks'!HW123="","",'Statement of Marks'!HW123)</f>
        <v/>
      </c>
      <c r="K121" s="392" t="str">
        <f>'Statement of Marks'!GN123</f>
        <v/>
      </c>
      <c r="L121" s="392" t="str">
        <f>'Statement of Marks'!GQ123</f>
        <v/>
      </c>
      <c r="M121" s="181" t="str">
        <f>'Statement of Marks'!GU123</f>
        <v/>
      </c>
      <c r="N121" s="181" t="str">
        <f>'Statement of Marks'!GV123</f>
        <v/>
      </c>
      <c r="O121" s="181" t="str">
        <f>'Statement of Marks'!GW123</f>
        <v/>
      </c>
      <c r="P121" s="181" t="str">
        <f>'Statement of Marks'!GX123</f>
        <v/>
      </c>
      <c r="Q121" s="181" t="str">
        <f>'Statement of Marks'!GY123</f>
        <v/>
      </c>
      <c r="R121" s="392" t="str">
        <f>'Statement of Marks'!HB123</f>
        <v/>
      </c>
      <c r="S121" s="392" t="str">
        <f>'Statement of Marks'!HE123</f>
        <v/>
      </c>
      <c r="T121" s="392" t="str">
        <f>'Statement of Marks'!HH123</f>
        <v/>
      </c>
      <c r="U121" s="392" t="str">
        <f>'Statement of Marks'!HK123</f>
        <v/>
      </c>
      <c r="V121" s="318"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9">
        <f>IF('Statement of Marks'!A124="","",'Statement of Marks'!A124)</f>
        <v>118</v>
      </c>
      <c r="B122" s="169" t="str">
        <f>IF('Statement of Marks'!B124="","",'Statement of Marks'!B124)</f>
        <v/>
      </c>
      <c r="C122" s="169" t="str">
        <f>IF('Statement of Marks'!D124="","",'Statement of Marks'!D124)</f>
        <v/>
      </c>
      <c r="D122" s="315" t="str">
        <f>IF('Statement of Marks'!E124="","",'Statement of Marks'!E124)</f>
        <v/>
      </c>
      <c r="E122" s="316" t="str">
        <f>IF('Statement of Marks'!F124="","",'Statement of Marks'!F124)</f>
        <v/>
      </c>
      <c r="F122" s="316" t="str">
        <f>IF('Statement of Marks'!G124="","",'Statement of Marks'!G124)</f>
        <v/>
      </c>
      <c r="G122" s="316" t="str">
        <f>IF('Statement of Marks'!H124="","",'Statement of Marks'!H124)</f>
        <v/>
      </c>
      <c r="H122" s="830" t="str">
        <f>IF('Statement of Marks'!HS124="","",'Statement of Marks'!HS124)</f>
        <v/>
      </c>
      <c r="I122" s="172" t="str">
        <f>IF('Statement of Marks'!HV124="","",'Statement of Marks'!HV124)</f>
        <v/>
      </c>
      <c r="J122" s="317" t="str">
        <f>IF('Statement of Marks'!HW124="","",'Statement of Marks'!HW124)</f>
        <v/>
      </c>
      <c r="K122" s="392" t="str">
        <f>'Statement of Marks'!GN124</f>
        <v/>
      </c>
      <c r="L122" s="392" t="str">
        <f>'Statement of Marks'!GQ124</f>
        <v/>
      </c>
      <c r="M122" s="181" t="str">
        <f>'Statement of Marks'!GU124</f>
        <v/>
      </c>
      <c r="N122" s="181" t="str">
        <f>'Statement of Marks'!GV124</f>
        <v/>
      </c>
      <c r="O122" s="181" t="str">
        <f>'Statement of Marks'!GW124</f>
        <v/>
      </c>
      <c r="P122" s="181" t="str">
        <f>'Statement of Marks'!GX124</f>
        <v/>
      </c>
      <c r="Q122" s="181" t="str">
        <f>'Statement of Marks'!GY124</f>
        <v/>
      </c>
      <c r="R122" s="392" t="str">
        <f>'Statement of Marks'!HB124</f>
        <v/>
      </c>
      <c r="S122" s="392" t="str">
        <f>'Statement of Marks'!HE124</f>
        <v/>
      </c>
      <c r="T122" s="392" t="str">
        <f>'Statement of Marks'!HH124</f>
        <v/>
      </c>
      <c r="U122" s="392" t="str">
        <f>'Statement of Marks'!HK124</f>
        <v/>
      </c>
      <c r="V122" s="318"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9">
        <f>IF('Statement of Marks'!A125="","",'Statement of Marks'!A125)</f>
        <v>119</v>
      </c>
      <c r="B123" s="169" t="str">
        <f>IF('Statement of Marks'!B125="","",'Statement of Marks'!B125)</f>
        <v/>
      </c>
      <c r="C123" s="169" t="str">
        <f>IF('Statement of Marks'!D125="","",'Statement of Marks'!D125)</f>
        <v/>
      </c>
      <c r="D123" s="315" t="str">
        <f>IF('Statement of Marks'!E125="","",'Statement of Marks'!E125)</f>
        <v/>
      </c>
      <c r="E123" s="316" t="str">
        <f>IF('Statement of Marks'!F125="","",'Statement of Marks'!F125)</f>
        <v/>
      </c>
      <c r="F123" s="316" t="str">
        <f>IF('Statement of Marks'!G125="","",'Statement of Marks'!G125)</f>
        <v/>
      </c>
      <c r="G123" s="316" t="str">
        <f>IF('Statement of Marks'!H125="","",'Statement of Marks'!H125)</f>
        <v/>
      </c>
      <c r="H123" s="830" t="str">
        <f>IF('Statement of Marks'!HS125="","",'Statement of Marks'!HS125)</f>
        <v/>
      </c>
      <c r="I123" s="172" t="str">
        <f>IF('Statement of Marks'!HV125="","",'Statement of Marks'!HV125)</f>
        <v/>
      </c>
      <c r="J123" s="317" t="str">
        <f>IF('Statement of Marks'!HW125="","",'Statement of Marks'!HW125)</f>
        <v/>
      </c>
      <c r="K123" s="392" t="str">
        <f>'Statement of Marks'!GN125</f>
        <v/>
      </c>
      <c r="L123" s="392" t="str">
        <f>'Statement of Marks'!GQ125</f>
        <v/>
      </c>
      <c r="M123" s="181" t="str">
        <f>'Statement of Marks'!GU125</f>
        <v/>
      </c>
      <c r="N123" s="181" t="str">
        <f>'Statement of Marks'!GV125</f>
        <v/>
      </c>
      <c r="O123" s="181" t="str">
        <f>'Statement of Marks'!GW125</f>
        <v/>
      </c>
      <c r="P123" s="181" t="str">
        <f>'Statement of Marks'!GX125</f>
        <v/>
      </c>
      <c r="Q123" s="181" t="str">
        <f>'Statement of Marks'!GY125</f>
        <v/>
      </c>
      <c r="R123" s="392" t="str">
        <f>'Statement of Marks'!HB125</f>
        <v/>
      </c>
      <c r="S123" s="392" t="str">
        <f>'Statement of Marks'!HE125</f>
        <v/>
      </c>
      <c r="T123" s="392" t="str">
        <f>'Statement of Marks'!HH125</f>
        <v/>
      </c>
      <c r="U123" s="392" t="str">
        <f>'Statement of Marks'!HK125</f>
        <v/>
      </c>
      <c r="V123" s="318"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9">
        <f>IF('Statement of Marks'!A126="","",'Statement of Marks'!A126)</f>
        <v>120</v>
      </c>
      <c r="B124" s="169" t="str">
        <f>IF('Statement of Marks'!B126="","",'Statement of Marks'!B126)</f>
        <v/>
      </c>
      <c r="C124" s="169" t="str">
        <f>IF('Statement of Marks'!D126="","",'Statement of Marks'!D126)</f>
        <v/>
      </c>
      <c r="D124" s="315" t="str">
        <f>IF('Statement of Marks'!E126="","",'Statement of Marks'!E126)</f>
        <v/>
      </c>
      <c r="E124" s="316" t="str">
        <f>IF('Statement of Marks'!F126="","",'Statement of Marks'!F126)</f>
        <v/>
      </c>
      <c r="F124" s="316" t="str">
        <f>IF('Statement of Marks'!G126="","",'Statement of Marks'!G126)</f>
        <v/>
      </c>
      <c r="G124" s="316" t="str">
        <f>IF('Statement of Marks'!H126="","",'Statement of Marks'!H126)</f>
        <v/>
      </c>
      <c r="H124" s="830" t="str">
        <f>IF('Statement of Marks'!HS126="","",'Statement of Marks'!HS126)</f>
        <v/>
      </c>
      <c r="I124" s="172" t="str">
        <f>IF('Statement of Marks'!HV126="","",'Statement of Marks'!HV126)</f>
        <v/>
      </c>
      <c r="J124" s="317" t="str">
        <f>IF('Statement of Marks'!HW126="","",'Statement of Marks'!HW126)</f>
        <v/>
      </c>
      <c r="K124" s="392" t="str">
        <f>'Statement of Marks'!GN126</f>
        <v/>
      </c>
      <c r="L124" s="392" t="str">
        <f>'Statement of Marks'!GQ126</f>
        <v/>
      </c>
      <c r="M124" s="181" t="str">
        <f>'Statement of Marks'!GU126</f>
        <v/>
      </c>
      <c r="N124" s="181" t="str">
        <f>'Statement of Marks'!GV126</f>
        <v/>
      </c>
      <c r="O124" s="181" t="str">
        <f>'Statement of Marks'!GW126</f>
        <v/>
      </c>
      <c r="P124" s="181" t="str">
        <f>'Statement of Marks'!GX126</f>
        <v/>
      </c>
      <c r="Q124" s="181" t="str">
        <f>'Statement of Marks'!GY126</f>
        <v/>
      </c>
      <c r="R124" s="392" t="str">
        <f>'Statement of Marks'!HB126</f>
        <v/>
      </c>
      <c r="S124" s="392" t="str">
        <f>'Statement of Marks'!HE126</f>
        <v/>
      </c>
      <c r="T124" s="392" t="str">
        <f>'Statement of Marks'!HH126</f>
        <v/>
      </c>
      <c r="U124" s="392" t="str">
        <f>'Statement of Marks'!HK126</f>
        <v/>
      </c>
      <c r="V124" s="318"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9">
        <f>IF('Statement of Marks'!A127="","",'Statement of Marks'!A127)</f>
        <v>121</v>
      </c>
      <c r="B125" s="169" t="str">
        <f>IF('Statement of Marks'!B127="","",'Statement of Marks'!B127)</f>
        <v/>
      </c>
      <c r="C125" s="169" t="str">
        <f>IF('Statement of Marks'!D127="","",'Statement of Marks'!D127)</f>
        <v/>
      </c>
      <c r="D125" s="315" t="str">
        <f>IF('Statement of Marks'!E127="","",'Statement of Marks'!E127)</f>
        <v/>
      </c>
      <c r="E125" s="316" t="str">
        <f>IF('Statement of Marks'!F127="","",'Statement of Marks'!F127)</f>
        <v/>
      </c>
      <c r="F125" s="316" t="str">
        <f>IF('Statement of Marks'!G127="","",'Statement of Marks'!G127)</f>
        <v/>
      </c>
      <c r="G125" s="316" t="str">
        <f>IF('Statement of Marks'!H127="","",'Statement of Marks'!H127)</f>
        <v/>
      </c>
      <c r="H125" s="830" t="str">
        <f>IF('Statement of Marks'!HS127="","",'Statement of Marks'!HS127)</f>
        <v/>
      </c>
      <c r="I125" s="172" t="str">
        <f>IF('Statement of Marks'!HV127="","",'Statement of Marks'!HV127)</f>
        <v/>
      </c>
      <c r="J125" s="317" t="str">
        <f>IF('Statement of Marks'!HW127="","",'Statement of Marks'!HW127)</f>
        <v/>
      </c>
      <c r="K125" s="392" t="str">
        <f>'Statement of Marks'!GN127</f>
        <v/>
      </c>
      <c r="L125" s="392" t="str">
        <f>'Statement of Marks'!GQ127</f>
        <v/>
      </c>
      <c r="M125" s="181" t="str">
        <f>'Statement of Marks'!GU127</f>
        <v/>
      </c>
      <c r="N125" s="181" t="str">
        <f>'Statement of Marks'!GV127</f>
        <v/>
      </c>
      <c r="O125" s="181" t="str">
        <f>'Statement of Marks'!GW127</f>
        <v/>
      </c>
      <c r="P125" s="181" t="str">
        <f>'Statement of Marks'!GX127</f>
        <v/>
      </c>
      <c r="Q125" s="181" t="str">
        <f>'Statement of Marks'!GY127</f>
        <v/>
      </c>
      <c r="R125" s="392" t="str">
        <f>'Statement of Marks'!HB127</f>
        <v/>
      </c>
      <c r="S125" s="392" t="str">
        <f>'Statement of Marks'!HE127</f>
        <v/>
      </c>
      <c r="T125" s="392" t="str">
        <f>'Statement of Marks'!HH127</f>
        <v/>
      </c>
      <c r="U125" s="392" t="str">
        <f>'Statement of Marks'!HK127</f>
        <v/>
      </c>
      <c r="V125" s="318"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9">
        <f>IF('Statement of Marks'!A128="","",'Statement of Marks'!A128)</f>
        <v>122</v>
      </c>
      <c r="B126" s="169" t="str">
        <f>IF('Statement of Marks'!B128="","",'Statement of Marks'!B128)</f>
        <v/>
      </c>
      <c r="C126" s="169" t="str">
        <f>IF('Statement of Marks'!D128="","",'Statement of Marks'!D128)</f>
        <v/>
      </c>
      <c r="D126" s="315" t="str">
        <f>IF('Statement of Marks'!E128="","",'Statement of Marks'!E128)</f>
        <v/>
      </c>
      <c r="E126" s="316" t="str">
        <f>IF('Statement of Marks'!F128="","",'Statement of Marks'!F128)</f>
        <v/>
      </c>
      <c r="F126" s="316" t="str">
        <f>IF('Statement of Marks'!G128="","",'Statement of Marks'!G128)</f>
        <v/>
      </c>
      <c r="G126" s="316" t="str">
        <f>IF('Statement of Marks'!H128="","",'Statement of Marks'!H128)</f>
        <v/>
      </c>
      <c r="H126" s="830" t="str">
        <f>IF('Statement of Marks'!HS128="","",'Statement of Marks'!HS128)</f>
        <v/>
      </c>
      <c r="I126" s="172" t="str">
        <f>IF('Statement of Marks'!HV128="","",'Statement of Marks'!HV128)</f>
        <v/>
      </c>
      <c r="J126" s="317" t="str">
        <f>IF('Statement of Marks'!HW128="","",'Statement of Marks'!HW128)</f>
        <v/>
      </c>
      <c r="K126" s="392" t="str">
        <f>'Statement of Marks'!GN128</f>
        <v/>
      </c>
      <c r="L126" s="392" t="str">
        <f>'Statement of Marks'!GQ128</f>
        <v/>
      </c>
      <c r="M126" s="181" t="str">
        <f>'Statement of Marks'!GU128</f>
        <v/>
      </c>
      <c r="N126" s="181" t="str">
        <f>'Statement of Marks'!GV128</f>
        <v/>
      </c>
      <c r="O126" s="181" t="str">
        <f>'Statement of Marks'!GW128</f>
        <v/>
      </c>
      <c r="P126" s="181" t="str">
        <f>'Statement of Marks'!GX128</f>
        <v/>
      </c>
      <c r="Q126" s="181" t="str">
        <f>'Statement of Marks'!GY128</f>
        <v/>
      </c>
      <c r="R126" s="392" t="str">
        <f>'Statement of Marks'!HB128</f>
        <v/>
      </c>
      <c r="S126" s="392" t="str">
        <f>'Statement of Marks'!HE128</f>
        <v/>
      </c>
      <c r="T126" s="392" t="str">
        <f>'Statement of Marks'!HH128</f>
        <v/>
      </c>
      <c r="U126" s="392" t="str">
        <f>'Statement of Marks'!HK128</f>
        <v/>
      </c>
      <c r="V126" s="318"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9">
        <f>IF('Statement of Marks'!A129="","",'Statement of Marks'!A129)</f>
        <v>123</v>
      </c>
      <c r="B127" s="169" t="str">
        <f>IF('Statement of Marks'!B129="","",'Statement of Marks'!B129)</f>
        <v/>
      </c>
      <c r="C127" s="169" t="str">
        <f>IF('Statement of Marks'!D129="","",'Statement of Marks'!D129)</f>
        <v/>
      </c>
      <c r="D127" s="315" t="str">
        <f>IF('Statement of Marks'!E129="","",'Statement of Marks'!E129)</f>
        <v/>
      </c>
      <c r="E127" s="316" t="str">
        <f>IF('Statement of Marks'!F129="","",'Statement of Marks'!F129)</f>
        <v/>
      </c>
      <c r="F127" s="316" t="str">
        <f>IF('Statement of Marks'!G129="","",'Statement of Marks'!G129)</f>
        <v/>
      </c>
      <c r="G127" s="316" t="str">
        <f>IF('Statement of Marks'!H129="","",'Statement of Marks'!H129)</f>
        <v/>
      </c>
      <c r="H127" s="830" t="str">
        <f>IF('Statement of Marks'!HS129="","",'Statement of Marks'!HS129)</f>
        <v/>
      </c>
      <c r="I127" s="172" t="str">
        <f>IF('Statement of Marks'!HV129="","",'Statement of Marks'!HV129)</f>
        <v/>
      </c>
      <c r="J127" s="317" t="str">
        <f>IF('Statement of Marks'!HW129="","",'Statement of Marks'!HW129)</f>
        <v/>
      </c>
      <c r="K127" s="392" t="str">
        <f>'Statement of Marks'!GN129</f>
        <v/>
      </c>
      <c r="L127" s="392" t="str">
        <f>'Statement of Marks'!GQ129</f>
        <v/>
      </c>
      <c r="M127" s="181" t="str">
        <f>'Statement of Marks'!GU129</f>
        <v/>
      </c>
      <c r="N127" s="181" t="str">
        <f>'Statement of Marks'!GV129</f>
        <v/>
      </c>
      <c r="O127" s="181" t="str">
        <f>'Statement of Marks'!GW129</f>
        <v/>
      </c>
      <c r="P127" s="181" t="str">
        <f>'Statement of Marks'!GX129</f>
        <v/>
      </c>
      <c r="Q127" s="181" t="str">
        <f>'Statement of Marks'!GY129</f>
        <v/>
      </c>
      <c r="R127" s="392" t="str">
        <f>'Statement of Marks'!HB129</f>
        <v/>
      </c>
      <c r="S127" s="392" t="str">
        <f>'Statement of Marks'!HE129</f>
        <v/>
      </c>
      <c r="T127" s="392" t="str">
        <f>'Statement of Marks'!HH129</f>
        <v/>
      </c>
      <c r="U127" s="392" t="str">
        <f>'Statement of Marks'!HK129</f>
        <v/>
      </c>
      <c r="V127" s="318"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9">
        <f>IF('Statement of Marks'!A130="","",'Statement of Marks'!A130)</f>
        <v>124</v>
      </c>
      <c r="B128" s="169" t="str">
        <f>IF('Statement of Marks'!B130="","",'Statement of Marks'!B130)</f>
        <v/>
      </c>
      <c r="C128" s="169" t="str">
        <f>IF('Statement of Marks'!D130="","",'Statement of Marks'!D130)</f>
        <v/>
      </c>
      <c r="D128" s="315" t="str">
        <f>IF('Statement of Marks'!E130="","",'Statement of Marks'!E130)</f>
        <v/>
      </c>
      <c r="E128" s="316" t="str">
        <f>IF('Statement of Marks'!F130="","",'Statement of Marks'!F130)</f>
        <v/>
      </c>
      <c r="F128" s="316" t="str">
        <f>IF('Statement of Marks'!G130="","",'Statement of Marks'!G130)</f>
        <v/>
      </c>
      <c r="G128" s="316" t="str">
        <f>IF('Statement of Marks'!H130="","",'Statement of Marks'!H130)</f>
        <v/>
      </c>
      <c r="H128" s="830" t="str">
        <f>IF('Statement of Marks'!HS130="","",'Statement of Marks'!HS130)</f>
        <v/>
      </c>
      <c r="I128" s="172" t="str">
        <f>IF('Statement of Marks'!HV130="","",'Statement of Marks'!HV130)</f>
        <v/>
      </c>
      <c r="J128" s="317" t="str">
        <f>IF('Statement of Marks'!HW130="","",'Statement of Marks'!HW130)</f>
        <v/>
      </c>
      <c r="K128" s="392" t="str">
        <f>'Statement of Marks'!GN130</f>
        <v/>
      </c>
      <c r="L128" s="392" t="str">
        <f>'Statement of Marks'!GQ130</f>
        <v/>
      </c>
      <c r="M128" s="181" t="str">
        <f>'Statement of Marks'!GU130</f>
        <v/>
      </c>
      <c r="N128" s="181" t="str">
        <f>'Statement of Marks'!GV130</f>
        <v/>
      </c>
      <c r="O128" s="181" t="str">
        <f>'Statement of Marks'!GW130</f>
        <v/>
      </c>
      <c r="P128" s="181" t="str">
        <f>'Statement of Marks'!GX130</f>
        <v/>
      </c>
      <c r="Q128" s="181" t="str">
        <f>'Statement of Marks'!GY130</f>
        <v/>
      </c>
      <c r="R128" s="392" t="str">
        <f>'Statement of Marks'!HB130</f>
        <v/>
      </c>
      <c r="S128" s="392" t="str">
        <f>'Statement of Marks'!HE130</f>
        <v/>
      </c>
      <c r="T128" s="392" t="str">
        <f>'Statement of Marks'!HH130</f>
        <v/>
      </c>
      <c r="U128" s="392" t="str">
        <f>'Statement of Marks'!HK130</f>
        <v/>
      </c>
      <c r="V128" s="318"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9">
        <f>IF('Statement of Marks'!A131="","",'Statement of Marks'!A131)</f>
        <v>125</v>
      </c>
      <c r="B129" s="169" t="str">
        <f>IF('Statement of Marks'!B131="","",'Statement of Marks'!B131)</f>
        <v/>
      </c>
      <c r="C129" s="169" t="str">
        <f>IF('Statement of Marks'!D131="","",'Statement of Marks'!D131)</f>
        <v/>
      </c>
      <c r="D129" s="315" t="str">
        <f>IF('Statement of Marks'!E131="","",'Statement of Marks'!E131)</f>
        <v/>
      </c>
      <c r="E129" s="316" t="str">
        <f>IF('Statement of Marks'!F131="","",'Statement of Marks'!F131)</f>
        <v/>
      </c>
      <c r="F129" s="316" t="str">
        <f>IF('Statement of Marks'!G131="","",'Statement of Marks'!G131)</f>
        <v/>
      </c>
      <c r="G129" s="316" t="str">
        <f>IF('Statement of Marks'!H131="","",'Statement of Marks'!H131)</f>
        <v/>
      </c>
      <c r="H129" s="830" t="str">
        <f>IF('Statement of Marks'!HS131="","",'Statement of Marks'!HS131)</f>
        <v/>
      </c>
      <c r="I129" s="172" t="str">
        <f>IF('Statement of Marks'!HV131="","",'Statement of Marks'!HV131)</f>
        <v/>
      </c>
      <c r="J129" s="317" t="str">
        <f>IF('Statement of Marks'!HW131="","",'Statement of Marks'!HW131)</f>
        <v/>
      </c>
      <c r="K129" s="392" t="str">
        <f>'Statement of Marks'!GN131</f>
        <v/>
      </c>
      <c r="L129" s="392" t="str">
        <f>'Statement of Marks'!GQ131</f>
        <v/>
      </c>
      <c r="M129" s="181" t="str">
        <f>'Statement of Marks'!GU131</f>
        <v/>
      </c>
      <c r="N129" s="181" t="str">
        <f>'Statement of Marks'!GV131</f>
        <v/>
      </c>
      <c r="O129" s="181" t="str">
        <f>'Statement of Marks'!GW131</f>
        <v/>
      </c>
      <c r="P129" s="181" t="str">
        <f>'Statement of Marks'!GX131</f>
        <v/>
      </c>
      <c r="Q129" s="181" t="str">
        <f>'Statement of Marks'!GY131</f>
        <v/>
      </c>
      <c r="R129" s="392" t="str">
        <f>'Statement of Marks'!HB131</f>
        <v/>
      </c>
      <c r="S129" s="392" t="str">
        <f>'Statement of Marks'!HE131</f>
        <v/>
      </c>
      <c r="T129" s="392" t="str">
        <f>'Statement of Marks'!HH131</f>
        <v/>
      </c>
      <c r="U129" s="392" t="str">
        <f>'Statement of Marks'!HK131</f>
        <v/>
      </c>
      <c r="V129" s="318"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9">
        <f>IF('Statement of Marks'!A132="","",'Statement of Marks'!A132)</f>
        <v>126</v>
      </c>
      <c r="B130" s="169" t="str">
        <f>IF('Statement of Marks'!B132="","",'Statement of Marks'!B132)</f>
        <v/>
      </c>
      <c r="C130" s="169" t="str">
        <f>IF('Statement of Marks'!D132="","",'Statement of Marks'!D132)</f>
        <v/>
      </c>
      <c r="D130" s="315" t="str">
        <f>IF('Statement of Marks'!E132="","",'Statement of Marks'!E132)</f>
        <v/>
      </c>
      <c r="E130" s="316" t="str">
        <f>IF('Statement of Marks'!F132="","",'Statement of Marks'!F132)</f>
        <v/>
      </c>
      <c r="F130" s="316" t="str">
        <f>IF('Statement of Marks'!G132="","",'Statement of Marks'!G132)</f>
        <v/>
      </c>
      <c r="G130" s="316" t="str">
        <f>IF('Statement of Marks'!H132="","",'Statement of Marks'!H132)</f>
        <v/>
      </c>
      <c r="H130" s="830" t="str">
        <f>IF('Statement of Marks'!HS132="","",'Statement of Marks'!HS132)</f>
        <v/>
      </c>
      <c r="I130" s="172" t="str">
        <f>IF('Statement of Marks'!HV132="","",'Statement of Marks'!HV132)</f>
        <v/>
      </c>
      <c r="J130" s="317" t="str">
        <f>IF('Statement of Marks'!HW132="","",'Statement of Marks'!HW132)</f>
        <v/>
      </c>
      <c r="K130" s="392" t="str">
        <f>'Statement of Marks'!GN132</f>
        <v/>
      </c>
      <c r="L130" s="392" t="str">
        <f>'Statement of Marks'!GQ132</f>
        <v/>
      </c>
      <c r="M130" s="181" t="str">
        <f>'Statement of Marks'!GU132</f>
        <v/>
      </c>
      <c r="N130" s="181" t="str">
        <f>'Statement of Marks'!GV132</f>
        <v/>
      </c>
      <c r="O130" s="181" t="str">
        <f>'Statement of Marks'!GW132</f>
        <v/>
      </c>
      <c r="P130" s="181" t="str">
        <f>'Statement of Marks'!GX132</f>
        <v/>
      </c>
      <c r="Q130" s="181" t="str">
        <f>'Statement of Marks'!GY132</f>
        <v/>
      </c>
      <c r="R130" s="392" t="str">
        <f>'Statement of Marks'!HB132</f>
        <v/>
      </c>
      <c r="S130" s="392" t="str">
        <f>'Statement of Marks'!HE132</f>
        <v/>
      </c>
      <c r="T130" s="392" t="str">
        <f>'Statement of Marks'!HH132</f>
        <v/>
      </c>
      <c r="U130" s="392" t="str">
        <f>'Statement of Marks'!HK132</f>
        <v/>
      </c>
      <c r="V130" s="318"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9">
        <f>IF('Statement of Marks'!A133="","",'Statement of Marks'!A133)</f>
        <v>127</v>
      </c>
      <c r="B131" s="169" t="str">
        <f>IF('Statement of Marks'!B133="","",'Statement of Marks'!B133)</f>
        <v/>
      </c>
      <c r="C131" s="169" t="str">
        <f>IF('Statement of Marks'!D133="","",'Statement of Marks'!D133)</f>
        <v/>
      </c>
      <c r="D131" s="315" t="str">
        <f>IF('Statement of Marks'!E133="","",'Statement of Marks'!E133)</f>
        <v/>
      </c>
      <c r="E131" s="316" t="str">
        <f>IF('Statement of Marks'!F133="","",'Statement of Marks'!F133)</f>
        <v/>
      </c>
      <c r="F131" s="316" t="str">
        <f>IF('Statement of Marks'!G133="","",'Statement of Marks'!G133)</f>
        <v/>
      </c>
      <c r="G131" s="316" t="str">
        <f>IF('Statement of Marks'!H133="","",'Statement of Marks'!H133)</f>
        <v/>
      </c>
      <c r="H131" s="830" t="str">
        <f>IF('Statement of Marks'!HS133="","",'Statement of Marks'!HS133)</f>
        <v/>
      </c>
      <c r="I131" s="172" t="str">
        <f>IF('Statement of Marks'!HV133="","",'Statement of Marks'!HV133)</f>
        <v/>
      </c>
      <c r="J131" s="317" t="str">
        <f>IF('Statement of Marks'!HW133="","",'Statement of Marks'!HW133)</f>
        <v/>
      </c>
      <c r="K131" s="392" t="str">
        <f>'Statement of Marks'!GN133</f>
        <v/>
      </c>
      <c r="L131" s="392" t="str">
        <f>'Statement of Marks'!GQ133</f>
        <v/>
      </c>
      <c r="M131" s="181" t="str">
        <f>'Statement of Marks'!GU133</f>
        <v/>
      </c>
      <c r="N131" s="181" t="str">
        <f>'Statement of Marks'!GV133</f>
        <v/>
      </c>
      <c r="O131" s="181" t="str">
        <f>'Statement of Marks'!GW133</f>
        <v/>
      </c>
      <c r="P131" s="181" t="str">
        <f>'Statement of Marks'!GX133</f>
        <v/>
      </c>
      <c r="Q131" s="181" t="str">
        <f>'Statement of Marks'!GY133</f>
        <v/>
      </c>
      <c r="R131" s="392" t="str">
        <f>'Statement of Marks'!HB133</f>
        <v/>
      </c>
      <c r="S131" s="392" t="str">
        <f>'Statement of Marks'!HE133</f>
        <v/>
      </c>
      <c r="T131" s="392" t="str">
        <f>'Statement of Marks'!HH133</f>
        <v/>
      </c>
      <c r="U131" s="392" t="str">
        <f>'Statement of Marks'!HK133</f>
        <v/>
      </c>
      <c r="V131" s="318"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9">
        <f>IF('Statement of Marks'!A134="","",'Statement of Marks'!A134)</f>
        <v>128</v>
      </c>
      <c r="B132" s="169" t="str">
        <f>IF('Statement of Marks'!B134="","",'Statement of Marks'!B134)</f>
        <v/>
      </c>
      <c r="C132" s="169" t="str">
        <f>IF('Statement of Marks'!D134="","",'Statement of Marks'!D134)</f>
        <v/>
      </c>
      <c r="D132" s="315" t="str">
        <f>IF('Statement of Marks'!E134="","",'Statement of Marks'!E134)</f>
        <v/>
      </c>
      <c r="E132" s="316" t="str">
        <f>IF('Statement of Marks'!F134="","",'Statement of Marks'!F134)</f>
        <v/>
      </c>
      <c r="F132" s="316" t="str">
        <f>IF('Statement of Marks'!G134="","",'Statement of Marks'!G134)</f>
        <v/>
      </c>
      <c r="G132" s="316" t="str">
        <f>IF('Statement of Marks'!H134="","",'Statement of Marks'!H134)</f>
        <v/>
      </c>
      <c r="H132" s="830" t="str">
        <f>IF('Statement of Marks'!HS134="","",'Statement of Marks'!HS134)</f>
        <v/>
      </c>
      <c r="I132" s="172" t="str">
        <f>IF('Statement of Marks'!HV134="","",'Statement of Marks'!HV134)</f>
        <v/>
      </c>
      <c r="J132" s="317" t="str">
        <f>IF('Statement of Marks'!HW134="","",'Statement of Marks'!HW134)</f>
        <v/>
      </c>
      <c r="K132" s="392" t="str">
        <f>'Statement of Marks'!GN134</f>
        <v/>
      </c>
      <c r="L132" s="392" t="str">
        <f>'Statement of Marks'!GQ134</f>
        <v/>
      </c>
      <c r="M132" s="181" t="str">
        <f>'Statement of Marks'!GU134</f>
        <v/>
      </c>
      <c r="N132" s="181" t="str">
        <f>'Statement of Marks'!GV134</f>
        <v/>
      </c>
      <c r="O132" s="181" t="str">
        <f>'Statement of Marks'!GW134</f>
        <v/>
      </c>
      <c r="P132" s="181" t="str">
        <f>'Statement of Marks'!GX134</f>
        <v/>
      </c>
      <c r="Q132" s="181" t="str">
        <f>'Statement of Marks'!GY134</f>
        <v/>
      </c>
      <c r="R132" s="392" t="str">
        <f>'Statement of Marks'!HB134</f>
        <v/>
      </c>
      <c r="S132" s="392" t="str">
        <f>'Statement of Marks'!HE134</f>
        <v/>
      </c>
      <c r="T132" s="392" t="str">
        <f>'Statement of Marks'!HH134</f>
        <v/>
      </c>
      <c r="U132" s="392" t="str">
        <f>'Statement of Marks'!HK134</f>
        <v/>
      </c>
      <c r="V132" s="318"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9">
        <f>IF('Statement of Marks'!A135="","",'Statement of Marks'!A135)</f>
        <v>129</v>
      </c>
      <c r="B133" s="169" t="str">
        <f>IF('Statement of Marks'!B135="","",'Statement of Marks'!B135)</f>
        <v/>
      </c>
      <c r="C133" s="169" t="str">
        <f>IF('Statement of Marks'!D135="","",'Statement of Marks'!D135)</f>
        <v/>
      </c>
      <c r="D133" s="315" t="str">
        <f>IF('Statement of Marks'!E135="","",'Statement of Marks'!E135)</f>
        <v/>
      </c>
      <c r="E133" s="316" t="str">
        <f>IF('Statement of Marks'!F135="","",'Statement of Marks'!F135)</f>
        <v/>
      </c>
      <c r="F133" s="316" t="str">
        <f>IF('Statement of Marks'!G135="","",'Statement of Marks'!G135)</f>
        <v/>
      </c>
      <c r="G133" s="316" t="str">
        <f>IF('Statement of Marks'!H135="","",'Statement of Marks'!H135)</f>
        <v/>
      </c>
      <c r="H133" s="830" t="str">
        <f>IF('Statement of Marks'!HS135="","",'Statement of Marks'!HS135)</f>
        <v/>
      </c>
      <c r="I133" s="172" t="str">
        <f>IF('Statement of Marks'!HV135="","",'Statement of Marks'!HV135)</f>
        <v/>
      </c>
      <c r="J133" s="317" t="str">
        <f>IF('Statement of Marks'!HW135="","",'Statement of Marks'!HW135)</f>
        <v/>
      </c>
      <c r="K133" s="392" t="str">
        <f>'Statement of Marks'!GN135</f>
        <v/>
      </c>
      <c r="L133" s="392" t="str">
        <f>'Statement of Marks'!GQ135</f>
        <v/>
      </c>
      <c r="M133" s="181" t="str">
        <f>'Statement of Marks'!GU135</f>
        <v/>
      </c>
      <c r="N133" s="181" t="str">
        <f>'Statement of Marks'!GV135</f>
        <v/>
      </c>
      <c r="O133" s="181" t="str">
        <f>'Statement of Marks'!GW135</f>
        <v/>
      </c>
      <c r="P133" s="181" t="str">
        <f>'Statement of Marks'!GX135</f>
        <v/>
      </c>
      <c r="Q133" s="181" t="str">
        <f>'Statement of Marks'!GY135</f>
        <v/>
      </c>
      <c r="R133" s="392" t="str">
        <f>'Statement of Marks'!HB135</f>
        <v/>
      </c>
      <c r="S133" s="392" t="str">
        <f>'Statement of Marks'!HE135</f>
        <v/>
      </c>
      <c r="T133" s="392" t="str">
        <f>'Statement of Marks'!HH135</f>
        <v/>
      </c>
      <c r="U133" s="392" t="str">
        <f>'Statement of Marks'!HK135</f>
        <v/>
      </c>
      <c r="V133" s="318"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9">
        <f>IF('Statement of Marks'!A136="","",'Statement of Marks'!A136)</f>
        <v>130</v>
      </c>
      <c r="B134" s="169" t="str">
        <f>IF('Statement of Marks'!B136="","",'Statement of Marks'!B136)</f>
        <v/>
      </c>
      <c r="C134" s="169" t="str">
        <f>IF('Statement of Marks'!D136="","",'Statement of Marks'!D136)</f>
        <v/>
      </c>
      <c r="D134" s="315" t="str">
        <f>IF('Statement of Marks'!E136="","",'Statement of Marks'!E136)</f>
        <v/>
      </c>
      <c r="E134" s="316" t="str">
        <f>IF('Statement of Marks'!F136="","",'Statement of Marks'!F136)</f>
        <v/>
      </c>
      <c r="F134" s="316" t="str">
        <f>IF('Statement of Marks'!G136="","",'Statement of Marks'!G136)</f>
        <v/>
      </c>
      <c r="G134" s="316" t="str">
        <f>IF('Statement of Marks'!H136="","",'Statement of Marks'!H136)</f>
        <v/>
      </c>
      <c r="H134" s="830" t="str">
        <f>IF('Statement of Marks'!HS136="","",'Statement of Marks'!HS136)</f>
        <v/>
      </c>
      <c r="I134" s="172" t="str">
        <f>IF('Statement of Marks'!HV136="","",'Statement of Marks'!HV136)</f>
        <v/>
      </c>
      <c r="J134" s="317" t="str">
        <f>IF('Statement of Marks'!HW136="","",'Statement of Marks'!HW136)</f>
        <v/>
      </c>
      <c r="K134" s="392" t="str">
        <f>'Statement of Marks'!GN136</f>
        <v/>
      </c>
      <c r="L134" s="392" t="str">
        <f>'Statement of Marks'!GQ136</f>
        <v/>
      </c>
      <c r="M134" s="181" t="str">
        <f>'Statement of Marks'!GU136</f>
        <v/>
      </c>
      <c r="N134" s="181" t="str">
        <f>'Statement of Marks'!GV136</f>
        <v/>
      </c>
      <c r="O134" s="181" t="str">
        <f>'Statement of Marks'!GW136</f>
        <v/>
      </c>
      <c r="P134" s="181" t="str">
        <f>'Statement of Marks'!GX136</f>
        <v/>
      </c>
      <c r="Q134" s="181" t="str">
        <f>'Statement of Marks'!GY136</f>
        <v/>
      </c>
      <c r="R134" s="392" t="str">
        <f>'Statement of Marks'!HB136</f>
        <v/>
      </c>
      <c r="S134" s="392" t="str">
        <f>'Statement of Marks'!HE136</f>
        <v/>
      </c>
      <c r="T134" s="392" t="str">
        <f>'Statement of Marks'!HH136</f>
        <v/>
      </c>
      <c r="U134" s="392" t="str">
        <f>'Statement of Marks'!HK136</f>
        <v/>
      </c>
      <c r="V134" s="318"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9">
        <f>IF('Statement of Marks'!A137="","",'Statement of Marks'!A137)</f>
        <v>131</v>
      </c>
      <c r="B135" s="169" t="str">
        <f>IF('Statement of Marks'!B137="","",'Statement of Marks'!B137)</f>
        <v/>
      </c>
      <c r="C135" s="169" t="str">
        <f>IF('Statement of Marks'!D137="","",'Statement of Marks'!D137)</f>
        <v/>
      </c>
      <c r="D135" s="315" t="str">
        <f>IF('Statement of Marks'!E137="","",'Statement of Marks'!E137)</f>
        <v/>
      </c>
      <c r="E135" s="316" t="str">
        <f>IF('Statement of Marks'!F137="","",'Statement of Marks'!F137)</f>
        <v/>
      </c>
      <c r="F135" s="316" t="str">
        <f>IF('Statement of Marks'!G137="","",'Statement of Marks'!G137)</f>
        <v/>
      </c>
      <c r="G135" s="316" t="str">
        <f>IF('Statement of Marks'!H137="","",'Statement of Marks'!H137)</f>
        <v/>
      </c>
      <c r="H135" s="830" t="str">
        <f>IF('Statement of Marks'!HS137="","",'Statement of Marks'!HS137)</f>
        <v/>
      </c>
      <c r="I135" s="172" t="str">
        <f>IF('Statement of Marks'!HV137="","",'Statement of Marks'!HV137)</f>
        <v/>
      </c>
      <c r="J135" s="317" t="str">
        <f>IF('Statement of Marks'!HW137="","",'Statement of Marks'!HW137)</f>
        <v/>
      </c>
      <c r="K135" s="392" t="str">
        <f>'Statement of Marks'!GN137</f>
        <v/>
      </c>
      <c r="L135" s="392" t="str">
        <f>'Statement of Marks'!GQ137</f>
        <v/>
      </c>
      <c r="M135" s="181" t="str">
        <f>'Statement of Marks'!GU137</f>
        <v/>
      </c>
      <c r="N135" s="181" t="str">
        <f>'Statement of Marks'!GV137</f>
        <v/>
      </c>
      <c r="O135" s="181" t="str">
        <f>'Statement of Marks'!GW137</f>
        <v/>
      </c>
      <c r="P135" s="181" t="str">
        <f>'Statement of Marks'!GX137</f>
        <v/>
      </c>
      <c r="Q135" s="181" t="str">
        <f>'Statement of Marks'!GY137</f>
        <v/>
      </c>
      <c r="R135" s="392" t="str">
        <f>'Statement of Marks'!HB137</f>
        <v/>
      </c>
      <c r="S135" s="392" t="str">
        <f>'Statement of Marks'!HE137</f>
        <v/>
      </c>
      <c r="T135" s="392" t="str">
        <f>'Statement of Marks'!HH137</f>
        <v/>
      </c>
      <c r="U135" s="392" t="str">
        <f>'Statement of Marks'!HK137</f>
        <v/>
      </c>
      <c r="V135" s="318"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9">
        <f>IF('Statement of Marks'!A138="","",'Statement of Marks'!A138)</f>
        <v>132</v>
      </c>
      <c r="B136" s="169" t="str">
        <f>IF('Statement of Marks'!B138="","",'Statement of Marks'!B138)</f>
        <v/>
      </c>
      <c r="C136" s="169" t="str">
        <f>IF('Statement of Marks'!D138="","",'Statement of Marks'!D138)</f>
        <v/>
      </c>
      <c r="D136" s="315" t="str">
        <f>IF('Statement of Marks'!E138="","",'Statement of Marks'!E138)</f>
        <v/>
      </c>
      <c r="E136" s="316" t="str">
        <f>IF('Statement of Marks'!F138="","",'Statement of Marks'!F138)</f>
        <v/>
      </c>
      <c r="F136" s="316" t="str">
        <f>IF('Statement of Marks'!G138="","",'Statement of Marks'!G138)</f>
        <v/>
      </c>
      <c r="G136" s="316" t="str">
        <f>IF('Statement of Marks'!H138="","",'Statement of Marks'!H138)</f>
        <v/>
      </c>
      <c r="H136" s="830" t="str">
        <f>IF('Statement of Marks'!HS138="","",'Statement of Marks'!HS138)</f>
        <v/>
      </c>
      <c r="I136" s="172" t="str">
        <f>IF('Statement of Marks'!HV138="","",'Statement of Marks'!HV138)</f>
        <v/>
      </c>
      <c r="J136" s="317" t="str">
        <f>IF('Statement of Marks'!HW138="","",'Statement of Marks'!HW138)</f>
        <v/>
      </c>
      <c r="K136" s="392" t="str">
        <f>'Statement of Marks'!GN138</f>
        <v/>
      </c>
      <c r="L136" s="392" t="str">
        <f>'Statement of Marks'!GQ138</f>
        <v/>
      </c>
      <c r="M136" s="181" t="str">
        <f>'Statement of Marks'!GU138</f>
        <v/>
      </c>
      <c r="N136" s="181" t="str">
        <f>'Statement of Marks'!GV138</f>
        <v/>
      </c>
      <c r="O136" s="181" t="str">
        <f>'Statement of Marks'!GW138</f>
        <v/>
      </c>
      <c r="P136" s="181" t="str">
        <f>'Statement of Marks'!GX138</f>
        <v/>
      </c>
      <c r="Q136" s="181" t="str">
        <f>'Statement of Marks'!GY138</f>
        <v/>
      </c>
      <c r="R136" s="392" t="str">
        <f>'Statement of Marks'!HB138</f>
        <v/>
      </c>
      <c r="S136" s="392" t="str">
        <f>'Statement of Marks'!HE138</f>
        <v/>
      </c>
      <c r="T136" s="392" t="str">
        <f>'Statement of Marks'!HH138</f>
        <v/>
      </c>
      <c r="U136" s="392" t="str">
        <f>'Statement of Marks'!HK138</f>
        <v/>
      </c>
      <c r="V136" s="318"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9">
        <f>IF('Statement of Marks'!A139="","",'Statement of Marks'!A139)</f>
        <v>133</v>
      </c>
      <c r="B137" s="169" t="str">
        <f>IF('Statement of Marks'!B139="","",'Statement of Marks'!B139)</f>
        <v/>
      </c>
      <c r="C137" s="169" t="str">
        <f>IF('Statement of Marks'!D139="","",'Statement of Marks'!D139)</f>
        <v/>
      </c>
      <c r="D137" s="315" t="str">
        <f>IF('Statement of Marks'!E139="","",'Statement of Marks'!E139)</f>
        <v/>
      </c>
      <c r="E137" s="316" t="str">
        <f>IF('Statement of Marks'!F139="","",'Statement of Marks'!F139)</f>
        <v/>
      </c>
      <c r="F137" s="316" t="str">
        <f>IF('Statement of Marks'!G139="","",'Statement of Marks'!G139)</f>
        <v/>
      </c>
      <c r="G137" s="316" t="str">
        <f>IF('Statement of Marks'!H139="","",'Statement of Marks'!H139)</f>
        <v/>
      </c>
      <c r="H137" s="830" t="str">
        <f>IF('Statement of Marks'!HS139="","",'Statement of Marks'!HS139)</f>
        <v/>
      </c>
      <c r="I137" s="172" t="str">
        <f>IF('Statement of Marks'!HV139="","",'Statement of Marks'!HV139)</f>
        <v/>
      </c>
      <c r="J137" s="317" t="str">
        <f>IF('Statement of Marks'!HW139="","",'Statement of Marks'!HW139)</f>
        <v/>
      </c>
      <c r="K137" s="392" t="str">
        <f>'Statement of Marks'!GN139</f>
        <v/>
      </c>
      <c r="L137" s="392" t="str">
        <f>'Statement of Marks'!GQ139</f>
        <v/>
      </c>
      <c r="M137" s="181" t="str">
        <f>'Statement of Marks'!GU139</f>
        <v/>
      </c>
      <c r="N137" s="181" t="str">
        <f>'Statement of Marks'!GV139</f>
        <v/>
      </c>
      <c r="O137" s="181" t="str">
        <f>'Statement of Marks'!GW139</f>
        <v/>
      </c>
      <c r="P137" s="181" t="str">
        <f>'Statement of Marks'!GX139</f>
        <v/>
      </c>
      <c r="Q137" s="181" t="str">
        <f>'Statement of Marks'!GY139</f>
        <v/>
      </c>
      <c r="R137" s="392" t="str">
        <f>'Statement of Marks'!HB139</f>
        <v/>
      </c>
      <c r="S137" s="392" t="str">
        <f>'Statement of Marks'!HE139</f>
        <v/>
      </c>
      <c r="T137" s="392" t="str">
        <f>'Statement of Marks'!HH139</f>
        <v/>
      </c>
      <c r="U137" s="392" t="str">
        <f>'Statement of Marks'!HK139</f>
        <v/>
      </c>
      <c r="V137" s="318"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9">
        <f>IF('Statement of Marks'!A140="","",'Statement of Marks'!A140)</f>
        <v>134</v>
      </c>
      <c r="B138" s="169" t="str">
        <f>IF('Statement of Marks'!B140="","",'Statement of Marks'!B140)</f>
        <v/>
      </c>
      <c r="C138" s="169" t="str">
        <f>IF('Statement of Marks'!D140="","",'Statement of Marks'!D140)</f>
        <v/>
      </c>
      <c r="D138" s="315" t="str">
        <f>IF('Statement of Marks'!E140="","",'Statement of Marks'!E140)</f>
        <v/>
      </c>
      <c r="E138" s="316" t="str">
        <f>IF('Statement of Marks'!F140="","",'Statement of Marks'!F140)</f>
        <v/>
      </c>
      <c r="F138" s="316" t="str">
        <f>IF('Statement of Marks'!G140="","",'Statement of Marks'!G140)</f>
        <v/>
      </c>
      <c r="G138" s="316" t="str">
        <f>IF('Statement of Marks'!H140="","",'Statement of Marks'!H140)</f>
        <v/>
      </c>
      <c r="H138" s="830" t="str">
        <f>IF('Statement of Marks'!HS140="","",'Statement of Marks'!HS140)</f>
        <v/>
      </c>
      <c r="I138" s="172" t="str">
        <f>IF('Statement of Marks'!HV140="","",'Statement of Marks'!HV140)</f>
        <v/>
      </c>
      <c r="J138" s="317" t="str">
        <f>IF('Statement of Marks'!HW140="","",'Statement of Marks'!HW140)</f>
        <v/>
      </c>
      <c r="K138" s="392" t="str">
        <f>'Statement of Marks'!GN140</f>
        <v/>
      </c>
      <c r="L138" s="392" t="str">
        <f>'Statement of Marks'!GQ140</f>
        <v/>
      </c>
      <c r="M138" s="181" t="str">
        <f>'Statement of Marks'!GU140</f>
        <v/>
      </c>
      <c r="N138" s="181" t="str">
        <f>'Statement of Marks'!GV140</f>
        <v/>
      </c>
      <c r="O138" s="181" t="str">
        <f>'Statement of Marks'!GW140</f>
        <v/>
      </c>
      <c r="P138" s="181" t="str">
        <f>'Statement of Marks'!GX140</f>
        <v/>
      </c>
      <c r="Q138" s="181" t="str">
        <f>'Statement of Marks'!GY140</f>
        <v/>
      </c>
      <c r="R138" s="392" t="str">
        <f>'Statement of Marks'!HB140</f>
        <v/>
      </c>
      <c r="S138" s="392" t="str">
        <f>'Statement of Marks'!HE140</f>
        <v/>
      </c>
      <c r="T138" s="392" t="str">
        <f>'Statement of Marks'!HH140</f>
        <v/>
      </c>
      <c r="U138" s="392" t="str">
        <f>'Statement of Marks'!HK140</f>
        <v/>
      </c>
      <c r="V138" s="318"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9">
        <f>IF('Statement of Marks'!A141="","",'Statement of Marks'!A141)</f>
        <v>135</v>
      </c>
      <c r="B139" s="169" t="str">
        <f>IF('Statement of Marks'!B141="","",'Statement of Marks'!B141)</f>
        <v/>
      </c>
      <c r="C139" s="169" t="str">
        <f>IF('Statement of Marks'!D141="","",'Statement of Marks'!D141)</f>
        <v/>
      </c>
      <c r="D139" s="315" t="str">
        <f>IF('Statement of Marks'!E141="","",'Statement of Marks'!E141)</f>
        <v/>
      </c>
      <c r="E139" s="316" t="str">
        <f>IF('Statement of Marks'!F141="","",'Statement of Marks'!F141)</f>
        <v/>
      </c>
      <c r="F139" s="316" t="str">
        <f>IF('Statement of Marks'!G141="","",'Statement of Marks'!G141)</f>
        <v/>
      </c>
      <c r="G139" s="316" t="str">
        <f>IF('Statement of Marks'!H141="","",'Statement of Marks'!H141)</f>
        <v/>
      </c>
      <c r="H139" s="830" t="str">
        <f>IF('Statement of Marks'!HS141="","",'Statement of Marks'!HS141)</f>
        <v/>
      </c>
      <c r="I139" s="172" t="str">
        <f>IF('Statement of Marks'!HV141="","",'Statement of Marks'!HV141)</f>
        <v/>
      </c>
      <c r="J139" s="317" t="str">
        <f>IF('Statement of Marks'!HW141="","",'Statement of Marks'!HW141)</f>
        <v/>
      </c>
      <c r="K139" s="392" t="str">
        <f>'Statement of Marks'!GN141</f>
        <v/>
      </c>
      <c r="L139" s="392" t="str">
        <f>'Statement of Marks'!GQ141</f>
        <v/>
      </c>
      <c r="M139" s="181" t="str">
        <f>'Statement of Marks'!GU141</f>
        <v/>
      </c>
      <c r="N139" s="181" t="str">
        <f>'Statement of Marks'!GV141</f>
        <v/>
      </c>
      <c r="O139" s="181" t="str">
        <f>'Statement of Marks'!GW141</f>
        <v/>
      </c>
      <c r="P139" s="181" t="str">
        <f>'Statement of Marks'!GX141</f>
        <v/>
      </c>
      <c r="Q139" s="181" t="str">
        <f>'Statement of Marks'!GY141</f>
        <v/>
      </c>
      <c r="R139" s="392" t="str">
        <f>'Statement of Marks'!HB141</f>
        <v/>
      </c>
      <c r="S139" s="392" t="str">
        <f>'Statement of Marks'!HE141</f>
        <v/>
      </c>
      <c r="T139" s="392" t="str">
        <f>'Statement of Marks'!HH141</f>
        <v/>
      </c>
      <c r="U139" s="392" t="str">
        <f>'Statement of Marks'!HK141</f>
        <v/>
      </c>
      <c r="V139" s="318"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9">
        <f>IF('Statement of Marks'!A142="","",'Statement of Marks'!A142)</f>
        <v>136</v>
      </c>
      <c r="B140" s="169" t="str">
        <f>IF('Statement of Marks'!B142="","",'Statement of Marks'!B142)</f>
        <v/>
      </c>
      <c r="C140" s="169" t="str">
        <f>IF('Statement of Marks'!D142="","",'Statement of Marks'!D142)</f>
        <v/>
      </c>
      <c r="D140" s="315" t="str">
        <f>IF('Statement of Marks'!E142="","",'Statement of Marks'!E142)</f>
        <v/>
      </c>
      <c r="E140" s="316" t="str">
        <f>IF('Statement of Marks'!F142="","",'Statement of Marks'!F142)</f>
        <v/>
      </c>
      <c r="F140" s="316" t="str">
        <f>IF('Statement of Marks'!G142="","",'Statement of Marks'!G142)</f>
        <v/>
      </c>
      <c r="G140" s="316" t="str">
        <f>IF('Statement of Marks'!H142="","",'Statement of Marks'!H142)</f>
        <v/>
      </c>
      <c r="H140" s="830" t="str">
        <f>IF('Statement of Marks'!HS142="","",'Statement of Marks'!HS142)</f>
        <v/>
      </c>
      <c r="I140" s="172" t="str">
        <f>IF('Statement of Marks'!HV142="","",'Statement of Marks'!HV142)</f>
        <v/>
      </c>
      <c r="J140" s="317" t="str">
        <f>IF('Statement of Marks'!HW142="","",'Statement of Marks'!HW142)</f>
        <v/>
      </c>
      <c r="K140" s="392" t="str">
        <f>'Statement of Marks'!GN142</f>
        <v/>
      </c>
      <c r="L140" s="392" t="str">
        <f>'Statement of Marks'!GQ142</f>
        <v/>
      </c>
      <c r="M140" s="181" t="str">
        <f>'Statement of Marks'!GU142</f>
        <v/>
      </c>
      <c r="N140" s="181" t="str">
        <f>'Statement of Marks'!GV142</f>
        <v/>
      </c>
      <c r="O140" s="181" t="str">
        <f>'Statement of Marks'!GW142</f>
        <v/>
      </c>
      <c r="P140" s="181" t="str">
        <f>'Statement of Marks'!GX142</f>
        <v/>
      </c>
      <c r="Q140" s="181" t="str">
        <f>'Statement of Marks'!GY142</f>
        <v/>
      </c>
      <c r="R140" s="392" t="str">
        <f>'Statement of Marks'!HB142</f>
        <v/>
      </c>
      <c r="S140" s="392" t="str">
        <f>'Statement of Marks'!HE142</f>
        <v/>
      </c>
      <c r="T140" s="392" t="str">
        <f>'Statement of Marks'!HH142</f>
        <v/>
      </c>
      <c r="U140" s="392" t="str">
        <f>'Statement of Marks'!HK142</f>
        <v/>
      </c>
      <c r="V140" s="318"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9">
        <f>IF('Statement of Marks'!A143="","",'Statement of Marks'!A143)</f>
        <v>137</v>
      </c>
      <c r="B141" s="169" t="str">
        <f>IF('Statement of Marks'!B143="","",'Statement of Marks'!B143)</f>
        <v/>
      </c>
      <c r="C141" s="169" t="str">
        <f>IF('Statement of Marks'!D143="","",'Statement of Marks'!D143)</f>
        <v/>
      </c>
      <c r="D141" s="315" t="str">
        <f>IF('Statement of Marks'!E143="","",'Statement of Marks'!E143)</f>
        <v/>
      </c>
      <c r="E141" s="316" t="str">
        <f>IF('Statement of Marks'!F143="","",'Statement of Marks'!F143)</f>
        <v/>
      </c>
      <c r="F141" s="316" t="str">
        <f>IF('Statement of Marks'!G143="","",'Statement of Marks'!G143)</f>
        <v/>
      </c>
      <c r="G141" s="316" t="str">
        <f>IF('Statement of Marks'!H143="","",'Statement of Marks'!H143)</f>
        <v/>
      </c>
      <c r="H141" s="830" t="str">
        <f>IF('Statement of Marks'!HS143="","",'Statement of Marks'!HS143)</f>
        <v/>
      </c>
      <c r="I141" s="172" t="str">
        <f>IF('Statement of Marks'!HV143="","",'Statement of Marks'!HV143)</f>
        <v/>
      </c>
      <c r="J141" s="317" t="str">
        <f>IF('Statement of Marks'!HW143="","",'Statement of Marks'!HW143)</f>
        <v/>
      </c>
      <c r="K141" s="392" t="str">
        <f>'Statement of Marks'!GN143</f>
        <v/>
      </c>
      <c r="L141" s="392" t="str">
        <f>'Statement of Marks'!GQ143</f>
        <v/>
      </c>
      <c r="M141" s="181" t="str">
        <f>'Statement of Marks'!GU143</f>
        <v/>
      </c>
      <c r="N141" s="181" t="str">
        <f>'Statement of Marks'!GV143</f>
        <v/>
      </c>
      <c r="O141" s="181" t="str">
        <f>'Statement of Marks'!GW143</f>
        <v/>
      </c>
      <c r="P141" s="181" t="str">
        <f>'Statement of Marks'!GX143</f>
        <v/>
      </c>
      <c r="Q141" s="181" t="str">
        <f>'Statement of Marks'!GY143</f>
        <v/>
      </c>
      <c r="R141" s="392" t="str">
        <f>'Statement of Marks'!HB143</f>
        <v/>
      </c>
      <c r="S141" s="392" t="str">
        <f>'Statement of Marks'!HE143</f>
        <v/>
      </c>
      <c r="T141" s="392" t="str">
        <f>'Statement of Marks'!HH143</f>
        <v/>
      </c>
      <c r="U141" s="392" t="str">
        <f>'Statement of Marks'!HK143</f>
        <v/>
      </c>
      <c r="V141" s="318"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9">
        <f>IF('Statement of Marks'!A144="","",'Statement of Marks'!A144)</f>
        <v>138</v>
      </c>
      <c r="B142" s="169" t="str">
        <f>IF('Statement of Marks'!B144="","",'Statement of Marks'!B144)</f>
        <v/>
      </c>
      <c r="C142" s="169" t="str">
        <f>IF('Statement of Marks'!D144="","",'Statement of Marks'!D144)</f>
        <v/>
      </c>
      <c r="D142" s="315" t="str">
        <f>IF('Statement of Marks'!E144="","",'Statement of Marks'!E144)</f>
        <v/>
      </c>
      <c r="E142" s="316" t="str">
        <f>IF('Statement of Marks'!F144="","",'Statement of Marks'!F144)</f>
        <v/>
      </c>
      <c r="F142" s="316" t="str">
        <f>IF('Statement of Marks'!G144="","",'Statement of Marks'!G144)</f>
        <v/>
      </c>
      <c r="G142" s="316" t="str">
        <f>IF('Statement of Marks'!H144="","",'Statement of Marks'!H144)</f>
        <v/>
      </c>
      <c r="H142" s="830" t="str">
        <f>IF('Statement of Marks'!HS144="","",'Statement of Marks'!HS144)</f>
        <v/>
      </c>
      <c r="I142" s="172" t="str">
        <f>IF('Statement of Marks'!HV144="","",'Statement of Marks'!HV144)</f>
        <v/>
      </c>
      <c r="J142" s="317" t="str">
        <f>IF('Statement of Marks'!HW144="","",'Statement of Marks'!HW144)</f>
        <v/>
      </c>
      <c r="K142" s="392" t="str">
        <f>'Statement of Marks'!GN144</f>
        <v/>
      </c>
      <c r="L142" s="392" t="str">
        <f>'Statement of Marks'!GQ144</f>
        <v/>
      </c>
      <c r="M142" s="181" t="str">
        <f>'Statement of Marks'!GU144</f>
        <v/>
      </c>
      <c r="N142" s="181" t="str">
        <f>'Statement of Marks'!GV144</f>
        <v/>
      </c>
      <c r="O142" s="181" t="str">
        <f>'Statement of Marks'!GW144</f>
        <v/>
      </c>
      <c r="P142" s="181" t="str">
        <f>'Statement of Marks'!GX144</f>
        <v/>
      </c>
      <c r="Q142" s="181" t="str">
        <f>'Statement of Marks'!GY144</f>
        <v/>
      </c>
      <c r="R142" s="392" t="str">
        <f>'Statement of Marks'!HB144</f>
        <v/>
      </c>
      <c r="S142" s="392" t="str">
        <f>'Statement of Marks'!HE144</f>
        <v/>
      </c>
      <c r="T142" s="392" t="str">
        <f>'Statement of Marks'!HH144</f>
        <v/>
      </c>
      <c r="U142" s="392" t="str">
        <f>'Statement of Marks'!HK144</f>
        <v/>
      </c>
      <c r="V142" s="318"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9">
        <f>IF('Statement of Marks'!A145="","",'Statement of Marks'!A145)</f>
        <v>139</v>
      </c>
      <c r="B143" s="169" t="str">
        <f>IF('Statement of Marks'!B145="","",'Statement of Marks'!B145)</f>
        <v/>
      </c>
      <c r="C143" s="169" t="str">
        <f>IF('Statement of Marks'!D145="","",'Statement of Marks'!D145)</f>
        <v/>
      </c>
      <c r="D143" s="315" t="str">
        <f>IF('Statement of Marks'!E145="","",'Statement of Marks'!E145)</f>
        <v/>
      </c>
      <c r="E143" s="316" t="str">
        <f>IF('Statement of Marks'!F145="","",'Statement of Marks'!F145)</f>
        <v/>
      </c>
      <c r="F143" s="316" t="str">
        <f>IF('Statement of Marks'!G145="","",'Statement of Marks'!G145)</f>
        <v/>
      </c>
      <c r="G143" s="316" t="str">
        <f>IF('Statement of Marks'!H145="","",'Statement of Marks'!H145)</f>
        <v/>
      </c>
      <c r="H143" s="830" t="str">
        <f>IF('Statement of Marks'!HS145="","",'Statement of Marks'!HS145)</f>
        <v/>
      </c>
      <c r="I143" s="172" t="str">
        <f>IF('Statement of Marks'!HV145="","",'Statement of Marks'!HV145)</f>
        <v/>
      </c>
      <c r="J143" s="317" t="str">
        <f>IF('Statement of Marks'!HW145="","",'Statement of Marks'!HW145)</f>
        <v/>
      </c>
      <c r="K143" s="392" t="str">
        <f>'Statement of Marks'!GN145</f>
        <v/>
      </c>
      <c r="L143" s="392" t="str">
        <f>'Statement of Marks'!GQ145</f>
        <v/>
      </c>
      <c r="M143" s="181" t="str">
        <f>'Statement of Marks'!GU145</f>
        <v/>
      </c>
      <c r="N143" s="181" t="str">
        <f>'Statement of Marks'!GV145</f>
        <v/>
      </c>
      <c r="O143" s="181" t="str">
        <f>'Statement of Marks'!GW145</f>
        <v/>
      </c>
      <c r="P143" s="181" t="str">
        <f>'Statement of Marks'!GX145</f>
        <v/>
      </c>
      <c r="Q143" s="181" t="str">
        <f>'Statement of Marks'!GY145</f>
        <v/>
      </c>
      <c r="R143" s="392" t="str">
        <f>'Statement of Marks'!HB145</f>
        <v/>
      </c>
      <c r="S143" s="392" t="str">
        <f>'Statement of Marks'!HE145</f>
        <v/>
      </c>
      <c r="T143" s="392" t="str">
        <f>'Statement of Marks'!HH145</f>
        <v/>
      </c>
      <c r="U143" s="392" t="str">
        <f>'Statement of Marks'!HK145</f>
        <v/>
      </c>
      <c r="V143" s="318"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9">
        <f>IF('Statement of Marks'!A146="","",'Statement of Marks'!A146)</f>
        <v>140</v>
      </c>
      <c r="B144" s="169" t="str">
        <f>IF('Statement of Marks'!B146="","",'Statement of Marks'!B146)</f>
        <v/>
      </c>
      <c r="C144" s="169" t="str">
        <f>IF('Statement of Marks'!D146="","",'Statement of Marks'!D146)</f>
        <v/>
      </c>
      <c r="D144" s="315" t="str">
        <f>IF('Statement of Marks'!E146="","",'Statement of Marks'!E146)</f>
        <v/>
      </c>
      <c r="E144" s="316" t="str">
        <f>IF('Statement of Marks'!F146="","",'Statement of Marks'!F146)</f>
        <v/>
      </c>
      <c r="F144" s="316" t="str">
        <f>IF('Statement of Marks'!G146="","",'Statement of Marks'!G146)</f>
        <v/>
      </c>
      <c r="G144" s="316" t="str">
        <f>IF('Statement of Marks'!H146="","",'Statement of Marks'!H146)</f>
        <v/>
      </c>
      <c r="H144" s="830" t="str">
        <f>IF('Statement of Marks'!HS146="","",'Statement of Marks'!HS146)</f>
        <v/>
      </c>
      <c r="I144" s="172" t="str">
        <f>IF('Statement of Marks'!HV146="","",'Statement of Marks'!HV146)</f>
        <v/>
      </c>
      <c r="J144" s="317" t="str">
        <f>IF('Statement of Marks'!HW146="","",'Statement of Marks'!HW146)</f>
        <v/>
      </c>
      <c r="K144" s="392" t="str">
        <f>'Statement of Marks'!GN146</f>
        <v/>
      </c>
      <c r="L144" s="392" t="str">
        <f>'Statement of Marks'!GQ146</f>
        <v/>
      </c>
      <c r="M144" s="181" t="str">
        <f>'Statement of Marks'!GU146</f>
        <v/>
      </c>
      <c r="N144" s="181" t="str">
        <f>'Statement of Marks'!GV146</f>
        <v/>
      </c>
      <c r="O144" s="181" t="str">
        <f>'Statement of Marks'!GW146</f>
        <v/>
      </c>
      <c r="P144" s="181" t="str">
        <f>'Statement of Marks'!GX146</f>
        <v/>
      </c>
      <c r="Q144" s="181" t="str">
        <f>'Statement of Marks'!GY146</f>
        <v/>
      </c>
      <c r="R144" s="392" t="str">
        <f>'Statement of Marks'!HB146</f>
        <v/>
      </c>
      <c r="S144" s="392" t="str">
        <f>'Statement of Marks'!HE146</f>
        <v/>
      </c>
      <c r="T144" s="392" t="str">
        <f>'Statement of Marks'!HH146</f>
        <v/>
      </c>
      <c r="U144" s="392" t="str">
        <f>'Statement of Marks'!HK146</f>
        <v/>
      </c>
      <c r="V144" s="318"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9">
        <f>IF('Statement of Marks'!A147="","",'Statement of Marks'!A147)</f>
        <v>141</v>
      </c>
      <c r="B145" s="169" t="str">
        <f>IF('Statement of Marks'!B147="","",'Statement of Marks'!B147)</f>
        <v/>
      </c>
      <c r="C145" s="169" t="str">
        <f>IF('Statement of Marks'!D147="","",'Statement of Marks'!D147)</f>
        <v/>
      </c>
      <c r="D145" s="315" t="str">
        <f>IF('Statement of Marks'!E147="","",'Statement of Marks'!E147)</f>
        <v/>
      </c>
      <c r="E145" s="316" t="str">
        <f>IF('Statement of Marks'!F147="","",'Statement of Marks'!F147)</f>
        <v/>
      </c>
      <c r="F145" s="316" t="str">
        <f>IF('Statement of Marks'!G147="","",'Statement of Marks'!G147)</f>
        <v/>
      </c>
      <c r="G145" s="316" t="str">
        <f>IF('Statement of Marks'!H147="","",'Statement of Marks'!H147)</f>
        <v/>
      </c>
      <c r="H145" s="830" t="str">
        <f>IF('Statement of Marks'!HS147="","",'Statement of Marks'!HS147)</f>
        <v/>
      </c>
      <c r="I145" s="172" t="str">
        <f>IF('Statement of Marks'!HV147="","",'Statement of Marks'!HV147)</f>
        <v/>
      </c>
      <c r="J145" s="317" t="str">
        <f>IF('Statement of Marks'!HW147="","",'Statement of Marks'!HW147)</f>
        <v/>
      </c>
      <c r="K145" s="392" t="str">
        <f>'Statement of Marks'!GN147</f>
        <v/>
      </c>
      <c r="L145" s="392" t="str">
        <f>'Statement of Marks'!GQ147</f>
        <v/>
      </c>
      <c r="M145" s="181" t="str">
        <f>'Statement of Marks'!GU147</f>
        <v/>
      </c>
      <c r="N145" s="181" t="str">
        <f>'Statement of Marks'!GV147</f>
        <v/>
      </c>
      <c r="O145" s="181" t="str">
        <f>'Statement of Marks'!GW147</f>
        <v/>
      </c>
      <c r="P145" s="181" t="str">
        <f>'Statement of Marks'!GX147</f>
        <v/>
      </c>
      <c r="Q145" s="181" t="str">
        <f>'Statement of Marks'!GY147</f>
        <v/>
      </c>
      <c r="R145" s="392" t="str">
        <f>'Statement of Marks'!HB147</f>
        <v/>
      </c>
      <c r="S145" s="392" t="str">
        <f>'Statement of Marks'!HE147</f>
        <v/>
      </c>
      <c r="T145" s="392" t="str">
        <f>'Statement of Marks'!HH147</f>
        <v/>
      </c>
      <c r="U145" s="392" t="str">
        <f>'Statement of Marks'!HK147</f>
        <v/>
      </c>
      <c r="V145" s="318"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9">
        <f>IF('Statement of Marks'!A148="","",'Statement of Marks'!A148)</f>
        <v>142</v>
      </c>
      <c r="B146" s="169" t="str">
        <f>IF('Statement of Marks'!B148="","",'Statement of Marks'!B148)</f>
        <v/>
      </c>
      <c r="C146" s="169" t="str">
        <f>IF('Statement of Marks'!D148="","",'Statement of Marks'!D148)</f>
        <v/>
      </c>
      <c r="D146" s="315" t="str">
        <f>IF('Statement of Marks'!E148="","",'Statement of Marks'!E148)</f>
        <v/>
      </c>
      <c r="E146" s="316" t="str">
        <f>IF('Statement of Marks'!F148="","",'Statement of Marks'!F148)</f>
        <v/>
      </c>
      <c r="F146" s="316" t="str">
        <f>IF('Statement of Marks'!G148="","",'Statement of Marks'!G148)</f>
        <v/>
      </c>
      <c r="G146" s="316" t="str">
        <f>IF('Statement of Marks'!H148="","",'Statement of Marks'!H148)</f>
        <v/>
      </c>
      <c r="H146" s="830" t="str">
        <f>IF('Statement of Marks'!HS148="","",'Statement of Marks'!HS148)</f>
        <v/>
      </c>
      <c r="I146" s="172" t="str">
        <f>IF('Statement of Marks'!HV148="","",'Statement of Marks'!HV148)</f>
        <v/>
      </c>
      <c r="J146" s="317" t="str">
        <f>IF('Statement of Marks'!HW148="","",'Statement of Marks'!HW148)</f>
        <v/>
      </c>
      <c r="K146" s="392" t="str">
        <f>'Statement of Marks'!GN148</f>
        <v/>
      </c>
      <c r="L146" s="392" t="str">
        <f>'Statement of Marks'!GQ148</f>
        <v/>
      </c>
      <c r="M146" s="181" t="str">
        <f>'Statement of Marks'!GU148</f>
        <v/>
      </c>
      <c r="N146" s="181" t="str">
        <f>'Statement of Marks'!GV148</f>
        <v/>
      </c>
      <c r="O146" s="181" t="str">
        <f>'Statement of Marks'!GW148</f>
        <v/>
      </c>
      <c r="P146" s="181" t="str">
        <f>'Statement of Marks'!GX148</f>
        <v/>
      </c>
      <c r="Q146" s="181" t="str">
        <f>'Statement of Marks'!GY148</f>
        <v/>
      </c>
      <c r="R146" s="392" t="str">
        <f>'Statement of Marks'!HB148</f>
        <v/>
      </c>
      <c r="S146" s="392" t="str">
        <f>'Statement of Marks'!HE148</f>
        <v/>
      </c>
      <c r="T146" s="392" t="str">
        <f>'Statement of Marks'!HH148</f>
        <v/>
      </c>
      <c r="U146" s="392" t="str">
        <f>'Statement of Marks'!HK148</f>
        <v/>
      </c>
      <c r="V146" s="318"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9">
        <f>IF('Statement of Marks'!A149="","",'Statement of Marks'!A149)</f>
        <v>143</v>
      </c>
      <c r="B147" s="169" t="str">
        <f>IF('Statement of Marks'!B149="","",'Statement of Marks'!B149)</f>
        <v/>
      </c>
      <c r="C147" s="169" t="str">
        <f>IF('Statement of Marks'!D149="","",'Statement of Marks'!D149)</f>
        <v/>
      </c>
      <c r="D147" s="315" t="str">
        <f>IF('Statement of Marks'!E149="","",'Statement of Marks'!E149)</f>
        <v/>
      </c>
      <c r="E147" s="316" t="str">
        <f>IF('Statement of Marks'!F149="","",'Statement of Marks'!F149)</f>
        <v/>
      </c>
      <c r="F147" s="316" t="str">
        <f>IF('Statement of Marks'!G149="","",'Statement of Marks'!G149)</f>
        <v/>
      </c>
      <c r="G147" s="316" t="str">
        <f>IF('Statement of Marks'!H149="","",'Statement of Marks'!H149)</f>
        <v/>
      </c>
      <c r="H147" s="830" t="str">
        <f>IF('Statement of Marks'!HS149="","",'Statement of Marks'!HS149)</f>
        <v/>
      </c>
      <c r="I147" s="172" t="str">
        <f>IF('Statement of Marks'!HV149="","",'Statement of Marks'!HV149)</f>
        <v/>
      </c>
      <c r="J147" s="317" t="str">
        <f>IF('Statement of Marks'!HW149="","",'Statement of Marks'!HW149)</f>
        <v/>
      </c>
      <c r="K147" s="392" t="str">
        <f>'Statement of Marks'!GN149</f>
        <v/>
      </c>
      <c r="L147" s="392" t="str">
        <f>'Statement of Marks'!GQ149</f>
        <v/>
      </c>
      <c r="M147" s="181" t="str">
        <f>'Statement of Marks'!GU149</f>
        <v/>
      </c>
      <c r="N147" s="181" t="str">
        <f>'Statement of Marks'!GV149</f>
        <v/>
      </c>
      <c r="O147" s="181" t="str">
        <f>'Statement of Marks'!GW149</f>
        <v/>
      </c>
      <c r="P147" s="181" t="str">
        <f>'Statement of Marks'!GX149</f>
        <v/>
      </c>
      <c r="Q147" s="181" t="str">
        <f>'Statement of Marks'!GY149</f>
        <v/>
      </c>
      <c r="R147" s="392" t="str">
        <f>'Statement of Marks'!HB149</f>
        <v/>
      </c>
      <c r="S147" s="392" t="str">
        <f>'Statement of Marks'!HE149</f>
        <v/>
      </c>
      <c r="T147" s="392" t="str">
        <f>'Statement of Marks'!HH149</f>
        <v/>
      </c>
      <c r="U147" s="392" t="str">
        <f>'Statement of Marks'!HK149</f>
        <v/>
      </c>
      <c r="V147" s="318"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9">
        <f>IF('Statement of Marks'!A150="","",'Statement of Marks'!A150)</f>
        <v>144</v>
      </c>
      <c r="B148" s="169" t="str">
        <f>IF('Statement of Marks'!B150="","",'Statement of Marks'!B150)</f>
        <v/>
      </c>
      <c r="C148" s="169" t="str">
        <f>IF('Statement of Marks'!D150="","",'Statement of Marks'!D150)</f>
        <v/>
      </c>
      <c r="D148" s="315" t="str">
        <f>IF('Statement of Marks'!E150="","",'Statement of Marks'!E150)</f>
        <v/>
      </c>
      <c r="E148" s="316" t="str">
        <f>IF('Statement of Marks'!F150="","",'Statement of Marks'!F150)</f>
        <v/>
      </c>
      <c r="F148" s="316" t="str">
        <f>IF('Statement of Marks'!G150="","",'Statement of Marks'!G150)</f>
        <v/>
      </c>
      <c r="G148" s="316" t="str">
        <f>IF('Statement of Marks'!H150="","",'Statement of Marks'!H150)</f>
        <v/>
      </c>
      <c r="H148" s="830" t="str">
        <f>IF('Statement of Marks'!HS150="","",'Statement of Marks'!HS150)</f>
        <v/>
      </c>
      <c r="I148" s="172" t="str">
        <f>IF('Statement of Marks'!HV150="","",'Statement of Marks'!HV150)</f>
        <v/>
      </c>
      <c r="J148" s="317" t="str">
        <f>IF('Statement of Marks'!HW150="","",'Statement of Marks'!HW150)</f>
        <v/>
      </c>
      <c r="K148" s="392" t="str">
        <f>'Statement of Marks'!GN150</f>
        <v/>
      </c>
      <c r="L148" s="392" t="str">
        <f>'Statement of Marks'!GQ150</f>
        <v/>
      </c>
      <c r="M148" s="181" t="str">
        <f>'Statement of Marks'!GU150</f>
        <v/>
      </c>
      <c r="N148" s="181" t="str">
        <f>'Statement of Marks'!GV150</f>
        <v/>
      </c>
      <c r="O148" s="181" t="str">
        <f>'Statement of Marks'!GW150</f>
        <v/>
      </c>
      <c r="P148" s="181" t="str">
        <f>'Statement of Marks'!GX150</f>
        <v/>
      </c>
      <c r="Q148" s="181" t="str">
        <f>'Statement of Marks'!GY150</f>
        <v/>
      </c>
      <c r="R148" s="392" t="str">
        <f>'Statement of Marks'!HB150</f>
        <v/>
      </c>
      <c r="S148" s="392" t="str">
        <f>'Statement of Marks'!HE150</f>
        <v/>
      </c>
      <c r="T148" s="392" t="str">
        <f>'Statement of Marks'!HH150</f>
        <v/>
      </c>
      <c r="U148" s="392" t="str">
        <f>'Statement of Marks'!HK150</f>
        <v/>
      </c>
      <c r="V148" s="318"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9">
        <f>IF('Statement of Marks'!A151="","",'Statement of Marks'!A151)</f>
        <v>145</v>
      </c>
      <c r="B149" s="169" t="str">
        <f>IF('Statement of Marks'!B151="","",'Statement of Marks'!B151)</f>
        <v/>
      </c>
      <c r="C149" s="169" t="str">
        <f>IF('Statement of Marks'!D151="","",'Statement of Marks'!D151)</f>
        <v/>
      </c>
      <c r="D149" s="315" t="str">
        <f>IF('Statement of Marks'!E151="","",'Statement of Marks'!E151)</f>
        <v/>
      </c>
      <c r="E149" s="316" t="str">
        <f>IF('Statement of Marks'!F151="","",'Statement of Marks'!F151)</f>
        <v/>
      </c>
      <c r="F149" s="316" t="str">
        <f>IF('Statement of Marks'!G151="","",'Statement of Marks'!G151)</f>
        <v/>
      </c>
      <c r="G149" s="316" t="str">
        <f>IF('Statement of Marks'!H151="","",'Statement of Marks'!H151)</f>
        <v/>
      </c>
      <c r="H149" s="830" t="str">
        <f>IF('Statement of Marks'!HS151="","",'Statement of Marks'!HS151)</f>
        <v/>
      </c>
      <c r="I149" s="172" t="str">
        <f>IF('Statement of Marks'!HV151="","",'Statement of Marks'!HV151)</f>
        <v/>
      </c>
      <c r="J149" s="317" t="str">
        <f>IF('Statement of Marks'!HW151="","",'Statement of Marks'!HW151)</f>
        <v/>
      </c>
      <c r="K149" s="392" t="str">
        <f>'Statement of Marks'!GN151</f>
        <v/>
      </c>
      <c r="L149" s="392" t="str">
        <f>'Statement of Marks'!GQ151</f>
        <v/>
      </c>
      <c r="M149" s="181" t="str">
        <f>'Statement of Marks'!GU151</f>
        <v/>
      </c>
      <c r="N149" s="181" t="str">
        <f>'Statement of Marks'!GV151</f>
        <v/>
      </c>
      <c r="O149" s="181" t="str">
        <f>'Statement of Marks'!GW151</f>
        <v/>
      </c>
      <c r="P149" s="181" t="str">
        <f>'Statement of Marks'!GX151</f>
        <v/>
      </c>
      <c r="Q149" s="181" t="str">
        <f>'Statement of Marks'!GY151</f>
        <v/>
      </c>
      <c r="R149" s="392" t="str">
        <f>'Statement of Marks'!HB151</f>
        <v/>
      </c>
      <c r="S149" s="392" t="str">
        <f>'Statement of Marks'!HE151</f>
        <v/>
      </c>
      <c r="T149" s="392" t="str">
        <f>'Statement of Marks'!HH151</f>
        <v/>
      </c>
      <c r="U149" s="392" t="str">
        <f>'Statement of Marks'!HK151</f>
        <v/>
      </c>
      <c r="V149" s="318"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9">
        <f>IF('Statement of Marks'!A152="","",'Statement of Marks'!A152)</f>
        <v>146</v>
      </c>
      <c r="B150" s="169" t="str">
        <f>IF('Statement of Marks'!B152="","",'Statement of Marks'!B152)</f>
        <v/>
      </c>
      <c r="C150" s="169" t="str">
        <f>IF('Statement of Marks'!D152="","",'Statement of Marks'!D152)</f>
        <v/>
      </c>
      <c r="D150" s="315" t="str">
        <f>IF('Statement of Marks'!E152="","",'Statement of Marks'!E152)</f>
        <v/>
      </c>
      <c r="E150" s="316" t="str">
        <f>IF('Statement of Marks'!F152="","",'Statement of Marks'!F152)</f>
        <v/>
      </c>
      <c r="F150" s="316" t="str">
        <f>IF('Statement of Marks'!G152="","",'Statement of Marks'!G152)</f>
        <v/>
      </c>
      <c r="G150" s="316" t="str">
        <f>IF('Statement of Marks'!H152="","",'Statement of Marks'!H152)</f>
        <v/>
      </c>
      <c r="H150" s="830" t="str">
        <f>IF('Statement of Marks'!HS152="","",'Statement of Marks'!HS152)</f>
        <v/>
      </c>
      <c r="I150" s="172" t="str">
        <f>IF('Statement of Marks'!HV152="","",'Statement of Marks'!HV152)</f>
        <v/>
      </c>
      <c r="J150" s="317" t="str">
        <f>IF('Statement of Marks'!HW152="","",'Statement of Marks'!HW152)</f>
        <v/>
      </c>
      <c r="K150" s="392" t="str">
        <f>'Statement of Marks'!GN152</f>
        <v/>
      </c>
      <c r="L150" s="392" t="str">
        <f>'Statement of Marks'!GQ152</f>
        <v/>
      </c>
      <c r="M150" s="181" t="str">
        <f>'Statement of Marks'!GU152</f>
        <v/>
      </c>
      <c r="N150" s="181" t="str">
        <f>'Statement of Marks'!GV152</f>
        <v/>
      </c>
      <c r="O150" s="181" t="str">
        <f>'Statement of Marks'!GW152</f>
        <v/>
      </c>
      <c r="P150" s="181" t="str">
        <f>'Statement of Marks'!GX152</f>
        <v/>
      </c>
      <c r="Q150" s="181" t="str">
        <f>'Statement of Marks'!GY152</f>
        <v/>
      </c>
      <c r="R150" s="392" t="str">
        <f>'Statement of Marks'!HB152</f>
        <v/>
      </c>
      <c r="S150" s="392" t="str">
        <f>'Statement of Marks'!HE152</f>
        <v/>
      </c>
      <c r="T150" s="392" t="str">
        <f>'Statement of Marks'!HH152</f>
        <v/>
      </c>
      <c r="U150" s="392" t="str">
        <f>'Statement of Marks'!HK152</f>
        <v/>
      </c>
      <c r="V150" s="318"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9">
        <f>IF('Statement of Marks'!A153="","",'Statement of Marks'!A153)</f>
        <v>147</v>
      </c>
      <c r="B151" s="169" t="str">
        <f>IF('Statement of Marks'!B153="","",'Statement of Marks'!B153)</f>
        <v/>
      </c>
      <c r="C151" s="169" t="str">
        <f>IF('Statement of Marks'!D153="","",'Statement of Marks'!D153)</f>
        <v/>
      </c>
      <c r="D151" s="315" t="str">
        <f>IF('Statement of Marks'!E153="","",'Statement of Marks'!E153)</f>
        <v/>
      </c>
      <c r="E151" s="316" t="str">
        <f>IF('Statement of Marks'!F153="","",'Statement of Marks'!F153)</f>
        <v/>
      </c>
      <c r="F151" s="316" t="str">
        <f>IF('Statement of Marks'!G153="","",'Statement of Marks'!G153)</f>
        <v/>
      </c>
      <c r="G151" s="316" t="str">
        <f>IF('Statement of Marks'!H153="","",'Statement of Marks'!H153)</f>
        <v/>
      </c>
      <c r="H151" s="830" t="str">
        <f>IF('Statement of Marks'!HS153="","",'Statement of Marks'!HS153)</f>
        <v/>
      </c>
      <c r="I151" s="172" t="str">
        <f>IF('Statement of Marks'!HV153="","",'Statement of Marks'!HV153)</f>
        <v/>
      </c>
      <c r="J151" s="317" t="str">
        <f>IF('Statement of Marks'!HW153="","",'Statement of Marks'!HW153)</f>
        <v/>
      </c>
      <c r="K151" s="392" t="str">
        <f>'Statement of Marks'!GN153</f>
        <v/>
      </c>
      <c r="L151" s="392" t="str">
        <f>'Statement of Marks'!GQ153</f>
        <v/>
      </c>
      <c r="M151" s="181" t="str">
        <f>'Statement of Marks'!GU153</f>
        <v/>
      </c>
      <c r="N151" s="181" t="str">
        <f>'Statement of Marks'!GV153</f>
        <v/>
      </c>
      <c r="O151" s="181" t="str">
        <f>'Statement of Marks'!GW153</f>
        <v/>
      </c>
      <c r="P151" s="181" t="str">
        <f>'Statement of Marks'!GX153</f>
        <v/>
      </c>
      <c r="Q151" s="181" t="str">
        <f>'Statement of Marks'!GY153</f>
        <v/>
      </c>
      <c r="R151" s="392" t="str">
        <f>'Statement of Marks'!HB153</f>
        <v/>
      </c>
      <c r="S151" s="392" t="str">
        <f>'Statement of Marks'!HE153</f>
        <v/>
      </c>
      <c r="T151" s="392" t="str">
        <f>'Statement of Marks'!HH153</f>
        <v/>
      </c>
      <c r="U151" s="392" t="str">
        <f>'Statement of Marks'!HK153</f>
        <v/>
      </c>
      <c r="V151" s="318"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9">
        <f>IF('Statement of Marks'!A154="","",'Statement of Marks'!A154)</f>
        <v>148</v>
      </c>
      <c r="B152" s="169" t="str">
        <f>IF('Statement of Marks'!B154="","",'Statement of Marks'!B154)</f>
        <v/>
      </c>
      <c r="C152" s="169" t="str">
        <f>IF('Statement of Marks'!D154="","",'Statement of Marks'!D154)</f>
        <v/>
      </c>
      <c r="D152" s="315" t="str">
        <f>IF('Statement of Marks'!E154="","",'Statement of Marks'!E154)</f>
        <v/>
      </c>
      <c r="E152" s="316" t="str">
        <f>IF('Statement of Marks'!F154="","",'Statement of Marks'!F154)</f>
        <v/>
      </c>
      <c r="F152" s="316" t="str">
        <f>IF('Statement of Marks'!G154="","",'Statement of Marks'!G154)</f>
        <v/>
      </c>
      <c r="G152" s="316" t="str">
        <f>IF('Statement of Marks'!H154="","",'Statement of Marks'!H154)</f>
        <v/>
      </c>
      <c r="H152" s="830" t="str">
        <f>IF('Statement of Marks'!HS154="","",'Statement of Marks'!HS154)</f>
        <v/>
      </c>
      <c r="I152" s="172" t="str">
        <f>IF('Statement of Marks'!HV154="","",'Statement of Marks'!HV154)</f>
        <v/>
      </c>
      <c r="J152" s="317" t="str">
        <f>IF('Statement of Marks'!HW154="","",'Statement of Marks'!HW154)</f>
        <v/>
      </c>
      <c r="K152" s="392" t="str">
        <f>'Statement of Marks'!GN154</f>
        <v/>
      </c>
      <c r="L152" s="392" t="str">
        <f>'Statement of Marks'!GQ154</f>
        <v/>
      </c>
      <c r="M152" s="181" t="str">
        <f>'Statement of Marks'!GU154</f>
        <v/>
      </c>
      <c r="N152" s="181" t="str">
        <f>'Statement of Marks'!GV154</f>
        <v/>
      </c>
      <c r="O152" s="181" t="str">
        <f>'Statement of Marks'!GW154</f>
        <v/>
      </c>
      <c r="P152" s="181" t="str">
        <f>'Statement of Marks'!GX154</f>
        <v/>
      </c>
      <c r="Q152" s="181" t="str">
        <f>'Statement of Marks'!GY154</f>
        <v/>
      </c>
      <c r="R152" s="392" t="str">
        <f>'Statement of Marks'!HB154</f>
        <v/>
      </c>
      <c r="S152" s="392" t="str">
        <f>'Statement of Marks'!HE154</f>
        <v/>
      </c>
      <c r="T152" s="392" t="str">
        <f>'Statement of Marks'!HH154</f>
        <v/>
      </c>
      <c r="U152" s="392" t="str">
        <f>'Statement of Marks'!HK154</f>
        <v/>
      </c>
      <c r="V152" s="318"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9">
        <f>IF('Statement of Marks'!A155="","",'Statement of Marks'!A155)</f>
        <v>149</v>
      </c>
      <c r="B153" s="169" t="str">
        <f>IF('Statement of Marks'!B155="","",'Statement of Marks'!B155)</f>
        <v/>
      </c>
      <c r="C153" s="169" t="str">
        <f>IF('Statement of Marks'!D155="","",'Statement of Marks'!D155)</f>
        <v/>
      </c>
      <c r="D153" s="315" t="str">
        <f>IF('Statement of Marks'!E155="","",'Statement of Marks'!E155)</f>
        <v/>
      </c>
      <c r="E153" s="316" t="str">
        <f>IF('Statement of Marks'!F155="","",'Statement of Marks'!F155)</f>
        <v/>
      </c>
      <c r="F153" s="316" t="str">
        <f>IF('Statement of Marks'!G155="","",'Statement of Marks'!G155)</f>
        <v/>
      </c>
      <c r="G153" s="316" t="str">
        <f>IF('Statement of Marks'!H155="","",'Statement of Marks'!H155)</f>
        <v/>
      </c>
      <c r="H153" s="830" t="str">
        <f>IF('Statement of Marks'!HS155="","",'Statement of Marks'!HS155)</f>
        <v/>
      </c>
      <c r="I153" s="172" t="str">
        <f>IF('Statement of Marks'!HV155="","",'Statement of Marks'!HV155)</f>
        <v/>
      </c>
      <c r="J153" s="317" t="str">
        <f>IF('Statement of Marks'!HW155="","",'Statement of Marks'!HW155)</f>
        <v/>
      </c>
      <c r="K153" s="392" t="str">
        <f>'Statement of Marks'!GN155</f>
        <v/>
      </c>
      <c r="L153" s="392" t="str">
        <f>'Statement of Marks'!GQ155</f>
        <v/>
      </c>
      <c r="M153" s="181" t="str">
        <f>'Statement of Marks'!GU155</f>
        <v/>
      </c>
      <c r="N153" s="181" t="str">
        <f>'Statement of Marks'!GV155</f>
        <v/>
      </c>
      <c r="O153" s="181" t="str">
        <f>'Statement of Marks'!GW155</f>
        <v/>
      </c>
      <c r="P153" s="181" t="str">
        <f>'Statement of Marks'!GX155</f>
        <v/>
      </c>
      <c r="Q153" s="181" t="str">
        <f>'Statement of Marks'!GY155</f>
        <v/>
      </c>
      <c r="R153" s="392" t="str">
        <f>'Statement of Marks'!HB155</f>
        <v/>
      </c>
      <c r="S153" s="392" t="str">
        <f>'Statement of Marks'!HE155</f>
        <v/>
      </c>
      <c r="T153" s="392" t="str">
        <f>'Statement of Marks'!HH155</f>
        <v/>
      </c>
      <c r="U153" s="392" t="str">
        <f>'Statement of Marks'!HK155</f>
        <v/>
      </c>
      <c r="V153" s="318"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9">
        <f>IF('Statement of Marks'!A156="","",'Statement of Marks'!A156)</f>
        <v>150</v>
      </c>
      <c r="B154" s="169" t="str">
        <f>IF('Statement of Marks'!B156="","",'Statement of Marks'!B156)</f>
        <v/>
      </c>
      <c r="C154" s="169" t="str">
        <f>IF('Statement of Marks'!D156="","",'Statement of Marks'!D156)</f>
        <v/>
      </c>
      <c r="D154" s="315" t="str">
        <f>IF('Statement of Marks'!E156="","",'Statement of Marks'!E156)</f>
        <v/>
      </c>
      <c r="E154" s="316" t="str">
        <f>IF('Statement of Marks'!F156="","",'Statement of Marks'!F156)</f>
        <v/>
      </c>
      <c r="F154" s="316" t="str">
        <f>IF('Statement of Marks'!G156="","",'Statement of Marks'!G156)</f>
        <v/>
      </c>
      <c r="G154" s="316" t="str">
        <f>IF('Statement of Marks'!H156="","",'Statement of Marks'!H156)</f>
        <v/>
      </c>
      <c r="H154" s="830" t="str">
        <f>IF('Statement of Marks'!HS156="","",'Statement of Marks'!HS156)</f>
        <v/>
      </c>
      <c r="I154" s="172" t="str">
        <f>IF('Statement of Marks'!HV156="","",'Statement of Marks'!HV156)</f>
        <v/>
      </c>
      <c r="J154" s="317" t="str">
        <f>IF('Statement of Marks'!HW156="","",'Statement of Marks'!HW156)</f>
        <v/>
      </c>
      <c r="K154" s="392" t="str">
        <f>'Statement of Marks'!GN156</f>
        <v/>
      </c>
      <c r="L154" s="392" t="str">
        <f>'Statement of Marks'!GQ156</f>
        <v/>
      </c>
      <c r="M154" s="181" t="str">
        <f>'Statement of Marks'!GU156</f>
        <v/>
      </c>
      <c r="N154" s="181" t="str">
        <f>'Statement of Marks'!GV156</f>
        <v/>
      </c>
      <c r="O154" s="181" t="str">
        <f>'Statement of Marks'!GW156</f>
        <v/>
      </c>
      <c r="P154" s="181" t="str">
        <f>'Statement of Marks'!GX156</f>
        <v/>
      </c>
      <c r="Q154" s="181" t="str">
        <f>'Statement of Marks'!GY156</f>
        <v/>
      </c>
      <c r="R154" s="392" t="str">
        <f>'Statement of Marks'!HB156</f>
        <v/>
      </c>
      <c r="S154" s="392" t="str">
        <f>'Statement of Marks'!HE156</f>
        <v/>
      </c>
      <c r="T154" s="392" t="str">
        <f>'Statement of Marks'!HH156</f>
        <v/>
      </c>
      <c r="U154" s="392" t="str">
        <f>'Statement of Marks'!HK156</f>
        <v/>
      </c>
      <c r="V154" s="318"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9">
        <f>IF('Statement of Marks'!A157="","",'Statement of Marks'!A157)</f>
        <v>151</v>
      </c>
      <c r="B155" s="169" t="str">
        <f>IF('Statement of Marks'!B157="","",'Statement of Marks'!B157)</f>
        <v/>
      </c>
      <c r="C155" s="169" t="str">
        <f>IF('Statement of Marks'!D157="","",'Statement of Marks'!D157)</f>
        <v/>
      </c>
      <c r="D155" s="315" t="str">
        <f>IF('Statement of Marks'!E157="","",'Statement of Marks'!E157)</f>
        <v/>
      </c>
      <c r="E155" s="316" t="str">
        <f>IF('Statement of Marks'!F157="","",'Statement of Marks'!F157)</f>
        <v/>
      </c>
      <c r="F155" s="316" t="str">
        <f>IF('Statement of Marks'!G157="","",'Statement of Marks'!G157)</f>
        <v/>
      </c>
      <c r="G155" s="316" t="str">
        <f>IF('Statement of Marks'!H157="","",'Statement of Marks'!H157)</f>
        <v/>
      </c>
      <c r="H155" s="830" t="str">
        <f>IF('Statement of Marks'!HS157="","",'Statement of Marks'!HS157)</f>
        <v/>
      </c>
      <c r="I155" s="172" t="str">
        <f>IF('Statement of Marks'!HV157="","",'Statement of Marks'!HV157)</f>
        <v/>
      </c>
      <c r="J155" s="317" t="str">
        <f>IF('Statement of Marks'!HW157="","",'Statement of Marks'!HW157)</f>
        <v/>
      </c>
      <c r="K155" s="392" t="str">
        <f>'Statement of Marks'!GN157</f>
        <v/>
      </c>
      <c r="L155" s="392" t="str">
        <f>'Statement of Marks'!GQ157</f>
        <v/>
      </c>
      <c r="M155" s="181" t="str">
        <f>'Statement of Marks'!GU157</f>
        <v/>
      </c>
      <c r="N155" s="181" t="str">
        <f>'Statement of Marks'!GV157</f>
        <v/>
      </c>
      <c r="O155" s="181" t="str">
        <f>'Statement of Marks'!GW157</f>
        <v/>
      </c>
      <c r="P155" s="181" t="str">
        <f>'Statement of Marks'!GX157</f>
        <v/>
      </c>
      <c r="Q155" s="181" t="str">
        <f>'Statement of Marks'!GY157</f>
        <v/>
      </c>
      <c r="R155" s="392" t="str">
        <f>'Statement of Marks'!HB157</f>
        <v/>
      </c>
      <c r="S155" s="392" t="str">
        <f>'Statement of Marks'!HE157</f>
        <v/>
      </c>
      <c r="T155" s="392" t="str">
        <f>'Statement of Marks'!HH157</f>
        <v/>
      </c>
      <c r="U155" s="392" t="str">
        <f>'Statement of Marks'!HK157</f>
        <v/>
      </c>
      <c r="V155" s="318"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9">
        <f>IF('Statement of Marks'!A158="","",'Statement of Marks'!A158)</f>
        <v>152</v>
      </c>
      <c r="B156" s="169" t="str">
        <f>IF('Statement of Marks'!B158="","",'Statement of Marks'!B158)</f>
        <v/>
      </c>
      <c r="C156" s="169" t="str">
        <f>IF('Statement of Marks'!D158="","",'Statement of Marks'!D158)</f>
        <v/>
      </c>
      <c r="D156" s="315" t="str">
        <f>IF('Statement of Marks'!E158="","",'Statement of Marks'!E158)</f>
        <v/>
      </c>
      <c r="E156" s="316" t="str">
        <f>IF('Statement of Marks'!F158="","",'Statement of Marks'!F158)</f>
        <v/>
      </c>
      <c r="F156" s="316" t="str">
        <f>IF('Statement of Marks'!G158="","",'Statement of Marks'!G158)</f>
        <v/>
      </c>
      <c r="G156" s="316" t="str">
        <f>IF('Statement of Marks'!H158="","",'Statement of Marks'!H158)</f>
        <v/>
      </c>
      <c r="H156" s="830" t="str">
        <f>IF('Statement of Marks'!HS158="","",'Statement of Marks'!HS158)</f>
        <v/>
      </c>
      <c r="I156" s="172" t="str">
        <f>IF('Statement of Marks'!HV158="","",'Statement of Marks'!HV158)</f>
        <v/>
      </c>
      <c r="J156" s="317" t="str">
        <f>IF('Statement of Marks'!HW158="","",'Statement of Marks'!HW158)</f>
        <v/>
      </c>
      <c r="K156" s="392" t="str">
        <f>'Statement of Marks'!GN158</f>
        <v/>
      </c>
      <c r="L156" s="392" t="str">
        <f>'Statement of Marks'!GQ158</f>
        <v/>
      </c>
      <c r="M156" s="181" t="str">
        <f>'Statement of Marks'!GU158</f>
        <v/>
      </c>
      <c r="N156" s="181" t="str">
        <f>'Statement of Marks'!GV158</f>
        <v/>
      </c>
      <c r="O156" s="181" t="str">
        <f>'Statement of Marks'!GW158</f>
        <v/>
      </c>
      <c r="P156" s="181" t="str">
        <f>'Statement of Marks'!GX158</f>
        <v/>
      </c>
      <c r="Q156" s="181" t="str">
        <f>'Statement of Marks'!GY158</f>
        <v/>
      </c>
      <c r="R156" s="392" t="str">
        <f>'Statement of Marks'!HB158</f>
        <v/>
      </c>
      <c r="S156" s="392" t="str">
        <f>'Statement of Marks'!HE158</f>
        <v/>
      </c>
      <c r="T156" s="392" t="str">
        <f>'Statement of Marks'!HH158</f>
        <v/>
      </c>
      <c r="U156" s="392" t="str">
        <f>'Statement of Marks'!HK158</f>
        <v/>
      </c>
      <c r="V156" s="318"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9">
        <f>IF('Statement of Marks'!A159="","",'Statement of Marks'!A159)</f>
        <v>153</v>
      </c>
      <c r="B157" s="169" t="str">
        <f>IF('Statement of Marks'!B159="","",'Statement of Marks'!B159)</f>
        <v/>
      </c>
      <c r="C157" s="169" t="str">
        <f>IF('Statement of Marks'!D159="","",'Statement of Marks'!D159)</f>
        <v/>
      </c>
      <c r="D157" s="315" t="str">
        <f>IF('Statement of Marks'!E159="","",'Statement of Marks'!E159)</f>
        <v/>
      </c>
      <c r="E157" s="316" t="str">
        <f>IF('Statement of Marks'!F159="","",'Statement of Marks'!F159)</f>
        <v/>
      </c>
      <c r="F157" s="316" t="str">
        <f>IF('Statement of Marks'!G159="","",'Statement of Marks'!G159)</f>
        <v/>
      </c>
      <c r="G157" s="316" t="str">
        <f>IF('Statement of Marks'!H159="","",'Statement of Marks'!H159)</f>
        <v/>
      </c>
      <c r="H157" s="830" t="str">
        <f>IF('Statement of Marks'!HS159="","",'Statement of Marks'!HS159)</f>
        <v/>
      </c>
      <c r="I157" s="172" t="str">
        <f>IF('Statement of Marks'!HV159="","",'Statement of Marks'!HV159)</f>
        <v/>
      </c>
      <c r="J157" s="317" t="str">
        <f>IF('Statement of Marks'!HW159="","",'Statement of Marks'!HW159)</f>
        <v/>
      </c>
      <c r="K157" s="392" t="str">
        <f>'Statement of Marks'!GN159</f>
        <v/>
      </c>
      <c r="L157" s="392" t="str">
        <f>'Statement of Marks'!GQ159</f>
        <v/>
      </c>
      <c r="M157" s="181" t="str">
        <f>'Statement of Marks'!GU159</f>
        <v/>
      </c>
      <c r="N157" s="181" t="str">
        <f>'Statement of Marks'!GV159</f>
        <v/>
      </c>
      <c r="O157" s="181" t="str">
        <f>'Statement of Marks'!GW159</f>
        <v/>
      </c>
      <c r="P157" s="181" t="str">
        <f>'Statement of Marks'!GX159</f>
        <v/>
      </c>
      <c r="Q157" s="181" t="str">
        <f>'Statement of Marks'!GY159</f>
        <v/>
      </c>
      <c r="R157" s="392" t="str">
        <f>'Statement of Marks'!HB159</f>
        <v/>
      </c>
      <c r="S157" s="392" t="str">
        <f>'Statement of Marks'!HE159</f>
        <v/>
      </c>
      <c r="T157" s="392" t="str">
        <f>'Statement of Marks'!HH159</f>
        <v/>
      </c>
      <c r="U157" s="392" t="str">
        <f>'Statement of Marks'!HK159</f>
        <v/>
      </c>
      <c r="V157" s="318"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9">
        <f>IF('Statement of Marks'!A160="","",'Statement of Marks'!A160)</f>
        <v>154</v>
      </c>
      <c r="B158" s="169" t="str">
        <f>IF('Statement of Marks'!B160="","",'Statement of Marks'!B160)</f>
        <v/>
      </c>
      <c r="C158" s="169" t="str">
        <f>IF('Statement of Marks'!D160="","",'Statement of Marks'!D160)</f>
        <v/>
      </c>
      <c r="D158" s="315" t="str">
        <f>IF('Statement of Marks'!E160="","",'Statement of Marks'!E160)</f>
        <v/>
      </c>
      <c r="E158" s="316" t="str">
        <f>IF('Statement of Marks'!F160="","",'Statement of Marks'!F160)</f>
        <v/>
      </c>
      <c r="F158" s="316" t="str">
        <f>IF('Statement of Marks'!G160="","",'Statement of Marks'!G160)</f>
        <v/>
      </c>
      <c r="G158" s="316" t="str">
        <f>IF('Statement of Marks'!H160="","",'Statement of Marks'!H160)</f>
        <v/>
      </c>
      <c r="H158" s="830" t="str">
        <f>IF('Statement of Marks'!HS160="","",'Statement of Marks'!HS160)</f>
        <v/>
      </c>
      <c r="I158" s="172" t="str">
        <f>IF('Statement of Marks'!HV160="","",'Statement of Marks'!HV160)</f>
        <v/>
      </c>
      <c r="J158" s="317" t="str">
        <f>IF('Statement of Marks'!HW160="","",'Statement of Marks'!HW160)</f>
        <v/>
      </c>
      <c r="K158" s="392" t="str">
        <f>'Statement of Marks'!GN160</f>
        <v/>
      </c>
      <c r="L158" s="392" t="str">
        <f>'Statement of Marks'!GQ160</f>
        <v/>
      </c>
      <c r="M158" s="181" t="str">
        <f>'Statement of Marks'!GU160</f>
        <v/>
      </c>
      <c r="N158" s="181" t="str">
        <f>'Statement of Marks'!GV160</f>
        <v/>
      </c>
      <c r="O158" s="181" t="str">
        <f>'Statement of Marks'!GW160</f>
        <v/>
      </c>
      <c r="P158" s="181" t="str">
        <f>'Statement of Marks'!GX160</f>
        <v/>
      </c>
      <c r="Q158" s="181" t="str">
        <f>'Statement of Marks'!GY160</f>
        <v/>
      </c>
      <c r="R158" s="392" t="str">
        <f>'Statement of Marks'!HB160</f>
        <v/>
      </c>
      <c r="S158" s="392" t="str">
        <f>'Statement of Marks'!HE160</f>
        <v/>
      </c>
      <c r="T158" s="392" t="str">
        <f>'Statement of Marks'!HH160</f>
        <v/>
      </c>
      <c r="U158" s="392" t="str">
        <f>'Statement of Marks'!HK160</f>
        <v/>
      </c>
      <c r="V158" s="318"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9">
        <f>IF('Statement of Marks'!A161="","",'Statement of Marks'!A161)</f>
        <v>155</v>
      </c>
      <c r="B159" s="169" t="str">
        <f>IF('Statement of Marks'!B161="","",'Statement of Marks'!B161)</f>
        <v/>
      </c>
      <c r="C159" s="169" t="str">
        <f>IF('Statement of Marks'!D161="","",'Statement of Marks'!D161)</f>
        <v/>
      </c>
      <c r="D159" s="315" t="str">
        <f>IF('Statement of Marks'!E161="","",'Statement of Marks'!E161)</f>
        <v/>
      </c>
      <c r="E159" s="316" t="str">
        <f>IF('Statement of Marks'!F161="","",'Statement of Marks'!F161)</f>
        <v/>
      </c>
      <c r="F159" s="316" t="str">
        <f>IF('Statement of Marks'!G161="","",'Statement of Marks'!G161)</f>
        <v/>
      </c>
      <c r="G159" s="316" t="str">
        <f>IF('Statement of Marks'!H161="","",'Statement of Marks'!H161)</f>
        <v/>
      </c>
      <c r="H159" s="830" t="str">
        <f>IF('Statement of Marks'!HS161="","",'Statement of Marks'!HS161)</f>
        <v/>
      </c>
      <c r="I159" s="172" t="str">
        <f>IF('Statement of Marks'!HV161="","",'Statement of Marks'!HV161)</f>
        <v/>
      </c>
      <c r="J159" s="317" t="str">
        <f>IF('Statement of Marks'!HW161="","",'Statement of Marks'!HW161)</f>
        <v/>
      </c>
      <c r="K159" s="392" t="str">
        <f>'Statement of Marks'!GN161</f>
        <v/>
      </c>
      <c r="L159" s="392" t="str">
        <f>'Statement of Marks'!GQ161</f>
        <v/>
      </c>
      <c r="M159" s="181" t="str">
        <f>'Statement of Marks'!GU161</f>
        <v/>
      </c>
      <c r="N159" s="181" t="str">
        <f>'Statement of Marks'!GV161</f>
        <v/>
      </c>
      <c r="O159" s="181" t="str">
        <f>'Statement of Marks'!GW161</f>
        <v/>
      </c>
      <c r="P159" s="181" t="str">
        <f>'Statement of Marks'!GX161</f>
        <v/>
      </c>
      <c r="Q159" s="181" t="str">
        <f>'Statement of Marks'!GY161</f>
        <v/>
      </c>
      <c r="R159" s="392" t="str">
        <f>'Statement of Marks'!HB161</f>
        <v/>
      </c>
      <c r="S159" s="392" t="str">
        <f>'Statement of Marks'!HE161</f>
        <v/>
      </c>
      <c r="T159" s="392" t="str">
        <f>'Statement of Marks'!HH161</f>
        <v/>
      </c>
      <c r="U159" s="392" t="str">
        <f>'Statement of Marks'!HK161</f>
        <v/>
      </c>
      <c r="V159" s="318"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9">
        <f>IF('Statement of Marks'!A162="","",'Statement of Marks'!A162)</f>
        <v>156</v>
      </c>
      <c r="B160" s="169" t="str">
        <f>IF('Statement of Marks'!B162="","",'Statement of Marks'!B162)</f>
        <v/>
      </c>
      <c r="C160" s="169" t="str">
        <f>IF('Statement of Marks'!D162="","",'Statement of Marks'!D162)</f>
        <v/>
      </c>
      <c r="D160" s="315" t="str">
        <f>IF('Statement of Marks'!E162="","",'Statement of Marks'!E162)</f>
        <v/>
      </c>
      <c r="E160" s="316" t="str">
        <f>IF('Statement of Marks'!F162="","",'Statement of Marks'!F162)</f>
        <v/>
      </c>
      <c r="F160" s="316" t="str">
        <f>IF('Statement of Marks'!G162="","",'Statement of Marks'!G162)</f>
        <v/>
      </c>
      <c r="G160" s="316" t="str">
        <f>IF('Statement of Marks'!H162="","",'Statement of Marks'!H162)</f>
        <v/>
      </c>
      <c r="H160" s="830" t="str">
        <f>IF('Statement of Marks'!HS162="","",'Statement of Marks'!HS162)</f>
        <v/>
      </c>
      <c r="I160" s="172" t="str">
        <f>IF('Statement of Marks'!HV162="","",'Statement of Marks'!HV162)</f>
        <v/>
      </c>
      <c r="J160" s="317" t="str">
        <f>IF('Statement of Marks'!HW162="","",'Statement of Marks'!HW162)</f>
        <v/>
      </c>
      <c r="K160" s="392" t="str">
        <f>'Statement of Marks'!GN162</f>
        <v/>
      </c>
      <c r="L160" s="392" t="str">
        <f>'Statement of Marks'!GQ162</f>
        <v/>
      </c>
      <c r="M160" s="181" t="str">
        <f>'Statement of Marks'!GU162</f>
        <v/>
      </c>
      <c r="N160" s="181" t="str">
        <f>'Statement of Marks'!GV162</f>
        <v/>
      </c>
      <c r="O160" s="181" t="str">
        <f>'Statement of Marks'!GW162</f>
        <v/>
      </c>
      <c r="P160" s="181" t="str">
        <f>'Statement of Marks'!GX162</f>
        <v/>
      </c>
      <c r="Q160" s="181" t="str">
        <f>'Statement of Marks'!GY162</f>
        <v/>
      </c>
      <c r="R160" s="392" t="str">
        <f>'Statement of Marks'!HB162</f>
        <v/>
      </c>
      <c r="S160" s="392" t="str">
        <f>'Statement of Marks'!HE162</f>
        <v/>
      </c>
      <c r="T160" s="392" t="str">
        <f>'Statement of Marks'!HH162</f>
        <v/>
      </c>
      <c r="U160" s="392" t="str">
        <f>'Statement of Marks'!HK162</f>
        <v/>
      </c>
      <c r="V160" s="318"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9">
        <f>IF('Statement of Marks'!A163="","",'Statement of Marks'!A163)</f>
        <v>157</v>
      </c>
      <c r="B161" s="169" t="str">
        <f>IF('Statement of Marks'!B163="","",'Statement of Marks'!B163)</f>
        <v/>
      </c>
      <c r="C161" s="169" t="str">
        <f>IF('Statement of Marks'!D163="","",'Statement of Marks'!D163)</f>
        <v/>
      </c>
      <c r="D161" s="315" t="str">
        <f>IF('Statement of Marks'!E163="","",'Statement of Marks'!E163)</f>
        <v/>
      </c>
      <c r="E161" s="316" t="str">
        <f>IF('Statement of Marks'!F163="","",'Statement of Marks'!F163)</f>
        <v/>
      </c>
      <c r="F161" s="316" t="str">
        <f>IF('Statement of Marks'!G163="","",'Statement of Marks'!G163)</f>
        <v/>
      </c>
      <c r="G161" s="316" t="str">
        <f>IF('Statement of Marks'!H163="","",'Statement of Marks'!H163)</f>
        <v/>
      </c>
      <c r="H161" s="830" t="str">
        <f>IF('Statement of Marks'!HS163="","",'Statement of Marks'!HS163)</f>
        <v/>
      </c>
      <c r="I161" s="172" t="str">
        <f>IF('Statement of Marks'!HV163="","",'Statement of Marks'!HV163)</f>
        <v/>
      </c>
      <c r="J161" s="317" t="str">
        <f>IF('Statement of Marks'!HW163="","",'Statement of Marks'!HW163)</f>
        <v/>
      </c>
      <c r="K161" s="392" t="str">
        <f>'Statement of Marks'!GN163</f>
        <v/>
      </c>
      <c r="L161" s="392" t="str">
        <f>'Statement of Marks'!GQ163</f>
        <v/>
      </c>
      <c r="M161" s="181" t="str">
        <f>'Statement of Marks'!GU163</f>
        <v/>
      </c>
      <c r="N161" s="181" t="str">
        <f>'Statement of Marks'!GV163</f>
        <v/>
      </c>
      <c r="O161" s="181" t="str">
        <f>'Statement of Marks'!GW163</f>
        <v/>
      </c>
      <c r="P161" s="181" t="str">
        <f>'Statement of Marks'!GX163</f>
        <v/>
      </c>
      <c r="Q161" s="181" t="str">
        <f>'Statement of Marks'!GY163</f>
        <v/>
      </c>
      <c r="R161" s="392" t="str">
        <f>'Statement of Marks'!HB163</f>
        <v/>
      </c>
      <c r="S161" s="392" t="str">
        <f>'Statement of Marks'!HE163</f>
        <v/>
      </c>
      <c r="T161" s="392" t="str">
        <f>'Statement of Marks'!HH163</f>
        <v/>
      </c>
      <c r="U161" s="392" t="str">
        <f>'Statement of Marks'!HK163</f>
        <v/>
      </c>
      <c r="V161" s="318"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9">
        <f>IF('Statement of Marks'!A164="","",'Statement of Marks'!A164)</f>
        <v>158</v>
      </c>
      <c r="B162" s="169" t="str">
        <f>IF('Statement of Marks'!B164="","",'Statement of Marks'!B164)</f>
        <v/>
      </c>
      <c r="C162" s="169" t="str">
        <f>IF('Statement of Marks'!D164="","",'Statement of Marks'!D164)</f>
        <v/>
      </c>
      <c r="D162" s="315" t="str">
        <f>IF('Statement of Marks'!E164="","",'Statement of Marks'!E164)</f>
        <v/>
      </c>
      <c r="E162" s="316" t="str">
        <f>IF('Statement of Marks'!F164="","",'Statement of Marks'!F164)</f>
        <v/>
      </c>
      <c r="F162" s="316" t="str">
        <f>IF('Statement of Marks'!G164="","",'Statement of Marks'!G164)</f>
        <v/>
      </c>
      <c r="G162" s="316" t="str">
        <f>IF('Statement of Marks'!H164="","",'Statement of Marks'!H164)</f>
        <v/>
      </c>
      <c r="H162" s="830" t="str">
        <f>IF('Statement of Marks'!HS164="","",'Statement of Marks'!HS164)</f>
        <v/>
      </c>
      <c r="I162" s="172" t="str">
        <f>IF('Statement of Marks'!HV164="","",'Statement of Marks'!HV164)</f>
        <v/>
      </c>
      <c r="J162" s="317" t="str">
        <f>IF('Statement of Marks'!HW164="","",'Statement of Marks'!HW164)</f>
        <v/>
      </c>
      <c r="K162" s="392" t="str">
        <f>'Statement of Marks'!GN164</f>
        <v/>
      </c>
      <c r="L162" s="392" t="str">
        <f>'Statement of Marks'!GQ164</f>
        <v/>
      </c>
      <c r="M162" s="181" t="str">
        <f>'Statement of Marks'!GU164</f>
        <v/>
      </c>
      <c r="N162" s="181" t="str">
        <f>'Statement of Marks'!GV164</f>
        <v/>
      </c>
      <c r="O162" s="181" t="str">
        <f>'Statement of Marks'!GW164</f>
        <v/>
      </c>
      <c r="P162" s="181" t="str">
        <f>'Statement of Marks'!GX164</f>
        <v/>
      </c>
      <c r="Q162" s="181" t="str">
        <f>'Statement of Marks'!GY164</f>
        <v/>
      </c>
      <c r="R162" s="392" t="str">
        <f>'Statement of Marks'!HB164</f>
        <v/>
      </c>
      <c r="S162" s="392" t="str">
        <f>'Statement of Marks'!HE164</f>
        <v/>
      </c>
      <c r="T162" s="392" t="str">
        <f>'Statement of Marks'!HH164</f>
        <v/>
      </c>
      <c r="U162" s="392" t="str">
        <f>'Statement of Marks'!HK164</f>
        <v/>
      </c>
      <c r="V162" s="318"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9">
        <f>IF('Statement of Marks'!A165="","",'Statement of Marks'!A165)</f>
        <v>159</v>
      </c>
      <c r="B163" s="169" t="str">
        <f>IF('Statement of Marks'!B165="","",'Statement of Marks'!B165)</f>
        <v/>
      </c>
      <c r="C163" s="169" t="str">
        <f>IF('Statement of Marks'!D165="","",'Statement of Marks'!D165)</f>
        <v/>
      </c>
      <c r="D163" s="315" t="str">
        <f>IF('Statement of Marks'!E165="","",'Statement of Marks'!E165)</f>
        <v/>
      </c>
      <c r="E163" s="316" t="str">
        <f>IF('Statement of Marks'!F165="","",'Statement of Marks'!F165)</f>
        <v/>
      </c>
      <c r="F163" s="316" t="str">
        <f>IF('Statement of Marks'!G165="","",'Statement of Marks'!G165)</f>
        <v/>
      </c>
      <c r="G163" s="316" t="str">
        <f>IF('Statement of Marks'!H165="","",'Statement of Marks'!H165)</f>
        <v/>
      </c>
      <c r="H163" s="830" t="str">
        <f>IF('Statement of Marks'!HS165="","",'Statement of Marks'!HS165)</f>
        <v/>
      </c>
      <c r="I163" s="172" t="str">
        <f>IF('Statement of Marks'!HV165="","",'Statement of Marks'!HV165)</f>
        <v/>
      </c>
      <c r="J163" s="317" t="str">
        <f>IF('Statement of Marks'!HW165="","",'Statement of Marks'!HW165)</f>
        <v/>
      </c>
      <c r="K163" s="392" t="str">
        <f>'Statement of Marks'!GN165</f>
        <v/>
      </c>
      <c r="L163" s="392" t="str">
        <f>'Statement of Marks'!GQ165</f>
        <v/>
      </c>
      <c r="M163" s="181" t="str">
        <f>'Statement of Marks'!GU165</f>
        <v/>
      </c>
      <c r="N163" s="181" t="str">
        <f>'Statement of Marks'!GV165</f>
        <v/>
      </c>
      <c r="O163" s="181" t="str">
        <f>'Statement of Marks'!GW165</f>
        <v/>
      </c>
      <c r="P163" s="181" t="str">
        <f>'Statement of Marks'!GX165</f>
        <v/>
      </c>
      <c r="Q163" s="181" t="str">
        <f>'Statement of Marks'!GY165</f>
        <v/>
      </c>
      <c r="R163" s="392" t="str">
        <f>'Statement of Marks'!HB165</f>
        <v/>
      </c>
      <c r="S163" s="392" t="str">
        <f>'Statement of Marks'!HE165</f>
        <v/>
      </c>
      <c r="T163" s="392" t="str">
        <f>'Statement of Marks'!HH165</f>
        <v/>
      </c>
      <c r="U163" s="392" t="str">
        <f>'Statement of Marks'!HK165</f>
        <v/>
      </c>
      <c r="V163" s="318"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9">
        <f>IF('Statement of Marks'!A166="","",'Statement of Marks'!A166)</f>
        <v>160</v>
      </c>
      <c r="B164" s="169" t="str">
        <f>IF('Statement of Marks'!B166="","",'Statement of Marks'!B166)</f>
        <v/>
      </c>
      <c r="C164" s="169" t="str">
        <f>IF('Statement of Marks'!D166="","",'Statement of Marks'!D166)</f>
        <v/>
      </c>
      <c r="D164" s="315" t="str">
        <f>IF('Statement of Marks'!E166="","",'Statement of Marks'!E166)</f>
        <v/>
      </c>
      <c r="E164" s="316" t="str">
        <f>IF('Statement of Marks'!F166="","",'Statement of Marks'!F166)</f>
        <v/>
      </c>
      <c r="F164" s="316" t="str">
        <f>IF('Statement of Marks'!G166="","",'Statement of Marks'!G166)</f>
        <v/>
      </c>
      <c r="G164" s="316" t="str">
        <f>IF('Statement of Marks'!H166="","",'Statement of Marks'!H166)</f>
        <v/>
      </c>
      <c r="H164" s="830" t="str">
        <f>IF('Statement of Marks'!HS166="","",'Statement of Marks'!HS166)</f>
        <v/>
      </c>
      <c r="I164" s="172" t="str">
        <f>IF('Statement of Marks'!HV166="","",'Statement of Marks'!HV166)</f>
        <v/>
      </c>
      <c r="J164" s="317" t="str">
        <f>IF('Statement of Marks'!HW166="","",'Statement of Marks'!HW166)</f>
        <v/>
      </c>
      <c r="K164" s="392" t="str">
        <f>'Statement of Marks'!GN166</f>
        <v/>
      </c>
      <c r="L164" s="392" t="str">
        <f>'Statement of Marks'!GQ166</f>
        <v/>
      </c>
      <c r="M164" s="181" t="str">
        <f>'Statement of Marks'!GU166</f>
        <v/>
      </c>
      <c r="N164" s="181" t="str">
        <f>'Statement of Marks'!GV166</f>
        <v/>
      </c>
      <c r="O164" s="181" t="str">
        <f>'Statement of Marks'!GW166</f>
        <v/>
      </c>
      <c r="P164" s="181" t="str">
        <f>'Statement of Marks'!GX166</f>
        <v/>
      </c>
      <c r="Q164" s="181" t="str">
        <f>'Statement of Marks'!GY166</f>
        <v/>
      </c>
      <c r="R164" s="392" t="str">
        <f>'Statement of Marks'!HB166</f>
        <v/>
      </c>
      <c r="S164" s="392" t="str">
        <f>'Statement of Marks'!HE166</f>
        <v/>
      </c>
      <c r="T164" s="392" t="str">
        <f>'Statement of Marks'!HH166</f>
        <v/>
      </c>
      <c r="U164" s="392" t="str">
        <f>'Statement of Marks'!HK166</f>
        <v/>
      </c>
      <c r="V164" s="318"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9">
        <f>IF('Statement of Marks'!A167="","",'Statement of Marks'!A167)</f>
        <v>161</v>
      </c>
      <c r="B165" s="169" t="str">
        <f>IF('Statement of Marks'!B167="","",'Statement of Marks'!B167)</f>
        <v/>
      </c>
      <c r="C165" s="169" t="str">
        <f>IF('Statement of Marks'!D167="","",'Statement of Marks'!D167)</f>
        <v/>
      </c>
      <c r="D165" s="315" t="str">
        <f>IF('Statement of Marks'!E167="","",'Statement of Marks'!E167)</f>
        <v/>
      </c>
      <c r="E165" s="316" t="str">
        <f>IF('Statement of Marks'!F167="","",'Statement of Marks'!F167)</f>
        <v/>
      </c>
      <c r="F165" s="316" t="str">
        <f>IF('Statement of Marks'!G167="","",'Statement of Marks'!G167)</f>
        <v/>
      </c>
      <c r="G165" s="316" t="str">
        <f>IF('Statement of Marks'!H167="","",'Statement of Marks'!H167)</f>
        <v/>
      </c>
      <c r="H165" s="830" t="str">
        <f>IF('Statement of Marks'!HS167="","",'Statement of Marks'!HS167)</f>
        <v/>
      </c>
      <c r="I165" s="172" t="str">
        <f>IF('Statement of Marks'!HV167="","",'Statement of Marks'!HV167)</f>
        <v/>
      </c>
      <c r="J165" s="317" t="str">
        <f>IF('Statement of Marks'!HW167="","",'Statement of Marks'!HW167)</f>
        <v/>
      </c>
      <c r="K165" s="392" t="str">
        <f>'Statement of Marks'!GN167</f>
        <v/>
      </c>
      <c r="L165" s="392" t="str">
        <f>'Statement of Marks'!GQ167</f>
        <v/>
      </c>
      <c r="M165" s="181" t="str">
        <f>'Statement of Marks'!GU167</f>
        <v/>
      </c>
      <c r="N165" s="181" t="str">
        <f>'Statement of Marks'!GV167</f>
        <v/>
      </c>
      <c r="O165" s="181" t="str">
        <f>'Statement of Marks'!GW167</f>
        <v/>
      </c>
      <c r="P165" s="181" t="str">
        <f>'Statement of Marks'!GX167</f>
        <v/>
      </c>
      <c r="Q165" s="181" t="str">
        <f>'Statement of Marks'!GY167</f>
        <v/>
      </c>
      <c r="R165" s="392" t="str">
        <f>'Statement of Marks'!HB167</f>
        <v/>
      </c>
      <c r="S165" s="392" t="str">
        <f>'Statement of Marks'!HE167</f>
        <v/>
      </c>
      <c r="T165" s="392" t="str">
        <f>'Statement of Marks'!HH167</f>
        <v/>
      </c>
      <c r="U165" s="392" t="str">
        <f>'Statement of Marks'!HK167</f>
        <v/>
      </c>
      <c r="V165" s="318"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9">
        <f>IF('Statement of Marks'!A168="","",'Statement of Marks'!A168)</f>
        <v>162</v>
      </c>
      <c r="B166" s="169" t="str">
        <f>IF('Statement of Marks'!B168="","",'Statement of Marks'!B168)</f>
        <v/>
      </c>
      <c r="C166" s="169" t="str">
        <f>IF('Statement of Marks'!D168="","",'Statement of Marks'!D168)</f>
        <v/>
      </c>
      <c r="D166" s="315" t="str">
        <f>IF('Statement of Marks'!E168="","",'Statement of Marks'!E168)</f>
        <v/>
      </c>
      <c r="E166" s="316" t="str">
        <f>IF('Statement of Marks'!F168="","",'Statement of Marks'!F168)</f>
        <v/>
      </c>
      <c r="F166" s="316" t="str">
        <f>IF('Statement of Marks'!G168="","",'Statement of Marks'!G168)</f>
        <v/>
      </c>
      <c r="G166" s="316" t="str">
        <f>IF('Statement of Marks'!H168="","",'Statement of Marks'!H168)</f>
        <v/>
      </c>
      <c r="H166" s="830" t="str">
        <f>IF('Statement of Marks'!HS168="","",'Statement of Marks'!HS168)</f>
        <v/>
      </c>
      <c r="I166" s="172" t="str">
        <f>IF('Statement of Marks'!HV168="","",'Statement of Marks'!HV168)</f>
        <v/>
      </c>
      <c r="J166" s="317" t="str">
        <f>IF('Statement of Marks'!HW168="","",'Statement of Marks'!HW168)</f>
        <v/>
      </c>
      <c r="K166" s="392" t="str">
        <f>'Statement of Marks'!GN168</f>
        <v/>
      </c>
      <c r="L166" s="392" t="str">
        <f>'Statement of Marks'!GQ168</f>
        <v/>
      </c>
      <c r="M166" s="181" t="str">
        <f>'Statement of Marks'!GU168</f>
        <v/>
      </c>
      <c r="N166" s="181" t="str">
        <f>'Statement of Marks'!GV168</f>
        <v/>
      </c>
      <c r="O166" s="181" t="str">
        <f>'Statement of Marks'!GW168</f>
        <v/>
      </c>
      <c r="P166" s="181" t="str">
        <f>'Statement of Marks'!GX168</f>
        <v/>
      </c>
      <c r="Q166" s="181" t="str">
        <f>'Statement of Marks'!GY168</f>
        <v/>
      </c>
      <c r="R166" s="392" t="str">
        <f>'Statement of Marks'!HB168</f>
        <v/>
      </c>
      <c r="S166" s="392" t="str">
        <f>'Statement of Marks'!HE168</f>
        <v/>
      </c>
      <c r="T166" s="392" t="str">
        <f>'Statement of Marks'!HH168</f>
        <v/>
      </c>
      <c r="U166" s="392" t="str">
        <f>'Statement of Marks'!HK168</f>
        <v/>
      </c>
      <c r="V166" s="318"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9">
        <f>IF('Statement of Marks'!A169="","",'Statement of Marks'!A169)</f>
        <v>163</v>
      </c>
      <c r="B167" s="169" t="str">
        <f>IF('Statement of Marks'!B169="","",'Statement of Marks'!B169)</f>
        <v/>
      </c>
      <c r="C167" s="169" t="str">
        <f>IF('Statement of Marks'!D169="","",'Statement of Marks'!D169)</f>
        <v/>
      </c>
      <c r="D167" s="315" t="str">
        <f>IF('Statement of Marks'!E169="","",'Statement of Marks'!E169)</f>
        <v/>
      </c>
      <c r="E167" s="316" t="str">
        <f>IF('Statement of Marks'!F169="","",'Statement of Marks'!F169)</f>
        <v/>
      </c>
      <c r="F167" s="316" t="str">
        <f>IF('Statement of Marks'!G169="","",'Statement of Marks'!G169)</f>
        <v/>
      </c>
      <c r="G167" s="316" t="str">
        <f>IF('Statement of Marks'!H169="","",'Statement of Marks'!H169)</f>
        <v/>
      </c>
      <c r="H167" s="830" t="str">
        <f>IF('Statement of Marks'!HS169="","",'Statement of Marks'!HS169)</f>
        <v/>
      </c>
      <c r="I167" s="172" t="str">
        <f>IF('Statement of Marks'!HV169="","",'Statement of Marks'!HV169)</f>
        <v/>
      </c>
      <c r="J167" s="317" t="str">
        <f>IF('Statement of Marks'!HW169="","",'Statement of Marks'!HW169)</f>
        <v/>
      </c>
      <c r="K167" s="392" t="str">
        <f>'Statement of Marks'!GN169</f>
        <v/>
      </c>
      <c r="L167" s="392" t="str">
        <f>'Statement of Marks'!GQ169</f>
        <v/>
      </c>
      <c r="M167" s="181" t="str">
        <f>'Statement of Marks'!GU169</f>
        <v/>
      </c>
      <c r="N167" s="181" t="str">
        <f>'Statement of Marks'!GV169</f>
        <v/>
      </c>
      <c r="O167" s="181" t="str">
        <f>'Statement of Marks'!GW169</f>
        <v/>
      </c>
      <c r="P167" s="181" t="str">
        <f>'Statement of Marks'!GX169</f>
        <v/>
      </c>
      <c r="Q167" s="181" t="str">
        <f>'Statement of Marks'!GY169</f>
        <v/>
      </c>
      <c r="R167" s="392" t="str">
        <f>'Statement of Marks'!HB169</f>
        <v/>
      </c>
      <c r="S167" s="392" t="str">
        <f>'Statement of Marks'!HE169</f>
        <v/>
      </c>
      <c r="T167" s="392" t="str">
        <f>'Statement of Marks'!HH169</f>
        <v/>
      </c>
      <c r="U167" s="392" t="str">
        <f>'Statement of Marks'!HK169</f>
        <v/>
      </c>
      <c r="V167" s="318"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9">
        <f>IF('Statement of Marks'!A170="","",'Statement of Marks'!A170)</f>
        <v>164</v>
      </c>
      <c r="B168" s="169" t="str">
        <f>IF('Statement of Marks'!B170="","",'Statement of Marks'!B170)</f>
        <v/>
      </c>
      <c r="C168" s="169" t="str">
        <f>IF('Statement of Marks'!D170="","",'Statement of Marks'!D170)</f>
        <v/>
      </c>
      <c r="D168" s="315" t="str">
        <f>IF('Statement of Marks'!E170="","",'Statement of Marks'!E170)</f>
        <v/>
      </c>
      <c r="E168" s="316" t="str">
        <f>IF('Statement of Marks'!F170="","",'Statement of Marks'!F170)</f>
        <v/>
      </c>
      <c r="F168" s="316" t="str">
        <f>IF('Statement of Marks'!G170="","",'Statement of Marks'!G170)</f>
        <v/>
      </c>
      <c r="G168" s="316" t="str">
        <f>IF('Statement of Marks'!H170="","",'Statement of Marks'!H170)</f>
        <v/>
      </c>
      <c r="H168" s="830" t="str">
        <f>IF('Statement of Marks'!HS170="","",'Statement of Marks'!HS170)</f>
        <v/>
      </c>
      <c r="I168" s="172" t="str">
        <f>IF('Statement of Marks'!HV170="","",'Statement of Marks'!HV170)</f>
        <v/>
      </c>
      <c r="J168" s="317" t="str">
        <f>IF('Statement of Marks'!HW170="","",'Statement of Marks'!HW170)</f>
        <v/>
      </c>
      <c r="K168" s="392" t="str">
        <f>'Statement of Marks'!GN170</f>
        <v/>
      </c>
      <c r="L168" s="392" t="str">
        <f>'Statement of Marks'!GQ170</f>
        <v/>
      </c>
      <c r="M168" s="181" t="str">
        <f>'Statement of Marks'!GU170</f>
        <v/>
      </c>
      <c r="N168" s="181" t="str">
        <f>'Statement of Marks'!GV170</f>
        <v/>
      </c>
      <c r="O168" s="181" t="str">
        <f>'Statement of Marks'!GW170</f>
        <v/>
      </c>
      <c r="P168" s="181" t="str">
        <f>'Statement of Marks'!GX170</f>
        <v/>
      </c>
      <c r="Q168" s="181" t="str">
        <f>'Statement of Marks'!GY170</f>
        <v/>
      </c>
      <c r="R168" s="392" t="str">
        <f>'Statement of Marks'!HB170</f>
        <v/>
      </c>
      <c r="S168" s="392" t="str">
        <f>'Statement of Marks'!HE170</f>
        <v/>
      </c>
      <c r="T168" s="392" t="str">
        <f>'Statement of Marks'!HH170</f>
        <v/>
      </c>
      <c r="U168" s="392" t="str">
        <f>'Statement of Marks'!HK170</f>
        <v/>
      </c>
      <c r="V168" s="318"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9">
        <f>IF('Statement of Marks'!A171="","",'Statement of Marks'!A171)</f>
        <v>165</v>
      </c>
      <c r="B169" s="169" t="str">
        <f>IF('Statement of Marks'!B171="","",'Statement of Marks'!B171)</f>
        <v/>
      </c>
      <c r="C169" s="169" t="str">
        <f>IF('Statement of Marks'!D171="","",'Statement of Marks'!D171)</f>
        <v/>
      </c>
      <c r="D169" s="315" t="str">
        <f>IF('Statement of Marks'!E171="","",'Statement of Marks'!E171)</f>
        <v/>
      </c>
      <c r="E169" s="316" t="str">
        <f>IF('Statement of Marks'!F171="","",'Statement of Marks'!F171)</f>
        <v/>
      </c>
      <c r="F169" s="316" t="str">
        <f>IF('Statement of Marks'!G171="","",'Statement of Marks'!G171)</f>
        <v/>
      </c>
      <c r="G169" s="316" t="str">
        <f>IF('Statement of Marks'!H171="","",'Statement of Marks'!H171)</f>
        <v/>
      </c>
      <c r="H169" s="830" t="str">
        <f>IF('Statement of Marks'!HS171="","",'Statement of Marks'!HS171)</f>
        <v/>
      </c>
      <c r="I169" s="172" t="str">
        <f>IF('Statement of Marks'!HV171="","",'Statement of Marks'!HV171)</f>
        <v/>
      </c>
      <c r="J169" s="317" t="str">
        <f>IF('Statement of Marks'!HW171="","",'Statement of Marks'!HW171)</f>
        <v/>
      </c>
      <c r="K169" s="392" t="str">
        <f>'Statement of Marks'!GN171</f>
        <v/>
      </c>
      <c r="L169" s="392" t="str">
        <f>'Statement of Marks'!GQ171</f>
        <v/>
      </c>
      <c r="M169" s="181" t="str">
        <f>'Statement of Marks'!GU171</f>
        <v/>
      </c>
      <c r="N169" s="181" t="str">
        <f>'Statement of Marks'!GV171</f>
        <v/>
      </c>
      <c r="O169" s="181" t="str">
        <f>'Statement of Marks'!GW171</f>
        <v/>
      </c>
      <c r="P169" s="181" t="str">
        <f>'Statement of Marks'!GX171</f>
        <v/>
      </c>
      <c r="Q169" s="181" t="str">
        <f>'Statement of Marks'!GY171</f>
        <v/>
      </c>
      <c r="R169" s="392" t="str">
        <f>'Statement of Marks'!HB171</f>
        <v/>
      </c>
      <c r="S169" s="392" t="str">
        <f>'Statement of Marks'!HE171</f>
        <v/>
      </c>
      <c r="T169" s="392" t="str">
        <f>'Statement of Marks'!HH171</f>
        <v/>
      </c>
      <c r="U169" s="392" t="str">
        <f>'Statement of Marks'!HK171</f>
        <v/>
      </c>
      <c r="V169" s="318"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9">
        <f>IF('Statement of Marks'!A172="","",'Statement of Marks'!A172)</f>
        <v>166</v>
      </c>
      <c r="B170" s="169" t="str">
        <f>IF('Statement of Marks'!B172="","",'Statement of Marks'!B172)</f>
        <v/>
      </c>
      <c r="C170" s="169" t="str">
        <f>IF('Statement of Marks'!D172="","",'Statement of Marks'!D172)</f>
        <v/>
      </c>
      <c r="D170" s="315" t="str">
        <f>IF('Statement of Marks'!E172="","",'Statement of Marks'!E172)</f>
        <v/>
      </c>
      <c r="E170" s="316" t="str">
        <f>IF('Statement of Marks'!F172="","",'Statement of Marks'!F172)</f>
        <v/>
      </c>
      <c r="F170" s="316" t="str">
        <f>IF('Statement of Marks'!G172="","",'Statement of Marks'!G172)</f>
        <v/>
      </c>
      <c r="G170" s="316" t="str">
        <f>IF('Statement of Marks'!H172="","",'Statement of Marks'!H172)</f>
        <v/>
      </c>
      <c r="H170" s="830" t="str">
        <f>IF('Statement of Marks'!HS172="","",'Statement of Marks'!HS172)</f>
        <v/>
      </c>
      <c r="I170" s="172" t="str">
        <f>IF('Statement of Marks'!HV172="","",'Statement of Marks'!HV172)</f>
        <v/>
      </c>
      <c r="J170" s="317" t="str">
        <f>IF('Statement of Marks'!HW172="","",'Statement of Marks'!HW172)</f>
        <v/>
      </c>
      <c r="K170" s="392" t="str">
        <f>'Statement of Marks'!GN172</f>
        <v/>
      </c>
      <c r="L170" s="392" t="str">
        <f>'Statement of Marks'!GQ172</f>
        <v/>
      </c>
      <c r="M170" s="181" t="str">
        <f>'Statement of Marks'!GU172</f>
        <v/>
      </c>
      <c r="N170" s="181" t="str">
        <f>'Statement of Marks'!GV172</f>
        <v/>
      </c>
      <c r="O170" s="181" t="str">
        <f>'Statement of Marks'!GW172</f>
        <v/>
      </c>
      <c r="P170" s="181" t="str">
        <f>'Statement of Marks'!GX172</f>
        <v/>
      </c>
      <c r="Q170" s="181" t="str">
        <f>'Statement of Marks'!GY172</f>
        <v/>
      </c>
      <c r="R170" s="392" t="str">
        <f>'Statement of Marks'!HB172</f>
        <v/>
      </c>
      <c r="S170" s="392" t="str">
        <f>'Statement of Marks'!HE172</f>
        <v/>
      </c>
      <c r="T170" s="392" t="str">
        <f>'Statement of Marks'!HH172</f>
        <v/>
      </c>
      <c r="U170" s="392" t="str">
        <f>'Statement of Marks'!HK172</f>
        <v/>
      </c>
      <c r="V170" s="318"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9">
        <f>IF('Statement of Marks'!A173="","",'Statement of Marks'!A173)</f>
        <v>167</v>
      </c>
      <c r="B171" s="169" t="str">
        <f>IF('Statement of Marks'!B173="","",'Statement of Marks'!B173)</f>
        <v/>
      </c>
      <c r="C171" s="169" t="str">
        <f>IF('Statement of Marks'!D173="","",'Statement of Marks'!D173)</f>
        <v/>
      </c>
      <c r="D171" s="315" t="str">
        <f>IF('Statement of Marks'!E173="","",'Statement of Marks'!E173)</f>
        <v/>
      </c>
      <c r="E171" s="316" t="str">
        <f>IF('Statement of Marks'!F173="","",'Statement of Marks'!F173)</f>
        <v/>
      </c>
      <c r="F171" s="316" t="str">
        <f>IF('Statement of Marks'!G173="","",'Statement of Marks'!G173)</f>
        <v/>
      </c>
      <c r="G171" s="316" t="str">
        <f>IF('Statement of Marks'!H173="","",'Statement of Marks'!H173)</f>
        <v/>
      </c>
      <c r="H171" s="830" t="str">
        <f>IF('Statement of Marks'!HS173="","",'Statement of Marks'!HS173)</f>
        <v/>
      </c>
      <c r="I171" s="172" t="str">
        <f>IF('Statement of Marks'!HV173="","",'Statement of Marks'!HV173)</f>
        <v/>
      </c>
      <c r="J171" s="317" t="str">
        <f>IF('Statement of Marks'!HW173="","",'Statement of Marks'!HW173)</f>
        <v/>
      </c>
      <c r="K171" s="392" t="str">
        <f>'Statement of Marks'!GN173</f>
        <v/>
      </c>
      <c r="L171" s="392" t="str">
        <f>'Statement of Marks'!GQ173</f>
        <v/>
      </c>
      <c r="M171" s="181" t="str">
        <f>'Statement of Marks'!GU173</f>
        <v/>
      </c>
      <c r="N171" s="181" t="str">
        <f>'Statement of Marks'!GV173</f>
        <v/>
      </c>
      <c r="O171" s="181" t="str">
        <f>'Statement of Marks'!GW173</f>
        <v/>
      </c>
      <c r="P171" s="181" t="str">
        <f>'Statement of Marks'!GX173</f>
        <v/>
      </c>
      <c r="Q171" s="181" t="str">
        <f>'Statement of Marks'!GY173</f>
        <v/>
      </c>
      <c r="R171" s="392" t="str">
        <f>'Statement of Marks'!HB173</f>
        <v/>
      </c>
      <c r="S171" s="392" t="str">
        <f>'Statement of Marks'!HE173</f>
        <v/>
      </c>
      <c r="T171" s="392" t="str">
        <f>'Statement of Marks'!HH173</f>
        <v/>
      </c>
      <c r="U171" s="392" t="str">
        <f>'Statement of Marks'!HK173</f>
        <v/>
      </c>
      <c r="V171" s="318"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9">
        <f>IF('Statement of Marks'!A174="","",'Statement of Marks'!A174)</f>
        <v>168</v>
      </c>
      <c r="B172" s="169" t="str">
        <f>IF('Statement of Marks'!B174="","",'Statement of Marks'!B174)</f>
        <v/>
      </c>
      <c r="C172" s="169" t="str">
        <f>IF('Statement of Marks'!D174="","",'Statement of Marks'!D174)</f>
        <v/>
      </c>
      <c r="D172" s="315" t="str">
        <f>IF('Statement of Marks'!E174="","",'Statement of Marks'!E174)</f>
        <v/>
      </c>
      <c r="E172" s="316" t="str">
        <f>IF('Statement of Marks'!F174="","",'Statement of Marks'!F174)</f>
        <v/>
      </c>
      <c r="F172" s="316" t="str">
        <f>IF('Statement of Marks'!G174="","",'Statement of Marks'!G174)</f>
        <v/>
      </c>
      <c r="G172" s="316" t="str">
        <f>IF('Statement of Marks'!H174="","",'Statement of Marks'!H174)</f>
        <v/>
      </c>
      <c r="H172" s="830" t="str">
        <f>IF('Statement of Marks'!HS174="","",'Statement of Marks'!HS174)</f>
        <v/>
      </c>
      <c r="I172" s="172" t="str">
        <f>IF('Statement of Marks'!HV174="","",'Statement of Marks'!HV174)</f>
        <v/>
      </c>
      <c r="J172" s="317" t="str">
        <f>IF('Statement of Marks'!HW174="","",'Statement of Marks'!HW174)</f>
        <v/>
      </c>
      <c r="K172" s="392" t="str">
        <f>'Statement of Marks'!GN174</f>
        <v/>
      </c>
      <c r="L172" s="392" t="str">
        <f>'Statement of Marks'!GQ174</f>
        <v/>
      </c>
      <c r="M172" s="181" t="str">
        <f>'Statement of Marks'!GU174</f>
        <v/>
      </c>
      <c r="N172" s="181" t="str">
        <f>'Statement of Marks'!GV174</f>
        <v/>
      </c>
      <c r="O172" s="181" t="str">
        <f>'Statement of Marks'!GW174</f>
        <v/>
      </c>
      <c r="P172" s="181" t="str">
        <f>'Statement of Marks'!GX174</f>
        <v/>
      </c>
      <c r="Q172" s="181" t="str">
        <f>'Statement of Marks'!GY174</f>
        <v/>
      </c>
      <c r="R172" s="392" t="str">
        <f>'Statement of Marks'!HB174</f>
        <v/>
      </c>
      <c r="S172" s="392" t="str">
        <f>'Statement of Marks'!HE174</f>
        <v/>
      </c>
      <c r="T172" s="392" t="str">
        <f>'Statement of Marks'!HH174</f>
        <v/>
      </c>
      <c r="U172" s="392" t="str">
        <f>'Statement of Marks'!HK174</f>
        <v/>
      </c>
      <c r="V172" s="318"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9">
        <f>IF('Statement of Marks'!A175="","",'Statement of Marks'!A175)</f>
        <v>169</v>
      </c>
      <c r="B173" s="169" t="str">
        <f>IF('Statement of Marks'!B175="","",'Statement of Marks'!B175)</f>
        <v/>
      </c>
      <c r="C173" s="169" t="str">
        <f>IF('Statement of Marks'!D175="","",'Statement of Marks'!D175)</f>
        <v/>
      </c>
      <c r="D173" s="315" t="str">
        <f>IF('Statement of Marks'!E175="","",'Statement of Marks'!E175)</f>
        <v/>
      </c>
      <c r="E173" s="316" t="str">
        <f>IF('Statement of Marks'!F175="","",'Statement of Marks'!F175)</f>
        <v/>
      </c>
      <c r="F173" s="316" t="str">
        <f>IF('Statement of Marks'!G175="","",'Statement of Marks'!G175)</f>
        <v/>
      </c>
      <c r="G173" s="316" t="str">
        <f>IF('Statement of Marks'!H175="","",'Statement of Marks'!H175)</f>
        <v/>
      </c>
      <c r="H173" s="830" t="str">
        <f>IF('Statement of Marks'!HS175="","",'Statement of Marks'!HS175)</f>
        <v/>
      </c>
      <c r="I173" s="172" t="str">
        <f>IF('Statement of Marks'!HV175="","",'Statement of Marks'!HV175)</f>
        <v/>
      </c>
      <c r="J173" s="317" t="str">
        <f>IF('Statement of Marks'!HW175="","",'Statement of Marks'!HW175)</f>
        <v/>
      </c>
      <c r="K173" s="392" t="str">
        <f>'Statement of Marks'!GN175</f>
        <v/>
      </c>
      <c r="L173" s="392" t="str">
        <f>'Statement of Marks'!GQ175</f>
        <v/>
      </c>
      <c r="M173" s="181" t="str">
        <f>'Statement of Marks'!GU175</f>
        <v/>
      </c>
      <c r="N173" s="181" t="str">
        <f>'Statement of Marks'!GV175</f>
        <v/>
      </c>
      <c r="O173" s="181" t="str">
        <f>'Statement of Marks'!GW175</f>
        <v/>
      </c>
      <c r="P173" s="181" t="str">
        <f>'Statement of Marks'!GX175</f>
        <v/>
      </c>
      <c r="Q173" s="181" t="str">
        <f>'Statement of Marks'!GY175</f>
        <v/>
      </c>
      <c r="R173" s="392" t="str">
        <f>'Statement of Marks'!HB175</f>
        <v/>
      </c>
      <c r="S173" s="392" t="str">
        <f>'Statement of Marks'!HE175</f>
        <v/>
      </c>
      <c r="T173" s="392" t="str">
        <f>'Statement of Marks'!HH175</f>
        <v/>
      </c>
      <c r="U173" s="392" t="str">
        <f>'Statement of Marks'!HK175</f>
        <v/>
      </c>
      <c r="V173" s="318"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9">
        <f>IF('Statement of Marks'!A176="","",'Statement of Marks'!A176)</f>
        <v>170</v>
      </c>
      <c r="B174" s="169" t="str">
        <f>IF('Statement of Marks'!B176="","",'Statement of Marks'!B176)</f>
        <v/>
      </c>
      <c r="C174" s="169" t="str">
        <f>IF('Statement of Marks'!D176="","",'Statement of Marks'!D176)</f>
        <v/>
      </c>
      <c r="D174" s="315" t="str">
        <f>IF('Statement of Marks'!E176="","",'Statement of Marks'!E176)</f>
        <v/>
      </c>
      <c r="E174" s="316" t="str">
        <f>IF('Statement of Marks'!F176="","",'Statement of Marks'!F176)</f>
        <v/>
      </c>
      <c r="F174" s="316" t="str">
        <f>IF('Statement of Marks'!G176="","",'Statement of Marks'!G176)</f>
        <v/>
      </c>
      <c r="G174" s="316" t="str">
        <f>IF('Statement of Marks'!H176="","",'Statement of Marks'!H176)</f>
        <v/>
      </c>
      <c r="H174" s="830" t="str">
        <f>IF('Statement of Marks'!HS176="","",'Statement of Marks'!HS176)</f>
        <v/>
      </c>
      <c r="I174" s="172" t="str">
        <f>IF('Statement of Marks'!HV176="","",'Statement of Marks'!HV176)</f>
        <v/>
      </c>
      <c r="J174" s="317" t="str">
        <f>IF('Statement of Marks'!HW176="","",'Statement of Marks'!HW176)</f>
        <v/>
      </c>
      <c r="K174" s="392" t="str">
        <f>'Statement of Marks'!GN176</f>
        <v/>
      </c>
      <c r="L174" s="392" t="str">
        <f>'Statement of Marks'!GQ176</f>
        <v/>
      </c>
      <c r="M174" s="181" t="str">
        <f>'Statement of Marks'!GU176</f>
        <v/>
      </c>
      <c r="N174" s="181" t="str">
        <f>'Statement of Marks'!GV176</f>
        <v/>
      </c>
      <c r="O174" s="181" t="str">
        <f>'Statement of Marks'!GW176</f>
        <v/>
      </c>
      <c r="P174" s="181" t="str">
        <f>'Statement of Marks'!GX176</f>
        <v/>
      </c>
      <c r="Q174" s="181" t="str">
        <f>'Statement of Marks'!GY176</f>
        <v/>
      </c>
      <c r="R174" s="392" t="str">
        <f>'Statement of Marks'!HB176</f>
        <v/>
      </c>
      <c r="S174" s="392" t="str">
        <f>'Statement of Marks'!HE176</f>
        <v/>
      </c>
      <c r="T174" s="392" t="str">
        <f>'Statement of Marks'!HH176</f>
        <v/>
      </c>
      <c r="U174" s="392" t="str">
        <f>'Statement of Marks'!HK176</f>
        <v/>
      </c>
      <c r="V174" s="318"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9">
        <f>IF('Statement of Marks'!A177="","",'Statement of Marks'!A177)</f>
        <v>171</v>
      </c>
      <c r="B175" s="169" t="str">
        <f>IF('Statement of Marks'!B177="","",'Statement of Marks'!B177)</f>
        <v/>
      </c>
      <c r="C175" s="169" t="str">
        <f>IF('Statement of Marks'!D177="","",'Statement of Marks'!D177)</f>
        <v/>
      </c>
      <c r="D175" s="315" t="str">
        <f>IF('Statement of Marks'!E177="","",'Statement of Marks'!E177)</f>
        <v/>
      </c>
      <c r="E175" s="316" t="str">
        <f>IF('Statement of Marks'!F177="","",'Statement of Marks'!F177)</f>
        <v/>
      </c>
      <c r="F175" s="316" t="str">
        <f>IF('Statement of Marks'!G177="","",'Statement of Marks'!G177)</f>
        <v/>
      </c>
      <c r="G175" s="316" t="str">
        <f>IF('Statement of Marks'!H177="","",'Statement of Marks'!H177)</f>
        <v/>
      </c>
      <c r="H175" s="830" t="str">
        <f>IF('Statement of Marks'!HS177="","",'Statement of Marks'!HS177)</f>
        <v/>
      </c>
      <c r="I175" s="172" t="str">
        <f>IF('Statement of Marks'!HV177="","",'Statement of Marks'!HV177)</f>
        <v/>
      </c>
      <c r="J175" s="317" t="str">
        <f>IF('Statement of Marks'!HW177="","",'Statement of Marks'!HW177)</f>
        <v/>
      </c>
      <c r="K175" s="392" t="str">
        <f>'Statement of Marks'!GN177</f>
        <v/>
      </c>
      <c r="L175" s="392" t="str">
        <f>'Statement of Marks'!GQ177</f>
        <v/>
      </c>
      <c r="M175" s="181" t="str">
        <f>'Statement of Marks'!GU177</f>
        <v/>
      </c>
      <c r="N175" s="181" t="str">
        <f>'Statement of Marks'!GV177</f>
        <v/>
      </c>
      <c r="O175" s="181" t="str">
        <f>'Statement of Marks'!GW177</f>
        <v/>
      </c>
      <c r="P175" s="181" t="str">
        <f>'Statement of Marks'!GX177</f>
        <v/>
      </c>
      <c r="Q175" s="181" t="str">
        <f>'Statement of Marks'!GY177</f>
        <v/>
      </c>
      <c r="R175" s="392" t="str">
        <f>'Statement of Marks'!HB177</f>
        <v/>
      </c>
      <c r="S175" s="392" t="str">
        <f>'Statement of Marks'!HE177</f>
        <v/>
      </c>
      <c r="T175" s="392" t="str">
        <f>'Statement of Marks'!HH177</f>
        <v/>
      </c>
      <c r="U175" s="392" t="str">
        <f>'Statement of Marks'!HK177</f>
        <v/>
      </c>
      <c r="V175" s="318"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9">
        <f>IF('Statement of Marks'!A178="","",'Statement of Marks'!A178)</f>
        <v>172</v>
      </c>
      <c r="B176" s="169" t="str">
        <f>IF('Statement of Marks'!B178="","",'Statement of Marks'!B178)</f>
        <v/>
      </c>
      <c r="C176" s="169" t="str">
        <f>IF('Statement of Marks'!D178="","",'Statement of Marks'!D178)</f>
        <v/>
      </c>
      <c r="D176" s="315" t="str">
        <f>IF('Statement of Marks'!E178="","",'Statement of Marks'!E178)</f>
        <v/>
      </c>
      <c r="E176" s="316" t="str">
        <f>IF('Statement of Marks'!F178="","",'Statement of Marks'!F178)</f>
        <v/>
      </c>
      <c r="F176" s="316" t="str">
        <f>IF('Statement of Marks'!G178="","",'Statement of Marks'!G178)</f>
        <v/>
      </c>
      <c r="G176" s="316" t="str">
        <f>IF('Statement of Marks'!H178="","",'Statement of Marks'!H178)</f>
        <v/>
      </c>
      <c r="H176" s="830" t="str">
        <f>IF('Statement of Marks'!HS178="","",'Statement of Marks'!HS178)</f>
        <v/>
      </c>
      <c r="I176" s="172" t="str">
        <f>IF('Statement of Marks'!HV178="","",'Statement of Marks'!HV178)</f>
        <v/>
      </c>
      <c r="J176" s="317" t="str">
        <f>IF('Statement of Marks'!HW178="","",'Statement of Marks'!HW178)</f>
        <v/>
      </c>
      <c r="K176" s="392" t="str">
        <f>'Statement of Marks'!GN178</f>
        <v/>
      </c>
      <c r="L176" s="392" t="str">
        <f>'Statement of Marks'!GQ178</f>
        <v/>
      </c>
      <c r="M176" s="181" t="str">
        <f>'Statement of Marks'!GU178</f>
        <v/>
      </c>
      <c r="N176" s="181" t="str">
        <f>'Statement of Marks'!GV178</f>
        <v/>
      </c>
      <c r="O176" s="181" t="str">
        <f>'Statement of Marks'!GW178</f>
        <v/>
      </c>
      <c r="P176" s="181" t="str">
        <f>'Statement of Marks'!GX178</f>
        <v/>
      </c>
      <c r="Q176" s="181" t="str">
        <f>'Statement of Marks'!GY178</f>
        <v/>
      </c>
      <c r="R176" s="392" t="str">
        <f>'Statement of Marks'!HB178</f>
        <v/>
      </c>
      <c r="S176" s="392" t="str">
        <f>'Statement of Marks'!HE178</f>
        <v/>
      </c>
      <c r="T176" s="392" t="str">
        <f>'Statement of Marks'!HH178</f>
        <v/>
      </c>
      <c r="U176" s="392" t="str">
        <f>'Statement of Marks'!HK178</f>
        <v/>
      </c>
      <c r="V176" s="318"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9">
        <f>IF('Statement of Marks'!A179="","",'Statement of Marks'!A179)</f>
        <v>173</v>
      </c>
      <c r="B177" s="169" t="str">
        <f>IF('Statement of Marks'!B179="","",'Statement of Marks'!B179)</f>
        <v/>
      </c>
      <c r="C177" s="169" t="str">
        <f>IF('Statement of Marks'!D179="","",'Statement of Marks'!D179)</f>
        <v/>
      </c>
      <c r="D177" s="315" t="str">
        <f>IF('Statement of Marks'!E179="","",'Statement of Marks'!E179)</f>
        <v/>
      </c>
      <c r="E177" s="316" t="str">
        <f>IF('Statement of Marks'!F179="","",'Statement of Marks'!F179)</f>
        <v/>
      </c>
      <c r="F177" s="316" t="str">
        <f>IF('Statement of Marks'!G179="","",'Statement of Marks'!G179)</f>
        <v/>
      </c>
      <c r="G177" s="316" t="str">
        <f>IF('Statement of Marks'!H179="","",'Statement of Marks'!H179)</f>
        <v/>
      </c>
      <c r="H177" s="830" t="str">
        <f>IF('Statement of Marks'!HS179="","",'Statement of Marks'!HS179)</f>
        <v/>
      </c>
      <c r="I177" s="172" t="str">
        <f>IF('Statement of Marks'!HV179="","",'Statement of Marks'!HV179)</f>
        <v/>
      </c>
      <c r="J177" s="317" t="str">
        <f>IF('Statement of Marks'!HW179="","",'Statement of Marks'!HW179)</f>
        <v/>
      </c>
      <c r="K177" s="392" t="str">
        <f>'Statement of Marks'!GN179</f>
        <v/>
      </c>
      <c r="L177" s="392" t="str">
        <f>'Statement of Marks'!GQ179</f>
        <v/>
      </c>
      <c r="M177" s="181" t="str">
        <f>'Statement of Marks'!GU179</f>
        <v/>
      </c>
      <c r="N177" s="181" t="str">
        <f>'Statement of Marks'!GV179</f>
        <v/>
      </c>
      <c r="O177" s="181" t="str">
        <f>'Statement of Marks'!GW179</f>
        <v/>
      </c>
      <c r="P177" s="181" t="str">
        <f>'Statement of Marks'!GX179</f>
        <v/>
      </c>
      <c r="Q177" s="181" t="str">
        <f>'Statement of Marks'!GY179</f>
        <v/>
      </c>
      <c r="R177" s="392" t="str">
        <f>'Statement of Marks'!HB179</f>
        <v/>
      </c>
      <c r="S177" s="392" t="str">
        <f>'Statement of Marks'!HE179</f>
        <v/>
      </c>
      <c r="T177" s="392" t="str">
        <f>'Statement of Marks'!HH179</f>
        <v/>
      </c>
      <c r="U177" s="392" t="str">
        <f>'Statement of Marks'!HK179</f>
        <v/>
      </c>
      <c r="V177" s="318"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9">
        <f>IF('Statement of Marks'!A180="","",'Statement of Marks'!A180)</f>
        <v>174</v>
      </c>
      <c r="B178" s="169" t="str">
        <f>IF('Statement of Marks'!B180="","",'Statement of Marks'!B180)</f>
        <v/>
      </c>
      <c r="C178" s="169" t="str">
        <f>IF('Statement of Marks'!D180="","",'Statement of Marks'!D180)</f>
        <v/>
      </c>
      <c r="D178" s="315" t="str">
        <f>IF('Statement of Marks'!E180="","",'Statement of Marks'!E180)</f>
        <v/>
      </c>
      <c r="E178" s="316" t="str">
        <f>IF('Statement of Marks'!F180="","",'Statement of Marks'!F180)</f>
        <v/>
      </c>
      <c r="F178" s="316" t="str">
        <f>IF('Statement of Marks'!G180="","",'Statement of Marks'!G180)</f>
        <v/>
      </c>
      <c r="G178" s="316" t="str">
        <f>IF('Statement of Marks'!H180="","",'Statement of Marks'!H180)</f>
        <v/>
      </c>
      <c r="H178" s="830" t="str">
        <f>IF('Statement of Marks'!HS180="","",'Statement of Marks'!HS180)</f>
        <v/>
      </c>
      <c r="I178" s="172" t="str">
        <f>IF('Statement of Marks'!HV180="","",'Statement of Marks'!HV180)</f>
        <v/>
      </c>
      <c r="J178" s="317" t="str">
        <f>IF('Statement of Marks'!HW180="","",'Statement of Marks'!HW180)</f>
        <v/>
      </c>
      <c r="K178" s="392" t="str">
        <f>'Statement of Marks'!GN180</f>
        <v/>
      </c>
      <c r="L178" s="392" t="str">
        <f>'Statement of Marks'!GQ180</f>
        <v/>
      </c>
      <c r="M178" s="181" t="str">
        <f>'Statement of Marks'!GU180</f>
        <v/>
      </c>
      <c r="N178" s="181" t="str">
        <f>'Statement of Marks'!GV180</f>
        <v/>
      </c>
      <c r="O178" s="181" t="str">
        <f>'Statement of Marks'!GW180</f>
        <v/>
      </c>
      <c r="P178" s="181" t="str">
        <f>'Statement of Marks'!GX180</f>
        <v/>
      </c>
      <c r="Q178" s="181" t="str">
        <f>'Statement of Marks'!GY180</f>
        <v/>
      </c>
      <c r="R178" s="392" t="str">
        <f>'Statement of Marks'!HB180</f>
        <v/>
      </c>
      <c r="S178" s="392" t="str">
        <f>'Statement of Marks'!HE180</f>
        <v/>
      </c>
      <c r="T178" s="392" t="str">
        <f>'Statement of Marks'!HH180</f>
        <v/>
      </c>
      <c r="U178" s="392" t="str">
        <f>'Statement of Marks'!HK180</f>
        <v/>
      </c>
      <c r="V178" s="318"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9">
        <f>IF('Statement of Marks'!A181="","",'Statement of Marks'!A181)</f>
        <v>175</v>
      </c>
      <c r="B179" s="169" t="str">
        <f>IF('Statement of Marks'!B181="","",'Statement of Marks'!B181)</f>
        <v/>
      </c>
      <c r="C179" s="169" t="str">
        <f>IF('Statement of Marks'!D181="","",'Statement of Marks'!D181)</f>
        <v/>
      </c>
      <c r="D179" s="315" t="str">
        <f>IF('Statement of Marks'!E181="","",'Statement of Marks'!E181)</f>
        <v/>
      </c>
      <c r="E179" s="316" t="str">
        <f>IF('Statement of Marks'!F181="","",'Statement of Marks'!F181)</f>
        <v/>
      </c>
      <c r="F179" s="316" t="str">
        <f>IF('Statement of Marks'!G181="","",'Statement of Marks'!G181)</f>
        <v/>
      </c>
      <c r="G179" s="316" t="str">
        <f>IF('Statement of Marks'!H181="","",'Statement of Marks'!H181)</f>
        <v/>
      </c>
      <c r="H179" s="830" t="str">
        <f>IF('Statement of Marks'!HS181="","",'Statement of Marks'!HS181)</f>
        <v/>
      </c>
      <c r="I179" s="172" t="str">
        <f>IF('Statement of Marks'!HV181="","",'Statement of Marks'!HV181)</f>
        <v/>
      </c>
      <c r="J179" s="317" t="str">
        <f>IF('Statement of Marks'!HW181="","",'Statement of Marks'!HW181)</f>
        <v/>
      </c>
      <c r="K179" s="392" t="str">
        <f>'Statement of Marks'!GN181</f>
        <v/>
      </c>
      <c r="L179" s="392" t="str">
        <f>'Statement of Marks'!GQ181</f>
        <v/>
      </c>
      <c r="M179" s="181" t="str">
        <f>'Statement of Marks'!GU181</f>
        <v/>
      </c>
      <c r="N179" s="181" t="str">
        <f>'Statement of Marks'!GV181</f>
        <v/>
      </c>
      <c r="O179" s="181" t="str">
        <f>'Statement of Marks'!GW181</f>
        <v/>
      </c>
      <c r="P179" s="181" t="str">
        <f>'Statement of Marks'!GX181</f>
        <v/>
      </c>
      <c r="Q179" s="181" t="str">
        <f>'Statement of Marks'!GY181</f>
        <v/>
      </c>
      <c r="R179" s="392" t="str">
        <f>'Statement of Marks'!HB181</f>
        <v/>
      </c>
      <c r="S179" s="392" t="str">
        <f>'Statement of Marks'!HE181</f>
        <v/>
      </c>
      <c r="T179" s="392" t="str">
        <f>'Statement of Marks'!HH181</f>
        <v/>
      </c>
      <c r="U179" s="392" t="str">
        <f>'Statement of Marks'!HK181</f>
        <v/>
      </c>
      <c r="V179" s="318"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9">
        <f>IF('Statement of Marks'!A182="","",'Statement of Marks'!A182)</f>
        <v>176</v>
      </c>
      <c r="B180" s="169" t="str">
        <f>IF('Statement of Marks'!B182="","",'Statement of Marks'!B182)</f>
        <v/>
      </c>
      <c r="C180" s="169" t="str">
        <f>IF('Statement of Marks'!D182="","",'Statement of Marks'!D182)</f>
        <v/>
      </c>
      <c r="D180" s="315" t="str">
        <f>IF('Statement of Marks'!E182="","",'Statement of Marks'!E182)</f>
        <v/>
      </c>
      <c r="E180" s="316" t="str">
        <f>IF('Statement of Marks'!F182="","",'Statement of Marks'!F182)</f>
        <v/>
      </c>
      <c r="F180" s="316" t="str">
        <f>IF('Statement of Marks'!G182="","",'Statement of Marks'!G182)</f>
        <v/>
      </c>
      <c r="G180" s="316" t="str">
        <f>IF('Statement of Marks'!H182="","",'Statement of Marks'!H182)</f>
        <v/>
      </c>
      <c r="H180" s="830" t="str">
        <f>IF('Statement of Marks'!HS182="","",'Statement of Marks'!HS182)</f>
        <v/>
      </c>
      <c r="I180" s="172" t="str">
        <f>IF('Statement of Marks'!HV182="","",'Statement of Marks'!HV182)</f>
        <v/>
      </c>
      <c r="J180" s="317" t="str">
        <f>IF('Statement of Marks'!HW182="","",'Statement of Marks'!HW182)</f>
        <v/>
      </c>
      <c r="K180" s="392" t="str">
        <f>'Statement of Marks'!GN182</f>
        <v/>
      </c>
      <c r="L180" s="392" t="str">
        <f>'Statement of Marks'!GQ182</f>
        <v/>
      </c>
      <c r="M180" s="181" t="str">
        <f>'Statement of Marks'!GU182</f>
        <v/>
      </c>
      <c r="N180" s="181" t="str">
        <f>'Statement of Marks'!GV182</f>
        <v/>
      </c>
      <c r="O180" s="181" t="str">
        <f>'Statement of Marks'!GW182</f>
        <v/>
      </c>
      <c r="P180" s="181" t="str">
        <f>'Statement of Marks'!GX182</f>
        <v/>
      </c>
      <c r="Q180" s="181" t="str">
        <f>'Statement of Marks'!GY182</f>
        <v/>
      </c>
      <c r="R180" s="392" t="str">
        <f>'Statement of Marks'!HB182</f>
        <v/>
      </c>
      <c r="S180" s="392" t="str">
        <f>'Statement of Marks'!HE182</f>
        <v/>
      </c>
      <c r="T180" s="392" t="str">
        <f>'Statement of Marks'!HH182</f>
        <v/>
      </c>
      <c r="U180" s="392" t="str">
        <f>'Statement of Marks'!HK182</f>
        <v/>
      </c>
      <c r="V180" s="318"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9">
        <f>IF('Statement of Marks'!A183="","",'Statement of Marks'!A183)</f>
        <v>177</v>
      </c>
      <c r="B181" s="169" t="str">
        <f>IF('Statement of Marks'!B183="","",'Statement of Marks'!B183)</f>
        <v/>
      </c>
      <c r="C181" s="169" t="str">
        <f>IF('Statement of Marks'!D183="","",'Statement of Marks'!D183)</f>
        <v/>
      </c>
      <c r="D181" s="315" t="str">
        <f>IF('Statement of Marks'!E183="","",'Statement of Marks'!E183)</f>
        <v/>
      </c>
      <c r="E181" s="316" t="str">
        <f>IF('Statement of Marks'!F183="","",'Statement of Marks'!F183)</f>
        <v/>
      </c>
      <c r="F181" s="316" t="str">
        <f>IF('Statement of Marks'!G183="","",'Statement of Marks'!G183)</f>
        <v/>
      </c>
      <c r="G181" s="316" t="str">
        <f>IF('Statement of Marks'!H183="","",'Statement of Marks'!H183)</f>
        <v/>
      </c>
      <c r="H181" s="830" t="str">
        <f>IF('Statement of Marks'!HS183="","",'Statement of Marks'!HS183)</f>
        <v/>
      </c>
      <c r="I181" s="172" t="str">
        <f>IF('Statement of Marks'!HV183="","",'Statement of Marks'!HV183)</f>
        <v/>
      </c>
      <c r="J181" s="317" t="str">
        <f>IF('Statement of Marks'!HW183="","",'Statement of Marks'!HW183)</f>
        <v/>
      </c>
      <c r="K181" s="392" t="str">
        <f>'Statement of Marks'!GN183</f>
        <v/>
      </c>
      <c r="L181" s="392" t="str">
        <f>'Statement of Marks'!GQ183</f>
        <v/>
      </c>
      <c r="M181" s="181" t="str">
        <f>'Statement of Marks'!GU183</f>
        <v/>
      </c>
      <c r="N181" s="181" t="str">
        <f>'Statement of Marks'!GV183</f>
        <v/>
      </c>
      <c r="O181" s="181" t="str">
        <f>'Statement of Marks'!GW183</f>
        <v/>
      </c>
      <c r="P181" s="181" t="str">
        <f>'Statement of Marks'!GX183</f>
        <v/>
      </c>
      <c r="Q181" s="181" t="str">
        <f>'Statement of Marks'!GY183</f>
        <v/>
      </c>
      <c r="R181" s="392" t="str">
        <f>'Statement of Marks'!HB183</f>
        <v/>
      </c>
      <c r="S181" s="392" t="str">
        <f>'Statement of Marks'!HE183</f>
        <v/>
      </c>
      <c r="T181" s="392" t="str">
        <f>'Statement of Marks'!HH183</f>
        <v/>
      </c>
      <c r="U181" s="392" t="str">
        <f>'Statement of Marks'!HK183</f>
        <v/>
      </c>
      <c r="V181" s="318"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9">
        <f>IF('Statement of Marks'!A184="","",'Statement of Marks'!A184)</f>
        <v>178</v>
      </c>
      <c r="B182" s="169" t="str">
        <f>IF('Statement of Marks'!B184="","",'Statement of Marks'!B184)</f>
        <v/>
      </c>
      <c r="C182" s="169" t="str">
        <f>IF('Statement of Marks'!D184="","",'Statement of Marks'!D184)</f>
        <v/>
      </c>
      <c r="D182" s="315" t="str">
        <f>IF('Statement of Marks'!E184="","",'Statement of Marks'!E184)</f>
        <v/>
      </c>
      <c r="E182" s="316" t="str">
        <f>IF('Statement of Marks'!F184="","",'Statement of Marks'!F184)</f>
        <v/>
      </c>
      <c r="F182" s="316" t="str">
        <f>IF('Statement of Marks'!G184="","",'Statement of Marks'!G184)</f>
        <v/>
      </c>
      <c r="G182" s="316" t="str">
        <f>IF('Statement of Marks'!H184="","",'Statement of Marks'!H184)</f>
        <v/>
      </c>
      <c r="H182" s="830" t="str">
        <f>IF('Statement of Marks'!HS184="","",'Statement of Marks'!HS184)</f>
        <v/>
      </c>
      <c r="I182" s="172" t="str">
        <f>IF('Statement of Marks'!HV184="","",'Statement of Marks'!HV184)</f>
        <v/>
      </c>
      <c r="J182" s="317" t="str">
        <f>IF('Statement of Marks'!HW184="","",'Statement of Marks'!HW184)</f>
        <v/>
      </c>
      <c r="K182" s="392" t="str">
        <f>'Statement of Marks'!GN184</f>
        <v/>
      </c>
      <c r="L182" s="392" t="str">
        <f>'Statement of Marks'!GQ184</f>
        <v/>
      </c>
      <c r="M182" s="181" t="str">
        <f>'Statement of Marks'!GU184</f>
        <v/>
      </c>
      <c r="N182" s="181" t="str">
        <f>'Statement of Marks'!GV184</f>
        <v/>
      </c>
      <c r="O182" s="181" t="str">
        <f>'Statement of Marks'!GW184</f>
        <v/>
      </c>
      <c r="P182" s="181" t="str">
        <f>'Statement of Marks'!GX184</f>
        <v/>
      </c>
      <c r="Q182" s="181" t="str">
        <f>'Statement of Marks'!GY184</f>
        <v/>
      </c>
      <c r="R182" s="392" t="str">
        <f>'Statement of Marks'!HB184</f>
        <v/>
      </c>
      <c r="S182" s="392" t="str">
        <f>'Statement of Marks'!HE184</f>
        <v/>
      </c>
      <c r="T182" s="392" t="str">
        <f>'Statement of Marks'!HH184</f>
        <v/>
      </c>
      <c r="U182" s="392" t="str">
        <f>'Statement of Marks'!HK184</f>
        <v/>
      </c>
      <c r="V182" s="318"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9">
        <f>IF('Statement of Marks'!A185="","",'Statement of Marks'!A185)</f>
        <v>179</v>
      </c>
      <c r="B183" s="169" t="str">
        <f>IF('Statement of Marks'!B185="","",'Statement of Marks'!B185)</f>
        <v/>
      </c>
      <c r="C183" s="169" t="str">
        <f>IF('Statement of Marks'!D185="","",'Statement of Marks'!D185)</f>
        <v/>
      </c>
      <c r="D183" s="315" t="str">
        <f>IF('Statement of Marks'!E185="","",'Statement of Marks'!E185)</f>
        <v/>
      </c>
      <c r="E183" s="316" t="str">
        <f>IF('Statement of Marks'!F185="","",'Statement of Marks'!F185)</f>
        <v/>
      </c>
      <c r="F183" s="316" t="str">
        <f>IF('Statement of Marks'!G185="","",'Statement of Marks'!G185)</f>
        <v/>
      </c>
      <c r="G183" s="316" t="str">
        <f>IF('Statement of Marks'!H185="","",'Statement of Marks'!H185)</f>
        <v/>
      </c>
      <c r="H183" s="830" t="str">
        <f>IF('Statement of Marks'!HS185="","",'Statement of Marks'!HS185)</f>
        <v/>
      </c>
      <c r="I183" s="172" t="str">
        <f>IF('Statement of Marks'!HV185="","",'Statement of Marks'!HV185)</f>
        <v/>
      </c>
      <c r="J183" s="317" t="str">
        <f>IF('Statement of Marks'!HW185="","",'Statement of Marks'!HW185)</f>
        <v/>
      </c>
      <c r="K183" s="392" t="str">
        <f>'Statement of Marks'!GN185</f>
        <v/>
      </c>
      <c r="L183" s="392" t="str">
        <f>'Statement of Marks'!GQ185</f>
        <v/>
      </c>
      <c r="M183" s="181" t="str">
        <f>'Statement of Marks'!GU185</f>
        <v/>
      </c>
      <c r="N183" s="181" t="str">
        <f>'Statement of Marks'!GV185</f>
        <v/>
      </c>
      <c r="O183" s="181" t="str">
        <f>'Statement of Marks'!GW185</f>
        <v/>
      </c>
      <c r="P183" s="181" t="str">
        <f>'Statement of Marks'!GX185</f>
        <v/>
      </c>
      <c r="Q183" s="181" t="str">
        <f>'Statement of Marks'!GY185</f>
        <v/>
      </c>
      <c r="R183" s="392" t="str">
        <f>'Statement of Marks'!HB185</f>
        <v/>
      </c>
      <c r="S183" s="392" t="str">
        <f>'Statement of Marks'!HE185</f>
        <v/>
      </c>
      <c r="T183" s="392" t="str">
        <f>'Statement of Marks'!HH185</f>
        <v/>
      </c>
      <c r="U183" s="392" t="str">
        <f>'Statement of Marks'!HK185</f>
        <v/>
      </c>
      <c r="V183" s="318"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9">
        <f>IF('Statement of Marks'!A186="","",'Statement of Marks'!A186)</f>
        <v>180</v>
      </c>
      <c r="B184" s="169" t="str">
        <f>IF('Statement of Marks'!B186="","",'Statement of Marks'!B186)</f>
        <v/>
      </c>
      <c r="C184" s="169" t="str">
        <f>IF('Statement of Marks'!D186="","",'Statement of Marks'!D186)</f>
        <v/>
      </c>
      <c r="D184" s="315" t="str">
        <f>IF('Statement of Marks'!E186="","",'Statement of Marks'!E186)</f>
        <v/>
      </c>
      <c r="E184" s="316" t="str">
        <f>IF('Statement of Marks'!F186="","",'Statement of Marks'!F186)</f>
        <v/>
      </c>
      <c r="F184" s="316" t="str">
        <f>IF('Statement of Marks'!G186="","",'Statement of Marks'!G186)</f>
        <v/>
      </c>
      <c r="G184" s="316" t="str">
        <f>IF('Statement of Marks'!H186="","",'Statement of Marks'!H186)</f>
        <v/>
      </c>
      <c r="H184" s="830" t="str">
        <f>IF('Statement of Marks'!HS186="","",'Statement of Marks'!HS186)</f>
        <v/>
      </c>
      <c r="I184" s="172" t="str">
        <f>IF('Statement of Marks'!HV186="","",'Statement of Marks'!HV186)</f>
        <v/>
      </c>
      <c r="J184" s="317" t="str">
        <f>IF('Statement of Marks'!HW186="","",'Statement of Marks'!HW186)</f>
        <v/>
      </c>
      <c r="K184" s="392" t="str">
        <f>'Statement of Marks'!GN186</f>
        <v/>
      </c>
      <c r="L184" s="392" t="str">
        <f>'Statement of Marks'!GQ186</f>
        <v/>
      </c>
      <c r="M184" s="181" t="str">
        <f>'Statement of Marks'!GU186</f>
        <v/>
      </c>
      <c r="N184" s="181" t="str">
        <f>'Statement of Marks'!GV186</f>
        <v/>
      </c>
      <c r="O184" s="181" t="str">
        <f>'Statement of Marks'!GW186</f>
        <v/>
      </c>
      <c r="P184" s="181" t="str">
        <f>'Statement of Marks'!GX186</f>
        <v/>
      </c>
      <c r="Q184" s="181" t="str">
        <f>'Statement of Marks'!GY186</f>
        <v/>
      </c>
      <c r="R184" s="392" t="str">
        <f>'Statement of Marks'!HB186</f>
        <v/>
      </c>
      <c r="S184" s="392" t="str">
        <f>'Statement of Marks'!HE186</f>
        <v/>
      </c>
      <c r="T184" s="392" t="str">
        <f>'Statement of Marks'!HH186</f>
        <v/>
      </c>
      <c r="U184" s="392" t="str">
        <f>'Statement of Marks'!HK186</f>
        <v/>
      </c>
      <c r="V184" s="318"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9">
        <f>IF('Statement of Marks'!A187="","",'Statement of Marks'!A187)</f>
        <v>181</v>
      </c>
      <c r="B185" s="169" t="str">
        <f>IF('Statement of Marks'!B187="","",'Statement of Marks'!B187)</f>
        <v/>
      </c>
      <c r="C185" s="169" t="str">
        <f>IF('Statement of Marks'!D187="","",'Statement of Marks'!D187)</f>
        <v/>
      </c>
      <c r="D185" s="315" t="str">
        <f>IF('Statement of Marks'!E187="","",'Statement of Marks'!E187)</f>
        <v/>
      </c>
      <c r="E185" s="316" t="str">
        <f>IF('Statement of Marks'!F187="","",'Statement of Marks'!F187)</f>
        <v/>
      </c>
      <c r="F185" s="316" t="str">
        <f>IF('Statement of Marks'!G187="","",'Statement of Marks'!G187)</f>
        <v/>
      </c>
      <c r="G185" s="316" t="str">
        <f>IF('Statement of Marks'!H187="","",'Statement of Marks'!H187)</f>
        <v/>
      </c>
      <c r="H185" s="830" t="str">
        <f>IF('Statement of Marks'!HS187="","",'Statement of Marks'!HS187)</f>
        <v/>
      </c>
      <c r="I185" s="172" t="str">
        <f>IF('Statement of Marks'!HV187="","",'Statement of Marks'!HV187)</f>
        <v/>
      </c>
      <c r="J185" s="317" t="str">
        <f>IF('Statement of Marks'!HW187="","",'Statement of Marks'!HW187)</f>
        <v/>
      </c>
      <c r="K185" s="392" t="str">
        <f>'Statement of Marks'!GN187</f>
        <v/>
      </c>
      <c r="L185" s="392" t="str">
        <f>'Statement of Marks'!GQ187</f>
        <v/>
      </c>
      <c r="M185" s="181" t="str">
        <f>'Statement of Marks'!GU187</f>
        <v/>
      </c>
      <c r="N185" s="181" t="str">
        <f>'Statement of Marks'!GV187</f>
        <v/>
      </c>
      <c r="O185" s="181" t="str">
        <f>'Statement of Marks'!GW187</f>
        <v/>
      </c>
      <c r="P185" s="181" t="str">
        <f>'Statement of Marks'!GX187</f>
        <v/>
      </c>
      <c r="Q185" s="181" t="str">
        <f>'Statement of Marks'!GY187</f>
        <v/>
      </c>
      <c r="R185" s="392" t="str">
        <f>'Statement of Marks'!HB187</f>
        <v/>
      </c>
      <c r="S185" s="392" t="str">
        <f>'Statement of Marks'!HE187</f>
        <v/>
      </c>
      <c r="T185" s="392" t="str">
        <f>'Statement of Marks'!HH187</f>
        <v/>
      </c>
      <c r="U185" s="392" t="str">
        <f>'Statement of Marks'!HK187</f>
        <v/>
      </c>
      <c r="V185" s="318"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9">
        <f>IF('Statement of Marks'!A188="","",'Statement of Marks'!A188)</f>
        <v>182</v>
      </c>
      <c r="B186" s="169" t="str">
        <f>IF('Statement of Marks'!B188="","",'Statement of Marks'!B188)</f>
        <v/>
      </c>
      <c r="C186" s="169" t="str">
        <f>IF('Statement of Marks'!D188="","",'Statement of Marks'!D188)</f>
        <v/>
      </c>
      <c r="D186" s="315" t="str">
        <f>IF('Statement of Marks'!E188="","",'Statement of Marks'!E188)</f>
        <v/>
      </c>
      <c r="E186" s="316" t="str">
        <f>IF('Statement of Marks'!F188="","",'Statement of Marks'!F188)</f>
        <v/>
      </c>
      <c r="F186" s="316" t="str">
        <f>IF('Statement of Marks'!G188="","",'Statement of Marks'!G188)</f>
        <v/>
      </c>
      <c r="G186" s="316" t="str">
        <f>IF('Statement of Marks'!H188="","",'Statement of Marks'!H188)</f>
        <v/>
      </c>
      <c r="H186" s="830" t="str">
        <f>IF('Statement of Marks'!HS188="","",'Statement of Marks'!HS188)</f>
        <v/>
      </c>
      <c r="I186" s="172" t="str">
        <f>IF('Statement of Marks'!HV188="","",'Statement of Marks'!HV188)</f>
        <v/>
      </c>
      <c r="J186" s="317" t="str">
        <f>IF('Statement of Marks'!HW188="","",'Statement of Marks'!HW188)</f>
        <v/>
      </c>
      <c r="K186" s="392" t="str">
        <f>'Statement of Marks'!GN188</f>
        <v/>
      </c>
      <c r="L186" s="392" t="str">
        <f>'Statement of Marks'!GQ188</f>
        <v/>
      </c>
      <c r="M186" s="181" t="str">
        <f>'Statement of Marks'!GU188</f>
        <v/>
      </c>
      <c r="N186" s="181" t="str">
        <f>'Statement of Marks'!GV188</f>
        <v/>
      </c>
      <c r="O186" s="181" t="str">
        <f>'Statement of Marks'!GW188</f>
        <v/>
      </c>
      <c r="P186" s="181" t="str">
        <f>'Statement of Marks'!GX188</f>
        <v/>
      </c>
      <c r="Q186" s="181" t="str">
        <f>'Statement of Marks'!GY188</f>
        <v/>
      </c>
      <c r="R186" s="392" t="str">
        <f>'Statement of Marks'!HB188</f>
        <v/>
      </c>
      <c r="S186" s="392" t="str">
        <f>'Statement of Marks'!HE188</f>
        <v/>
      </c>
      <c r="T186" s="392" t="str">
        <f>'Statement of Marks'!HH188</f>
        <v/>
      </c>
      <c r="U186" s="392" t="str">
        <f>'Statement of Marks'!HK188</f>
        <v/>
      </c>
      <c r="V186" s="318"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9">
        <f>IF('Statement of Marks'!A189="","",'Statement of Marks'!A189)</f>
        <v>183</v>
      </c>
      <c r="B187" s="169" t="str">
        <f>IF('Statement of Marks'!B189="","",'Statement of Marks'!B189)</f>
        <v/>
      </c>
      <c r="C187" s="169" t="str">
        <f>IF('Statement of Marks'!D189="","",'Statement of Marks'!D189)</f>
        <v/>
      </c>
      <c r="D187" s="315" t="str">
        <f>IF('Statement of Marks'!E189="","",'Statement of Marks'!E189)</f>
        <v/>
      </c>
      <c r="E187" s="316" t="str">
        <f>IF('Statement of Marks'!F189="","",'Statement of Marks'!F189)</f>
        <v/>
      </c>
      <c r="F187" s="316" t="str">
        <f>IF('Statement of Marks'!G189="","",'Statement of Marks'!G189)</f>
        <v/>
      </c>
      <c r="G187" s="316" t="str">
        <f>IF('Statement of Marks'!H189="","",'Statement of Marks'!H189)</f>
        <v/>
      </c>
      <c r="H187" s="830" t="str">
        <f>IF('Statement of Marks'!HS189="","",'Statement of Marks'!HS189)</f>
        <v/>
      </c>
      <c r="I187" s="172" t="str">
        <f>IF('Statement of Marks'!HV189="","",'Statement of Marks'!HV189)</f>
        <v/>
      </c>
      <c r="J187" s="317" t="str">
        <f>IF('Statement of Marks'!HW189="","",'Statement of Marks'!HW189)</f>
        <v/>
      </c>
      <c r="K187" s="392" t="str">
        <f>'Statement of Marks'!GN189</f>
        <v/>
      </c>
      <c r="L187" s="392" t="str">
        <f>'Statement of Marks'!GQ189</f>
        <v/>
      </c>
      <c r="M187" s="181" t="str">
        <f>'Statement of Marks'!GU189</f>
        <v/>
      </c>
      <c r="N187" s="181" t="str">
        <f>'Statement of Marks'!GV189</f>
        <v/>
      </c>
      <c r="O187" s="181" t="str">
        <f>'Statement of Marks'!GW189</f>
        <v/>
      </c>
      <c r="P187" s="181" t="str">
        <f>'Statement of Marks'!GX189</f>
        <v/>
      </c>
      <c r="Q187" s="181" t="str">
        <f>'Statement of Marks'!GY189</f>
        <v/>
      </c>
      <c r="R187" s="392" t="str">
        <f>'Statement of Marks'!HB189</f>
        <v/>
      </c>
      <c r="S187" s="392" t="str">
        <f>'Statement of Marks'!HE189</f>
        <v/>
      </c>
      <c r="T187" s="392" t="str">
        <f>'Statement of Marks'!HH189</f>
        <v/>
      </c>
      <c r="U187" s="392" t="str">
        <f>'Statement of Marks'!HK189</f>
        <v/>
      </c>
      <c r="V187" s="318"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9">
        <f>IF('Statement of Marks'!A190="","",'Statement of Marks'!A190)</f>
        <v>184</v>
      </c>
      <c r="B188" s="169" t="str">
        <f>IF('Statement of Marks'!B190="","",'Statement of Marks'!B190)</f>
        <v/>
      </c>
      <c r="C188" s="169" t="str">
        <f>IF('Statement of Marks'!D190="","",'Statement of Marks'!D190)</f>
        <v/>
      </c>
      <c r="D188" s="315" t="str">
        <f>IF('Statement of Marks'!E190="","",'Statement of Marks'!E190)</f>
        <v/>
      </c>
      <c r="E188" s="316" t="str">
        <f>IF('Statement of Marks'!F190="","",'Statement of Marks'!F190)</f>
        <v/>
      </c>
      <c r="F188" s="316" t="str">
        <f>IF('Statement of Marks'!G190="","",'Statement of Marks'!G190)</f>
        <v/>
      </c>
      <c r="G188" s="316" t="str">
        <f>IF('Statement of Marks'!H190="","",'Statement of Marks'!H190)</f>
        <v/>
      </c>
      <c r="H188" s="830" t="str">
        <f>IF('Statement of Marks'!HS190="","",'Statement of Marks'!HS190)</f>
        <v/>
      </c>
      <c r="I188" s="172" t="str">
        <f>IF('Statement of Marks'!HV190="","",'Statement of Marks'!HV190)</f>
        <v/>
      </c>
      <c r="J188" s="317" t="str">
        <f>IF('Statement of Marks'!HW190="","",'Statement of Marks'!HW190)</f>
        <v/>
      </c>
      <c r="K188" s="392" t="str">
        <f>'Statement of Marks'!GN190</f>
        <v/>
      </c>
      <c r="L188" s="392" t="str">
        <f>'Statement of Marks'!GQ190</f>
        <v/>
      </c>
      <c r="M188" s="181" t="str">
        <f>'Statement of Marks'!GU190</f>
        <v/>
      </c>
      <c r="N188" s="181" t="str">
        <f>'Statement of Marks'!GV190</f>
        <v/>
      </c>
      <c r="O188" s="181" t="str">
        <f>'Statement of Marks'!GW190</f>
        <v/>
      </c>
      <c r="P188" s="181" t="str">
        <f>'Statement of Marks'!GX190</f>
        <v/>
      </c>
      <c r="Q188" s="181" t="str">
        <f>'Statement of Marks'!GY190</f>
        <v/>
      </c>
      <c r="R188" s="392" t="str">
        <f>'Statement of Marks'!HB190</f>
        <v/>
      </c>
      <c r="S188" s="392" t="str">
        <f>'Statement of Marks'!HE190</f>
        <v/>
      </c>
      <c r="T188" s="392" t="str">
        <f>'Statement of Marks'!HH190</f>
        <v/>
      </c>
      <c r="U188" s="392" t="str">
        <f>'Statement of Marks'!HK190</f>
        <v/>
      </c>
      <c r="V188" s="318"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9">
        <f>IF('Statement of Marks'!A191="","",'Statement of Marks'!A191)</f>
        <v>185</v>
      </c>
      <c r="B189" s="169" t="str">
        <f>IF('Statement of Marks'!B191="","",'Statement of Marks'!B191)</f>
        <v/>
      </c>
      <c r="C189" s="169" t="str">
        <f>IF('Statement of Marks'!D191="","",'Statement of Marks'!D191)</f>
        <v/>
      </c>
      <c r="D189" s="315" t="str">
        <f>IF('Statement of Marks'!E191="","",'Statement of Marks'!E191)</f>
        <v/>
      </c>
      <c r="E189" s="316" t="str">
        <f>IF('Statement of Marks'!F191="","",'Statement of Marks'!F191)</f>
        <v/>
      </c>
      <c r="F189" s="316" t="str">
        <f>IF('Statement of Marks'!G191="","",'Statement of Marks'!G191)</f>
        <v/>
      </c>
      <c r="G189" s="316" t="str">
        <f>IF('Statement of Marks'!H191="","",'Statement of Marks'!H191)</f>
        <v/>
      </c>
      <c r="H189" s="830" t="str">
        <f>IF('Statement of Marks'!HS191="","",'Statement of Marks'!HS191)</f>
        <v/>
      </c>
      <c r="I189" s="172" t="str">
        <f>IF('Statement of Marks'!HV191="","",'Statement of Marks'!HV191)</f>
        <v/>
      </c>
      <c r="J189" s="317" t="str">
        <f>IF('Statement of Marks'!HW191="","",'Statement of Marks'!HW191)</f>
        <v/>
      </c>
      <c r="K189" s="392" t="str">
        <f>'Statement of Marks'!GN191</f>
        <v/>
      </c>
      <c r="L189" s="392" t="str">
        <f>'Statement of Marks'!GQ191</f>
        <v/>
      </c>
      <c r="M189" s="181" t="str">
        <f>'Statement of Marks'!GU191</f>
        <v/>
      </c>
      <c r="N189" s="181" t="str">
        <f>'Statement of Marks'!GV191</f>
        <v/>
      </c>
      <c r="O189" s="181" t="str">
        <f>'Statement of Marks'!GW191</f>
        <v/>
      </c>
      <c r="P189" s="181" t="str">
        <f>'Statement of Marks'!GX191</f>
        <v/>
      </c>
      <c r="Q189" s="181" t="str">
        <f>'Statement of Marks'!GY191</f>
        <v/>
      </c>
      <c r="R189" s="392" t="str">
        <f>'Statement of Marks'!HB191</f>
        <v/>
      </c>
      <c r="S189" s="392" t="str">
        <f>'Statement of Marks'!HE191</f>
        <v/>
      </c>
      <c r="T189" s="392" t="str">
        <f>'Statement of Marks'!HH191</f>
        <v/>
      </c>
      <c r="U189" s="392" t="str">
        <f>'Statement of Marks'!HK191</f>
        <v/>
      </c>
      <c r="V189" s="318"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9">
        <f>IF('Statement of Marks'!A192="","",'Statement of Marks'!A192)</f>
        <v>186</v>
      </c>
      <c r="B190" s="169" t="str">
        <f>IF('Statement of Marks'!B192="","",'Statement of Marks'!B192)</f>
        <v/>
      </c>
      <c r="C190" s="169" t="str">
        <f>IF('Statement of Marks'!D192="","",'Statement of Marks'!D192)</f>
        <v/>
      </c>
      <c r="D190" s="315" t="str">
        <f>IF('Statement of Marks'!E192="","",'Statement of Marks'!E192)</f>
        <v/>
      </c>
      <c r="E190" s="316" t="str">
        <f>IF('Statement of Marks'!F192="","",'Statement of Marks'!F192)</f>
        <v/>
      </c>
      <c r="F190" s="316" t="str">
        <f>IF('Statement of Marks'!G192="","",'Statement of Marks'!G192)</f>
        <v/>
      </c>
      <c r="G190" s="316" t="str">
        <f>IF('Statement of Marks'!H192="","",'Statement of Marks'!H192)</f>
        <v/>
      </c>
      <c r="H190" s="830" t="str">
        <f>IF('Statement of Marks'!HS192="","",'Statement of Marks'!HS192)</f>
        <v/>
      </c>
      <c r="I190" s="172" t="str">
        <f>IF('Statement of Marks'!HV192="","",'Statement of Marks'!HV192)</f>
        <v/>
      </c>
      <c r="J190" s="317" t="str">
        <f>IF('Statement of Marks'!HW192="","",'Statement of Marks'!HW192)</f>
        <v/>
      </c>
      <c r="K190" s="392" t="str">
        <f>'Statement of Marks'!GN192</f>
        <v/>
      </c>
      <c r="L190" s="392" t="str">
        <f>'Statement of Marks'!GQ192</f>
        <v/>
      </c>
      <c r="M190" s="181" t="str">
        <f>'Statement of Marks'!GU192</f>
        <v/>
      </c>
      <c r="N190" s="181" t="str">
        <f>'Statement of Marks'!GV192</f>
        <v/>
      </c>
      <c r="O190" s="181" t="str">
        <f>'Statement of Marks'!GW192</f>
        <v/>
      </c>
      <c r="P190" s="181" t="str">
        <f>'Statement of Marks'!GX192</f>
        <v/>
      </c>
      <c r="Q190" s="181" t="str">
        <f>'Statement of Marks'!GY192</f>
        <v/>
      </c>
      <c r="R190" s="392" t="str">
        <f>'Statement of Marks'!HB192</f>
        <v/>
      </c>
      <c r="S190" s="392" t="str">
        <f>'Statement of Marks'!HE192</f>
        <v/>
      </c>
      <c r="T190" s="392" t="str">
        <f>'Statement of Marks'!HH192</f>
        <v/>
      </c>
      <c r="U190" s="392" t="str">
        <f>'Statement of Marks'!HK192</f>
        <v/>
      </c>
      <c r="V190" s="318"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9">
        <f>IF('Statement of Marks'!A193="","",'Statement of Marks'!A193)</f>
        <v>187</v>
      </c>
      <c r="B191" s="169" t="str">
        <f>IF('Statement of Marks'!B193="","",'Statement of Marks'!B193)</f>
        <v/>
      </c>
      <c r="C191" s="169" t="str">
        <f>IF('Statement of Marks'!D193="","",'Statement of Marks'!D193)</f>
        <v/>
      </c>
      <c r="D191" s="315" t="str">
        <f>IF('Statement of Marks'!E193="","",'Statement of Marks'!E193)</f>
        <v/>
      </c>
      <c r="E191" s="316" t="str">
        <f>IF('Statement of Marks'!F193="","",'Statement of Marks'!F193)</f>
        <v/>
      </c>
      <c r="F191" s="316" t="str">
        <f>IF('Statement of Marks'!G193="","",'Statement of Marks'!G193)</f>
        <v/>
      </c>
      <c r="G191" s="316" t="str">
        <f>IF('Statement of Marks'!H193="","",'Statement of Marks'!H193)</f>
        <v/>
      </c>
      <c r="H191" s="830" t="str">
        <f>IF('Statement of Marks'!HS193="","",'Statement of Marks'!HS193)</f>
        <v/>
      </c>
      <c r="I191" s="172" t="str">
        <f>IF('Statement of Marks'!HV193="","",'Statement of Marks'!HV193)</f>
        <v/>
      </c>
      <c r="J191" s="317" t="str">
        <f>IF('Statement of Marks'!HW193="","",'Statement of Marks'!HW193)</f>
        <v/>
      </c>
      <c r="K191" s="392" t="str">
        <f>'Statement of Marks'!GN193</f>
        <v/>
      </c>
      <c r="L191" s="392" t="str">
        <f>'Statement of Marks'!GQ193</f>
        <v/>
      </c>
      <c r="M191" s="181" t="str">
        <f>'Statement of Marks'!GU193</f>
        <v/>
      </c>
      <c r="N191" s="181" t="str">
        <f>'Statement of Marks'!GV193</f>
        <v/>
      </c>
      <c r="O191" s="181" t="str">
        <f>'Statement of Marks'!GW193</f>
        <v/>
      </c>
      <c r="P191" s="181" t="str">
        <f>'Statement of Marks'!GX193</f>
        <v/>
      </c>
      <c r="Q191" s="181" t="str">
        <f>'Statement of Marks'!GY193</f>
        <v/>
      </c>
      <c r="R191" s="392" t="str">
        <f>'Statement of Marks'!HB193</f>
        <v/>
      </c>
      <c r="S191" s="392" t="str">
        <f>'Statement of Marks'!HE193</f>
        <v/>
      </c>
      <c r="T191" s="392" t="str">
        <f>'Statement of Marks'!HH193</f>
        <v/>
      </c>
      <c r="U191" s="392" t="str">
        <f>'Statement of Marks'!HK193</f>
        <v/>
      </c>
      <c r="V191" s="318"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9">
        <f>IF('Statement of Marks'!A194="","",'Statement of Marks'!A194)</f>
        <v>188</v>
      </c>
      <c r="B192" s="169" t="str">
        <f>IF('Statement of Marks'!B194="","",'Statement of Marks'!B194)</f>
        <v/>
      </c>
      <c r="C192" s="169" t="str">
        <f>IF('Statement of Marks'!D194="","",'Statement of Marks'!D194)</f>
        <v/>
      </c>
      <c r="D192" s="315" t="str">
        <f>IF('Statement of Marks'!E194="","",'Statement of Marks'!E194)</f>
        <v/>
      </c>
      <c r="E192" s="316" t="str">
        <f>IF('Statement of Marks'!F194="","",'Statement of Marks'!F194)</f>
        <v/>
      </c>
      <c r="F192" s="316" t="str">
        <f>IF('Statement of Marks'!G194="","",'Statement of Marks'!G194)</f>
        <v/>
      </c>
      <c r="G192" s="316" t="str">
        <f>IF('Statement of Marks'!H194="","",'Statement of Marks'!H194)</f>
        <v/>
      </c>
      <c r="H192" s="830" t="str">
        <f>IF('Statement of Marks'!HS194="","",'Statement of Marks'!HS194)</f>
        <v/>
      </c>
      <c r="I192" s="172" t="str">
        <f>IF('Statement of Marks'!HV194="","",'Statement of Marks'!HV194)</f>
        <v/>
      </c>
      <c r="J192" s="317" t="str">
        <f>IF('Statement of Marks'!HW194="","",'Statement of Marks'!HW194)</f>
        <v/>
      </c>
      <c r="K192" s="392" t="str">
        <f>'Statement of Marks'!GN194</f>
        <v/>
      </c>
      <c r="L192" s="392" t="str">
        <f>'Statement of Marks'!GQ194</f>
        <v/>
      </c>
      <c r="M192" s="181" t="str">
        <f>'Statement of Marks'!GU194</f>
        <v/>
      </c>
      <c r="N192" s="181" t="str">
        <f>'Statement of Marks'!GV194</f>
        <v/>
      </c>
      <c r="O192" s="181" t="str">
        <f>'Statement of Marks'!GW194</f>
        <v/>
      </c>
      <c r="P192" s="181" t="str">
        <f>'Statement of Marks'!GX194</f>
        <v/>
      </c>
      <c r="Q192" s="181" t="str">
        <f>'Statement of Marks'!GY194</f>
        <v/>
      </c>
      <c r="R192" s="392" t="str">
        <f>'Statement of Marks'!HB194</f>
        <v/>
      </c>
      <c r="S192" s="392" t="str">
        <f>'Statement of Marks'!HE194</f>
        <v/>
      </c>
      <c r="T192" s="392" t="str">
        <f>'Statement of Marks'!HH194</f>
        <v/>
      </c>
      <c r="U192" s="392" t="str">
        <f>'Statement of Marks'!HK194</f>
        <v/>
      </c>
      <c r="V192" s="318"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9">
        <f>IF('Statement of Marks'!A195="","",'Statement of Marks'!A195)</f>
        <v>189</v>
      </c>
      <c r="B193" s="169" t="str">
        <f>IF('Statement of Marks'!B195="","",'Statement of Marks'!B195)</f>
        <v/>
      </c>
      <c r="C193" s="169" t="str">
        <f>IF('Statement of Marks'!D195="","",'Statement of Marks'!D195)</f>
        <v/>
      </c>
      <c r="D193" s="315" t="str">
        <f>IF('Statement of Marks'!E195="","",'Statement of Marks'!E195)</f>
        <v/>
      </c>
      <c r="E193" s="316" t="str">
        <f>IF('Statement of Marks'!F195="","",'Statement of Marks'!F195)</f>
        <v/>
      </c>
      <c r="F193" s="316" t="str">
        <f>IF('Statement of Marks'!G195="","",'Statement of Marks'!G195)</f>
        <v/>
      </c>
      <c r="G193" s="316" t="str">
        <f>IF('Statement of Marks'!H195="","",'Statement of Marks'!H195)</f>
        <v/>
      </c>
      <c r="H193" s="830" t="str">
        <f>IF('Statement of Marks'!HS195="","",'Statement of Marks'!HS195)</f>
        <v/>
      </c>
      <c r="I193" s="172" t="str">
        <f>IF('Statement of Marks'!HV195="","",'Statement of Marks'!HV195)</f>
        <v/>
      </c>
      <c r="J193" s="317" t="str">
        <f>IF('Statement of Marks'!HW195="","",'Statement of Marks'!HW195)</f>
        <v/>
      </c>
      <c r="K193" s="392" t="str">
        <f>'Statement of Marks'!GN195</f>
        <v/>
      </c>
      <c r="L193" s="392" t="str">
        <f>'Statement of Marks'!GQ195</f>
        <v/>
      </c>
      <c r="M193" s="181" t="str">
        <f>'Statement of Marks'!GU195</f>
        <v/>
      </c>
      <c r="N193" s="181" t="str">
        <f>'Statement of Marks'!GV195</f>
        <v/>
      </c>
      <c r="O193" s="181" t="str">
        <f>'Statement of Marks'!GW195</f>
        <v/>
      </c>
      <c r="P193" s="181" t="str">
        <f>'Statement of Marks'!GX195</f>
        <v/>
      </c>
      <c r="Q193" s="181" t="str">
        <f>'Statement of Marks'!GY195</f>
        <v/>
      </c>
      <c r="R193" s="392" t="str">
        <f>'Statement of Marks'!HB195</f>
        <v/>
      </c>
      <c r="S193" s="392" t="str">
        <f>'Statement of Marks'!HE195</f>
        <v/>
      </c>
      <c r="T193" s="392" t="str">
        <f>'Statement of Marks'!HH195</f>
        <v/>
      </c>
      <c r="U193" s="392" t="str">
        <f>'Statement of Marks'!HK195</f>
        <v/>
      </c>
      <c r="V193" s="318"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9">
        <f>IF('Statement of Marks'!A196="","",'Statement of Marks'!A196)</f>
        <v>190</v>
      </c>
      <c r="B194" s="169" t="str">
        <f>IF('Statement of Marks'!B196="","",'Statement of Marks'!B196)</f>
        <v/>
      </c>
      <c r="C194" s="169" t="str">
        <f>IF('Statement of Marks'!D196="","",'Statement of Marks'!D196)</f>
        <v/>
      </c>
      <c r="D194" s="315" t="str">
        <f>IF('Statement of Marks'!E196="","",'Statement of Marks'!E196)</f>
        <v/>
      </c>
      <c r="E194" s="316" t="str">
        <f>IF('Statement of Marks'!F196="","",'Statement of Marks'!F196)</f>
        <v/>
      </c>
      <c r="F194" s="316" t="str">
        <f>IF('Statement of Marks'!G196="","",'Statement of Marks'!G196)</f>
        <v/>
      </c>
      <c r="G194" s="316" t="str">
        <f>IF('Statement of Marks'!H196="","",'Statement of Marks'!H196)</f>
        <v/>
      </c>
      <c r="H194" s="830" t="str">
        <f>IF('Statement of Marks'!HS196="","",'Statement of Marks'!HS196)</f>
        <v/>
      </c>
      <c r="I194" s="172" t="str">
        <f>IF('Statement of Marks'!HV196="","",'Statement of Marks'!HV196)</f>
        <v/>
      </c>
      <c r="J194" s="317" t="str">
        <f>IF('Statement of Marks'!HW196="","",'Statement of Marks'!HW196)</f>
        <v/>
      </c>
      <c r="K194" s="392" t="str">
        <f>'Statement of Marks'!GN196</f>
        <v/>
      </c>
      <c r="L194" s="392" t="str">
        <f>'Statement of Marks'!GQ196</f>
        <v/>
      </c>
      <c r="M194" s="181" t="str">
        <f>'Statement of Marks'!GU196</f>
        <v/>
      </c>
      <c r="N194" s="181" t="str">
        <f>'Statement of Marks'!GV196</f>
        <v/>
      </c>
      <c r="O194" s="181" t="str">
        <f>'Statement of Marks'!GW196</f>
        <v/>
      </c>
      <c r="P194" s="181" t="str">
        <f>'Statement of Marks'!GX196</f>
        <v/>
      </c>
      <c r="Q194" s="181" t="str">
        <f>'Statement of Marks'!GY196</f>
        <v/>
      </c>
      <c r="R194" s="392" t="str">
        <f>'Statement of Marks'!HB196</f>
        <v/>
      </c>
      <c r="S194" s="392" t="str">
        <f>'Statement of Marks'!HE196</f>
        <v/>
      </c>
      <c r="T194" s="392" t="str">
        <f>'Statement of Marks'!HH196</f>
        <v/>
      </c>
      <c r="U194" s="392" t="str">
        <f>'Statement of Marks'!HK196</f>
        <v/>
      </c>
      <c r="V194" s="318"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9">
        <f>IF('Statement of Marks'!A197="","",'Statement of Marks'!A197)</f>
        <v>191</v>
      </c>
      <c r="B195" s="169" t="str">
        <f>IF('Statement of Marks'!B197="","",'Statement of Marks'!B197)</f>
        <v/>
      </c>
      <c r="C195" s="169" t="str">
        <f>IF('Statement of Marks'!D197="","",'Statement of Marks'!D197)</f>
        <v/>
      </c>
      <c r="D195" s="315" t="str">
        <f>IF('Statement of Marks'!E197="","",'Statement of Marks'!E197)</f>
        <v/>
      </c>
      <c r="E195" s="316" t="str">
        <f>IF('Statement of Marks'!F197="","",'Statement of Marks'!F197)</f>
        <v/>
      </c>
      <c r="F195" s="316" t="str">
        <f>IF('Statement of Marks'!G197="","",'Statement of Marks'!G197)</f>
        <v/>
      </c>
      <c r="G195" s="316" t="str">
        <f>IF('Statement of Marks'!H197="","",'Statement of Marks'!H197)</f>
        <v/>
      </c>
      <c r="H195" s="830" t="str">
        <f>IF('Statement of Marks'!HS197="","",'Statement of Marks'!HS197)</f>
        <v/>
      </c>
      <c r="I195" s="172" t="str">
        <f>IF('Statement of Marks'!HV197="","",'Statement of Marks'!HV197)</f>
        <v/>
      </c>
      <c r="J195" s="317" t="str">
        <f>IF('Statement of Marks'!HW197="","",'Statement of Marks'!HW197)</f>
        <v/>
      </c>
      <c r="K195" s="392" t="str">
        <f>'Statement of Marks'!GN197</f>
        <v/>
      </c>
      <c r="L195" s="392" t="str">
        <f>'Statement of Marks'!GQ197</f>
        <v/>
      </c>
      <c r="M195" s="181" t="str">
        <f>'Statement of Marks'!GU197</f>
        <v/>
      </c>
      <c r="N195" s="181" t="str">
        <f>'Statement of Marks'!GV197</f>
        <v/>
      </c>
      <c r="O195" s="181" t="str">
        <f>'Statement of Marks'!GW197</f>
        <v/>
      </c>
      <c r="P195" s="181" t="str">
        <f>'Statement of Marks'!GX197</f>
        <v/>
      </c>
      <c r="Q195" s="181" t="str">
        <f>'Statement of Marks'!GY197</f>
        <v/>
      </c>
      <c r="R195" s="392" t="str">
        <f>'Statement of Marks'!HB197</f>
        <v/>
      </c>
      <c r="S195" s="392" t="str">
        <f>'Statement of Marks'!HE197</f>
        <v/>
      </c>
      <c r="T195" s="392" t="str">
        <f>'Statement of Marks'!HH197</f>
        <v/>
      </c>
      <c r="U195" s="392" t="str">
        <f>'Statement of Marks'!HK197</f>
        <v/>
      </c>
      <c r="V195" s="318"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9">
        <f>IF('Statement of Marks'!A198="","",'Statement of Marks'!A198)</f>
        <v>192</v>
      </c>
      <c r="B196" s="169" t="str">
        <f>IF('Statement of Marks'!B198="","",'Statement of Marks'!B198)</f>
        <v/>
      </c>
      <c r="C196" s="169" t="str">
        <f>IF('Statement of Marks'!D198="","",'Statement of Marks'!D198)</f>
        <v/>
      </c>
      <c r="D196" s="315" t="str">
        <f>IF('Statement of Marks'!E198="","",'Statement of Marks'!E198)</f>
        <v/>
      </c>
      <c r="E196" s="316" t="str">
        <f>IF('Statement of Marks'!F198="","",'Statement of Marks'!F198)</f>
        <v/>
      </c>
      <c r="F196" s="316" t="str">
        <f>IF('Statement of Marks'!G198="","",'Statement of Marks'!G198)</f>
        <v/>
      </c>
      <c r="G196" s="316" t="str">
        <f>IF('Statement of Marks'!H198="","",'Statement of Marks'!H198)</f>
        <v/>
      </c>
      <c r="H196" s="830" t="str">
        <f>IF('Statement of Marks'!HS198="","",'Statement of Marks'!HS198)</f>
        <v/>
      </c>
      <c r="I196" s="172" t="str">
        <f>IF('Statement of Marks'!HV198="","",'Statement of Marks'!HV198)</f>
        <v/>
      </c>
      <c r="J196" s="317" t="str">
        <f>IF('Statement of Marks'!HW198="","",'Statement of Marks'!HW198)</f>
        <v/>
      </c>
      <c r="K196" s="392" t="str">
        <f>'Statement of Marks'!GN198</f>
        <v/>
      </c>
      <c r="L196" s="392" t="str">
        <f>'Statement of Marks'!GQ198</f>
        <v/>
      </c>
      <c r="M196" s="181" t="str">
        <f>'Statement of Marks'!GU198</f>
        <v/>
      </c>
      <c r="N196" s="181" t="str">
        <f>'Statement of Marks'!GV198</f>
        <v/>
      </c>
      <c r="O196" s="181" t="str">
        <f>'Statement of Marks'!GW198</f>
        <v/>
      </c>
      <c r="P196" s="181" t="str">
        <f>'Statement of Marks'!GX198</f>
        <v/>
      </c>
      <c r="Q196" s="181" t="str">
        <f>'Statement of Marks'!GY198</f>
        <v/>
      </c>
      <c r="R196" s="392" t="str">
        <f>'Statement of Marks'!HB198</f>
        <v/>
      </c>
      <c r="S196" s="392" t="str">
        <f>'Statement of Marks'!HE198</f>
        <v/>
      </c>
      <c r="T196" s="392" t="str">
        <f>'Statement of Marks'!HH198</f>
        <v/>
      </c>
      <c r="U196" s="392" t="str">
        <f>'Statement of Marks'!HK198</f>
        <v/>
      </c>
      <c r="V196" s="318"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9">
        <f>IF('Statement of Marks'!A199="","",'Statement of Marks'!A199)</f>
        <v>193</v>
      </c>
      <c r="B197" s="169" t="str">
        <f>IF('Statement of Marks'!B199="","",'Statement of Marks'!B199)</f>
        <v/>
      </c>
      <c r="C197" s="169" t="str">
        <f>IF('Statement of Marks'!D199="","",'Statement of Marks'!D199)</f>
        <v/>
      </c>
      <c r="D197" s="315" t="str">
        <f>IF('Statement of Marks'!E199="","",'Statement of Marks'!E199)</f>
        <v/>
      </c>
      <c r="E197" s="316" t="str">
        <f>IF('Statement of Marks'!F199="","",'Statement of Marks'!F199)</f>
        <v/>
      </c>
      <c r="F197" s="316" t="str">
        <f>IF('Statement of Marks'!G199="","",'Statement of Marks'!G199)</f>
        <v/>
      </c>
      <c r="G197" s="316" t="str">
        <f>IF('Statement of Marks'!H199="","",'Statement of Marks'!H199)</f>
        <v/>
      </c>
      <c r="H197" s="830" t="str">
        <f>IF('Statement of Marks'!HS199="","",'Statement of Marks'!HS199)</f>
        <v/>
      </c>
      <c r="I197" s="172" t="str">
        <f>IF('Statement of Marks'!HV199="","",'Statement of Marks'!HV199)</f>
        <v/>
      </c>
      <c r="J197" s="317" t="str">
        <f>IF('Statement of Marks'!HW199="","",'Statement of Marks'!HW199)</f>
        <v/>
      </c>
      <c r="K197" s="392" t="str">
        <f>'Statement of Marks'!GN199</f>
        <v/>
      </c>
      <c r="L197" s="392" t="str">
        <f>'Statement of Marks'!GQ199</f>
        <v/>
      </c>
      <c r="M197" s="181" t="str">
        <f>'Statement of Marks'!GU199</f>
        <v/>
      </c>
      <c r="N197" s="181" t="str">
        <f>'Statement of Marks'!GV199</f>
        <v/>
      </c>
      <c r="O197" s="181" t="str">
        <f>'Statement of Marks'!GW199</f>
        <v/>
      </c>
      <c r="P197" s="181" t="str">
        <f>'Statement of Marks'!GX199</f>
        <v/>
      </c>
      <c r="Q197" s="181" t="str">
        <f>'Statement of Marks'!GY199</f>
        <v/>
      </c>
      <c r="R197" s="392" t="str">
        <f>'Statement of Marks'!HB199</f>
        <v/>
      </c>
      <c r="S197" s="392" t="str">
        <f>'Statement of Marks'!HE199</f>
        <v/>
      </c>
      <c r="T197" s="392" t="str">
        <f>'Statement of Marks'!HH199</f>
        <v/>
      </c>
      <c r="U197" s="392" t="str">
        <f>'Statement of Marks'!HK199</f>
        <v/>
      </c>
      <c r="V197" s="318"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9">
        <f>IF('Statement of Marks'!A200="","",'Statement of Marks'!A200)</f>
        <v>194</v>
      </c>
      <c r="B198" s="169" t="str">
        <f>IF('Statement of Marks'!B200="","",'Statement of Marks'!B200)</f>
        <v/>
      </c>
      <c r="C198" s="169" t="str">
        <f>IF('Statement of Marks'!D200="","",'Statement of Marks'!D200)</f>
        <v/>
      </c>
      <c r="D198" s="315" t="str">
        <f>IF('Statement of Marks'!E200="","",'Statement of Marks'!E200)</f>
        <v/>
      </c>
      <c r="E198" s="316" t="str">
        <f>IF('Statement of Marks'!F200="","",'Statement of Marks'!F200)</f>
        <v/>
      </c>
      <c r="F198" s="316" t="str">
        <f>IF('Statement of Marks'!G200="","",'Statement of Marks'!G200)</f>
        <v/>
      </c>
      <c r="G198" s="316" t="str">
        <f>IF('Statement of Marks'!H200="","",'Statement of Marks'!H200)</f>
        <v/>
      </c>
      <c r="H198" s="830" t="str">
        <f>IF('Statement of Marks'!HS200="","",'Statement of Marks'!HS200)</f>
        <v/>
      </c>
      <c r="I198" s="172" t="str">
        <f>IF('Statement of Marks'!HV200="","",'Statement of Marks'!HV200)</f>
        <v/>
      </c>
      <c r="J198" s="317" t="str">
        <f>IF('Statement of Marks'!HW200="","",'Statement of Marks'!HW200)</f>
        <v/>
      </c>
      <c r="K198" s="392" t="str">
        <f>'Statement of Marks'!GN200</f>
        <v/>
      </c>
      <c r="L198" s="392" t="str">
        <f>'Statement of Marks'!GQ200</f>
        <v/>
      </c>
      <c r="M198" s="181" t="str">
        <f>'Statement of Marks'!GU200</f>
        <v/>
      </c>
      <c r="N198" s="181" t="str">
        <f>'Statement of Marks'!GV200</f>
        <v/>
      </c>
      <c r="O198" s="181" t="str">
        <f>'Statement of Marks'!GW200</f>
        <v/>
      </c>
      <c r="P198" s="181" t="str">
        <f>'Statement of Marks'!GX200</f>
        <v/>
      </c>
      <c r="Q198" s="181" t="str">
        <f>'Statement of Marks'!GY200</f>
        <v/>
      </c>
      <c r="R198" s="392" t="str">
        <f>'Statement of Marks'!HB200</f>
        <v/>
      </c>
      <c r="S198" s="392" t="str">
        <f>'Statement of Marks'!HE200</f>
        <v/>
      </c>
      <c r="T198" s="392" t="str">
        <f>'Statement of Marks'!HH200</f>
        <v/>
      </c>
      <c r="U198" s="392" t="str">
        <f>'Statement of Marks'!HK200</f>
        <v/>
      </c>
      <c r="V198" s="318"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9">
        <f>IF('Statement of Marks'!A201="","",'Statement of Marks'!A201)</f>
        <v>195</v>
      </c>
      <c r="B199" s="169" t="str">
        <f>IF('Statement of Marks'!B201="","",'Statement of Marks'!B201)</f>
        <v/>
      </c>
      <c r="C199" s="169" t="str">
        <f>IF('Statement of Marks'!D201="","",'Statement of Marks'!D201)</f>
        <v/>
      </c>
      <c r="D199" s="315" t="str">
        <f>IF('Statement of Marks'!E201="","",'Statement of Marks'!E201)</f>
        <v/>
      </c>
      <c r="E199" s="316" t="str">
        <f>IF('Statement of Marks'!F201="","",'Statement of Marks'!F201)</f>
        <v/>
      </c>
      <c r="F199" s="316" t="str">
        <f>IF('Statement of Marks'!G201="","",'Statement of Marks'!G201)</f>
        <v/>
      </c>
      <c r="G199" s="316" t="str">
        <f>IF('Statement of Marks'!H201="","",'Statement of Marks'!H201)</f>
        <v/>
      </c>
      <c r="H199" s="830" t="str">
        <f>IF('Statement of Marks'!HS201="","",'Statement of Marks'!HS201)</f>
        <v/>
      </c>
      <c r="I199" s="172" t="str">
        <f>IF('Statement of Marks'!HV201="","",'Statement of Marks'!HV201)</f>
        <v/>
      </c>
      <c r="J199" s="317" t="str">
        <f>IF('Statement of Marks'!HW201="","",'Statement of Marks'!HW201)</f>
        <v/>
      </c>
      <c r="K199" s="392" t="str">
        <f>'Statement of Marks'!GN201</f>
        <v/>
      </c>
      <c r="L199" s="392" t="str">
        <f>'Statement of Marks'!GQ201</f>
        <v/>
      </c>
      <c r="M199" s="181" t="str">
        <f>'Statement of Marks'!GU201</f>
        <v/>
      </c>
      <c r="N199" s="181" t="str">
        <f>'Statement of Marks'!GV201</f>
        <v/>
      </c>
      <c r="O199" s="181" t="str">
        <f>'Statement of Marks'!GW201</f>
        <v/>
      </c>
      <c r="P199" s="181" t="str">
        <f>'Statement of Marks'!GX201</f>
        <v/>
      </c>
      <c r="Q199" s="181" t="str">
        <f>'Statement of Marks'!GY201</f>
        <v/>
      </c>
      <c r="R199" s="392" t="str">
        <f>'Statement of Marks'!HB201</f>
        <v/>
      </c>
      <c r="S199" s="392" t="str">
        <f>'Statement of Marks'!HE201</f>
        <v/>
      </c>
      <c r="T199" s="392" t="str">
        <f>'Statement of Marks'!HH201</f>
        <v/>
      </c>
      <c r="U199" s="392" t="str">
        <f>'Statement of Marks'!HK201</f>
        <v/>
      </c>
      <c r="V199" s="318"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9">
        <f>IF('Statement of Marks'!A202="","",'Statement of Marks'!A202)</f>
        <v>196</v>
      </c>
      <c r="B200" s="169" t="str">
        <f>IF('Statement of Marks'!B202="","",'Statement of Marks'!B202)</f>
        <v/>
      </c>
      <c r="C200" s="169" t="str">
        <f>IF('Statement of Marks'!D202="","",'Statement of Marks'!D202)</f>
        <v/>
      </c>
      <c r="D200" s="315" t="str">
        <f>IF('Statement of Marks'!E202="","",'Statement of Marks'!E202)</f>
        <v/>
      </c>
      <c r="E200" s="316" t="str">
        <f>IF('Statement of Marks'!F202="","",'Statement of Marks'!F202)</f>
        <v/>
      </c>
      <c r="F200" s="316" t="str">
        <f>IF('Statement of Marks'!G202="","",'Statement of Marks'!G202)</f>
        <v/>
      </c>
      <c r="G200" s="316" t="str">
        <f>IF('Statement of Marks'!H202="","",'Statement of Marks'!H202)</f>
        <v/>
      </c>
      <c r="H200" s="830" t="str">
        <f>IF('Statement of Marks'!HS202="","",'Statement of Marks'!HS202)</f>
        <v/>
      </c>
      <c r="I200" s="172" t="str">
        <f>IF('Statement of Marks'!HV202="","",'Statement of Marks'!HV202)</f>
        <v/>
      </c>
      <c r="J200" s="317" t="str">
        <f>IF('Statement of Marks'!HW202="","",'Statement of Marks'!HW202)</f>
        <v/>
      </c>
      <c r="K200" s="392" t="str">
        <f>'Statement of Marks'!GN202</f>
        <v/>
      </c>
      <c r="L200" s="392" t="str">
        <f>'Statement of Marks'!GQ202</f>
        <v/>
      </c>
      <c r="M200" s="181" t="str">
        <f>'Statement of Marks'!GU202</f>
        <v/>
      </c>
      <c r="N200" s="181" t="str">
        <f>'Statement of Marks'!GV202</f>
        <v/>
      </c>
      <c r="O200" s="181" t="str">
        <f>'Statement of Marks'!GW202</f>
        <v/>
      </c>
      <c r="P200" s="181" t="str">
        <f>'Statement of Marks'!GX202</f>
        <v/>
      </c>
      <c r="Q200" s="181" t="str">
        <f>'Statement of Marks'!GY202</f>
        <v/>
      </c>
      <c r="R200" s="392" t="str">
        <f>'Statement of Marks'!HB202</f>
        <v/>
      </c>
      <c r="S200" s="392" t="str">
        <f>'Statement of Marks'!HE202</f>
        <v/>
      </c>
      <c r="T200" s="392" t="str">
        <f>'Statement of Marks'!HH202</f>
        <v/>
      </c>
      <c r="U200" s="392" t="str">
        <f>'Statement of Marks'!HK202</f>
        <v/>
      </c>
      <c r="V200" s="318"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9">
        <f>IF('Statement of Marks'!A203="","",'Statement of Marks'!A203)</f>
        <v>197</v>
      </c>
      <c r="B201" s="169" t="str">
        <f>IF('Statement of Marks'!B203="","",'Statement of Marks'!B203)</f>
        <v/>
      </c>
      <c r="C201" s="169" t="str">
        <f>IF('Statement of Marks'!D203="","",'Statement of Marks'!D203)</f>
        <v/>
      </c>
      <c r="D201" s="315" t="str">
        <f>IF('Statement of Marks'!E203="","",'Statement of Marks'!E203)</f>
        <v/>
      </c>
      <c r="E201" s="316" t="str">
        <f>IF('Statement of Marks'!F203="","",'Statement of Marks'!F203)</f>
        <v/>
      </c>
      <c r="F201" s="316" t="str">
        <f>IF('Statement of Marks'!G203="","",'Statement of Marks'!G203)</f>
        <v/>
      </c>
      <c r="G201" s="316" t="str">
        <f>IF('Statement of Marks'!H203="","",'Statement of Marks'!H203)</f>
        <v/>
      </c>
      <c r="H201" s="830" t="str">
        <f>IF('Statement of Marks'!HS203="","",'Statement of Marks'!HS203)</f>
        <v/>
      </c>
      <c r="I201" s="172" t="str">
        <f>IF('Statement of Marks'!HV203="","",'Statement of Marks'!HV203)</f>
        <v/>
      </c>
      <c r="J201" s="317" t="str">
        <f>IF('Statement of Marks'!HW203="","",'Statement of Marks'!HW203)</f>
        <v/>
      </c>
      <c r="K201" s="392" t="str">
        <f>'Statement of Marks'!GN203</f>
        <v/>
      </c>
      <c r="L201" s="392" t="str">
        <f>'Statement of Marks'!GQ203</f>
        <v/>
      </c>
      <c r="M201" s="181" t="str">
        <f>'Statement of Marks'!GU203</f>
        <v/>
      </c>
      <c r="N201" s="181" t="str">
        <f>'Statement of Marks'!GV203</f>
        <v/>
      </c>
      <c r="O201" s="181" t="str">
        <f>'Statement of Marks'!GW203</f>
        <v/>
      </c>
      <c r="P201" s="181" t="str">
        <f>'Statement of Marks'!GX203</f>
        <v/>
      </c>
      <c r="Q201" s="181" t="str">
        <f>'Statement of Marks'!GY203</f>
        <v/>
      </c>
      <c r="R201" s="392" t="str">
        <f>'Statement of Marks'!HB203</f>
        <v/>
      </c>
      <c r="S201" s="392" t="str">
        <f>'Statement of Marks'!HE203</f>
        <v/>
      </c>
      <c r="T201" s="392" t="str">
        <f>'Statement of Marks'!HH203</f>
        <v/>
      </c>
      <c r="U201" s="392" t="str">
        <f>'Statement of Marks'!HK203</f>
        <v/>
      </c>
      <c r="V201" s="318"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9">
        <f>IF('Statement of Marks'!A204="","",'Statement of Marks'!A204)</f>
        <v>198</v>
      </c>
      <c r="B202" s="169" t="str">
        <f>IF('Statement of Marks'!B204="","",'Statement of Marks'!B204)</f>
        <v/>
      </c>
      <c r="C202" s="169" t="str">
        <f>IF('Statement of Marks'!D204="","",'Statement of Marks'!D204)</f>
        <v/>
      </c>
      <c r="D202" s="315" t="str">
        <f>IF('Statement of Marks'!E204="","",'Statement of Marks'!E204)</f>
        <v/>
      </c>
      <c r="E202" s="316" t="str">
        <f>IF('Statement of Marks'!F204="","",'Statement of Marks'!F204)</f>
        <v/>
      </c>
      <c r="F202" s="316" t="str">
        <f>IF('Statement of Marks'!G204="","",'Statement of Marks'!G204)</f>
        <v/>
      </c>
      <c r="G202" s="316" t="str">
        <f>IF('Statement of Marks'!H204="","",'Statement of Marks'!H204)</f>
        <v/>
      </c>
      <c r="H202" s="830" t="str">
        <f>IF('Statement of Marks'!HS204="","",'Statement of Marks'!HS204)</f>
        <v/>
      </c>
      <c r="I202" s="172" t="str">
        <f>IF('Statement of Marks'!HV204="","",'Statement of Marks'!HV204)</f>
        <v/>
      </c>
      <c r="J202" s="317" t="str">
        <f>IF('Statement of Marks'!HW204="","",'Statement of Marks'!HW204)</f>
        <v/>
      </c>
      <c r="K202" s="392" t="str">
        <f>'Statement of Marks'!GN204</f>
        <v/>
      </c>
      <c r="L202" s="392" t="str">
        <f>'Statement of Marks'!GQ204</f>
        <v/>
      </c>
      <c r="M202" s="181" t="str">
        <f>'Statement of Marks'!GU204</f>
        <v/>
      </c>
      <c r="N202" s="181" t="str">
        <f>'Statement of Marks'!GV204</f>
        <v/>
      </c>
      <c r="O202" s="181" t="str">
        <f>'Statement of Marks'!GW204</f>
        <v/>
      </c>
      <c r="P202" s="181" t="str">
        <f>'Statement of Marks'!GX204</f>
        <v/>
      </c>
      <c r="Q202" s="181" t="str">
        <f>'Statement of Marks'!GY204</f>
        <v/>
      </c>
      <c r="R202" s="392" t="str">
        <f>'Statement of Marks'!HB204</f>
        <v/>
      </c>
      <c r="S202" s="392" t="str">
        <f>'Statement of Marks'!HE204</f>
        <v/>
      </c>
      <c r="T202" s="392" t="str">
        <f>'Statement of Marks'!HH204</f>
        <v/>
      </c>
      <c r="U202" s="392" t="str">
        <f>'Statement of Marks'!HK204</f>
        <v/>
      </c>
      <c r="V202" s="318"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9">
        <f>IF('Statement of Marks'!A205="","",'Statement of Marks'!A205)</f>
        <v>199</v>
      </c>
      <c r="B203" s="169" t="str">
        <f>IF('Statement of Marks'!B205="","",'Statement of Marks'!B205)</f>
        <v/>
      </c>
      <c r="C203" s="169" t="str">
        <f>IF('Statement of Marks'!D205="","",'Statement of Marks'!D205)</f>
        <v/>
      </c>
      <c r="D203" s="315" t="str">
        <f>IF('Statement of Marks'!E205="","",'Statement of Marks'!E205)</f>
        <v/>
      </c>
      <c r="E203" s="316" t="str">
        <f>IF('Statement of Marks'!F205="","",'Statement of Marks'!F205)</f>
        <v/>
      </c>
      <c r="F203" s="316" t="str">
        <f>IF('Statement of Marks'!G205="","",'Statement of Marks'!G205)</f>
        <v/>
      </c>
      <c r="G203" s="316" t="str">
        <f>IF('Statement of Marks'!H205="","",'Statement of Marks'!H205)</f>
        <v/>
      </c>
      <c r="H203" s="830" t="str">
        <f>IF('Statement of Marks'!HS205="","",'Statement of Marks'!HS205)</f>
        <v/>
      </c>
      <c r="I203" s="172" t="str">
        <f>IF('Statement of Marks'!HV205="","",'Statement of Marks'!HV205)</f>
        <v/>
      </c>
      <c r="J203" s="317" t="str">
        <f>IF('Statement of Marks'!HW205="","",'Statement of Marks'!HW205)</f>
        <v/>
      </c>
      <c r="K203" s="392" t="str">
        <f>'Statement of Marks'!GN205</f>
        <v/>
      </c>
      <c r="L203" s="392" t="str">
        <f>'Statement of Marks'!GQ205</f>
        <v/>
      </c>
      <c r="M203" s="181" t="str">
        <f>'Statement of Marks'!GU205</f>
        <v/>
      </c>
      <c r="N203" s="181" t="str">
        <f>'Statement of Marks'!GV205</f>
        <v/>
      </c>
      <c r="O203" s="181" t="str">
        <f>'Statement of Marks'!GW205</f>
        <v/>
      </c>
      <c r="P203" s="181" t="str">
        <f>'Statement of Marks'!GX205</f>
        <v/>
      </c>
      <c r="Q203" s="181" t="str">
        <f>'Statement of Marks'!GY205</f>
        <v/>
      </c>
      <c r="R203" s="392" t="str">
        <f>'Statement of Marks'!HB205</f>
        <v/>
      </c>
      <c r="S203" s="392" t="str">
        <f>'Statement of Marks'!HE205</f>
        <v/>
      </c>
      <c r="T203" s="392" t="str">
        <f>'Statement of Marks'!HH205</f>
        <v/>
      </c>
      <c r="U203" s="392" t="str">
        <f>'Statement of Marks'!HK205</f>
        <v/>
      </c>
      <c r="V203" s="318"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9">
        <f>IF('Statement of Marks'!A206="","",'Statement of Marks'!A206)</f>
        <v>200</v>
      </c>
      <c r="B204" s="640" t="str">
        <f>IF('Statement of Marks'!B206="","",'Statement of Marks'!B206)</f>
        <v/>
      </c>
      <c r="C204" s="640" t="str">
        <f>IF('Statement of Marks'!D206="","",'Statement of Marks'!D206)</f>
        <v/>
      </c>
      <c r="D204" s="641" t="str">
        <f>IF('Statement of Marks'!E206="","",'Statement of Marks'!E206)</f>
        <v/>
      </c>
      <c r="E204" s="642" t="str">
        <f>IF('Statement of Marks'!F206="","",'Statement of Marks'!F206)</f>
        <v/>
      </c>
      <c r="F204" s="642" t="str">
        <f>IF('Statement of Marks'!G206="","",'Statement of Marks'!G206)</f>
        <v/>
      </c>
      <c r="G204" s="316" t="str">
        <f>IF('Statement of Marks'!H206="","",'Statement of Marks'!H206)</f>
        <v/>
      </c>
      <c r="H204" s="830" t="str">
        <f>IF('Statement of Marks'!HS206="","",'Statement of Marks'!HS206)</f>
        <v/>
      </c>
      <c r="I204" s="636" t="str">
        <f>IF('Statement of Marks'!HV206="","",'Statement of Marks'!HV206)</f>
        <v/>
      </c>
      <c r="J204" s="637" t="str">
        <f>IF('Statement of Marks'!HW206="","",'Statement of Marks'!HW206)</f>
        <v/>
      </c>
      <c r="K204" s="638" t="str">
        <f>'Statement of Marks'!GN206</f>
        <v/>
      </c>
      <c r="L204" s="638" t="str">
        <f>'Statement of Marks'!GQ206</f>
        <v/>
      </c>
      <c r="M204" s="639" t="str">
        <f>'Statement of Marks'!GU206</f>
        <v/>
      </c>
      <c r="N204" s="639" t="str">
        <f>'Statement of Marks'!GV206</f>
        <v/>
      </c>
      <c r="O204" s="639" t="str">
        <f>'Statement of Marks'!GW206</f>
        <v/>
      </c>
      <c r="P204" s="639" t="str">
        <f>'Statement of Marks'!GX206</f>
        <v/>
      </c>
      <c r="Q204" s="639" t="str">
        <f>'Statement of Marks'!GY206</f>
        <v/>
      </c>
      <c r="R204" s="638" t="str">
        <f>'Statement of Marks'!HB206</f>
        <v/>
      </c>
      <c r="S204" s="638" t="str">
        <f>'Statement of Marks'!HE206</f>
        <v/>
      </c>
      <c r="T204" s="638" t="str">
        <f>'Statement of Marks'!HH206</f>
        <v/>
      </c>
      <c r="U204" s="638" t="str">
        <f>'Statement of Marks'!HK206</f>
        <v/>
      </c>
      <c r="V204" s="318"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34"/>
      <c r="B205" s="1466" t="str">
        <f>IF('School Profile'!$D$12="Hindi","समग्र परिणाम","All Results")</f>
        <v>समग्र परिणाम</v>
      </c>
      <c r="C205" s="1467"/>
      <c r="D205" s="1467"/>
      <c r="E205" s="1467"/>
      <c r="F205" s="1468"/>
      <c r="G205" s="635"/>
      <c r="H205" s="1466" t="str">
        <f>IF('School Profile'!D12="Hindi","विषयवार परीक्षा परिणाम कक्षा -9","Subject-wise Result Class 9th")</f>
        <v>विषयवार परीक्षा परिणाम कक्षा -9</v>
      </c>
      <c r="I205" s="1467"/>
      <c r="J205" s="1467"/>
      <c r="K205" s="1467"/>
      <c r="L205" s="1467"/>
      <c r="M205" s="1467"/>
      <c r="N205" s="1467"/>
      <c r="O205" s="1467"/>
      <c r="P205" s="1467"/>
      <c r="Q205" s="1467"/>
      <c r="R205" s="1467"/>
      <c r="S205" s="1467"/>
      <c r="T205" s="1467"/>
      <c r="U205" s="1467"/>
      <c r="V205" s="1468"/>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19"/>
      <c r="B206" s="1472" t="str">
        <f>IF('School Profile'!$D$12="Hindi","विवरण","Details")</f>
        <v>विवरण</v>
      </c>
      <c r="C206" s="1473"/>
      <c r="D206" s="1473"/>
      <c r="E206" s="1474" t="str">
        <f>IF('School Profile'!$D$12="Hindi","मुख्य परीक्षा","Main Exam")</f>
        <v>मुख्य परीक्षा</v>
      </c>
      <c r="F206" s="1475"/>
      <c r="G206" s="320"/>
      <c r="H206" s="1471" t="str">
        <f>IF('School Profile'!$D$12="Hindi","कुल प्रविष्ट","Total appeared")</f>
        <v>कुल प्रविष्ट</v>
      </c>
      <c r="I206" s="1471"/>
      <c r="J206" s="1471"/>
      <c r="K206" s="643">
        <f>SUM(K211,K213,K214,K215)</f>
        <v>30</v>
      </c>
      <c r="L206" s="643">
        <f t="shared" ref="L206:U206" si="0">SUM(L211,L213,L214,L215)</f>
        <v>31</v>
      </c>
      <c r="M206" s="643">
        <f t="shared" si="0"/>
        <v>11</v>
      </c>
      <c r="N206" s="643">
        <f t="shared" si="0"/>
        <v>9</v>
      </c>
      <c r="O206" s="643">
        <f t="shared" si="0"/>
        <v>4</v>
      </c>
      <c r="P206" s="643">
        <f t="shared" si="0"/>
        <v>4</v>
      </c>
      <c r="Q206" s="643">
        <f t="shared" si="0"/>
        <v>3</v>
      </c>
      <c r="R206" s="643">
        <f t="shared" si="0"/>
        <v>31</v>
      </c>
      <c r="S206" s="643">
        <f t="shared" si="0"/>
        <v>31</v>
      </c>
      <c r="T206" s="643">
        <f t="shared" si="0"/>
        <v>31</v>
      </c>
      <c r="U206" s="643">
        <f t="shared" si="0"/>
        <v>3</v>
      </c>
      <c r="V206" s="1479" t="str">
        <f>CONCATENATE("( ",UPPER('School Profile'!D18)," )")</f>
        <v>( YOGESH )</v>
      </c>
    </row>
    <row r="207" spans="1:64" ht="21" customHeight="1">
      <c r="A207" s="321"/>
      <c r="B207" s="1476" t="str">
        <f>IF('School Profile'!$D$12="Hindi","कुल प्रविष्ट","Total appeared")</f>
        <v>कुल प्रविष्ट</v>
      </c>
      <c r="C207" s="1477"/>
      <c r="D207" s="1477"/>
      <c r="E207" s="1478"/>
      <c r="F207" s="644">
        <f>COUNTA(B5:B204)-COUNTIF(B5:B204,"nso")-COUNTBLANK(B5:B204)</f>
        <v>31</v>
      </c>
      <c r="G207" s="323"/>
      <c r="H207" s="1352" t="str">
        <f>IF('School Profile'!$D$12="Hindi","विशेष योग्यता","Distinction Marks")</f>
        <v>विशेष योग्यता</v>
      </c>
      <c r="I207" s="1352"/>
      <c r="J207" s="1352"/>
      <c r="K207" s="193">
        <f>COUNTIF(K5:K204,"D")</f>
        <v>0</v>
      </c>
      <c r="L207" s="193">
        <f t="shared" ref="L207:U207" si="1">COUNTIF(L5:L204,"D")</f>
        <v>27</v>
      </c>
      <c r="M207" s="193">
        <f t="shared" si="1"/>
        <v>1</v>
      </c>
      <c r="N207" s="193">
        <f>COUNTIF(N5:N204,"D")</f>
        <v>0</v>
      </c>
      <c r="O207" s="193">
        <f t="shared" si="1"/>
        <v>1</v>
      </c>
      <c r="P207" s="193">
        <f t="shared" si="1"/>
        <v>0</v>
      </c>
      <c r="Q207" s="193">
        <f t="shared" si="1"/>
        <v>0</v>
      </c>
      <c r="R207" s="193">
        <f t="shared" si="1"/>
        <v>1</v>
      </c>
      <c r="S207" s="193">
        <f t="shared" si="1"/>
        <v>0</v>
      </c>
      <c r="T207" s="193">
        <f t="shared" si="1"/>
        <v>0</v>
      </c>
      <c r="U207" s="193">
        <f t="shared" si="1"/>
        <v>2</v>
      </c>
      <c r="V207" s="1479"/>
    </row>
    <row r="208" spans="1:64" ht="21" customHeight="1">
      <c r="A208" s="321"/>
      <c r="B208" s="1354" t="str">
        <f>IF('School Profile'!$D$12="Hindi","प्रथम श्रेणी","1st Div.")</f>
        <v>प्रथम श्रेणी</v>
      </c>
      <c r="C208" s="1355"/>
      <c r="D208" s="1355"/>
      <c r="E208" s="1470"/>
      <c r="F208" s="322">
        <f>COUNTIF(I5:I204,"I")+COUNTIF(I5:I204,"1st")</f>
        <v>23</v>
      </c>
      <c r="G208" s="324"/>
      <c r="H208" s="1352" t="str">
        <f>IF('School Profile'!$D$12="Hindi","प्रथम श्रेणी","1st Div.")</f>
        <v>प्रथम श्रेणी</v>
      </c>
      <c r="I208" s="1352"/>
      <c r="J208" s="1352"/>
      <c r="K208" s="198">
        <f>COUNTIF(K5:K204,"I")</f>
        <v>22</v>
      </c>
      <c r="L208" s="198">
        <f t="shared" ref="L208:U208" si="2">COUNTIF(L5:L204,"I")</f>
        <v>3</v>
      </c>
      <c r="M208" s="198">
        <f t="shared" si="2"/>
        <v>1</v>
      </c>
      <c r="N208" s="198">
        <f t="shared" si="2"/>
        <v>0</v>
      </c>
      <c r="O208" s="198">
        <f t="shared" si="2"/>
        <v>0</v>
      </c>
      <c r="P208" s="198">
        <f t="shared" si="2"/>
        <v>0</v>
      </c>
      <c r="Q208" s="198">
        <f t="shared" si="2"/>
        <v>0</v>
      </c>
      <c r="R208" s="198">
        <f t="shared" si="2"/>
        <v>1</v>
      </c>
      <c r="S208" s="198">
        <f t="shared" si="2"/>
        <v>1</v>
      </c>
      <c r="T208" s="198">
        <f t="shared" si="2"/>
        <v>3</v>
      </c>
      <c r="U208" s="198">
        <f t="shared" si="2"/>
        <v>0</v>
      </c>
      <c r="V208" s="394" t="str">
        <f>IF('School Profile'!D12="Hindi","हस्ताक्षर कक्षाध्यापक","Signature of the class teacher")</f>
        <v>हस्ताक्षर कक्षाध्यापक</v>
      </c>
    </row>
    <row r="209" spans="1:22" ht="21" customHeight="1">
      <c r="A209" s="325"/>
      <c r="B209" s="1354" t="str">
        <f>IF('School Profile'!$D$12="Hindi","द्वितीय श्रेणी","2nd Div.")</f>
        <v>द्वितीय श्रेणी</v>
      </c>
      <c r="C209" s="1355"/>
      <c r="D209" s="1355"/>
      <c r="E209" s="1470"/>
      <c r="F209" s="322">
        <f>COUNTIF(I5:I204,"II")+COUNTIF(I5:I204,"2nd")</f>
        <v>5</v>
      </c>
      <c r="G209" s="324"/>
      <c r="H209" s="1352" t="str">
        <f>IF('School Profile'!$D$12="Hindi","द्वितीय श्रेणी","2nd Div.")</f>
        <v>द्वितीय श्रेणी</v>
      </c>
      <c r="I209" s="1352"/>
      <c r="J209" s="1352"/>
      <c r="K209" s="198">
        <f t="shared" ref="K209" si="3">COUNTIF(K5:K204,"II")</f>
        <v>7</v>
      </c>
      <c r="L209" s="198">
        <f t="shared" ref="L209:U209" si="4">COUNTIF(L5:L204,"II")</f>
        <v>0</v>
      </c>
      <c r="M209" s="198">
        <f t="shared" si="4"/>
        <v>9</v>
      </c>
      <c r="N209" s="198">
        <f t="shared" si="4"/>
        <v>9</v>
      </c>
      <c r="O209" s="198">
        <f t="shared" si="4"/>
        <v>3</v>
      </c>
      <c r="P209" s="198">
        <f t="shared" si="4"/>
        <v>4</v>
      </c>
      <c r="Q209" s="198">
        <f t="shared" si="4"/>
        <v>3</v>
      </c>
      <c r="R209" s="198">
        <f t="shared" si="4"/>
        <v>22</v>
      </c>
      <c r="S209" s="198">
        <f t="shared" si="4"/>
        <v>29</v>
      </c>
      <c r="T209" s="198">
        <f t="shared" si="4"/>
        <v>28</v>
      </c>
      <c r="U209" s="198">
        <f t="shared" si="4"/>
        <v>1</v>
      </c>
      <c r="V209" s="1499" t="str">
        <f>CONCATENATE("( ",UPPER('School Profile'!D16)," )")</f>
        <v>( RAKESH KUMAR )</v>
      </c>
    </row>
    <row r="210" spans="1:22" ht="21" customHeight="1">
      <c r="A210" s="326"/>
      <c r="B210" s="1354" t="str">
        <f>IF('School Profile'!$D$12="Hindi","तृतीय श्रेणी","3rd Div.")</f>
        <v>तृतीय श्रेणी</v>
      </c>
      <c r="C210" s="1355"/>
      <c r="D210" s="1355"/>
      <c r="E210" s="1470"/>
      <c r="F210" s="322">
        <f>COUNTIF(I5:I204,"III")+COUNTIF(I5:I204,"3rd")</f>
        <v>0</v>
      </c>
      <c r="G210" s="324"/>
      <c r="H210" s="1352" t="str">
        <f>IF('School Profile'!$D$12="Hindi","तृतीय श्रेणी","3rd Div.")</f>
        <v>तृतीय श्रेणी</v>
      </c>
      <c r="I210" s="1352"/>
      <c r="J210" s="1352"/>
      <c r="K210" s="201">
        <f t="shared" ref="K210" si="5">COUNTIF(K5:K204,"III")+COUNTIF(K5:K204,"G")</f>
        <v>0</v>
      </c>
      <c r="L210" s="201">
        <f t="shared" ref="L210:U210" si="6">COUNTIF(L5:L204,"III")+COUNTIF(L5:L204,"G")</f>
        <v>1</v>
      </c>
      <c r="M210" s="201">
        <f t="shared" si="6"/>
        <v>0</v>
      </c>
      <c r="N210" s="201">
        <f t="shared" si="6"/>
        <v>0</v>
      </c>
      <c r="O210" s="201">
        <f t="shared" si="6"/>
        <v>0</v>
      </c>
      <c r="P210" s="201">
        <f t="shared" si="6"/>
        <v>0</v>
      </c>
      <c r="Q210" s="201">
        <f t="shared" si="6"/>
        <v>0</v>
      </c>
      <c r="R210" s="201">
        <f t="shared" si="6"/>
        <v>6</v>
      </c>
      <c r="S210" s="201">
        <f t="shared" si="6"/>
        <v>1</v>
      </c>
      <c r="T210" s="201">
        <f t="shared" si="6"/>
        <v>0</v>
      </c>
      <c r="U210" s="201">
        <f t="shared" si="6"/>
        <v>0</v>
      </c>
      <c r="V210" s="1500"/>
    </row>
    <row r="211" spans="1:22" ht="21" customHeight="1">
      <c r="A211" s="327"/>
      <c r="B211" s="1354" t="str">
        <f>IF('School Profile'!$D$12="Hindi","उतीर्ण","Pass")</f>
        <v>उतीर्ण</v>
      </c>
      <c r="C211" s="1355"/>
      <c r="D211" s="1355"/>
      <c r="E211" s="1470"/>
      <c r="F211" s="322">
        <f>COUNTIF(H5:H204,"PASS")+COUNTIF(H5:H204,"BY GRACE PASS")</f>
        <v>28</v>
      </c>
      <c r="G211" s="324"/>
      <c r="H211" s="1352" t="str">
        <f>IF('School Profile'!$D$12="Hindi","उतीर्ण","Pass")</f>
        <v>उतीर्ण</v>
      </c>
      <c r="I211" s="1352"/>
      <c r="J211" s="1352"/>
      <c r="K211" s="201">
        <f>SUM(K207,K208,K209,K210)</f>
        <v>29</v>
      </c>
      <c r="L211" s="201">
        <f t="shared" ref="L211:U211" si="7">SUM(L207,L208,L209,L210)</f>
        <v>31</v>
      </c>
      <c r="M211" s="201">
        <f t="shared" si="7"/>
        <v>11</v>
      </c>
      <c r="N211" s="201">
        <f t="shared" si="7"/>
        <v>9</v>
      </c>
      <c r="O211" s="201">
        <f t="shared" si="7"/>
        <v>4</v>
      </c>
      <c r="P211" s="201">
        <f t="shared" si="7"/>
        <v>4</v>
      </c>
      <c r="Q211" s="201">
        <f t="shared" si="7"/>
        <v>3</v>
      </c>
      <c r="R211" s="201">
        <f t="shared" si="7"/>
        <v>30</v>
      </c>
      <c r="S211" s="201">
        <f t="shared" si="7"/>
        <v>31</v>
      </c>
      <c r="T211" s="201">
        <f t="shared" si="7"/>
        <v>31</v>
      </c>
      <c r="U211" s="201">
        <f t="shared" si="7"/>
        <v>3</v>
      </c>
      <c r="V211" s="393" t="str">
        <f>IF('School Profile'!D12="Hindi","हस्ताक्षर जांचकर्ता","Signature of the checker")</f>
        <v>हस्ताक्षर जांचकर्ता</v>
      </c>
    </row>
    <row r="212" spans="1:22" ht="36" customHeight="1">
      <c r="A212" s="327"/>
      <c r="B212" s="1354" t="str">
        <f>IF('School Profile'!$D$12="Hindi","उतीर्ण प्रतिशत","Pass %")</f>
        <v>उतीर्ण प्रतिशत</v>
      </c>
      <c r="C212" s="1355"/>
      <c r="D212" s="1355"/>
      <c r="E212" s="1470"/>
      <c r="F212" s="204">
        <f>IF(F207=0,"",F211/F207*100)</f>
        <v>90.322580645161281</v>
      </c>
      <c r="G212" s="328"/>
      <c r="H212" s="1352" t="str">
        <f>IF('School Profile'!$D$12="Hindi","उतीर्ण प्रतिशत","Pass %")</f>
        <v>उतीर्ण प्रतिशत</v>
      </c>
      <c r="I212" s="1352"/>
      <c r="J212" s="1352"/>
      <c r="K212" s="329">
        <f>IF(K206=0,"",K211/K206*100)</f>
        <v>96.666666666666671</v>
      </c>
      <c r="L212" s="329">
        <f t="shared" ref="L212:U212" si="8">IF(L206=0,"",L211/L206*100)</f>
        <v>100</v>
      </c>
      <c r="M212" s="329">
        <f t="shared" si="8"/>
        <v>100</v>
      </c>
      <c r="N212" s="329">
        <f t="shared" si="8"/>
        <v>100</v>
      </c>
      <c r="O212" s="329">
        <f t="shared" si="8"/>
        <v>100</v>
      </c>
      <c r="P212" s="329">
        <f t="shared" si="8"/>
        <v>100</v>
      </c>
      <c r="Q212" s="329">
        <f t="shared" si="8"/>
        <v>100</v>
      </c>
      <c r="R212" s="329">
        <f t="shared" si="8"/>
        <v>96.774193548387103</v>
      </c>
      <c r="S212" s="329">
        <f t="shared" si="8"/>
        <v>100</v>
      </c>
      <c r="T212" s="329">
        <f t="shared" si="8"/>
        <v>100</v>
      </c>
      <c r="U212" s="329">
        <f t="shared" si="8"/>
        <v>100</v>
      </c>
      <c r="V212" s="727" t="str">
        <f>CONCATENATE("( ",UPPER('School Profile'!D15)," )")</f>
        <v>( HEERALAL JAT )</v>
      </c>
    </row>
    <row r="213" spans="1:22" ht="21" customHeight="1">
      <c r="A213" s="327"/>
      <c r="B213" s="1354" t="str">
        <f>IF('School Profile'!$D$12="Hindi","अनुतीर्ण","Failed")</f>
        <v>अनुतीर्ण</v>
      </c>
      <c r="C213" s="1355"/>
      <c r="D213" s="1355"/>
      <c r="E213" s="1470"/>
      <c r="F213" s="322">
        <f>COUNTIF(H5:H204,"FAIL")</f>
        <v>2</v>
      </c>
      <c r="G213" s="330"/>
      <c r="H213" s="1469" t="str">
        <f>IF('School Profile'!$D$12="Hindi","पूरक","Supp.")</f>
        <v>पूरक</v>
      </c>
      <c r="I213" s="1469"/>
      <c r="J213" s="1469"/>
      <c r="K213" s="209">
        <f>COUNTIF(K5:K204,"S")</f>
        <v>0</v>
      </c>
      <c r="L213" s="209">
        <f t="shared" ref="L213:U213" si="9">COUNTIF(L5:L204,"S")</f>
        <v>0</v>
      </c>
      <c r="M213" s="209">
        <f t="shared" si="9"/>
        <v>0</v>
      </c>
      <c r="N213" s="209">
        <f t="shared" si="9"/>
        <v>0</v>
      </c>
      <c r="O213" s="209">
        <f t="shared" si="9"/>
        <v>0</v>
      </c>
      <c r="P213" s="209">
        <f t="shared" si="9"/>
        <v>0</v>
      </c>
      <c r="Q213" s="209">
        <f t="shared" si="9"/>
        <v>0</v>
      </c>
      <c r="R213" s="209">
        <f t="shared" si="9"/>
        <v>1</v>
      </c>
      <c r="S213" s="209">
        <f t="shared" si="9"/>
        <v>0</v>
      </c>
      <c r="T213" s="209">
        <f t="shared" si="9"/>
        <v>0</v>
      </c>
      <c r="U213" s="209">
        <f t="shared" si="9"/>
        <v>0</v>
      </c>
      <c r="V213" s="393" t="str">
        <f>IF('School Profile'!D12="Hindi","हस्ताक्षर परीक्षा प्रभारी","Signature of the exam. Incharge")</f>
        <v>हस्ताक्षर परीक्षा प्रभारी</v>
      </c>
    </row>
    <row r="214" spans="1:22" ht="21" customHeight="1">
      <c r="A214" s="327"/>
      <c r="B214" s="1354" t="str">
        <f>IF('School Profile'!$D$12="Hindi","पूरक","Supp.")</f>
        <v>पूरक</v>
      </c>
      <c r="C214" s="1355"/>
      <c r="D214" s="1355"/>
      <c r="E214" s="1470"/>
      <c r="F214" s="322">
        <f>COUNTIF(H5:H204,"SUPPLEMENTARY")</f>
        <v>1</v>
      </c>
      <c r="G214" s="331"/>
      <c r="H214" s="1469" t="str">
        <f>IF('School Profile'!$D$12="Hindi","अनुतीर्ण","Failed")</f>
        <v>अनुतीर्ण</v>
      </c>
      <c r="I214" s="1469"/>
      <c r="J214" s="1469"/>
      <c r="K214" s="332">
        <f>COUNTIF(K5:K204,"F")+COUNTIF(K5:K204,"FP")</f>
        <v>1</v>
      </c>
      <c r="L214" s="332">
        <f t="shared" ref="L214:U214" si="10">COUNTIF(L5:L204,"F")+COUNTIF(L5:L204,"FP")</f>
        <v>0</v>
      </c>
      <c r="M214" s="332">
        <f t="shared" si="10"/>
        <v>0</v>
      </c>
      <c r="N214" s="332">
        <f t="shared" si="10"/>
        <v>0</v>
      </c>
      <c r="O214" s="332">
        <f t="shared" si="10"/>
        <v>0</v>
      </c>
      <c r="P214" s="332">
        <f t="shared" si="10"/>
        <v>0</v>
      </c>
      <c r="Q214" s="332">
        <f t="shared" si="10"/>
        <v>0</v>
      </c>
      <c r="R214" s="332">
        <f t="shared" si="10"/>
        <v>0</v>
      </c>
      <c r="S214" s="332">
        <f t="shared" si="10"/>
        <v>0</v>
      </c>
      <c r="T214" s="332">
        <f t="shared" si="10"/>
        <v>0</v>
      </c>
      <c r="U214" s="332">
        <f t="shared" si="10"/>
        <v>0</v>
      </c>
      <c r="V214" s="1498" t="str">
        <f>CONCATENATE("( ",UPPER('School Profile'!D14)," )")</f>
        <v>( USHA PALIYA )</v>
      </c>
    </row>
    <row r="215" spans="1:22" ht="21" customHeight="1">
      <c r="A215" s="321"/>
      <c r="B215" s="1476" t="str">
        <f>IF('School Profile'!$D$12="Hindi","परीक्षा परिणाम घोषित दिनांक :-","Date of Result declaration :-")</f>
        <v>परीक्षा परिणाम घोषित दिनांक :-</v>
      </c>
      <c r="C215" s="1477"/>
      <c r="D215" s="1477"/>
      <c r="E215" s="1478"/>
      <c r="F215" s="633">
        <f>'School Profile'!D11</f>
        <v>45793</v>
      </c>
      <c r="G215" s="333"/>
      <c r="H215" s="1469" t="str">
        <f>IF('School Profile'!$D$12="Hindi","पुनः परीक्षा","Re-Exam")</f>
        <v>पुनः परीक्षा</v>
      </c>
      <c r="I215" s="1469"/>
      <c r="J215" s="1469"/>
      <c r="K215" s="209">
        <f>COUNTIF(K5:K204,"RE")</f>
        <v>0</v>
      </c>
      <c r="L215" s="209">
        <f t="shared" ref="L215:U215" si="11">COUNTIF(L5:L204,"RE")</f>
        <v>0</v>
      </c>
      <c r="M215" s="209">
        <f t="shared" si="11"/>
        <v>0</v>
      </c>
      <c r="N215" s="209">
        <f t="shared" si="11"/>
        <v>0</v>
      </c>
      <c r="O215" s="209">
        <f t="shared" si="11"/>
        <v>0</v>
      </c>
      <c r="P215" s="209">
        <f t="shared" si="11"/>
        <v>0</v>
      </c>
      <c r="Q215" s="209">
        <f t="shared" si="11"/>
        <v>0</v>
      </c>
      <c r="R215" s="209">
        <f t="shared" si="11"/>
        <v>0</v>
      </c>
      <c r="S215" s="209">
        <f t="shared" si="11"/>
        <v>0</v>
      </c>
      <c r="T215" s="209">
        <f t="shared" si="11"/>
        <v>0</v>
      </c>
      <c r="U215" s="209">
        <f t="shared" si="11"/>
        <v>0</v>
      </c>
      <c r="V215" s="1479"/>
    </row>
    <row r="216" spans="1:22" ht="24.75" customHeight="1">
      <c r="A216" s="321"/>
      <c r="B216" s="333"/>
      <c r="C216" s="333"/>
      <c r="D216" s="333"/>
      <c r="E216" s="333"/>
      <c r="F216" s="333"/>
      <c r="G216" s="333"/>
      <c r="H216" s="1469" t="str">
        <f>IF('School Profile'!$D$12="Hindi","अनुपस्थित","Absent")</f>
        <v>अनुपस्थित</v>
      </c>
      <c r="I216" s="1469"/>
      <c r="J216" s="1469"/>
      <c r="K216" s="209">
        <f>COUNTIF(K5:K204,"AB")</f>
        <v>1</v>
      </c>
      <c r="L216" s="209">
        <f t="shared" ref="L216:U216" si="12">COUNTIF(L5:L204,"AB")</f>
        <v>0</v>
      </c>
      <c r="M216" s="209">
        <f t="shared" si="12"/>
        <v>0</v>
      </c>
      <c r="N216" s="209">
        <f t="shared" si="12"/>
        <v>0</v>
      </c>
      <c r="O216" s="209">
        <f t="shared" si="12"/>
        <v>0</v>
      </c>
      <c r="P216" s="209">
        <f t="shared" si="12"/>
        <v>0</v>
      </c>
      <c r="Q216" s="209">
        <f t="shared" si="12"/>
        <v>0</v>
      </c>
      <c r="R216" s="209">
        <f t="shared" si="12"/>
        <v>0</v>
      </c>
      <c r="S216" s="209">
        <f t="shared" si="12"/>
        <v>0</v>
      </c>
      <c r="T216" s="209">
        <f t="shared" si="12"/>
        <v>0</v>
      </c>
      <c r="U216" s="209">
        <f t="shared" si="12"/>
        <v>0</v>
      </c>
      <c r="V216" s="393" t="str">
        <f>IF('School Profile'!D12="Hindi","हस्ताक्षर मय सील मोहर संस्था प्रधान","Signature &amp; Seal of the Head of the Institution")</f>
        <v>हस्ताक्षर मय सील मोहर संस्था प्रधान</v>
      </c>
    </row>
    <row r="217" spans="1:22" ht="15" customHeight="1" thickBot="1">
      <c r="A217" s="334"/>
      <c r="B217" s="335"/>
      <c r="C217" s="335"/>
      <c r="D217" s="335"/>
      <c r="E217" s="335"/>
      <c r="F217" s="335"/>
      <c r="G217" s="335"/>
      <c r="H217" s="335"/>
      <c r="I217" s="335"/>
      <c r="J217" s="335"/>
      <c r="K217" s="335"/>
      <c r="L217" s="335"/>
      <c r="M217" s="335"/>
      <c r="N217" s="335"/>
      <c r="O217" s="335"/>
      <c r="P217" s="335"/>
      <c r="Q217" s="335"/>
      <c r="R217" s="335"/>
      <c r="S217" s="335"/>
      <c r="T217" s="335"/>
      <c r="U217" s="335"/>
      <c r="V217" s="336"/>
    </row>
    <row r="218" spans="1:22" ht="19.5" thickTop="1">
      <c r="D218" s="216"/>
      <c r="E218" s="217"/>
    </row>
  </sheetData>
  <sheetProtection password="D5A2" sheet="1" objects="1" scenarios="1" formatColumns="0" formatRows="0"/>
  <mergeCells count="42">
    <mergeCell ref="B209:E209"/>
    <mergeCell ref="B210:E210"/>
    <mergeCell ref="H211:J211"/>
    <mergeCell ref="V214:V215"/>
    <mergeCell ref="V209:V210"/>
    <mergeCell ref="R3:R4"/>
    <mergeCell ref="S3:S4"/>
    <mergeCell ref="T3:T4"/>
    <mergeCell ref="U3:U4"/>
    <mergeCell ref="H215:J215"/>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s>
  <conditionalFormatting sqref="Q208:R209 E206 G206:G213 V206 A4:D4 H2 M3:M4 A1:A2 C2 K2 V214 V212 K206:U207 N4:Q4 A5:A205 B5:V204">
    <cfRule type="cellIs" dxfId="70" priority="68" stopIfTrue="1" operator="equal">
      <formula>0</formula>
    </cfRule>
  </conditionalFormatting>
  <conditionalFormatting sqref="G206 E206 Q208:R208 H217:H65569 H2 K206:U206">
    <cfRule type="containsText" dxfId="69" priority="67" stopIfTrue="1" operator="containsText" text="iwjd">
      <formula>NOT(ISERROR(SEARCH("iwjd",E2)))</formula>
    </cfRule>
  </conditionalFormatting>
  <conditionalFormatting sqref="H5:H204">
    <cfRule type="containsText" dxfId="68" priority="66" stopIfTrue="1" operator="containsText" text="iwjd">
      <formula>NOT(ISERROR(SEARCH("iwjd",H5)))</formula>
    </cfRule>
  </conditionalFormatting>
  <conditionalFormatting sqref="K206:U216">
    <cfRule type="cellIs" dxfId="67" priority="61" stopIfTrue="1" operator="equal">
      <formula>0</formula>
    </cfRule>
  </conditionalFormatting>
  <conditionalFormatting sqref="H5:H204">
    <cfRule type="containsText" dxfId="66" priority="55" operator="containsText" text="iqu% ijh{kk">
      <formula>NOT(ISERROR(SEARCH("iqu% ijh{kk",H5)))</formula>
    </cfRule>
  </conditionalFormatting>
  <conditionalFormatting sqref="J5:J204">
    <cfRule type="expression" dxfId="65" priority="44">
      <formula>J5=""</formula>
    </cfRule>
    <cfRule type="top10" dxfId="64" priority="97" stopIfTrue="1" rank="3"/>
    <cfRule type="top10" dxfId="63" priority="98" stopIfTrue="1" percent="1" rank="3"/>
  </conditionalFormatting>
  <conditionalFormatting sqref="H5:H204">
    <cfRule type="cellIs" dxfId="62" priority="38" stopIfTrue="1" operator="equal">
      <formula>0</formula>
    </cfRule>
  </conditionalFormatting>
  <conditionalFormatting sqref="H5:H204">
    <cfRule type="containsText" dxfId="61" priority="37" stopIfTrue="1" operator="containsText" text="iwjd">
      <formula>NOT(ISERROR(SEARCH("iwjd",H5)))</formula>
    </cfRule>
  </conditionalFormatting>
  <conditionalFormatting sqref="H5:H204">
    <cfRule type="containsText" dxfId="60" priority="36" operator="containsText" text="iqu% ijh{kk">
      <formula>NOT(ISERROR(SEARCH("iqu% ijh{kk",H5)))</formula>
    </cfRule>
  </conditionalFormatting>
  <conditionalFormatting sqref="H5:H204">
    <cfRule type="containsText" dxfId="59" priority="35" stopIfTrue="1" operator="containsText" text="iwjd">
      <formula>NOT(ISERROR(SEARCH("iwjd",H5)))</formula>
    </cfRule>
  </conditionalFormatting>
  <conditionalFormatting sqref="H5:H204">
    <cfRule type="containsText" dxfId="58" priority="30" stopIfTrue="1" operator="containsText" text="G1">
      <formula>NOT(ISERROR(SEARCH("G1",H5)))</formula>
    </cfRule>
    <cfRule type="containsText" dxfId="57" priority="31" stopIfTrue="1" operator="containsText" text="G2">
      <formula>NOT(ISERROR(SEARCH("G2",H5)))</formula>
    </cfRule>
    <cfRule type="containsText" dxfId="56" priority="32" stopIfTrue="1" operator="containsText" text="G1">
      <formula>NOT(ISERROR(SEARCH("G1",H5)))</formula>
    </cfRule>
    <cfRule type="containsText" dxfId="55" priority="33" stopIfTrue="1" operator="containsText" text="S">
      <formula>NOT(ISERROR(SEARCH("S",H5)))</formula>
    </cfRule>
    <cfRule type="containsText" dxfId="54" priority="34" stopIfTrue="1" operator="containsText" text="F">
      <formula>NOT(ISERROR(SEARCH("F",H5)))</formula>
    </cfRule>
  </conditionalFormatting>
  <conditionalFormatting sqref="H5:H204">
    <cfRule type="containsText" dxfId="53" priority="27" stopIfTrue="1" operator="containsText" text="RA">
      <formula>NOT(ISERROR(SEARCH("RA",H5)))</formula>
    </cfRule>
    <cfRule type="containsText" dxfId="52" priority="28" stopIfTrue="1" operator="containsText" text="ML">
      <formula>NOT(ISERROR(SEARCH("ML",H5)))</formula>
    </cfRule>
    <cfRule type="containsText" dxfId="51" priority="29" stopIfTrue="1" operator="containsText" text="ML">
      <formula>NOT(ISERROR(SEARCH("ML",H5)))</formula>
    </cfRule>
  </conditionalFormatting>
  <conditionalFormatting sqref="H5:H204">
    <cfRule type="containsText" dxfId="50" priority="26" stopIfTrue="1" operator="containsText" text="S">
      <formula>NOT(ISERROR(SEARCH("S",H5)))</formula>
    </cfRule>
  </conditionalFormatting>
  <conditionalFormatting sqref="H5:H204">
    <cfRule type="containsText" dxfId="49" priority="25" stopIfTrue="1" operator="containsText" text="G1">
      <formula>NOT(ISERROR(SEARCH("G1",H5)))</formula>
    </cfRule>
  </conditionalFormatting>
  <conditionalFormatting sqref="H5:H204">
    <cfRule type="containsText" dxfId="48" priority="24" stopIfTrue="1" operator="containsText" text="NA">
      <formula>NOT(ISERROR(SEARCH("NA",H5)))</formula>
    </cfRule>
  </conditionalFormatting>
  <conditionalFormatting sqref="H5:H204">
    <cfRule type="containsText" dxfId="47" priority="23" operator="containsText" text="D">
      <formula>NOT(ISERROR(SEARCH("D",H5)))</formula>
    </cfRule>
  </conditionalFormatting>
  <conditionalFormatting sqref="H5:H204">
    <cfRule type="cellIs" dxfId="46" priority="21" stopIfTrue="1" operator="equal">
      <formula>0</formula>
    </cfRule>
    <cfRule type="cellIs" dxfId="45" priority="22" stopIfTrue="1" operator="equal">
      <formula>0</formula>
    </cfRule>
  </conditionalFormatting>
  <conditionalFormatting sqref="H5:H204">
    <cfRule type="containsText" dxfId="44" priority="17" stopIfTrue="1" operator="containsText" text="G2">
      <formula>NOT(ISERROR(SEARCH("G2",H5)))</formula>
    </cfRule>
    <cfRule type="containsText" dxfId="43" priority="18" stopIfTrue="1" operator="containsText" text="G1">
      <formula>NOT(ISERROR(SEARCH("G1",H5)))</formula>
    </cfRule>
    <cfRule type="containsText" dxfId="42" priority="19" stopIfTrue="1" operator="containsText" text="S">
      <formula>NOT(ISERROR(SEARCH("S",H5)))</formula>
    </cfRule>
    <cfRule type="containsText" dxfId="41" priority="20" stopIfTrue="1" operator="containsText" text="F">
      <formula>NOT(ISERROR(SEARCH("F",H5)))</formula>
    </cfRule>
  </conditionalFormatting>
  <conditionalFormatting sqref="H5:H204">
    <cfRule type="containsText" dxfId="40" priority="16" stopIfTrue="1" operator="containsText" text="NA">
      <formula>NOT(ISERROR(SEARCH("NA",H5)))</formula>
    </cfRule>
  </conditionalFormatting>
  <conditionalFormatting sqref="H5:H204">
    <cfRule type="containsText" dxfId="39" priority="14" stopIfTrue="1" operator="containsText" text="NA">
      <formula>NOT(ISERROR(SEARCH("NA",H5)))</formula>
    </cfRule>
    <cfRule type="containsText" dxfId="38" priority="15" stopIfTrue="1" operator="containsText" text="ML">
      <formula>NOT(ISERROR(SEARCH("ML",H5)))</formula>
    </cfRule>
  </conditionalFormatting>
  <conditionalFormatting sqref="H5:H204">
    <cfRule type="containsText" dxfId="37" priority="12" stopIfTrue="1" operator="containsText" text="vuqRrh.kZ">
      <formula>NOT(ISERROR(SEARCH("vuqRrh.kZ",H5)))</formula>
    </cfRule>
    <cfRule type="containsText" dxfId="36" priority="13" stopIfTrue="1" operator="containsText" text="lk- mRrh.kZ">
      <formula>NOT(ISERROR(SEARCH("lk- mRrh.kZ",H5)))</formula>
    </cfRule>
  </conditionalFormatting>
  <conditionalFormatting sqref="H5:H204">
    <cfRule type="containsText" dxfId="35" priority="11" stopIfTrue="1" operator="containsText" text="iwjd">
      <formula>NOT(ISERROR(SEARCH("iwjd",H5)))</formula>
    </cfRule>
  </conditionalFormatting>
  <conditionalFormatting sqref="H5:H204">
    <cfRule type="expression" dxfId="34" priority="6" stopIfTrue="1">
      <formula>$H5="SUPPLEMENTARY"</formula>
    </cfRule>
    <cfRule type="expression" dxfId="33" priority="7" stopIfTrue="1">
      <formula>H5="NSO"</formula>
    </cfRule>
    <cfRule type="containsText" dxfId="32" priority="8" stopIfTrue="1" operator="containsText" text="iwjd">
      <formula>NOT(ISERROR(SEARCH("iwjd",H5)))</formula>
    </cfRule>
    <cfRule type="containsText" dxfId="31" priority="9" stopIfTrue="1" operator="containsText" text="vuRrh.kZ">
      <formula>NOT(ISERROR(SEARCH("vuRrh.kZ",H5)))</formula>
    </cfRule>
    <cfRule type="containsText" dxfId="30" priority="10" stopIfTrue="1" operator="containsText" text="mRrh.kZ">
      <formula>NOT(ISERROR(SEARCH("mRrh.kZ",H5)))</formula>
    </cfRule>
  </conditionalFormatting>
  <conditionalFormatting sqref="H5:H204">
    <cfRule type="containsText" dxfId="29" priority="5" stopIfTrue="1" operator="containsText" text="iu% ijh{kk">
      <formula>NOT(ISERROR(SEARCH("iu% ijh{kk",H5)))</formula>
    </cfRule>
  </conditionalFormatting>
  <conditionalFormatting sqref="H5:H204">
    <cfRule type="containsText" dxfId="28" priority="4" stopIfTrue="1" operator="containsText" text="iqu% ijh{kk">
      <formula>NOT(ISERROR(SEARCH("iqu% ijh{kk",H5)))</formula>
    </cfRule>
  </conditionalFormatting>
  <conditionalFormatting sqref="V5:V204">
    <cfRule type="cellIs" dxfId="27" priority="3" stopIfTrue="1" operator="equal">
      <formula>0</formula>
    </cfRule>
  </conditionalFormatting>
  <conditionalFormatting sqref="V5:V204">
    <cfRule type="expression" dxfId="26" priority="1" stopIfTrue="1">
      <formula>$H5="BY GRACE PASS"</formula>
    </cfRule>
    <cfRule type="expression" dxfId="25" priority="2" stopIfTrue="1">
      <formula>$H5="SUPPLEMENTARY"</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topLeftCell="B1" zoomScaleSheetLayoutView="100" workbookViewId="0">
      <selection activeCell="W19" sqref="W19"/>
    </sheetView>
  </sheetViews>
  <sheetFormatPr defaultRowHeight="15"/>
  <cols>
    <col min="1" max="1" width="4.25" style="6" customWidth="1"/>
    <col min="2" max="3" width="8" style="38" customWidth="1"/>
    <col min="4" max="4" width="2" style="38" customWidth="1"/>
    <col min="5" max="8" width="6.625" style="38" customWidth="1"/>
    <col min="9" max="9" width="7.25" style="38" customWidth="1"/>
    <col min="10" max="14" width="6.625" style="38" customWidth="1"/>
    <col min="15" max="15" width="6.625" style="6" customWidth="1"/>
    <col min="16" max="16" width="9.875" style="38" customWidth="1"/>
    <col min="17" max="17" width="8.25" style="38" customWidth="1"/>
    <col min="18" max="18" width="7" style="38" customWidth="1"/>
    <col min="19" max="19" width="9.5" style="38" customWidth="1"/>
    <col min="20" max="20" width="8" style="38" customWidth="1"/>
    <col min="21" max="21" width="10.125" style="38"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2" width="0" style="6" hidden="1" customWidth="1"/>
    <col min="43" max="43" width="9" style="6" hidden="1" customWidth="1"/>
    <col min="44" max="44" width="0" style="6" hidden="1" customWidth="1"/>
    <col min="45" max="16384" width="9" style="6"/>
  </cols>
  <sheetData>
    <row r="1" spans="2:43" ht="19.5" customHeight="1">
      <c r="B1" s="21"/>
      <c r="C1" s="21"/>
      <c r="D1" s="21"/>
      <c r="E1" s="21"/>
      <c r="F1" s="21"/>
      <c r="G1" s="21"/>
      <c r="H1" s="21"/>
      <c r="I1" s="1553" t="str">
        <f>IF('School Profile'!$D$12="Hindi","वार्षिक रिपोर्ट कार्ड ","Report Card")</f>
        <v xml:space="preserve">वार्षिक रिपोर्ट कार्ड </v>
      </c>
      <c r="J1" s="1553"/>
      <c r="K1" s="1553"/>
      <c r="L1" s="1553"/>
      <c r="M1" s="1553"/>
      <c r="N1" s="1553"/>
      <c r="O1" s="1553"/>
      <c r="P1" s="1553"/>
      <c r="Q1" s="21"/>
      <c r="R1" s="21"/>
      <c r="S1" s="21"/>
      <c r="T1" s="21"/>
      <c r="U1" s="21"/>
    </row>
    <row r="2" spans="2:43" ht="18.75" customHeight="1" thickBot="1">
      <c r="B2" s="21"/>
      <c r="C2" s="21"/>
      <c r="D2" s="21"/>
      <c r="E2" s="1560" t="str">
        <f>IF('School Profile'!$D$12="Hindi","शिक्षा विभाग, राजस्थान सरकार","Education Department, Rajasthan Government")</f>
        <v>शिक्षा विभाग, राजस्थान सरकार</v>
      </c>
      <c r="F2" s="1560"/>
      <c r="G2" s="1560"/>
      <c r="H2" s="1560"/>
      <c r="I2" s="1560"/>
      <c r="J2" s="1560"/>
      <c r="K2" s="1560"/>
      <c r="L2" s="1560"/>
      <c r="M2" s="1560"/>
      <c r="N2" s="1560"/>
      <c r="O2" s="1560"/>
      <c r="P2" s="1560"/>
      <c r="Q2" s="1560"/>
      <c r="R2" s="1560"/>
      <c r="S2" s="21"/>
      <c r="T2" s="21"/>
      <c r="U2" s="21"/>
    </row>
    <row r="3" spans="2:43" ht="21" customHeight="1" thickBot="1">
      <c r="B3" s="1555" t="str">
        <f>IF('School Profile'!D12="Hindi",CONCATENATE("विद्यालय का नाम :-","  ",'School Profile'!D9),CONCATENATE("School Name :-","  ",'School Profile'!D8))</f>
        <v xml:space="preserve">विद्यालय का नाम :-  महात्मा गाँधी राजकीय विद्यालय (अंग्रेजी माध्यम) बर, पाली </v>
      </c>
      <c r="C3" s="1555"/>
      <c r="D3" s="1555"/>
      <c r="E3" s="1555"/>
      <c r="F3" s="1555"/>
      <c r="G3" s="1555"/>
      <c r="H3" s="1555"/>
      <c r="I3" s="1555"/>
      <c r="J3" s="1555"/>
      <c r="K3" s="1555"/>
      <c r="L3" s="1555"/>
      <c r="M3" s="1555"/>
      <c r="N3" s="1555"/>
      <c r="O3" s="1555"/>
      <c r="P3" s="1555"/>
      <c r="Q3" s="1555"/>
      <c r="R3" s="1555"/>
      <c r="S3" s="1555"/>
      <c r="T3" s="1555"/>
      <c r="U3" s="337"/>
      <c r="AB3" s="1561" t="s">
        <v>255</v>
      </c>
      <c r="AC3" s="1562"/>
      <c r="AD3" s="1563"/>
      <c r="AG3" s="776"/>
      <c r="AH3" s="776"/>
      <c r="AI3" s="776"/>
      <c r="AJ3" s="776"/>
      <c r="AK3" s="776"/>
    </row>
    <row r="4" spans="2:43" ht="17.25" customHeight="1">
      <c r="B4" s="650"/>
      <c r="C4" s="650"/>
      <c r="D4" s="650"/>
      <c r="E4" s="650"/>
      <c r="F4" s="650"/>
      <c r="G4" s="650"/>
      <c r="H4" s="1574"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I4" s="1574"/>
      <c r="J4" s="1574"/>
      <c r="K4" s="1574"/>
      <c r="L4" s="1574"/>
      <c r="M4" s="1574"/>
      <c r="N4" s="1574"/>
      <c r="O4" s="1574"/>
      <c r="P4" s="1574"/>
      <c r="Q4" s="1574"/>
      <c r="R4" s="666"/>
      <c r="S4" s="651"/>
      <c r="T4" s="652"/>
      <c r="U4" s="337"/>
      <c r="AB4" s="1564"/>
      <c r="AC4" s="1565"/>
      <c r="AD4" s="1566"/>
    </row>
    <row r="5" spans="2:43" ht="19.5" customHeight="1">
      <c r="B5" s="1556" t="str">
        <f>IF('School Profile'!D12="Hindi","सत्र  :-","Session :-")</f>
        <v>सत्र  :-</v>
      </c>
      <c r="C5" s="1556"/>
      <c r="D5" s="1556"/>
      <c r="E5" s="1556"/>
      <c r="F5" s="1557" t="str">
        <f>IF('Marks Entry'!I3="","",'Marks Entry'!I3)</f>
        <v>2024-2025</v>
      </c>
      <c r="G5" s="1557"/>
      <c r="H5" s="1557"/>
      <c r="I5" s="1558"/>
      <c r="J5" s="1558"/>
      <c r="K5" s="1558"/>
      <c r="L5" s="388"/>
      <c r="M5" s="1556" t="str">
        <f>IF('School Profile'!$D$12="Hindi","कक्षा  :-","CLASS :- ")</f>
        <v>कक्षा  :-</v>
      </c>
      <c r="N5" s="1556"/>
      <c r="O5" s="653" t="str">
        <f>IF('Statement of Marks'!E3="","",'Statement of Marks'!E3)</f>
        <v>9th</v>
      </c>
      <c r="P5" s="654" t="str">
        <f>IFERROR(VLOOKUP(O6,'Statement of Marks'!$B$7:'Statement of Marks'!$IC$206,2,0),"")</f>
        <v>A</v>
      </c>
      <c r="Q5" s="338"/>
      <c r="R5" s="338"/>
      <c r="S5" s="339"/>
      <c r="T5" s="340"/>
      <c r="U5" s="337"/>
      <c r="AB5" s="1564"/>
      <c r="AC5" s="1565"/>
      <c r="AD5" s="1566"/>
      <c r="AH5" s="777">
        <f>O8</f>
        <v>40461</v>
      </c>
    </row>
    <row r="6" spans="2:43" ht="19.5" customHeight="1">
      <c r="B6" s="1506" t="str">
        <f>IF('School Profile'!$D$12="Hindi","विद्यार्थी का नाम :-","Student's Name :-")</f>
        <v>विद्यार्थी का नाम :-</v>
      </c>
      <c r="C6" s="1506"/>
      <c r="D6" s="1506"/>
      <c r="E6" s="1506"/>
      <c r="F6" s="1554" t="str">
        <f>IFERROR(VLOOKUP(O6,'Statement of Marks'!$B$7:'Statement of Marks'!$IC$206,5,0),"")</f>
        <v>RAHUL JAT</v>
      </c>
      <c r="G6" s="1554"/>
      <c r="H6" s="1554"/>
      <c r="I6" s="1554"/>
      <c r="J6" s="1554"/>
      <c r="K6" s="1554"/>
      <c r="L6" s="1554"/>
      <c r="M6" s="1504" t="str">
        <f>IF('School Profile'!$D$12="Hindi","रोल नंबर :-","Roll No. :")</f>
        <v>रोल नंबर :-</v>
      </c>
      <c r="N6" s="1504"/>
      <c r="O6" s="1559">
        <v>901</v>
      </c>
      <c r="P6" s="1559"/>
      <c r="Q6" s="338"/>
      <c r="R6" s="338"/>
      <c r="S6" s="339"/>
      <c r="T6" s="340"/>
      <c r="U6" s="337"/>
      <c r="AB6" s="1564"/>
      <c r="AC6" s="1565"/>
      <c r="AD6" s="1566"/>
      <c r="AG6">
        <f>YEAR(AH5)</f>
        <v>2010</v>
      </c>
      <c r="AH6">
        <f>MONTH(AH5)</f>
        <v>10</v>
      </c>
      <c r="AI6">
        <f>DAY(AH5)</f>
        <v>10</v>
      </c>
    </row>
    <row r="7" spans="2:43" ht="18.75" customHeight="1">
      <c r="B7" s="1506" t="str">
        <f>IF('School Profile'!$D$12="Hindi","पिता का नाम :-","Father's Name :-")</f>
        <v>पिता का नाम :-</v>
      </c>
      <c r="C7" s="1506"/>
      <c r="D7" s="1506"/>
      <c r="E7" s="1506"/>
      <c r="F7" s="1554" t="str">
        <f>IFERROR(VLOOKUP(O6,'Statement of Marks'!$B$7:'Statement of Marks'!$IC$206,6,0),"")</f>
        <v>HL JAT</v>
      </c>
      <c r="G7" s="1554"/>
      <c r="H7" s="1554"/>
      <c r="I7" s="1554"/>
      <c r="J7" s="1554"/>
      <c r="K7" s="1554"/>
      <c r="L7" s="1554"/>
      <c r="M7" s="1504" t="str">
        <f>IF('School Profile'!$D$12="Hindi","प्रवेशांक :","SR. NO. :")</f>
        <v>प्रवेशांक :</v>
      </c>
      <c r="N7" s="1504"/>
      <c r="O7" s="1572">
        <f>IFERROR(VLOOKUP(O6,'Statement of Marks'!$B$7:'Statement of Marks'!$IC$206,3,0),"")</f>
        <v>521</v>
      </c>
      <c r="P7" s="1572"/>
      <c r="Q7" s="341"/>
      <c r="R7" s="341"/>
      <c r="S7" s="339"/>
      <c r="T7" s="340"/>
      <c r="U7" s="337"/>
      <c r="AB7" s="1564"/>
      <c r="AC7" s="1565"/>
      <c r="AD7" s="1566"/>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दस</v>
      </c>
      <c r="AH7" t="str">
        <f>IF(AH6=1,"जनवरी",IF(AH6=2,"फरवरी",IF(AH6=3,"मार्च",IF(AH6=4,"अप्रैल",IF(AH6=5,"मई",IF(AH6=6,"जून",IF(AH6=7,"जुलाई",IF(AH6=8,"अगस्त",IF(AH6=9,"सितम्बर",IF(AH6=10,"अक्टूबर",IF(AH6=11,"नवम्बर",IF(AH6=12,"दिसम्बर",""))))))))))))</f>
        <v>अक्टूबर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दस</v>
      </c>
    </row>
    <row r="8" spans="2:43" ht="18.75" customHeight="1" thickBot="1">
      <c r="B8" s="1506" t="str">
        <f>IF('School Profile'!$D$12="Hindi","माता का नाम :-","Mother's Name :-")</f>
        <v>माता का नाम :-</v>
      </c>
      <c r="C8" s="1506"/>
      <c r="D8" s="1506"/>
      <c r="E8" s="1506"/>
      <c r="F8" s="1554" t="str">
        <f>IFERROR(VLOOKUP(O6,'Statement of Marks'!$B$7:'Statement of Marks'!$IC$206,7,0),"")</f>
        <v>LALI</v>
      </c>
      <c r="G8" s="1554"/>
      <c r="H8" s="1554"/>
      <c r="I8" s="1554"/>
      <c r="J8" s="1554"/>
      <c r="K8" s="1554"/>
      <c r="L8" s="1554"/>
      <c r="M8" s="1504" t="str">
        <f>IF('School Profile'!$D$12="Hindi","जन्म तिथि :","Date of Birth :")</f>
        <v>जन्म तिथि :</v>
      </c>
      <c r="N8" s="1504"/>
      <c r="O8" s="1570">
        <f>IFERROR(VLOOKUP(O6,'Statement of Marks'!$B$7:'Statement of Marks'!$IC$206,4,0),"")</f>
        <v>40461</v>
      </c>
      <c r="P8" s="1570"/>
      <c r="Q8" s="1570"/>
      <c r="R8" s="1571"/>
      <c r="S8" s="342"/>
      <c r="T8" s="343"/>
      <c r="U8" s="337"/>
      <c r="AB8" s="1564"/>
      <c r="AC8" s="1565"/>
      <c r="AD8" s="1566"/>
      <c r="AH8" t="str">
        <f>CONCATENATE(AI7," ",AH7," ",AG7)</f>
        <v>दस अक्टूबर दो हजार दस</v>
      </c>
    </row>
    <row r="9" spans="2:43" ht="18.75" customHeight="1">
      <c r="B9" s="671"/>
      <c r="C9" s="671"/>
      <c r="D9" s="671"/>
      <c r="E9" s="671"/>
      <c r="F9" s="732"/>
      <c r="G9" s="732"/>
      <c r="H9" s="732"/>
      <c r="I9" s="732"/>
      <c r="J9" s="732"/>
      <c r="K9" s="732"/>
      <c r="L9" s="1504" t="str">
        <f>IF('School Profile'!$D$12="Hindi","जन्मतिथि शब्दों में :-","Date of Birth in Words :-")</f>
        <v>जन्मतिथि शब्दों में :-</v>
      </c>
      <c r="M9" s="1504"/>
      <c r="N9" s="1504"/>
      <c r="O9" s="1575" t="str">
        <f>IFERROR(IF('School Profile'!$D$12="Hindi",AH8,AH10),"")</f>
        <v>दस अक्टूबर दो हजार दस</v>
      </c>
      <c r="P9" s="1575"/>
      <c r="Q9" s="1575"/>
      <c r="R9" s="1575"/>
      <c r="S9" s="1575"/>
      <c r="T9" s="1575"/>
      <c r="U9" s="1575"/>
      <c r="AB9" s="1564"/>
      <c r="AC9" s="1565"/>
      <c r="AD9" s="1566"/>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TEN</v>
      </c>
      <c r="AH9" t="str">
        <f>IF(AH6=1,"JANUARY",IF(AH6=2,"FEBUARY", IF(AH6=3,"MARCH",IF(AH6=4,"APRIL",IF(AH6=5,"MAY",IF(AH6=6,"JUNE",IF(AH6=7,"JULY",IF(AH6=8,"AUGUST",IF(AH6=9,"SEPTEMBER",IF(AH6=10,"OCTOBER",IF(AH6=11,"NOVEMBER",IF(AH6=12,"DECEMBER",""))))))))))))</f>
        <v>OCTOBER</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10TH</v>
      </c>
    </row>
    <row r="10" spans="2:43" ht="4.5" customHeight="1" thickBot="1">
      <c r="B10" s="344"/>
      <c r="C10" s="344"/>
      <c r="D10" s="344"/>
      <c r="E10" s="344"/>
      <c r="F10" s="396"/>
      <c r="G10" s="648"/>
      <c r="H10" s="396"/>
      <c r="I10" s="396"/>
      <c r="J10" s="399"/>
      <c r="K10" s="396"/>
      <c r="L10" s="396"/>
      <c r="M10" s="396"/>
      <c r="N10" s="399"/>
      <c r="O10" s="346"/>
      <c r="P10" s="346"/>
      <c r="Q10" s="346"/>
      <c r="R10" s="346"/>
      <c r="S10" s="337"/>
      <c r="T10" s="337"/>
      <c r="U10" s="337"/>
      <c r="AB10" s="1564"/>
      <c r="AC10" s="1565"/>
      <c r="AD10" s="1566"/>
      <c r="AH10" t="str">
        <f>CONCATENATE(AH9," ",AI9,", ",AG9)</f>
        <v>OCTOBER 10TH, TWO THOUSAND TEN</v>
      </c>
    </row>
    <row r="11" spans="2:43" ht="18" customHeight="1">
      <c r="B11" s="1524" t="str">
        <f>IF('School Profile'!$D$12="Hindi","विषय का नाम","Subject Name")</f>
        <v>विषय का नाम</v>
      </c>
      <c r="C11" s="1525"/>
      <c r="D11" s="1525"/>
      <c r="E11" s="1505" t="str">
        <f>IF('School Profile'!$D$12="Hindi","सामयिक परख","Seasonal Exam")</f>
        <v>सामयिक परख</v>
      </c>
      <c r="F11" s="1505"/>
      <c r="G11" s="1505"/>
      <c r="H11" s="1505"/>
      <c r="I11" s="1505" t="str">
        <f>IF('School Profile'!$D$12="Hindi","अर्द्धवार्षिक","Half Yearly")</f>
        <v>अर्द्धवार्षिक</v>
      </c>
      <c r="J11" s="1505"/>
      <c r="K11" s="1505"/>
      <c r="L11" s="1581" t="str">
        <f>IF('School Profile'!$D$12="Hindi","अर्द्ध वा. तक योग","Total Till H.Y.")</f>
        <v>अर्द्ध वा. तक योग</v>
      </c>
      <c r="M11" s="1505" t="str">
        <f>IF('School Profile'!$D$12="Hindi","वार्षिक","Yearly")</f>
        <v>वार्षिक</v>
      </c>
      <c r="N11" s="1505"/>
      <c r="O11" s="1505"/>
      <c r="P11" s="1576" t="str">
        <f>IF('School Profile'!$D$12="Hindi","विषय कुल योग ","Subject Total")</f>
        <v xml:space="preserve">विषय कुल योग </v>
      </c>
      <c r="Q11" s="1578" t="str">
        <f>IF('School Profile'!$D$12="Hindi","विषय परिणाम / विषय श्रेणी","Sub. Result /  Sub. Div.")</f>
        <v>विषय परिणाम / विषय श्रेणी</v>
      </c>
      <c r="R11" s="1525" t="str">
        <f>IF('School Profile'!$D$12="Hindi","विशेष योग्यता प्राप्त विषय","Distinction Marks  Subject")</f>
        <v>विशेष योग्यता प्राप्त विषय</v>
      </c>
      <c r="S11" s="1525"/>
      <c r="T11" s="1525" t="str">
        <f>IF('School Profile'!$D$12="Hindi","पूरक विषय","Supplementary Subject")</f>
        <v>पूरक विषय</v>
      </c>
      <c r="U11" s="1573"/>
      <c r="AB11" s="1564"/>
      <c r="AC11" s="1565"/>
      <c r="AD11" s="1566"/>
    </row>
    <row r="12" spans="2:43" ht="64.5" customHeight="1">
      <c r="B12" s="1526"/>
      <c r="C12" s="1527"/>
      <c r="D12" s="1527"/>
      <c r="E12" s="704" t="str">
        <f>IF('School Profile'!$D$12="Hindi","प्रथम परख ","First Test")</f>
        <v xml:space="preserve">प्रथम परख </v>
      </c>
      <c r="F12" s="704" t="str">
        <f>IF('School Profile'!$D$12="Hindi","द्वितीय परख","Second Test")</f>
        <v>द्वितीय परख</v>
      </c>
      <c r="G12" s="704" t="str">
        <f>IF('School Profile'!$D$12="Hindi","तृतीय परख","Third Test")</f>
        <v>तृतीय परख</v>
      </c>
      <c r="H12" s="705" t="str">
        <f>IF('School Profile'!$D$12="Hindi","सा. परख योग","Test Total")</f>
        <v>सा. परख योग</v>
      </c>
      <c r="I12" s="704" t="str">
        <f>IF('School Profile'!$D$12="Hindi","सैद्धान्तिक","Theoretical")</f>
        <v>सैद्धान्तिक</v>
      </c>
      <c r="J12" s="704" t="str">
        <f>IF('School Profile'!$D$12="Hindi","प्रायोगिक","Practical")</f>
        <v>प्रायोगिक</v>
      </c>
      <c r="K12" s="706" t="str">
        <f>IF('School Profile'!$D$12="Hindi","अर्द्धवार्षिक योग","H.Y.  Total")</f>
        <v>अर्द्धवार्षिक योग</v>
      </c>
      <c r="L12" s="1582"/>
      <c r="M12" s="658" t="str">
        <f>IF('School Profile'!$D$12="Hindi","सैद्धान्तिक","Theoretical")</f>
        <v>सैद्धान्तिक</v>
      </c>
      <c r="N12" s="658" t="str">
        <f>IF('School Profile'!$D$12="Hindi","प्रायोगिक","Practical")</f>
        <v>प्रायोगिक</v>
      </c>
      <c r="O12" s="659" t="str">
        <f>IF('School Profile'!$D$12="Hindi","वार्षिक योग","Yearly  Total")</f>
        <v>वार्षिक योग</v>
      </c>
      <c r="P12" s="1577"/>
      <c r="Q12" s="1579"/>
      <c r="R12" s="1527"/>
      <c r="S12" s="1527"/>
      <c r="T12" s="1527"/>
      <c r="U12" s="1549"/>
      <c r="Z12" s="21"/>
      <c r="AB12" s="1564"/>
      <c r="AC12" s="1565"/>
      <c r="AD12" s="1566"/>
    </row>
    <row r="13" spans="2:43" ht="17.25" customHeight="1" thickBot="1">
      <c r="B13" s="1533" t="s">
        <v>254</v>
      </c>
      <c r="C13" s="1534"/>
      <c r="D13" s="1534"/>
      <c r="E13" s="663">
        <v>10</v>
      </c>
      <c r="F13" s="663">
        <v>10</v>
      </c>
      <c r="G13" s="663">
        <v>10</v>
      </c>
      <c r="H13" s="663">
        <v>30</v>
      </c>
      <c r="I13" s="665" t="s">
        <v>252</v>
      </c>
      <c r="J13" s="661">
        <v>35</v>
      </c>
      <c r="K13" s="660">
        <v>70</v>
      </c>
      <c r="L13" s="661">
        <v>100</v>
      </c>
      <c r="M13" s="664" t="s">
        <v>253</v>
      </c>
      <c r="N13" s="663">
        <v>50</v>
      </c>
      <c r="O13" s="660">
        <v>100</v>
      </c>
      <c r="P13" s="662">
        <v>200</v>
      </c>
      <c r="Q13" s="1580"/>
      <c r="R13" s="1527"/>
      <c r="S13" s="1527"/>
      <c r="T13" s="1527"/>
      <c r="U13" s="1549"/>
      <c r="Z13" s="21"/>
      <c r="AB13" s="1567"/>
      <c r="AC13" s="1568"/>
      <c r="AD13" s="1569"/>
    </row>
    <row r="14" spans="2:43" ht="18.95" customHeight="1">
      <c r="B14" s="1535" t="str">
        <f>'Statement of Marks'!K3</f>
        <v>हिंदी</v>
      </c>
      <c r="C14" s="1536"/>
      <c r="D14" s="1536"/>
      <c r="E14" s="26">
        <f>IFERROR(VLOOKUP(O6,'Statement of Marks'!$B$7:'Statement of Marks'!$IC$206,10,0),"")</f>
        <v>8</v>
      </c>
      <c r="F14" s="26">
        <f>IFERROR(VLOOKUP(O6,'Statement of Marks'!$B$7:'Statement of Marks'!$IC$206,11,0),"")</f>
        <v>10</v>
      </c>
      <c r="G14" s="26">
        <f>IFERROR(VLOOKUP(O6,'Statement of Marks'!$B$7:'Statement of Marks'!$IC$206,12,0),"")</f>
        <v>8</v>
      </c>
      <c r="H14" s="26">
        <f>IFERROR(VLOOKUP(O6,'Statement of Marks'!$B$7:'Statement of Marks'!$IC$206,13,0),"")</f>
        <v>26</v>
      </c>
      <c r="I14" s="26">
        <f>IFERROR(VLOOKUP(O6,'Statement of Marks'!$B$7:'Statement of Marks'!$IC$206,14,0),"")</f>
        <v>46</v>
      </c>
      <c r="J14" s="26"/>
      <c r="K14" s="347">
        <f>IF(O6="","",IF(AND(I14="",J14=""),"",SUM(I14,J14)))</f>
        <v>46</v>
      </c>
      <c r="L14" s="679">
        <f>IFERROR(IF(O6="","",IF(AND(H14="",K14=""),"",SUM(H14,K14))),"")</f>
        <v>72</v>
      </c>
      <c r="M14" s="26">
        <f>IFERROR(VLOOKUP(O6,'Statement of Marks'!$B$7:'Statement of Marks'!$IC$206,16,0),"")</f>
        <v>70</v>
      </c>
      <c r="N14" s="26"/>
      <c r="O14" s="347">
        <f>IF(O6="","",IF(AND(M14="",N14=""),"",SUM(M14,N14)))</f>
        <v>70</v>
      </c>
      <c r="P14" s="674">
        <f>IFERROR(VLOOKUP(O6,'Statement of Marks'!$B$7:'Statement of Marks'!$IC$206,17,0),"")</f>
        <v>142</v>
      </c>
      <c r="Q14" s="680" t="str">
        <f>IFERROR(IF(P14="","",IF(VLOOKUP(O6,'Statement of Marks'!$B$7:'Statement of Marks'!$IC$206,195,0)="D","I",IF(VLOOKUP(O6,'Statement of Marks'!$B$7:'Statement of Marks'!$IC$206,195,0)="G1","G",IF(VLOOKUP(O6,'Statement of Marks'!$B$7:'Statement of Marks'!$IC$206,195,0)="G2","G",VLOOKUP(O6,'Statement of Marks'!$B$7:'Statement of Marks'!$IC$206,195,0))))),"")</f>
        <v>I</v>
      </c>
      <c r="R14" s="1591" t="str">
        <f t="shared" ref="R14:R19" si="0">IF(AND(P14=""),"",IF(AND(P14&gt;=$P$13*75%),B14,""))</f>
        <v/>
      </c>
      <c r="S14" s="1591"/>
      <c r="T14" s="1601" t="str">
        <f>IFERROR(VLOOKUP(O6,'Statement of Marks'!$B$7:'Statement of Marks'!$IC$206,222,0),"")</f>
        <v xml:space="preserve">      </v>
      </c>
      <c r="U14" s="1602"/>
    </row>
    <row r="15" spans="2:43" ht="18.95" customHeight="1">
      <c r="B15" s="1537" t="str">
        <f>'Statement of Marks'!Y3</f>
        <v>अंग्रेजी</v>
      </c>
      <c r="C15" s="1538"/>
      <c r="D15" s="1538"/>
      <c r="E15" s="26">
        <f>IFERROR(VLOOKUP(O6,'Statement of Marks'!$B$7:'Statement of Marks'!$IC$206,24,0),"")</f>
        <v>8</v>
      </c>
      <c r="F15" s="26">
        <f>IFERROR(VLOOKUP(O6,'Statement of Marks'!$B$7:'Statement of Marks'!$IC$206,25,0),"")</f>
        <v>10</v>
      </c>
      <c r="G15" s="26">
        <f>IFERROR(VLOOKUP(O6,'Statement of Marks'!$B$7:'Statement of Marks'!$IC$206,26,0),"")</f>
        <v>10</v>
      </c>
      <c r="H15" s="26">
        <f>IFERROR(VLOOKUP(O6,'Statement of Marks'!$B$7:'Statement of Marks'!$IC$206,27,0),"")</f>
        <v>28</v>
      </c>
      <c r="I15" s="26">
        <f>IFERROR(VLOOKUP(O6,'Statement of Marks'!$B$7:'Statement of Marks'!$IC$206,28,0),"")</f>
        <v>46</v>
      </c>
      <c r="J15" s="26"/>
      <c r="K15" s="347">
        <f>IF(O6="","",IF(AND(I15="",J15=""),"",SUM(I15,J15)))</f>
        <v>46</v>
      </c>
      <c r="L15" s="679">
        <f>IFERROR(IF(O6="","",IF(AND(H15="",K15=""),"",SUM(H15,K15))),"")</f>
        <v>74</v>
      </c>
      <c r="M15" s="26">
        <f>IFERROR(VLOOKUP(O6,'Statement of Marks'!$B$7:'Statement of Marks'!$IC$206,30,0),"")</f>
        <v>70</v>
      </c>
      <c r="N15" s="26"/>
      <c r="O15" s="347">
        <f>IF(O6="","",IF(AND(M15="",N15=""),"",SUM(M15,N15)))</f>
        <v>70</v>
      </c>
      <c r="P15" s="674">
        <f>IFERROR(VLOOKUP(O6,'Statement of Marks'!$B$7:'Statement of Marks'!$IC$206,31,0),"")</f>
        <v>144</v>
      </c>
      <c r="Q15" s="680" t="str">
        <f>IFERROR(IF(P14="","",IF(VLOOKUP(O6,'Statement of Marks'!$B$7:'Statement of Marks'!$IC$206,198,0)="D","I",IF(VLOOKUP(O6,'Statement of Marks'!$B$7:'Statement of Marks'!$IC$206,198,0)="G1","G",IF(VLOOKUP(O6,'Statement of Marks'!$B$7:'Statement of Marks'!$IC$206,198,0)="G2","G",VLOOKUP(O6,'Statement of Marks'!$B$7:'Statement of Marks'!$IC$206,198,0))))),"")</f>
        <v>I</v>
      </c>
      <c r="R15" s="1591" t="str">
        <f t="shared" si="0"/>
        <v/>
      </c>
      <c r="S15" s="1591"/>
      <c r="T15" s="1603"/>
      <c r="U15" s="1604"/>
      <c r="AQ15"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PASS  and Promoted to Class 10th</v>
      </c>
    </row>
    <row r="16" spans="2:43" ht="18.95" customHeight="1">
      <c r="B16" s="1537" t="str">
        <f>IFERROR(VLOOKUP(O6,'Statement of Marks'!$B$7:'Statement of Marks'!$IC$206,38,0),"")</f>
        <v>संस्कृत (71)</v>
      </c>
      <c r="C16" s="1538"/>
      <c r="D16" s="1538"/>
      <c r="E16" s="26">
        <f>IFERROR(VLOOKUP(O6,'Statement of Marks'!$B$7:'Statement of Marks'!$IC$206,39,0),"")</f>
        <v>8</v>
      </c>
      <c r="F16" s="26">
        <f>IFERROR(VLOOKUP(O6,'Statement of Marks'!$B$7:'Statement of Marks'!$IC$206,40,0),"")</f>
        <v>7</v>
      </c>
      <c r="G16" s="26">
        <f>IFERROR(VLOOKUP(O6,'Statement of Marks'!$B$7:'Statement of Marks'!$IC$206,41,0),"")</f>
        <v>10</v>
      </c>
      <c r="H16" s="26">
        <f>IFERROR(VLOOKUP(O6,'Statement of Marks'!$B$7:'Statement of Marks'!$IC$206,42,0),"")</f>
        <v>25</v>
      </c>
      <c r="I16" s="26">
        <f>IFERROR(VLOOKUP(O6,'Statement of Marks'!$B$7:'Statement of Marks'!$IC$206,43,0),"")</f>
        <v>46</v>
      </c>
      <c r="J16" s="26"/>
      <c r="K16" s="347">
        <f>IF(O6="","",IF(AND(I16="",J16=""),"",SUM(I16,J16)))</f>
        <v>46</v>
      </c>
      <c r="L16" s="679">
        <f>IFERROR(IF(O6="","",IF(AND(H16="",K16=""),"",SUM(H16,K16))),"")</f>
        <v>71</v>
      </c>
      <c r="M16" s="26">
        <f>IFERROR(VLOOKUP(O6,'Statement of Marks'!$B$7:'Statement of Marks'!$IC$206,45,0),"")</f>
        <v>70</v>
      </c>
      <c r="N16" s="26"/>
      <c r="O16" s="347">
        <f>IF(O6="","",IF(AND(M16="",N16=""),"",SUM(M16,N16)))</f>
        <v>70</v>
      </c>
      <c r="P16" s="674">
        <f>IFERROR(VLOOKUP(O6,'Statement of Marks'!$B$7:'Statement of Marks'!$IC$206,46,0),"")</f>
        <v>141</v>
      </c>
      <c r="Q16" s="680" t="str">
        <f>IFERROR(IF(P14="","",IF(VLOOKUP(O6,'Statement of Marks'!$B$7:'Statement of Marks'!$IC$206,201,0)="D","I",IF(VLOOKUP(O6,'Statement of Marks'!$B$7:'Statement of Marks'!$IC$206,201,0)="G1","G",IF(VLOOKUP(O6,'Statement of Marks'!$B$7:'Statement of Marks'!$IC$206,201,0)="G2","G",VLOOKUP(O6,'Statement of Marks'!$B$7:'Statement of Marks'!$IC$206,201,0))))),"")</f>
        <v>I</v>
      </c>
      <c r="R16" s="1591" t="str">
        <f t="shared" si="0"/>
        <v/>
      </c>
      <c r="S16" s="1591"/>
      <c r="T16" s="1603"/>
      <c r="U16" s="1604"/>
      <c r="W16" s="649"/>
      <c r="AQ16" s="6" t="str">
        <f>IFERROR(IF(VLOOKUP(O6,'Statement of Marks'!$B$7:'Statement of Marks'!$IC$206,226,0)="By Grace Pass","सानुग्रह उतीर्ण एवं कक्षा 10 में क्रमोन्नत",IF(VLOOKUP(O6,'Statement of Marks'!$B$7:'Statement of Marks'!$IC$206,226,0)="PASS","उतीर्ण एवं कक्षा 10 में क्रमोन्नत",IF(VLOOKUP(O6,'Statement of Marks'!$B$7:'Statement of Marks'!$IC$206,226,0)="SUPPLEMENTARY","पूरक",IF(VLOOKUP(O6,'Statement of Marks'!$B$7:'Statement of Marks'!$IC$206,226,0)="Re-Exam","पुनः परीक्षा",IF(VLOOKUP(O6,'Statement of Marks'!$B$7:'Statement of Marks'!$IC$206,226,0)="FAIL","अनुतीर्ण",""))))),"")</f>
        <v>उतीर्ण एवं कक्षा 10 में क्रमोन्नत</v>
      </c>
    </row>
    <row r="17" spans="2:44" ht="18.95" customHeight="1">
      <c r="B17" s="1537" t="str">
        <f>'Statement of Marks'!BB3</f>
        <v>गणित</v>
      </c>
      <c r="C17" s="1538"/>
      <c r="D17" s="1538"/>
      <c r="E17" s="26">
        <f>IFERROR(VLOOKUP(O6,'Statement of Marks'!$B$7:'Statement of Marks'!$IC$206,53,0),"")</f>
        <v>8</v>
      </c>
      <c r="F17" s="26">
        <f>IFERROR(VLOOKUP(O6,'Statement of Marks'!$B$7:'Statement of Marks'!$IC$206,54,0),"")</f>
        <v>10</v>
      </c>
      <c r="G17" s="26">
        <f>IFERROR(VLOOKUP(O6,'Statement of Marks'!$B$7:'Statement of Marks'!$IC$206,55,0),"")</f>
        <v>8</v>
      </c>
      <c r="H17" s="26">
        <f>IFERROR(VLOOKUP(O6,'Statement of Marks'!$B$7:'Statement of Marks'!$IC$206,56,0),"")</f>
        <v>26</v>
      </c>
      <c r="I17" s="26">
        <f>IFERROR(VLOOKUP(O6,'Statement of Marks'!$B$7:'Statement of Marks'!$IC$206,57,0),"")</f>
        <v>46</v>
      </c>
      <c r="J17" s="26"/>
      <c r="K17" s="347">
        <f>IF(O6="","",IF(AND(I17="",J17=""),"",SUM(I17,J17)))</f>
        <v>46</v>
      </c>
      <c r="L17" s="679">
        <f>IFERROR(IF(O6="","",IF(AND(H17="",K17=""),"",SUM(H17,K17))),"")</f>
        <v>72</v>
      </c>
      <c r="M17" s="26">
        <f>IFERROR(VLOOKUP(O6,'Statement of Marks'!$B$7:'Statement of Marks'!$IC$206,59,0),"")</f>
        <v>70</v>
      </c>
      <c r="N17" s="26"/>
      <c r="O17" s="347">
        <f>IF(O6="","",IF(AND(M17="",N17=""),"",SUM(M17,N17)))</f>
        <v>70</v>
      </c>
      <c r="P17" s="674">
        <f>IFERROR(VLOOKUP(O6,'Statement of Marks'!$B$7:'Statement of Marks'!$IC$206,60,0),"")</f>
        <v>142</v>
      </c>
      <c r="Q17" s="680" t="str">
        <f>IFERROR(IF(P14="","",IF(VLOOKUP(O6,'Statement of Marks'!$B$7:'Statement of Marks'!$IC$206,209,0)="D","I",IF(VLOOKUP(O6,'Statement of Marks'!$B$7:'Statement of Marks'!$IC$206,209,0)="G1","G",IF(VLOOKUP(O6,'Statement of Marks'!$B$7:'Statement of Marks'!$IC$206,209,0)="G2","G",VLOOKUP(O6,'Statement of Marks'!$B$7:'Statement of Marks'!$IC$206,209,0))))),"")</f>
        <v>I</v>
      </c>
      <c r="R17" s="1591" t="str">
        <f t="shared" si="0"/>
        <v/>
      </c>
      <c r="S17" s="1591"/>
      <c r="T17" s="1603"/>
      <c r="U17" s="1604"/>
      <c r="AQ17" s="6" t="str">
        <f>IF('School Profile'!$D$12="Hindi",AQ16,AQ15)</f>
        <v>उतीर्ण एवं कक्षा 10 में क्रमोन्नत</v>
      </c>
    </row>
    <row r="18" spans="2:44" ht="18.95" customHeight="1">
      <c r="B18" s="1537" t="str">
        <f>'Statement of Marks'!BP3</f>
        <v>विज्ञान</v>
      </c>
      <c r="C18" s="1538"/>
      <c r="D18" s="1538"/>
      <c r="E18" s="26">
        <f>IFERROR(VLOOKUP(O6,'Statement of Marks'!$B$7:'Statement of Marks'!$IC$206,67,0),"")</f>
        <v>8</v>
      </c>
      <c r="F18" s="26">
        <f>IFERROR(VLOOKUP(O6,'Statement of Marks'!$B$7:'Statement of Marks'!$IC$206,68,0),"")</f>
        <v>10</v>
      </c>
      <c r="G18" s="26">
        <f>IFERROR(VLOOKUP(O6,'Statement of Marks'!$B$7:'Statement of Marks'!$IC$206,69,0),"")</f>
        <v>9</v>
      </c>
      <c r="H18" s="26">
        <f>IFERROR(VLOOKUP(O6,'Statement of Marks'!$B$7:'Statement of Marks'!$IC$206,70,0),"")</f>
        <v>27</v>
      </c>
      <c r="I18" s="26">
        <f>IFERROR(VLOOKUP(O6,'Statement of Marks'!$B$7:'Statement of Marks'!$IC$206,71,0),"")</f>
        <v>46</v>
      </c>
      <c r="J18" s="26"/>
      <c r="K18" s="347">
        <f>IF(O6="","",IF(AND(I18="",J18=""),"",SUM(I18,J18)))</f>
        <v>46</v>
      </c>
      <c r="L18" s="679">
        <f>IFERROR(IF(O6="","",IF(AND(H18="",K18=""),"",SUM(H18,K18))),"")</f>
        <v>73</v>
      </c>
      <c r="M18" s="26">
        <f>IFERROR(VLOOKUP(O6,'Statement of Marks'!$B$7:'Statement of Marks'!$IC$206,73,0),"")</f>
        <v>70</v>
      </c>
      <c r="N18" s="26"/>
      <c r="O18" s="347">
        <f>IF(O6="","",IF(AND(M18="",N18=""),"",SUM(M18,N18)))</f>
        <v>70</v>
      </c>
      <c r="P18" s="674">
        <f>IFERROR(VLOOKUP(O6,'Statement of Marks'!$B$7:'Statement of Marks'!$IC$206,74,0),"")</f>
        <v>143</v>
      </c>
      <c r="Q18" s="680" t="str">
        <f>IFERROR(IF(P14="","",IF(VLOOKUP(O6,'Statement of Marks'!$B$7:'Statement of Marks'!$IC$206,212,0)="D","I",IF(VLOOKUP(O6,'Statement of Marks'!$B$7:'Statement of Marks'!$IC$206,212,0)="G1","G",IF(VLOOKUP(O6,'Statement of Marks'!$B$7:'Statement of Marks'!$IC$206,212,0)="G2","G",VLOOKUP(O6,'Statement of Marks'!$B$7:'Statement of Marks'!$IC$206,212,0))))),"")</f>
        <v>I</v>
      </c>
      <c r="R18" s="1591" t="str">
        <f t="shared" si="0"/>
        <v/>
      </c>
      <c r="S18" s="1591"/>
      <c r="T18" s="1603"/>
      <c r="U18" s="1604"/>
    </row>
    <row r="19" spans="2:44" ht="18.95" customHeight="1">
      <c r="B19" s="1544" t="str">
        <f>'Statement of Marks'!CE3</f>
        <v>सामाजिक विज्ञान</v>
      </c>
      <c r="C19" s="1545"/>
      <c r="D19" s="402" t="str">
        <f>IF(AND(O6=""),"",IF(OR(B21="",P21=""),"",IF(AND(P19&gt;=P21),"*","")))</f>
        <v/>
      </c>
      <c r="E19" s="26">
        <f>IFERROR(VLOOKUP(O6,'Statement of Marks'!$B$7:'Statement of Marks'!$IC$206,82,0),"")</f>
        <v>9</v>
      </c>
      <c r="F19" s="26">
        <f>IFERROR(VLOOKUP(O6,'Statement of Marks'!$B$7:'Statement of Marks'!$IC$206,83,0),"")</f>
        <v>9</v>
      </c>
      <c r="G19" s="26">
        <f>IFERROR(VLOOKUP(O6,'Statement of Marks'!$B$7:'Statement of Marks'!$IC$206,84,0),"")</f>
        <v>9</v>
      </c>
      <c r="H19" s="26">
        <f>IFERROR(VLOOKUP(O6,'Statement of Marks'!$B$7:'Statement of Marks'!$IC$206,85,0),"")</f>
        <v>27</v>
      </c>
      <c r="I19" s="26">
        <f>IFERROR(VLOOKUP(O6,'Statement of Marks'!$B$7:'Statement of Marks'!$IC$206,86,0),"")</f>
        <v>46</v>
      </c>
      <c r="J19" s="26"/>
      <c r="K19" s="347">
        <f>IF(O6="","",IF(AND(I19="",J19=""),"",SUM(I19,J19)))</f>
        <v>46</v>
      </c>
      <c r="L19" s="679">
        <f>IFERROR(IF(O6="","",IF(AND(H19="",K19=""),"",SUM(H19,K19))),"")</f>
        <v>73</v>
      </c>
      <c r="M19" s="26">
        <f>IFERROR(VLOOKUP(O6,'Statement of Marks'!$B$7:'Statement of Marks'!$IC$206,88,0),"")</f>
        <v>70</v>
      </c>
      <c r="N19" s="26"/>
      <c r="O19" s="347">
        <f>IF(O6="","",IF(AND(M19="",N19=""),"",SUM(M19,N19)))</f>
        <v>70</v>
      </c>
      <c r="P19" s="674">
        <f>IFERROR(VLOOKUP(O6,'Statement of Marks'!$B$7:'Statement of Marks'!$IC$206,89,0),"")</f>
        <v>143</v>
      </c>
      <c r="Q19" s="680" t="str">
        <f>IFERROR(IF(P14="","",IF(VLOOKUP(O6,'Statement of Marks'!$B$7:'Statement of Marks'!$IC$206,215,0)="D","I",IF(VLOOKUP(O6,'Statement of Marks'!$B$7:'Statement of Marks'!$IC$206,215,0)="G1","G",IF(VLOOKUP(O6,'Statement of Marks'!$B$7:'Statement of Marks'!$IC$206,215,0)="G2","G",VLOOKUP(O6,'Statement of Marks'!$B$7:'Statement of Marks'!$IC$206,215,0))))),"")</f>
        <v>I</v>
      </c>
      <c r="R19" s="1591" t="str">
        <f t="shared" si="0"/>
        <v/>
      </c>
      <c r="S19" s="1591"/>
      <c r="T19" s="1603"/>
      <c r="U19" s="1604"/>
    </row>
    <row r="20" spans="2:44" ht="14.25" customHeight="1">
      <c r="B20" s="1541" t="str">
        <f>IF('School Profile'!$D$12="Hindi","व्यावसायिक शिक्षा","Vocational Education")</f>
        <v>व्यावसायिक शिक्षा</v>
      </c>
      <c r="C20" s="1542"/>
      <c r="D20" s="1542"/>
      <c r="E20" s="1542"/>
      <c r="F20" s="1542"/>
      <c r="G20" s="1542"/>
      <c r="H20" s="1542"/>
      <c r="I20" s="1542"/>
      <c r="J20" s="1542"/>
      <c r="K20" s="1542"/>
      <c r="L20" s="1542"/>
      <c r="M20" s="1542"/>
      <c r="N20" s="1542"/>
      <c r="O20" s="1542"/>
      <c r="P20" s="1542"/>
      <c r="Q20" s="1542"/>
      <c r="R20" s="1542"/>
      <c r="S20" s="1543"/>
      <c r="T20" s="1603"/>
      <c r="U20" s="1604"/>
    </row>
    <row r="21" spans="2:44" ht="18.95" customHeight="1">
      <c r="B21" s="1539" t="str">
        <f>IFERROR(VLOOKUP(O6,'Statement of Marks'!$B$7:'Statement of Marks'!$IC$206,96,0),"")</f>
        <v>BEAUTY AND HEALTH</v>
      </c>
      <c r="C21" s="1540"/>
      <c r="D21" s="398" t="str">
        <f>IF(AND(O6=""),"",IF(OR(B21="",P21=""),"",IF(AND(P21&gt;=P19),"*","")))</f>
        <v>*</v>
      </c>
      <c r="E21" s="397">
        <f>IFERROR(VLOOKUP(O6,'Statement of Marks'!$B$7:'Statement of Marks'!$IC$206,97,0),"")</f>
        <v>8</v>
      </c>
      <c r="F21" s="26">
        <f>IFERROR(VLOOKUP(O6,'Statement of Marks'!$B$7:'Statement of Marks'!$IC$206,98,0),"")</f>
        <v>8</v>
      </c>
      <c r="G21" s="26">
        <f>IFERROR(VLOOKUP(O6,'Statement of Marks'!$B$7:'Statement of Marks'!$IC$206,99,0),"")</f>
        <v>8</v>
      </c>
      <c r="H21" s="26">
        <f>IFERROR(VLOOKUP(O6,'Statement of Marks'!$B$7:'Statement of Marks'!$IC$206,100,0),"")</f>
        <v>24</v>
      </c>
      <c r="I21" s="27">
        <f>IFERROR(VLOOKUP(O6,'Statement of Marks'!$B$7:'Statement of Marks'!$IC$206,101,0),"")</f>
        <v>31</v>
      </c>
      <c r="J21" s="27">
        <f>IFERROR(VLOOKUP(O6,'Statement of Marks'!$B$7:'Statement of Marks'!$IC$206,102,0),"")</f>
        <v>32</v>
      </c>
      <c r="K21" s="347">
        <f>IFERROR(VLOOKUP(O6,'Statement of Marks'!$B$7:'Statement of Marks'!$IC$206,103,0),"")</f>
        <v>63</v>
      </c>
      <c r="L21" s="679">
        <f>IFERROR(IF(O6="","",IF(AND(H21="",K21=""),"",SUM(H21,K21))),"")</f>
        <v>87</v>
      </c>
      <c r="M21" s="26">
        <f>IFERROR(VLOOKUP(O6,'Statement of Marks'!$B$7:'Statement of Marks'!$IC$206,105,0),"")</f>
        <v>43</v>
      </c>
      <c r="N21" s="26">
        <f>IFERROR(VLOOKUP(O6,'Statement of Marks'!$B$7:'Statement of Marks'!$IC$206,106,0),"")</f>
        <v>44</v>
      </c>
      <c r="O21" s="347">
        <f>IF(O6="","",IF(AND(M21="",N21=""),"",SUM(M21,N21)))</f>
        <v>87</v>
      </c>
      <c r="P21" s="672">
        <f>IFERROR(VLOOKUP(O6,'Statement of Marks'!$B$7:'Statement of Marks'!$IC$206,108,0),"")</f>
        <v>174</v>
      </c>
      <c r="Q21" s="680" t="str">
        <f>IFERROR(IF(P14="","",IF(VLOOKUP(O6,'Statement of Marks'!$B$7:'Statement of Marks'!$IC$206,218,0)="D","I",IF(VLOOKUP(O6,'Statement of Marks'!$B$7:'Statement of Marks'!$IC$206,218,0)="G1","G",IF(VLOOKUP(O6,'Statement of Marks'!$B$7:'Statement of Marks'!$IC$206,218,0)="G2","G",VLOOKUP(O6,'Statement of Marks'!$B$7:'Statement of Marks'!$IC$206,218,0))))),"")</f>
        <v>I</v>
      </c>
      <c r="R21" s="1598" t="str">
        <f>IF(AND(P21=""),"",IF(AND(P21&gt;=$P$13*75%),B21,""))</f>
        <v>BEAUTY AND HEALTH</v>
      </c>
      <c r="S21" s="1599"/>
      <c r="T21" s="1605"/>
      <c r="U21" s="1606"/>
      <c r="AL21" s="18"/>
      <c r="AM21" s="18"/>
      <c r="AN21" s="18"/>
      <c r="AO21" s="18"/>
      <c r="AP21" s="18"/>
      <c r="AQ21" s="18"/>
      <c r="AR21" s="18"/>
    </row>
    <row r="22" spans="2:44" ht="18.95" customHeight="1">
      <c r="B22" s="1513" t="str">
        <f>IF('School Profile'!D12="Hindi","प्राप्तांक","Marks Obtained")</f>
        <v>प्राप्तांक</v>
      </c>
      <c r="C22" s="1514"/>
      <c r="D22" s="1515"/>
      <c r="E22" s="676">
        <f>IF(AND(O6=""),"",IF(AND(E14="",E15="",E16="",E17="",E18=""),"",IF(OR($B$21="",E21=""),SUM(E14:E19),IF(($P$19/$P$13*100)&gt;=($P$21/$P$13*100),SUM(E14:E19),SUM(E14,E15,E16,E17,E18,E21)))))</f>
        <v>48</v>
      </c>
      <c r="F22" s="676">
        <f>IF(AND(O6=""),"",IF(AND(F14="",F15="",F16="",F17="",F18=""),"",IF(OR($B$21="",F21=""),SUM(F14:F19),IF(($P$19/$P$13*100)&gt;=($P$21/$P$13*100),SUM(F14:F19),SUM(F14,F15,F16,F17,F18,F21)))))</f>
        <v>55</v>
      </c>
      <c r="G22" s="676">
        <f>IF(AND(O6=""),"",IF(AND(G14="",G15="",G16="",G17="",G18=""),"",IF(OR($B$21="",G21=""),SUM(G14:G19),IF(($P$19/$P$13*100)&gt;=($P$21/$P$13*100),SUM(G14:G19),SUM(G14,G15,G16,G17,G18,G21)))))</f>
        <v>53</v>
      </c>
      <c r="H22" s="676">
        <f>IF(AND(O6=""),"",IF(AND(H14="",H15="",H16="",H17="",H18=""),"",IF(OR($B$21="",H21=""),SUM(H14:H19),IF(($P$19/$P$13*100)&gt;=($P$21/$P$13*100),SUM(H14:H19),SUM(H14,H15,H16,H17,H18,H21)))))</f>
        <v>156</v>
      </c>
      <c r="I22" s="676">
        <f>IF(AND(O6=""),"",IF(AND(I14="",I15="",I16="",I17="",I18=""),"",IF(OR($B$21="",I21=""),SUM(I14:I19),IF(($P$19/$P$13*100)&gt;=($P$21/$P$13*100),SUM(I14:I19),SUM(I14,I15,I16,I17,I18,I21)))))</f>
        <v>261</v>
      </c>
      <c r="J22" s="676">
        <f>IF(AND(O6=""),"",IF('School Profile'!D20="No","",IF(OR($B$21="",J21=""),SUM(J14:J19),IF(($P$19/$P$13*100)&gt;=($P$21/$P$13*100),SUM(J14:J19),SUM(J14,J15,J16,J17,J18,J21)))))</f>
        <v>32</v>
      </c>
      <c r="K22" s="676">
        <f>IF(AND(O6=""),"",IF(AND(K14="",K15="",K16="",K17="",K18=""),"",IF(OR($B$21="",K21=""),SUM(K14:K19),IF(($P$19/$P$13*100)&gt;=($P$21/$P$13*100),SUM(K14:K19),SUM(K14,K15,K16,K17,K18,K21)))))</f>
        <v>293</v>
      </c>
      <c r="L22" s="676">
        <f>IF(AND(O6=""),"",IF(AND(L14="",L15="",L16="",L17="",L18=""),"",IF(OR($B$21="",L21=""),SUM(L14:L19),IF(($P$19/$P$13*100)&gt;=($P$21/$P$13*100),SUM(L14:L19),SUM(L14,L15,L16,L17,L18,L21)))))</f>
        <v>449</v>
      </c>
      <c r="M22" s="676">
        <f>IF(AND(O6=""),"",IF(AND(M14="",M15="",M16="",M17="",M18=""),"",IF(OR($B$21="",M21=""),SUM(M14:M19),IF(($P$19/$P$13*100)&gt;=($P$21/$P$13*100),SUM(M14:M19),SUM(M14,M15,M16,M17,M18,M21)))))</f>
        <v>393</v>
      </c>
      <c r="N22" s="676">
        <f>IF(AND(O6=""),"",IF('School Profile'!D20="No","",IF(OR($B$21="",N21=""),SUM(N14:N19),IF(($P$19/$P$13*100)&gt;=($P$21/$P$13*100),SUM(N14:N19),SUM(N14,N15,N16,N17,N18,N21)))))</f>
        <v>44</v>
      </c>
      <c r="O22" s="676">
        <f>IF(AND(O6=""),"",IF(AND(O14="",O15="",O16="",O17="",O18=""),"",IF(OR($B$21="",O21=""),SUM(O14:O19),IF(($P$19/$P$13*100)&gt;=($P$21/$P$13*100),SUM(O14:O19),SUM(O14,O15,O16,O17,O18,O21)))))</f>
        <v>437</v>
      </c>
      <c r="P22" s="677">
        <f>IF(AND(O6=""),"",IF(AND(P14="",P15="",P16="",P17="",P18=""),"",IF(OR(B21="",P21=""),SUM(P14,P15,P16,P17,P18,P19),IF((P19/$P$13*100)&gt;=(P21/$P$13*100),SUM(P14,P15,P16,P17,P18,P19),SUM(P14,P15,P16,P17,P18,P21)))))</f>
        <v>886</v>
      </c>
      <c r="Q22" s="1546" t="str">
        <f>IF('School Profile'!$D$12="Hindi","मुख्य परीक्षा परिणाम","Main Exam Result")</f>
        <v>मुख्य परीक्षा परिणाम</v>
      </c>
      <c r="R22" s="1547"/>
      <c r="S22" s="1547"/>
      <c r="T22" s="1547"/>
      <c r="U22" s="1548"/>
      <c r="Y22" s="20"/>
      <c r="AL22" s="19"/>
      <c r="AM22" s="19"/>
      <c r="AN22" s="19"/>
      <c r="AO22" s="19"/>
      <c r="AP22" s="19"/>
      <c r="AQ22" s="19"/>
    </row>
    <row r="23" spans="2:44" ht="18.95" customHeight="1">
      <c r="B23" s="1516" t="str">
        <f>IF('School Profile'!D12="Hindi","कुल पूर्णांक","Total MAX. Marks")</f>
        <v>कुल पूर्णांक</v>
      </c>
      <c r="C23" s="1517"/>
      <c r="D23" s="1518"/>
      <c r="E23" s="731">
        <f>IF($O6="","",COUNTA(E14:E19)*E13-(COUNTIF(E14:E19,"NA")*E13+COUNTIF(E14:E19,"ML")*E13))</f>
        <v>60</v>
      </c>
      <c r="F23" s="731">
        <f>IF($O6="","",COUNTA(F14:F19)*F13-(COUNTIF(F14:F19,"NA")*F13+COUNTIF(F14:F19,"ML")*F13))</f>
        <v>60</v>
      </c>
      <c r="G23" s="731">
        <f>IF($O6="","",COUNTA(G14:G19)*G13-(COUNTIF(G14:G19,"NA")*G13+COUNTIF(G14:G19,"ML")*G13))</f>
        <v>60</v>
      </c>
      <c r="H23" s="731">
        <f>IF($O6="","",COUNTA(H14:H19)*H13-(COUNTIF(H14:H19,"NA")*H13+COUNTIF(H14:H19,"ML")*H13))</f>
        <v>180</v>
      </c>
      <c r="I23" s="731">
        <f>IF(AND(O6=""),"",IF(OR(B21="",P21=""),COUNTA(I14:I19)*70,IF(($P$19/$P$13*100)&gt;=($P$21/$P$13*100),COUNTA(I14:I19)*70,COUNTA(I14:I18)*70+35)))</f>
        <v>385</v>
      </c>
      <c r="J23" s="731">
        <f>IF($O6="","",IF('School Profile'!D20="No","",COUNTA(J14:J21)*J13-(COUNTIF(J14:J21,"NA")*J13+COUNTIF(J14:J21,"ML")*J13)))</f>
        <v>35</v>
      </c>
      <c r="K23" s="731">
        <f>IF($O6="","",COUNTA(K14:K19)*K13-(COUNTIF(K14:K19,"NA")*K13+COUNTIF(K14:K19,"ML")*K13))</f>
        <v>420</v>
      </c>
      <c r="L23" s="731">
        <f>IF($O6="","",COUNTA(L14:L19)*L13-(COUNTIF(L14:L19,"NA")*L13+COUNTIF(L14:L19,"ML")*L13))</f>
        <v>600</v>
      </c>
      <c r="M23" s="731">
        <f>IF(AND(O6=""),"",IF(OR(B21="",P21=""),COUNTA(I14:I19)*100,IF(($P$19/$P$13*100)&gt;=($P$21/$P$13*100),COUNTA(I14:I19)*100,COUNTA(I14:I18)*100+50)))</f>
        <v>550</v>
      </c>
      <c r="N23" s="731">
        <f>IF($O6="","",IF('School Profile'!D20="No","",COUNTA(N14:N21)*N13-(COUNTIF(N14:N21,"NA")*N13+COUNTIF(N14:N21,"ML")*N13)))</f>
        <v>50</v>
      </c>
      <c r="O23" s="731">
        <f>IF($O6="","",COUNTA(O14:O19)*O13-(COUNTIF(O14:O19,"NA")*O13+COUNTIF(O14:O19,"ML")*O13))</f>
        <v>600</v>
      </c>
      <c r="P23" s="685">
        <f>IF(O6="","",COUNTA(P14:P19)*P13-(COUNTIF(P14:P19,"NA")*P13+COUNTIF(P14:P19,"ML")*P13))</f>
        <v>1200</v>
      </c>
      <c r="Q23" s="1592" t="str">
        <f>IF('School Profile'!$D$12="Hindi",AQ16,AQ15)</f>
        <v>उतीर्ण एवं कक्षा 10 में क्रमोन्नत</v>
      </c>
      <c r="R23" s="1593"/>
      <c r="S23" s="1593"/>
      <c r="T23" s="1593"/>
      <c r="U23" s="1594"/>
      <c r="W23" s="20"/>
      <c r="AL23" s="19"/>
      <c r="AM23" s="19"/>
      <c r="AN23" s="19"/>
      <c r="AO23" s="19"/>
      <c r="AP23" s="19"/>
      <c r="AQ23" s="19"/>
    </row>
    <row r="24" spans="2:44" ht="20.100000000000001" customHeight="1">
      <c r="B24" s="1519" t="str">
        <f>IF('School Profile'!D12="Hindi","प्रतिशत","Percentage")</f>
        <v>प्रतिशत</v>
      </c>
      <c r="C24" s="1520"/>
      <c r="D24" s="1521"/>
      <c r="E24" s="678">
        <f>IFERROR(IF(E22="","",E22/E23*100),"")</f>
        <v>80</v>
      </c>
      <c r="F24" s="678">
        <f t="shared" ref="F24:O24" si="1">IFERROR(IF(F22="","",F22/F23*100),"")</f>
        <v>91.666666666666657</v>
      </c>
      <c r="G24" s="678">
        <f t="shared" si="1"/>
        <v>88.333333333333329</v>
      </c>
      <c r="H24" s="678">
        <f t="shared" si="1"/>
        <v>86.666666666666671</v>
      </c>
      <c r="I24" s="678">
        <f t="shared" si="1"/>
        <v>67.79220779220779</v>
      </c>
      <c r="J24" s="678">
        <f t="shared" si="1"/>
        <v>91.428571428571431</v>
      </c>
      <c r="K24" s="678">
        <f t="shared" si="1"/>
        <v>69.761904761904759</v>
      </c>
      <c r="L24" s="678">
        <f t="shared" si="1"/>
        <v>74.833333333333329</v>
      </c>
      <c r="M24" s="678">
        <f t="shared" si="1"/>
        <v>71.454545454545453</v>
      </c>
      <c r="N24" s="678">
        <f t="shared" si="1"/>
        <v>88</v>
      </c>
      <c r="O24" s="678">
        <f t="shared" si="1"/>
        <v>72.833333333333343</v>
      </c>
      <c r="P24" s="673">
        <f>IFERROR(IF(OR(P22="",O6=""),"",VLOOKUP(O6,'Statement of Marks'!$B$7:'Statement of Marks'!$IC$206,230,0)),"")</f>
        <v>73.833333333333329</v>
      </c>
      <c r="Q24" s="1595"/>
      <c r="R24" s="1596"/>
      <c r="S24" s="1596"/>
      <c r="T24" s="1596"/>
      <c r="U24" s="1597"/>
      <c r="W24" s="20"/>
      <c r="AL24" s="19"/>
      <c r="AM24" s="19"/>
      <c r="AN24" s="19"/>
      <c r="AO24" s="19"/>
      <c r="AP24" s="19"/>
      <c r="AQ24" s="19"/>
    </row>
    <row r="25" spans="2:44" ht="18.95" customHeight="1">
      <c r="B25" s="1550" t="str">
        <f>'Statement of Marks'!DZ208</f>
        <v>राजस्थान का स्वंत्रता आन्दोलन व शोर्य परम्परा</v>
      </c>
      <c r="C25" s="1551"/>
      <c r="D25" s="1551"/>
      <c r="E25" s="1551"/>
      <c r="F25" s="1551"/>
      <c r="G25" s="1531" t="str">
        <f>'Statement of Marks'!EL208</f>
        <v>सूचना प्रोद्योगिकी की अवधारणा - I</v>
      </c>
      <c r="H25" s="1531"/>
      <c r="I25" s="1531"/>
      <c r="J25" s="1531"/>
      <c r="K25" s="1531" t="str">
        <f>'Statement of Marks'!FB208</f>
        <v>स्वा. एवं शा. शिक्षा</v>
      </c>
      <c r="L25" s="1531"/>
      <c r="M25" s="1531"/>
      <c r="N25" s="1531"/>
      <c r="O25" s="1531" t="str">
        <f>'Statement of Marks'!FJ208</f>
        <v>समाजोपयोगी उत्पादन कार्य एवं समाज सेवा</v>
      </c>
      <c r="P25" s="1531"/>
      <c r="Q25" s="1531"/>
      <c r="R25" s="1531"/>
      <c r="S25" s="1527" t="str">
        <f>'Statement of Marks'!FU208</f>
        <v>कला शिक्षा</v>
      </c>
      <c r="T25" s="1527"/>
      <c r="U25" s="1549"/>
      <c r="W25" s="20"/>
      <c r="AL25" s="19"/>
      <c r="AM25" s="19"/>
      <c r="AN25" s="19"/>
      <c r="AO25" s="19"/>
      <c r="AP25" s="19"/>
      <c r="AQ25" s="19"/>
    </row>
    <row r="26" spans="2:44" ht="18.95" customHeight="1">
      <c r="B26" s="1608" t="str">
        <f>IF('School Profile'!D12="Hindi","पूर्णांक","MAX. Marks")</f>
        <v>पूर्णांक</v>
      </c>
      <c r="C26" s="1552"/>
      <c r="D26" s="1607" t="str">
        <f>IF('School Profile'!D12="Hindi","प्राप्तांक","Marks Obt.")</f>
        <v>प्राप्तांक</v>
      </c>
      <c r="E26" s="1607"/>
      <c r="F26" s="717" t="str">
        <f>IF('School Profile'!$D$12="Hindi","ग्रेड","Grade")</f>
        <v>ग्रेड</v>
      </c>
      <c r="G26" s="1552" t="str">
        <f>IF('School Profile'!D12="Hindi","पूर्णांक","MAX. Marks")</f>
        <v>पूर्णांक</v>
      </c>
      <c r="H26" s="1552"/>
      <c r="I26" s="728" t="str">
        <f>IF('School Profile'!D12="Hindi","प्राप्तांक","Marks Obt.")</f>
        <v>प्राप्तांक</v>
      </c>
      <c r="J26" s="717" t="str">
        <f>IF('School Profile'!$D$12="Hindi","ग्रेड","Grade")</f>
        <v>ग्रेड</v>
      </c>
      <c r="K26" s="1552" t="str">
        <f>IF('School Profile'!D12="Hindi","पूर्णांक","MAX. Marks")</f>
        <v>पूर्णांक</v>
      </c>
      <c r="L26" s="1552"/>
      <c r="M26" s="728" t="str">
        <f>IF('School Profile'!D12="Hindi","प्राप्तांक","Marks Obt.")</f>
        <v>प्राप्तांक</v>
      </c>
      <c r="N26" s="717" t="str">
        <f>IF('School Profile'!$D$12="Hindi","ग्रेड","Grade")</f>
        <v>ग्रेड</v>
      </c>
      <c r="O26" s="1552" t="str">
        <f>IF('School Profile'!D12="Hindi","पूर्णांक","MAX. Marks")</f>
        <v>पूर्णांक</v>
      </c>
      <c r="P26" s="1552"/>
      <c r="Q26" s="728" t="str">
        <f>IF('School Profile'!D12="Hindi","प्राप्तांक","Marks Obt.")</f>
        <v>प्राप्तांक</v>
      </c>
      <c r="R26" s="717" t="str">
        <f>IF('School Profile'!$D$12="Hindi","ग्रेड","Grade")</f>
        <v>ग्रेड</v>
      </c>
      <c r="S26" s="729" t="str">
        <f>IF('School Profile'!D12="Hindi","पूर्णांक","MAX. Marks")</f>
        <v>पूर्णांक</v>
      </c>
      <c r="T26" s="728" t="str">
        <f>IF('School Profile'!D12="Hindi","प्राप्तांक","Marks Obt.")</f>
        <v>प्राप्तांक</v>
      </c>
      <c r="U26" s="719" t="str">
        <f>IF('School Profile'!$D$12="Hindi","ग्रेड","Grade")</f>
        <v>ग्रेड</v>
      </c>
      <c r="W26" s="20"/>
      <c r="AL26" s="19"/>
      <c r="AM26" s="19"/>
      <c r="AN26" s="19"/>
      <c r="AO26" s="19"/>
      <c r="AP26" s="19"/>
      <c r="AQ26" s="19"/>
    </row>
    <row r="27" spans="2:44" ht="18.95" customHeight="1">
      <c r="B27" s="1609">
        <f>IFERROR(VLOOKUP(O6,'Statement of Marks'!$B$7:'Statement of Marks'!$IC$206,140,0),"")</f>
        <v>200</v>
      </c>
      <c r="C27" s="1600"/>
      <c r="D27" s="1610">
        <f>IFERROR(VLOOKUP(O6,'Statement of Marks'!$B$7:'Statement of Marks'!$IC$206,136,0),"")</f>
        <v>190</v>
      </c>
      <c r="E27" s="1610"/>
      <c r="F27" s="716" t="str">
        <f>IFERROR(VLOOKUP(O6,'Statement of Marks'!$B$7:'Statement of Marks'!$IC$206,137,0),"")</f>
        <v>A</v>
      </c>
      <c r="G27" s="1600">
        <f>IFERROR(VLOOKUP(O6,'Statement of Marks'!$B$7:'Statement of Marks'!$IC$206,156,0),"")</f>
        <v>200</v>
      </c>
      <c r="H27" s="1600"/>
      <c r="I27" s="731">
        <f>IFERROR(VLOOKUP(O6,'Statement of Marks'!$B$7:'Statement of Marks'!$IC$206,152,0),"")</f>
        <v>175</v>
      </c>
      <c r="J27" s="716" t="str">
        <f>IFERROR(VLOOKUP(O6,'Statement of Marks'!$B$7:'Statement of Marks'!$IC$206,153,0),"")</f>
        <v>A</v>
      </c>
      <c r="K27" s="1600">
        <f>IFERROR(VLOOKUP(O6,'Statement of Marks'!$B$7:'Statement of Marks'!$IC$206,175,0),"")</f>
        <v>200</v>
      </c>
      <c r="L27" s="1600"/>
      <c r="M27" s="718">
        <f>IFERROR(VLOOKUP(O6,'Statement of Marks'!$B$7:'Statement of Marks'!$IC$206,171,0),"")</f>
        <v>153</v>
      </c>
      <c r="N27" s="716" t="str">
        <f>IFERROR(VLOOKUP(O6,'Statement of Marks'!$B$7:'Statement of Marks'!$IC$206,172,0),"")</f>
        <v>B</v>
      </c>
      <c r="O27" s="1600">
        <f>IFERROR(VLOOKUP(O6,'Statement of Marks'!$B$7:'Statement of Marks'!$IC$206,183,0),"")</f>
        <v>100</v>
      </c>
      <c r="P27" s="1600"/>
      <c r="Q27" s="731">
        <f>IFERROR(VLOOKUP(O6,'Statement of Marks'!$B$7:'Statement of Marks'!$IC$206,179,0),"")</f>
        <v>91</v>
      </c>
      <c r="R27" s="716" t="str">
        <f>IFERROR(VLOOKUP(O6,'Statement of Marks'!$B$7:'Statement of Marks'!$IC$206,180,0),"")</f>
        <v>A</v>
      </c>
      <c r="S27" s="730">
        <f>IFERROR(VLOOKUP(O6,'Statement of Marks'!$B$7:'Statement of Marks'!$IC$206,191,0),"")</f>
        <v>100</v>
      </c>
      <c r="T27" s="731">
        <f>IFERROR(VLOOKUP(O6,'Statement of Marks'!$B$7:'Statement of Marks'!$IC$206,187,0),"")</f>
        <v>66</v>
      </c>
      <c r="U27" s="720" t="str">
        <f>IFERROR(VLOOKUP(O6,'Statement of Marks'!$B$7:'Statement of Marks'!$IC$206,188,0),"")</f>
        <v>B</v>
      </c>
      <c r="W27" s="20"/>
      <c r="AL27" s="19"/>
      <c r="AM27" s="19"/>
      <c r="AN27" s="19"/>
      <c r="AO27" s="19"/>
      <c r="AP27" s="19"/>
      <c r="AQ27" s="19"/>
    </row>
    <row r="28" spans="2:44" ht="18.95" customHeight="1">
      <c r="B28" s="1507" t="str">
        <f>IF('School Profile'!$D$12="Hindi","परीक्षा परिणाम घोषित दिनांक :-","Date of Result declaration :-")</f>
        <v>परीक्षा परिणाम घोषित दिनांक :-</v>
      </c>
      <c r="C28" s="1508"/>
      <c r="D28" s="1508"/>
      <c r="E28" s="1509"/>
      <c r="F28" s="1510">
        <f>IF(AND(O6=""),"",IF('School Profile'!D11="","",'School Profile'!D11))</f>
        <v>45793</v>
      </c>
      <c r="G28" s="1511"/>
      <c r="H28" s="1512"/>
      <c r="I28" s="1527" t="str">
        <f>IF('School Profile'!$D$12="Hindi","कुल कार्य दिवस","Total Working Days")</f>
        <v>कुल कार्य दिवस</v>
      </c>
      <c r="J28" s="1527"/>
      <c r="K28" s="1527"/>
      <c r="L28" s="1532">
        <f>IFERROR(VLOOKUP(O6,'Statement of Marks'!$B$7:'Statement of Marks'!$IC$206,192,0),"")</f>
        <v>200</v>
      </c>
      <c r="M28" s="1532"/>
      <c r="N28" s="1589" t="str">
        <f>IF('School Profile'!$D$12="Hindi","कुल उपस्थिति","Total  Attendance")</f>
        <v>कुल उपस्थिति</v>
      </c>
      <c r="O28" s="1590"/>
      <c r="P28" s="685">
        <f>IFERROR(VLOOKUP(O6,'Statement of Marks'!$B$7:'Statement of Marks'!$IC$206,193,0),"")</f>
        <v>192</v>
      </c>
      <c r="Q28" s="655" t="str">
        <f>IF('School Profile'!$D$12="Hindi","श्रेणी","Division")</f>
        <v>श्रेणी</v>
      </c>
      <c r="R28" s="400" t="str">
        <f>IFERROR(VLOOKUP(O6,'Statement of Marks'!$B$7:'Statement of Marks'!$IC$206,229,0),"")</f>
        <v>1st</v>
      </c>
      <c r="S28" s="1527" t="str">
        <f>IF('School Profile'!D12="Hindi","कक्षा में स्थान","Position in the Class")</f>
        <v>कक्षा में स्थान</v>
      </c>
      <c r="T28" s="1527"/>
      <c r="U28" s="714">
        <f>IFERROR(VLOOKUP(O6,'Statement of Marks'!$B$7:'Statement of Marks'!$IC$206,231,0),"")</f>
        <v>1.0000000000000013</v>
      </c>
      <c r="V28" s="21"/>
      <c r="W28" s="20"/>
    </row>
    <row r="29" spans="2:44" ht="24.75" customHeight="1">
      <c r="B29" s="1528" t="str">
        <f>IF('School Profile'!D12="Hindi","हस्ताक्षर कक्षाध्यापक","Signature of the class teacher")</f>
        <v>हस्ताक्षर कक्षाध्यापक</v>
      </c>
      <c r="C29" s="1529"/>
      <c r="D29" s="1529"/>
      <c r="E29" s="1529"/>
      <c r="F29" s="1529"/>
      <c r="G29" s="1530"/>
      <c r="H29" s="1523" t="str">
        <f>IF(AND(O6=""),"",CONCATENATE("( ",UPPER('School Profile'!D18)," )"))</f>
        <v>( YOGESH )</v>
      </c>
      <c r="I29" s="1523"/>
      <c r="J29" s="1523"/>
      <c r="K29" s="1523"/>
      <c r="L29" s="1523"/>
      <c r="M29" s="1523"/>
      <c r="N29" s="1523"/>
      <c r="O29" s="1586" t="str">
        <f>IF(AND(O6=""),"",CONCATENATE("( ",UPPER('School Profile'!D14)," )"))</f>
        <v>( USHA PALIYA )</v>
      </c>
      <c r="P29" s="1587"/>
      <c r="Q29" s="1587"/>
      <c r="R29" s="1587"/>
      <c r="S29" s="1587"/>
      <c r="T29" s="1587"/>
      <c r="U29" s="1588"/>
      <c r="W29" s="20"/>
    </row>
    <row r="30" spans="2:44" ht="19.5" customHeight="1" thickBot="1">
      <c r="B30" s="1501" t="str">
        <f>IF('School Profile'!D12="Hindi","हस्ताक्षर परीक्षा प्रभारी","Signature of the exam. Incharge")</f>
        <v>हस्ताक्षर परीक्षा प्रभारी</v>
      </c>
      <c r="C30" s="1502"/>
      <c r="D30" s="1502"/>
      <c r="E30" s="1502"/>
      <c r="F30" s="1502"/>
      <c r="G30" s="1503"/>
      <c r="H30" s="1522" t="str">
        <f>IF(AND(O6=""),"",CONCATENATE("( ",UPPER('School Profile'!D15)," )"))</f>
        <v>( HEERALAL JAT )</v>
      </c>
      <c r="I30" s="1522"/>
      <c r="J30" s="1522"/>
      <c r="K30" s="1522"/>
      <c r="L30" s="1522"/>
      <c r="M30" s="1522"/>
      <c r="N30" s="1522"/>
      <c r="O30" s="1583" t="str">
        <f>IF('School Profile'!D12="Hindi","हस्ताक्षर मय सील मोहर संस्था प्रधान","Signature &amp; Seal of the Head of the Institution")</f>
        <v>हस्ताक्षर मय सील मोहर संस्था प्रधान</v>
      </c>
      <c r="P30" s="1584"/>
      <c r="Q30" s="1584"/>
      <c r="R30" s="1584"/>
      <c r="S30" s="1584"/>
      <c r="T30" s="1584"/>
      <c r="U30" s="1585"/>
    </row>
  </sheetData>
  <sheetProtection password="F18B" sheet="1" objects="1" scenarios="1" formatCells="0" formatColumns="0" formatRows="0"/>
  <mergeCells count="81">
    <mergeCell ref="D26:E26"/>
    <mergeCell ref="B26:C26"/>
    <mergeCell ref="B27:C27"/>
    <mergeCell ref="D27:E27"/>
    <mergeCell ref="G26:H26"/>
    <mergeCell ref="G27:H27"/>
    <mergeCell ref="K27:L27"/>
    <mergeCell ref="O26:P26"/>
    <mergeCell ref="O27:P27"/>
    <mergeCell ref="T14:U21"/>
    <mergeCell ref="R14:S14"/>
    <mergeCell ref="R15:S15"/>
    <mergeCell ref="O30:U30"/>
    <mergeCell ref="O29:U29"/>
    <mergeCell ref="S28:T28"/>
    <mergeCell ref="N28:O28"/>
    <mergeCell ref="R16:S16"/>
    <mergeCell ref="R17:S17"/>
    <mergeCell ref="R19:S19"/>
    <mergeCell ref="R18:S18"/>
    <mergeCell ref="Q23:U24"/>
    <mergeCell ref="R21:S21"/>
    <mergeCell ref="AB3:AD13"/>
    <mergeCell ref="O8:R8"/>
    <mergeCell ref="O7:P7"/>
    <mergeCell ref="R11:S13"/>
    <mergeCell ref="T11:U13"/>
    <mergeCell ref="H4:Q4"/>
    <mergeCell ref="O9:U9"/>
    <mergeCell ref="P11:P12"/>
    <mergeCell ref="Q11:Q13"/>
    <mergeCell ref="E11:H11"/>
    <mergeCell ref="I11:K11"/>
    <mergeCell ref="L11:L12"/>
    <mergeCell ref="I1:P1"/>
    <mergeCell ref="F6:L6"/>
    <mergeCell ref="F7:L7"/>
    <mergeCell ref="F8:L8"/>
    <mergeCell ref="B6:E6"/>
    <mergeCell ref="B3:T3"/>
    <mergeCell ref="M5:N5"/>
    <mergeCell ref="B5:E5"/>
    <mergeCell ref="F5:H5"/>
    <mergeCell ref="I5:K5"/>
    <mergeCell ref="O6:P6"/>
    <mergeCell ref="B7:E7"/>
    <mergeCell ref="M6:N6"/>
    <mergeCell ref="M7:N7"/>
    <mergeCell ref="E2:R2"/>
    <mergeCell ref="I28:K28"/>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B30:G30"/>
    <mergeCell ref="M8:N8"/>
    <mergeCell ref="L9:N9"/>
    <mergeCell ref="M11:O11"/>
    <mergeCell ref="B8:E8"/>
    <mergeCell ref="B28:E28"/>
    <mergeCell ref="F28:H28"/>
    <mergeCell ref="B22:D22"/>
    <mergeCell ref="B23:D23"/>
    <mergeCell ref="B24:D24"/>
    <mergeCell ref="H30:N30"/>
    <mergeCell ref="H29:N29"/>
    <mergeCell ref="B11:D12"/>
    <mergeCell ref="B29:G29"/>
    <mergeCell ref="K25:N25"/>
    <mergeCell ref="O25:R25"/>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SheetLayoutView="100" workbookViewId="0">
      <selection activeCell="AH16" sqref="AH16"/>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8" max="48" width="9" hidden="1" customWidth="1"/>
    <col min="49" max="49" width="10.125" hidden="1" customWidth="1"/>
    <col min="50" max="50" width="9" hidden="1" customWidth="1"/>
    <col min="51" max="52" width="0" hidden="1" customWidth="1"/>
    <col min="53" max="53" width="9" hidden="1" customWidth="1"/>
    <col min="54" max="54" width="10.125" hidden="1" customWidth="1"/>
    <col min="55" max="55" width="9" hidden="1" customWidth="1"/>
  </cols>
  <sheetData>
    <row r="1" spans="1:55" s="6" customFormat="1" ht="22.5" customHeight="1">
      <c r="A1" s="33"/>
      <c r="B1" s="28"/>
      <c r="C1" s="28"/>
      <c r="D1" s="1553" t="str">
        <f>IF('School Profile'!$D$12="Hindi","वार्षिक रिपोर्ट कार्ड ","Report Card")</f>
        <v xml:space="preserve">वार्षिक रिपोर्ट कार्ड </v>
      </c>
      <c r="E1" s="1553"/>
      <c r="F1" s="1553"/>
      <c r="G1" s="1553"/>
      <c r="H1" s="1553"/>
      <c r="I1" s="1553"/>
      <c r="J1" s="1553"/>
      <c r="K1" s="1553"/>
      <c r="L1" s="1553"/>
      <c r="M1" s="1553"/>
      <c r="N1" s="1553"/>
      <c r="O1" s="349"/>
      <c r="P1" s="349"/>
      <c r="Q1" s="1680" t="s">
        <v>77</v>
      </c>
      <c r="R1" s="28"/>
      <c r="S1" s="28"/>
      <c r="T1" s="1553" t="str">
        <f>IF('School Profile'!$D$12="Hindi","वार्षिक रिपोर्ट कार्ड ","Report Card")</f>
        <v xml:space="preserve">वार्षिक रिपोर्ट कार्ड </v>
      </c>
      <c r="U1" s="1553"/>
      <c r="V1" s="1553"/>
      <c r="W1" s="1553"/>
      <c r="X1" s="1553"/>
      <c r="Y1" s="1553"/>
      <c r="Z1" s="1553"/>
      <c r="AA1" s="1553"/>
      <c r="AB1" s="1553"/>
      <c r="AC1" s="1553"/>
      <c r="AD1" s="1553"/>
      <c r="AE1" s="349"/>
      <c r="AF1" s="349"/>
      <c r="AH1" s="691"/>
      <c r="AI1" s="1701" t="s">
        <v>147</v>
      </c>
      <c r="AJ1" s="1701"/>
      <c r="AK1" s="1701"/>
      <c r="AL1" s="692"/>
      <c r="AV1"/>
      <c r="AW1"/>
      <c r="AX1"/>
      <c r="BA1"/>
      <c r="BB1"/>
      <c r="BC1"/>
    </row>
    <row r="2" spans="1:55" s="6" customFormat="1" ht="20.25" customHeight="1">
      <c r="A2" s="33"/>
      <c r="B2" s="28"/>
      <c r="C2" s="28"/>
      <c r="D2" s="1681" t="str">
        <f>IF('School Profile'!$D$12="Hindi","शिक्षा विभाग, राजस्थान सरकार","Education Department, Rajasthan Government")</f>
        <v>शिक्षा विभाग, राजस्थान सरकार</v>
      </c>
      <c r="E2" s="1681"/>
      <c r="F2" s="1681"/>
      <c r="G2" s="1681"/>
      <c r="H2" s="1681"/>
      <c r="I2" s="1681"/>
      <c r="J2" s="1681"/>
      <c r="K2" s="1681"/>
      <c r="L2" s="1681"/>
      <c r="M2" s="1681"/>
      <c r="N2" s="1681"/>
      <c r="O2" s="349"/>
      <c r="P2" s="349"/>
      <c r="Q2" s="1680"/>
      <c r="R2" s="28"/>
      <c r="S2" s="28"/>
      <c r="T2" s="1681" t="str">
        <f>IF('School Profile'!$D$12="Hindi","शिक्षा विभाग, राजस्थान सरकार","Education Department, Rajasthan Government")</f>
        <v>शिक्षा विभाग, राजस्थान सरकार</v>
      </c>
      <c r="U2" s="1681"/>
      <c r="V2" s="1681"/>
      <c r="W2" s="1681"/>
      <c r="X2" s="1681"/>
      <c r="Y2" s="1681"/>
      <c r="Z2" s="1681"/>
      <c r="AA2" s="1681"/>
      <c r="AB2" s="1681"/>
      <c r="AC2" s="1681"/>
      <c r="AD2" s="1681"/>
      <c r="AE2" s="349"/>
      <c r="AF2" s="349"/>
      <c r="AH2" s="693"/>
      <c r="AI2" s="694"/>
      <c r="AJ2" s="694"/>
      <c r="AK2" s="694"/>
      <c r="AL2" s="695"/>
      <c r="AV2"/>
      <c r="AW2"/>
      <c r="AX2"/>
      <c r="BA2"/>
      <c r="BB2"/>
      <c r="BC2"/>
    </row>
    <row r="3" spans="1:55" s="6" customFormat="1" ht="24.95" customHeight="1">
      <c r="A3" s="33"/>
      <c r="B3" s="1555" t="str">
        <f>IF('School Profile'!$D$12="Hindi",CONCATENATE("विद्यालय का नाम :-","  ",'School Profile'!$D$9),CONCATENATE("School Name :-","  ",'School Profile'!$D$8))</f>
        <v xml:space="preserve">विद्यालय का नाम :-  महात्मा गाँधी राजकीय विद्यालय (अंग्रेजी माध्यम) बर, पाली </v>
      </c>
      <c r="C3" s="1555"/>
      <c r="D3" s="1555"/>
      <c r="E3" s="1555"/>
      <c r="F3" s="1555"/>
      <c r="G3" s="1555"/>
      <c r="H3" s="1555"/>
      <c r="I3" s="1555"/>
      <c r="J3" s="1555"/>
      <c r="K3" s="1555"/>
      <c r="L3" s="1555"/>
      <c r="M3" s="1555"/>
      <c r="N3" s="1555"/>
      <c r="O3" s="1555"/>
      <c r="P3" s="1555"/>
      <c r="Q3" s="1680"/>
      <c r="R3" s="1555" t="str">
        <f>IF('School Profile'!D12="Hindi",CONCATENATE("विद्यालय का नाम :-","  ",'School Profile'!D9),CONCATENATE("School Name :-","  ",'School Profile'!D8))</f>
        <v xml:space="preserve">विद्यालय का नाम :-  महात्मा गाँधी राजकीय विद्यालय (अंग्रेजी माध्यम) बर, पाली </v>
      </c>
      <c r="S3" s="1555"/>
      <c r="T3" s="1555"/>
      <c r="U3" s="1555"/>
      <c r="V3" s="1555"/>
      <c r="W3" s="1555"/>
      <c r="X3" s="1555"/>
      <c r="Y3" s="1555"/>
      <c r="Z3" s="1555"/>
      <c r="AA3" s="1555"/>
      <c r="AB3" s="1555"/>
      <c r="AC3" s="1555"/>
      <c r="AD3" s="1555"/>
      <c r="AE3" s="1555"/>
      <c r="AF3" s="1555"/>
      <c r="AH3" s="693"/>
      <c r="AI3" s="696"/>
      <c r="AJ3" s="697" t="s">
        <v>148</v>
      </c>
      <c r="AK3" s="696"/>
      <c r="AL3" s="695"/>
      <c r="AV3" s="776"/>
      <c r="AW3" s="776"/>
      <c r="AX3" s="776"/>
      <c r="BA3" s="776"/>
      <c r="BB3" s="776"/>
      <c r="BC3" s="776"/>
    </row>
    <row r="4" spans="1:55" s="6" customFormat="1" ht="18" customHeight="1" thickBot="1">
      <c r="A4" s="33"/>
      <c r="B4" s="650"/>
      <c r="C4" s="650"/>
      <c r="D4" s="650"/>
      <c r="E4" s="668"/>
      <c r="F4" s="1682"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82"/>
      <c r="H4" s="1682"/>
      <c r="I4" s="1682"/>
      <c r="J4" s="1682"/>
      <c r="K4" s="1682"/>
      <c r="L4" s="1682"/>
      <c r="M4" s="1682"/>
      <c r="N4" s="1682"/>
      <c r="O4" s="1682"/>
      <c r="P4" s="650"/>
      <c r="Q4" s="1680"/>
      <c r="R4" s="650"/>
      <c r="S4" s="650"/>
      <c r="T4" s="650"/>
      <c r="U4" s="668"/>
      <c r="V4" s="1682"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82"/>
      <c r="X4" s="1682"/>
      <c r="Y4" s="1682"/>
      <c r="Z4" s="1682"/>
      <c r="AA4" s="1682"/>
      <c r="AB4" s="1682"/>
      <c r="AC4" s="1682"/>
      <c r="AD4" s="1682"/>
      <c r="AE4" s="1682"/>
      <c r="AF4" s="650"/>
      <c r="AH4" s="693"/>
      <c r="AI4" s="696"/>
      <c r="AJ4" s="697"/>
      <c r="AK4" s="696"/>
      <c r="AL4" s="695"/>
      <c r="AV4"/>
      <c r="AW4"/>
      <c r="AX4"/>
      <c r="BA4"/>
      <c r="BB4"/>
      <c r="BC4"/>
    </row>
    <row r="5" spans="1:55" s="351" customFormat="1" ht="21" customHeight="1" thickBot="1">
      <c r="A5" s="350"/>
      <c r="B5" s="681" t="str">
        <f>IF('School Profile'!$D$12="Hindi","कक्षा  :-","CLASS :- ")</f>
        <v>कक्षा  :-</v>
      </c>
      <c r="C5" s="1611" t="str">
        <f>IF('Statement of Marks'!$E$3="","",'Statement of Marks'!$E$3)</f>
        <v>9th</v>
      </c>
      <c r="D5" s="1611"/>
      <c r="E5" s="820" t="str">
        <f>IFERROR(VLOOKUP(L8,'Statement of Marks'!$B$7:'Statement of Marks'!$IC$206,2,0),"")</f>
        <v>A</v>
      </c>
      <c r="F5" s="820"/>
      <c r="G5" s="820"/>
      <c r="H5" s="820"/>
      <c r="I5" s="1683" t="str">
        <f>IF('School Profile'!$D$12="Hindi","प्रवेशांक :","SR. NO. :")</f>
        <v>प्रवेशांक :</v>
      </c>
      <c r="J5" s="1683"/>
      <c r="K5" s="1683"/>
      <c r="L5" s="1684">
        <f>IFERROR(VLOOKUP(L8,'Statement of Marks'!$B$7:'Statement of Marks'!$IC$206,3,0),"")</f>
        <v>521</v>
      </c>
      <c r="M5" s="1684"/>
      <c r="N5" s="1684"/>
      <c r="O5" s="1684"/>
      <c r="P5" s="414"/>
      <c r="Q5" s="1680"/>
      <c r="R5" s="681" t="str">
        <f>IF('School Profile'!$D$12="Hindi","कक्षा  :-","CLASS :- ")</f>
        <v>कक्षा  :-</v>
      </c>
      <c r="S5" s="1611" t="str">
        <f>IF('Statement of Marks'!$E$3="","",'Statement of Marks'!$E$3)</f>
        <v>9th</v>
      </c>
      <c r="T5" s="1611"/>
      <c r="U5" s="820" t="str">
        <f>IFERROR(VLOOKUP(AB8,'Statement of Marks'!$B$7:'Statement of Marks'!$IC$206,2,0),"")</f>
        <v>A</v>
      </c>
      <c r="V5" s="820"/>
      <c r="W5" s="820"/>
      <c r="X5" s="820"/>
      <c r="Y5" s="1683" t="str">
        <f>IF('School Profile'!$D$12="Hindi","प्रवेशांक :","SR. NO. :")</f>
        <v>प्रवेशांक :</v>
      </c>
      <c r="Z5" s="1683"/>
      <c r="AA5" s="1683"/>
      <c r="AB5" s="1684">
        <f>IFERROR(VLOOKUP(AB8,'Statement of Marks'!$B$7:'Statement of Marks'!$IC$206,3,0),"")</f>
        <v>501</v>
      </c>
      <c r="AC5" s="1684"/>
      <c r="AD5" s="1684"/>
      <c r="AE5" s="1684"/>
      <c r="AF5" s="414"/>
      <c r="AH5" s="693"/>
      <c r="AI5" s="22"/>
      <c r="AJ5" s="697" t="s">
        <v>78</v>
      </c>
      <c r="AK5" s="22"/>
      <c r="AL5" s="695"/>
      <c r="AV5"/>
      <c r="AW5" s="777">
        <f>L6</f>
        <v>40461</v>
      </c>
      <c r="AX5"/>
      <c r="BA5"/>
      <c r="BB5" s="777">
        <f>AB6</f>
        <v>40065</v>
      </c>
      <c r="BC5"/>
    </row>
    <row r="6" spans="1:55" s="351" customFormat="1" ht="21" customHeight="1" thickBot="1">
      <c r="A6" s="350"/>
      <c r="B6" s="682" t="str">
        <f>IF('School Profile'!$D$12="Hindi","विद्यार्थी का नाम :-","Student's Name :-")</f>
        <v>विद्यार्थी का नाम :-</v>
      </c>
      <c r="C6" s="1685" t="str">
        <f>IFERROR(VLOOKUP(L8,'Statement of Marks'!$B$7:'Statement of Marks'!$IC$206,5,0),"")</f>
        <v>RAHUL JAT</v>
      </c>
      <c r="D6" s="1685"/>
      <c r="E6" s="1685"/>
      <c r="F6" s="1685"/>
      <c r="G6" s="1685"/>
      <c r="H6" s="1685"/>
      <c r="I6" s="1683" t="str">
        <f>IF('School Profile'!$D$12="Hindi","जन्म तिथि :","Date of Birth :")</f>
        <v>जन्म तिथि :</v>
      </c>
      <c r="J6" s="1683"/>
      <c r="K6" s="1683"/>
      <c r="L6" s="1686">
        <f>IFERROR(VLOOKUP(L8,'Statement of Marks'!$B$7:'Statement of Marks'!$IC$206,4,0),"")</f>
        <v>40461</v>
      </c>
      <c r="M6" s="1686"/>
      <c r="N6" s="1686"/>
      <c r="O6" s="1686"/>
      <c r="P6" s="646"/>
      <c r="Q6" s="1680"/>
      <c r="R6" s="682" t="str">
        <f>IF('School Profile'!$D$12="Hindi","विद्यार्थी का नाम :-","Student's Name :-")</f>
        <v>विद्यार्थी का नाम :-</v>
      </c>
      <c r="S6" s="1685" t="str">
        <f>IFERROR(VLOOKUP(AB8,'Statement of Marks'!$B$7:'Statement of Marks'!$IC$206,5,0),"")</f>
        <v>RAM</v>
      </c>
      <c r="T6" s="1685"/>
      <c r="U6" s="1685"/>
      <c r="V6" s="1685"/>
      <c r="W6" s="1685"/>
      <c r="X6" s="1685"/>
      <c r="Y6" s="1683" t="str">
        <f>IF('School Profile'!$D$12="Hindi","जन्म तिथि :","Date of Birth :")</f>
        <v>जन्म तिथि :</v>
      </c>
      <c r="Z6" s="1683"/>
      <c r="AA6" s="1683"/>
      <c r="AB6" s="1686">
        <f>IFERROR(VLOOKUP(AB8,'Statement of Marks'!$B$7:'Statement of Marks'!$IC$206,4,0),"")</f>
        <v>40065</v>
      </c>
      <c r="AC6" s="1686"/>
      <c r="AD6" s="1686"/>
      <c r="AE6" s="1686"/>
      <c r="AF6" s="646"/>
      <c r="AH6" s="698"/>
      <c r="AI6" s="699"/>
      <c r="AJ6" s="699"/>
      <c r="AK6" s="699"/>
      <c r="AL6" s="700"/>
      <c r="AV6">
        <f>YEAR(AW5)</f>
        <v>2010</v>
      </c>
      <c r="AW6">
        <f>MONTH(AW5)</f>
        <v>10</v>
      </c>
      <c r="AX6">
        <f>DAY(AW5)</f>
        <v>10</v>
      </c>
      <c r="BA6">
        <f>YEAR(BB5)</f>
        <v>2009</v>
      </c>
      <c r="BB6">
        <f>MONTH(BB5)</f>
        <v>9</v>
      </c>
      <c r="BC6">
        <f>DAY(BB5)</f>
        <v>9</v>
      </c>
    </row>
    <row r="7" spans="1:55" s="351" customFormat="1" ht="21" customHeight="1">
      <c r="A7" s="350"/>
      <c r="B7" s="682" t="str">
        <f>IF('School Profile'!$D$12="Hindi","पिता का नाम :-","Father's Name :-")</f>
        <v>पिता का नाम :-</v>
      </c>
      <c r="C7" s="1685" t="str">
        <f>IFERROR(VLOOKUP(L8,'Statement of Marks'!$B$7:'Statement of Marks'!$IC$206,6,0),"")</f>
        <v>HL JAT</v>
      </c>
      <c r="D7" s="1685"/>
      <c r="E7" s="1685"/>
      <c r="F7" s="1685"/>
      <c r="G7" s="1685"/>
      <c r="H7" s="1685"/>
      <c r="I7" s="1683" t="str">
        <f>IF('School Profile'!$D$12="Hindi","जन्मतिथि शब्दों में :-","Date of Birth in Words :-")</f>
        <v>जन्मतिथि शब्दों में :-</v>
      </c>
      <c r="J7" s="1683"/>
      <c r="K7" s="1683"/>
      <c r="L7" s="1685" t="str">
        <f>IFERROR(IF('School Profile'!$D$12="Hindi",AW8,AW10),"")</f>
        <v>दस अक्टूबर दो हजार दस</v>
      </c>
      <c r="M7" s="1685"/>
      <c r="N7" s="1685"/>
      <c r="O7" s="1685"/>
      <c r="P7" s="646"/>
      <c r="Q7" s="1680"/>
      <c r="R7" s="682" t="str">
        <f>IF('School Profile'!$D$12="Hindi","पिता का नाम :-","Father's Name :-")</f>
        <v>पिता का नाम :-</v>
      </c>
      <c r="S7" s="1685" t="str">
        <f>IFERROR(VLOOKUP(AB8,'Statement of Marks'!$B$7:'Statement of Marks'!$IC$206,6,0),"")</f>
        <v>SHYAM</v>
      </c>
      <c r="T7" s="1685"/>
      <c r="U7" s="1685"/>
      <c r="V7" s="1685"/>
      <c r="W7" s="1685"/>
      <c r="X7" s="1685"/>
      <c r="Y7" s="1683" t="str">
        <f>IF('School Profile'!$D$12="Hindi","जन्मतिथि शब्दों में :-","Date of Birth in Words :-")</f>
        <v>जन्मतिथि शब्दों में :-</v>
      </c>
      <c r="Z7" s="1683"/>
      <c r="AA7" s="1683"/>
      <c r="AB7" s="1685" t="str">
        <f>IFERROR(IF('School Profile'!$D$12="Hindi",BB8,BB10),"")</f>
        <v>नौ सितम्बर दो हजार नौ</v>
      </c>
      <c r="AC7" s="1685"/>
      <c r="AD7" s="1685"/>
      <c r="AE7" s="1685"/>
      <c r="AF7" s="646"/>
      <c r="AH7" s="1691"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92"/>
      <c r="AJ7" s="1692"/>
      <c r="AK7" s="1692"/>
      <c r="AL7" s="1693"/>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इग्यारह",IF(AV6=2012,"दो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इ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इग्यारह",IF(BA6=2012,"दो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इ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51" customFormat="1" ht="21" customHeight="1">
      <c r="A8" s="350"/>
      <c r="B8" s="681" t="str">
        <f>IF('School Profile'!$D$12="Hindi","माता का नाम :-","Mother's Name :-")</f>
        <v>माता का नाम :-</v>
      </c>
      <c r="C8" s="1685" t="str">
        <f>IFERROR(VLOOKUP(L8,'Statement of Marks'!$B$7:'Statement of Marks'!$IC$206,7,0),"")</f>
        <v>LALI</v>
      </c>
      <c r="D8" s="1685"/>
      <c r="E8" s="1685"/>
      <c r="F8" s="1685"/>
      <c r="G8" s="1685"/>
      <c r="H8" s="1685"/>
      <c r="I8" s="1683" t="str">
        <f>IF('School Profile'!$D$12="Hindi","रोल नंबर :-","Roll No. :")</f>
        <v>रोल नंबर :-</v>
      </c>
      <c r="J8" s="1683"/>
      <c r="K8" s="1683"/>
      <c r="L8" s="1672">
        <f>IF(AN10="","",AN10)</f>
        <v>901</v>
      </c>
      <c r="M8" s="1672"/>
      <c r="N8" s="1672"/>
      <c r="Q8" s="1680"/>
      <c r="R8" s="681" t="str">
        <f>IF('School Profile'!$D$12="Hindi","माता का नाम :-","Mother's Name :-")</f>
        <v>माता का नाम :-</v>
      </c>
      <c r="S8" s="1685" t="str">
        <f>IFERROR(VLOOKUP(AB8,'Statement of Marks'!$B$7:'Statement of Marks'!$IC$206,7,0),"")</f>
        <v>SITA</v>
      </c>
      <c r="T8" s="1685"/>
      <c r="U8" s="1685"/>
      <c r="V8" s="1685"/>
      <c r="W8" s="1685"/>
      <c r="X8" s="1685"/>
      <c r="Y8" s="1683" t="str">
        <f>IF('School Profile'!$D$12="Hindi","रोल नंबर :-","Roll No. :")</f>
        <v>रोल नंबर :-</v>
      </c>
      <c r="Z8" s="1683"/>
      <c r="AA8" s="1683"/>
      <c r="AB8" s="1702">
        <f>IF(L8="","",IF(AND(L8+1&gt;$AN$11),"",L8+1))</f>
        <v>902</v>
      </c>
      <c r="AC8" s="1702"/>
      <c r="AD8" s="1702"/>
      <c r="AH8" s="1694"/>
      <c r="AI8" s="1695"/>
      <c r="AJ8" s="1695"/>
      <c r="AK8" s="1695"/>
      <c r="AL8" s="1696"/>
      <c r="AV8"/>
      <c r="AW8" t="str">
        <f>CONCATENATE(AX7," ",AW7," ",AV7)</f>
        <v>दस अक्टूबर दो हजार दस</v>
      </c>
      <c r="AX8"/>
      <c r="BA8"/>
      <c r="BB8" t="str">
        <f>CONCATENATE(BC7," ",BB7," ",BA7)</f>
        <v>नौ सितम्बर दो हजार नौ</v>
      </c>
      <c r="BC8"/>
    </row>
    <row r="9" spans="1:55" s="351" customFormat="1" ht="9.75" customHeight="1">
      <c r="A9" s="350"/>
      <c r="B9" s="1700"/>
      <c r="C9" s="1700"/>
      <c r="D9" s="1700"/>
      <c r="E9" s="1700"/>
      <c r="F9" s="1700"/>
      <c r="G9" s="1700"/>
      <c r="H9" s="1700"/>
      <c r="I9" s="1700"/>
      <c r="J9" s="1700"/>
      <c r="K9" s="1700"/>
      <c r="L9" s="1700"/>
      <c r="M9" s="1700"/>
      <c r="N9" s="1700"/>
      <c r="O9" s="1700"/>
      <c r="P9" s="647"/>
      <c r="Q9" s="1680"/>
      <c r="R9" s="1700"/>
      <c r="S9" s="1700"/>
      <c r="T9" s="1700"/>
      <c r="U9" s="1700"/>
      <c r="V9" s="1700"/>
      <c r="W9" s="1700"/>
      <c r="X9" s="1700"/>
      <c r="Y9" s="1700"/>
      <c r="Z9" s="1700"/>
      <c r="AA9" s="1700"/>
      <c r="AB9" s="1700"/>
      <c r="AC9" s="1700"/>
      <c r="AD9" s="1700"/>
      <c r="AE9" s="1700"/>
      <c r="AF9" s="647"/>
      <c r="AH9" s="1694"/>
      <c r="AI9" s="1695"/>
      <c r="AJ9" s="1695"/>
      <c r="AK9" s="1695"/>
      <c r="AL9" s="1696"/>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51" customFormat="1" ht="24.75" customHeight="1">
      <c r="A10" s="350"/>
      <c r="B10" s="1619" t="str">
        <f>IF('School Profile'!$D$12="Hindi","विषय का नाम","Subject Name")</f>
        <v>विषय का नाम</v>
      </c>
      <c r="C10" s="1620"/>
      <c r="D10" s="1678" t="str">
        <f>IF('School Profile'!$D$12="Hindi","सामयिक परख","Seasonal Exam")</f>
        <v>सामयिक परख</v>
      </c>
      <c r="E10" s="1678"/>
      <c r="F10" s="1678"/>
      <c r="G10" s="1678"/>
      <c r="H10" s="1678" t="str">
        <f>IF('School Profile'!$D$12="Hindi","अर्द्धवार्षिक","Half Yearly")</f>
        <v>अर्द्धवार्षिक</v>
      </c>
      <c r="I10" s="1678"/>
      <c r="J10" s="1678"/>
      <c r="K10" s="1582" t="str">
        <f>IF('School Profile'!$D$12="Hindi","अर्द्ध वा. तक योग","Total Till H.Y.")</f>
        <v>अर्द्ध वा. तक योग</v>
      </c>
      <c r="L10" s="1678" t="str">
        <f>IF('School Profile'!$D$12="Hindi","वार्षिक","Yearly")</f>
        <v>वार्षिक</v>
      </c>
      <c r="M10" s="1678"/>
      <c r="N10" s="1678"/>
      <c r="O10" s="1577" t="str">
        <f>IF('School Profile'!$D$12="Hindi","विषय कुल योग ","Subject Total")</f>
        <v xml:space="preserve">विषय कुल योग </v>
      </c>
      <c r="P10" s="1679" t="str">
        <f>IF('School Profile'!$D$12="Hindi","विषय परिणाम / विषय श्रेणी","Sub. Result /  Sub. Div.")</f>
        <v>विषय परिणाम / विषय श्रेणी</v>
      </c>
      <c r="Q10" s="1680"/>
      <c r="R10" s="1619" t="str">
        <f>IF('School Profile'!$D$12="Hindi","विषय का नाम","Subject Name")</f>
        <v>विषय का नाम</v>
      </c>
      <c r="S10" s="1620"/>
      <c r="T10" s="1678" t="str">
        <f>IF('School Profile'!$D$12="Hindi","सामयिक परख","Seasonal Exam")</f>
        <v>सामयिक परख</v>
      </c>
      <c r="U10" s="1678"/>
      <c r="V10" s="1678"/>
      <c r="W10" s="1678"/>
      <c r="X10" s="1678" t="str">
        <f>IF('School Profile'!$D$12="Hindi","अर्द्धवार्षिक","Half Yearly")</f>
        <v>अर्द्धवार्षिक</v>
      </c>
      <c r="Y10" s="1678"/>
      <c r="Z10" s="1678"/>
      <c r="AA10" s="1582" t="str">
        <f>IF('School Profile'!$D$12="Hindi","अर्द्ध वा. तक योग","Total Till H.Y.")</f>
        <v>अर्द्ध वा. तक योग</v>
      </c>
      <c r="AB10" s="1678" t="str">
        <f>IF('School Profile'!$D$12="Hindi","वार्षिक","Yearly")</f>
        <v>वार्षिक</v>
      </c>
      <c r="AC10" s="1678"/>
      <c r="AD10" s="1678"/>
      <c r="AE10" s="1577" t="str">
        <f>IF('School Profile'!$D$12="Hindi","विषय कुल योग ","Subject Total")</f>
        <v xml:space="preserve">विषय कुल योग </v>
      </c>
      <c r="AF10" s="1679" t="str">
        <f>IF('School Profile'!$D$12="Hindi","विषय परिणाम / विषय श्रेणी","Sub. Result /  Sub. Div.")</f>
        <v>विषय परिणाम / विषय श्रेणी</v>
      </c>
      <c r="AH10" s="1694"/>
      <c r="AI10" s="1695"/>
      <c r="AJ10" s="1695"/>
      <c r="AK10" s="1695"/>
      <c r="AL10" s="1696"/>
      <c r="AN10" s="351">
        <f>IF(AI5="",MIN('Statement of Marks'!B7:B206),AI5)</f>
        <v>901</v>
      </c>
      <c r="AV10"/>
      <c r="AW10" t="str">
        <f>CONCATENATE(AW9," ",AX9,", ",AV9)</f>
        <v>OCTOBER 10TH, TWO THOUSAND TEN</v>
      </c>
      <c r="AX10"/>
      <c r="BA10"/>
      <c r="BB10" t="str">
        <f>CONCATENATE(BB9," ",BC9,", ",BA9)</f>
        <v>SEPTEMBER 9TH, TWO THOUSAND NINE</v>
      </c>
      <c r="BC10"/>
    </row>
    <row r="11" spans="1:55" s="351" customFormat="1" ht="78.75" customHeight="1">
      <c r="A11" s="350"/>
      <c r="B11" s="1674"/>
      <c r="C11" s="1675"/>
      <c r="D11" s="656" t="str">
        <f>IF('School Profile'!$D$12="Hindi","प्रथम परख ","First Test")</f>
        <v xml:space="preserve">प्रथम परख </v>
      </c>
      <c r="E11" s="656" t="str">
        <f>IF('School Profile'!$D$12="Hindi","द्वितीय परख","Second Test")</f>
        <v>द्वितीय परख</v>
      </c>
      <c r="F11" s="656" t="str">
        <f>IF('School Profile'!$D$12="Hindi","तृतीय परख","Third Test")</f>
        <v>तृतीय परख</v>
      </c>
      <c r="G11" s="657" t="str">
        <f>IF('School Profile'!$D$12="Hindi","सा. परख योग","Test Total")</f>
        <v>सा. परख योग</v>
      </c>
      <c r="H11" s="658" t="str">
        <f>IF('School Profile'!$D$12="Hindi","सैद्धान्तिक","Theoretical")</f>
        <v>सैद्धान्तिक</v>
      </c>
      <c r="I11" s="658" t="str">
        <f>IF('School Profile'!$D$12="Hindi","प्रायोगिक","Practical")</f>
        <v>प्रायोगिक</v>
      </c>
      <c r="J11" s="659" t="str">
        <f>IF('School Profile'!$D$12="Hindi","अर्द्धवार्षिक योग","H.Y.  Total")</f>
        <v>अर्द्धवार्षिक योग</v>
      </c>
      <c r="K11" s="1582"/>
      <c r="L11" s="658" t="str">
        <f>IF('School Profile'!$D$12="Hindi","सैद्धान्तिक","Theoretical")</f>
        <v>सैद्धान्तिक</v>
      </c>
      <c r="M11" s="658" t="str">
        <f>IF('School Profile'!$D$12="Hindi","प्रायोगिक","Practical")</f>
        <v>प्रायोगिक</v>
      </c>
      <c r="N11" s="659" t="str">
        <f>IF('School Profile'!$D$12="Hindi","वार्षिक योग","Yearly  Total")</f>
        <v>वार्षिक योग</v>
      </c>
      <c r="O11" s="1577"/>
      <c r="P11" s="1579"/>
      <c r="Q11" s="1680"/>
      <c r="R11" s="1674"/>
      <c r="S11" s="1675"/>
      <c r="T11" s="656" t="str">
        <f>IF('School Profile'!$D$12="Hindi","प्रथम परख ","First Test")</f>
        <v xml:space="preserve">प्रथम परख </v>
      </c>
      <c r="U11" s="656" t="str">
        <f>IF('School Profile'!$D$12="Hindi","द्वितीय परख","Second Test")</f>
        <v>द्वितीय परख</v>
      </c>
      <c r="V11" s="656" t="str">
        <f>IF('School Profile'!$D$12="Hindi","तृतीय परख","Third Test")</f>
        <v>तृतीय परख</v>
      </c>
      <c r="W11" s="657" t="str">
        <f>IF('School Profile'!$D$12="Hindi","सा. परख योग","Test Total")</f>
        <v>सा. परख योग</v>
      </c>
      <c r="X11" s="658" t="str">
        <f>IF('School Profile'!$D$12="Hindi","सैद्धान्तिक","Theoretical")</f>
        <v>सैद्धान्तिक</v>
      </c>
      <c r="Y11" s="658" t="str">
        <f>IF('School Profile'!$D$12="Hindi","प्रायोगिक","Practical")</f>
        <v>प्रायोगिक</v>
      </c>
      <c r="Z11" s="659" t="str">
        <f>IF('School Profile'!$D$12="Hindi","अर्द्धवार्षिक योग","H.Y.  Total")</f>
        <v>अर्द्धवार्षिक योग</v>
      </c>
      <c r="AA11" s="1582"/>
      <c r="AB11" s="658" t="str">
        <f>IF('School Profile'!$D$12="Hindi","सैद्धान्तिक","Theoretical")</f>
        <v>सैद्धान्तिक</v>
      </c>
      <c r="AC11" s="658" t="str">
        <f>IF('School Profile'!$D$12="Hindi","प्रायोगिक","Practical")</f>
        <v>प्रायोगिक</v>
      </c>
      <c r="AD11" s="659" t="str">
        <f>IF('School Profile'!$D$12="Hindi","वार्षिक योग","Yearly  Total")</f>
        <v>वार्षिक योग</v>
      </c>
      <c r="AE11" s="1577"/>
      <c r="AF11" s="1579"/>
      <c r="AH11" s="1694"/>
      <c r="AI11" s="1695"/>
      <c r="AJ11" s="1695"/>
      <c r="AK11" s="1695"/>
      <c r="AL11" s="1696"/>
      <c r="AN11" s="351">
        <f>IF(AK5="",MAX('Statement of Marks'!B7:B206),AK5)</f>
        <v>931</v>
      </c>
      <c r="AV11"/>
      <c r="AW11"/>
      <c r="AX11"/>
      <c r="BA11"/>
      <c r="BB11"/>
      <c r="BC11"/>
    </row>
    <row r="12" spans="1:55" s="353" customFormat="1" ht="20.25" customHeight="1" thickBot="1">
      <c r="A12" s="352"/>
      <c r="B12" s="1676"/>
      <c r="C12" s="1677"/>
      <c r="D12" s="663">
        <v>10</v>
      </c>
      <c r="E12" s="663">
        <v>10</v>
      </c>
      <c r="F12" s="663">
        <v>10</v>
      </c>
      <c r="G12" s="663">
        <v>30</v>
      </c>
      <c r="H12" s="665" t="s">
        <v>252</v>
      </c>
      <c r="I12" s="661">
        <v>35</v>
      </c>
      <c r="J12" s="660">
        <v>70</v>
      </c>
      <c r="K12" s="661">
        <v>100</v>
      </c>
      <c r="L12" s="664" t="s">
        <v>253</v>
      </c>
      <c r="M12" s="663">
        <v>50</v>
      </c>
      <c r="N12" s="660">
        <v>100</v>
      </c>
      <c r="O12" s="662">
        <v>200</v>
      </c>
      <c r="P12" s="1580"/>
      <c r="Q12" s="1680"/>
      <c r="R12" s="1676"/>
      <c r="S12" s="1677"/>
      <c r="T12" s="663">
        <v>10</v>
      </c>
      <c r="U12" s="663">
        <v>10</v>
      </c>
      <c r="V12" s="663">
        <v>10</v>
      </c>
      <c r="W12" s="663">
        <v>30</v>
      </c>
      <c r="X12" s="665" t="s">
        <v>252</v>
      </c>
      <c r="Y12" s="661">
        <v>35</v>
      </c>
      <c r="Z12" s="660">
        <v>70</v>
      </c>
      <c r="AA12" s="661">
        <v>100</v>
      </c>
      <c r="AB12" s="664" t="s">
        <v>253</v>
      </c>
      <c r="AC12" s="663">
        <v>50</v>
      </c>
      <c r="AD12" s="660">
        <v>100</v>
      </c>
      <c r="AE12" s="662">
        <v>200</v>
      </c>
      <c r="AF12" s="1580"/>
      <c r="AH12" s="1697"/>
      <c r="AI12" s="1698"/>
      <c r="AJ12" s="1698"/>
      <c r="AK12" s="1698"/>
      <c r="AL12" s="1699"/>
      <c r="AN12" t="s">
        <v>270</v>
      </c>
      <c r="AV12"/>
      <c r="AW12"/>
      <c r="AX12"/>
      <c r="BA12"/>
      <c r="BB12"/>
      <c r="BC12"/>
    </row>
    <row r="13" spans="1:55" s="351" customFormat="1" ht="22.5" customHeight="1">
      <c r="A13" s="350"/>
      <c r="B13" s="1617" t="str">
        <f>'Statement of Marks'!$K$3</f>
        <v>हिंदी</v>
      </c>
      <c r="C13" s="1618"/>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7">
        <f>IF(L8="","",IF(AND(H13="",I13=""),"",SUM(H13,I13)))</f>
        <v>46</v>
      </c>
      <c r="K13" s="679">
        <f>IFERROR(IF(L8="","",IF(AND(G13="",J13=""),"",SUM(G13,J13))),"")</f>
        <v>72</v>
      </c>
      <c r="L13" s="26">
        <f>IFERROR(VLOOKUP(L8,'Statement of Marks'!$B$7:'Statement of Marks'!$IC$206,16,0),"")</f>
        <v>70</v>
      </c>
      <c r="M13" s="26"/>
      <c r="N13" s="347">
        <f>IF(L8="","",IF(AND(L13="",M13=""),"",SUM(L13,M13)))</f>
        <v>70</v>
      </c>
      <c r="O13" s="674">
        <f>IFERROR(VLOOKUP(L8,'Statement of Marks'!$B$7:'Statement of Marks'!$IC$206,17,0),"")</f>
        <v>142</v>
      </c>
      <c r="P13" s="680" t="str">
        <f>IFERROR(IF(O13="","",IF(VLOOKUP(L8,'Statement of Marks'!$B$7:'Statement of Marks'!$IC$206,195,0)="D","I",IF(VLOOKUP(L8,'Statement of Marks'!$B$7:'Statement of Marks'!$IC$206,195,0)="G1","G",IF(VLOOKUP(L8,'Statement of Marks'!$B$7:'Statement of Marks'!$IC$206,195,0)="G2","G",VLOOKUP(L8,'Statement of Marks'!$B$7:'Statement of Marks'!$IC$206,195,0))))),"")</f>
        <v>I</v>
      </c>
      <c r="Q13" s="1680"/>
      <c r="R13" s="1617" t="str">
        <f>'Statement of Marks'!$K$3</f>
        <v>हिंदी</v>
      </c>
      <c r="S13" s="1618"/>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7">
        <f>IF(AB8="","",IF(AND(X13="",Y13=""),"",SUM(X13,Y13)))</f>
        <v>46</v>
      </c>
      <c r="AA13" s="679">
        <f>IFERROR(IF(AB8="","",IF(AND(W13="",Z13=""),"",SUM(W13,Z13))),"")</f>
        <v>72</v>
      </c>
      <c r="AB13" s="26">
        <f>IFERROR(VLOOKUP(AB8,'Statement of Marks'!$B$7:'Statement of Marks'!$IC$206,16,0),"")</f>
        <v>65</v>
      </c>
      <c r="AC13" s="26"/>
      <c r="AD13" s="347">
        <f>IF(AB8="","",IF(AND(AB13="",AC13=""),"",SUM(AB13,AC13)))</f>
        <v>65</v>
      </c>
      <c r="AE13" s="674">
        <f>IFERROR(VLOOKUP(AB8,'Statement of Marks'!$B$7:'Statement of Marks'!$IC$206,17,0),"")</f>
        <v>137</v>
      </c>
      <c r="AF13" s="680"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271</v>
      </c>
      <c r="AV13"/>
      <c r="AW13"/>
      <c r="AX13"/>
      <c r="BA13"/>
      <c r="BB13"/>
      <c r="BC13"/>
    </row>
    <row r="14" spans="1:55" s="351" customFormat="1" ht="22.5" customHeight="1">
      <c r="A14" s="350"/>
      <c r="B14" s="1617" t="str">
        <f>'Statement of Marks'!$Y$3</f>
        <v>अंग्रेजी</v>
      </c>
      <c r="C14" s="1618"/>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7">
        <f>IF(L8="","",IF(AND(H14="",I14=""),"",SUM(H14,I14)))</f>
        <v>46</v>
      </c>
      <c r="K14" s="679">
        <f>IFERROR(IF(L8="","",IF(AND(G14="",J14=""),"",SUM(G14,J14))),"")</f>
        <v>74</v>
      </c>
      <c r="L14" s="26">
        <f>IFERROR(VLOOKUP(L8,'Statement of Marks'!$B$7:'Statement of Marks'!$IC$206,30,0),"")</f>
        <v>70</v>
      </c>
      <c r="M14" s="26"/>
      <c r="N14" s="347">
        <f>IF(L8="","",IF(AND(L14="",M14=""),"",SUM(L14,M14)))</f>
        <v>70</v>
      </c>
      <c r="O14" s="674">
        <f>IFERROR(VLOOKUP(L8,'Statement of Marks'!$B$7:'Statement of Marks'!$IC$206,31,0),"")</f>
        <v>144</v>
      </c>
      <c r="P14" s="680" t="str">
        <f>IFERROR(IF(O13="","",IF(VLOOKUP(L8,'Statement of Marks'!$B$7:'Statement of Marks'!$IC$206,198,0)="D","I",IF(VLOOKUP(L8,'Statement of Marks'!$B$7:'Statement of Marks'!$IC$206,198,0)="G1","G",IF(VLOOKUP(L8,'Statement of Marks'!$B$7:'Statement of Marks'!$IC$206,198,0)="G2","G",VLOOKUP(L8,'Statement of Marks'!$B$7:'Statement of Marks'!$IC$206,198,0))))),"")</f>
        <v>I</v>
      </c>
      <c r="Q14" s="1680"/>
      <c r="R14" s="1617" t="str">
        <f>'Statement of Marks'!$Y$3</f>
        <v>अंग्रेजी</v>
      </c>
      <c r="S14" s="1618"/>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7">
        <f>IF(AB8="","",IF(AND(X14="",Y14=""),"",SUM(X14,Y14)))</f>
        <v>66</v>
      </c>
      <c r="AA14" s="679">
        <f>IFERROR(IF(AB8="","",IF(AND(W14="",Z14=""),"",SUM(W14,Z14))),"")</f>
        <v>93</v>
      </c>
      <c r="AB14" s="26">
        <f>IFERROR(VLOOKUP(AB8,'Statement of Marks'!$B$7:'Statement of Marks'!$IC$206,30,0),"")</f>
        <v>95</v>
      </c>
      <c r="AC14" s="26"/>
      <c r="AD14" s="347">
        <f>IF(AB8="","",IF(AND(AB14="",AC14=""),"",SUM(AB14,AC14)))</f>
        <v>95</v>
      </c>
      <c r="AE14" s="674">
        <f>IFERROR(VLOOKUP(AB8,'Statement of Marks'!$B$7:'Statement of Marks'!$IC$206,31,0),"")</f>
        <v>188</v>
      </c>
      <c r="AF14" s="680"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51" customFormat="1" ht="22.5" customHeight="1">
      <c r="A15" s="350"/>
      <c r="B15" s="1617" t="str">
        <f>IFERROR(VLOOKUP(L8,'Statement of Marks'!$B$7:'Statement of Marks'!$IC$206,38,0),"")</f>
        <v>संस्कृत (71)</v>
      </c>
      <c r="C15" s="1618"/>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7">
        <f>IF(L8="","",IF(AND(H15="",I15=""),"",SUM(H15,I15)))</f>
        <v>46</v>
      </c>
      <c r="K15" s="679">
        <f>IFERROR(IF(L8="","",IF(AND(G15="",J15=""),"",SUM(G15,J15))),"")</f>
        <v>71</v>
      </c>
      <c r="L15" s="26">
        <f>IFERROR(VLOOKUP(L8,'Statement of Marks'!$B$7:'Statement of Marks'!$IC$206,45,0),"")</f>
        <v>70</v>
      </c>
      <c r="M15" s="26"/>
      <c r="N15" s="347">
        <f>IF(L8="","",IF(AND(L15="",M15=""),"",SUM(L15,M15)))</f>
        <v>70</v>
      </c>
      <c r="O15" s="674">
        <f>IFERROR(VLOOKUP(L8,'Statement of Marks'!$B$7:'Statement of Marks'!$IC$206,46,0),"")</f>
        <v>141</v>
      </c>
      <c r="P15" s="680" t="str">
        <f>IFERROR(IF(O13="","",IF(VLOOKUP(L8,'Statement of Marks'!$B$7:'Statement of Marks'!$IC$206,201,0)="D","I",IF(VLOOKUP(L8,'Statement of Marks'!$B$7:'Statement of Marks'!$IC$206,201,0)="G1","G",IF(VLOOKUP(L8,'Statement of Marks'!$B$7:'Statement of Marks'!$IC$206,201,0)="G2","G",VLOOKUP(L8,'Statement of Marks'!$B$7:'Statement of Marks'!$IC$206,201,0))))),"")</f>
        <v>I</v>
      </c>
      <c r="Q15" s="1680"/>
      <c r="R15" s="1617" t="str">
        <f>IFERROR(VLOOKUP(AB8,'Statement of Marks'!$B$7:'Statement of Marks'!$IC$206,38,0),"")</f>
        <v>संस्कृत (71)</v>
      </c>
      <c r="S15" s="1618"/>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7">
        <f>IF(AB8="","",IF(AND(X15="",Y15=""),"",SUM(X15,Y15)))</f>
        <v>62</v>
      </c>
      <c r="AA15" s="679">
        <f>IFERROR(IF(AB8="","",IF(AND(W15="",Z15=""),"",SUM(W15,Z15))),"")</f>
        <v>88</v>
      </c>
      <c r="AB15" s="26">
        <f>IFERROR(VLOOKUP(AB8,'Statement of Marks'!$B$7:'Statement of Marks'!$IC$206,45,0),"")</f>
        <v>92</v>
      </c>
      <c r="AC15" s="26"/>
      <c r="AD15" s="347">
        <f>IF(AB8="","",IF(AND(AB15="",AC15=""),"",SUM(AB15,AC15)))</f>
        <v>92</v>
      </c>
      <c r="AE15" s="674">
        <f>IFERROR(VLOOKUP(AB8,'Statement of Marks'!$B$7:'Statement of Marks'!$IC$206,46,0),"")</f>
        <v>180</v>
      </c>
      <c r="AF15" s="680"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51" customFormat="1" ht="22.5" customHeight="1">
      <c r="A16" s="350"/>
      <c r="B16" s="1617" t="str">
        <f>'Statement of Marks'!$BB$3</f>
        <v>गणित</v>
      </c>
      <c r="C16" s="1618"/>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7">
        <f>IF(L8="","",IF(AND(H16="",I16=""),"",SUM(H16,I16)))</f>
        <v>46</v>
      </c>
      <c r="K16" s="679">
        <f>IFERROR(IF(L8="","",IF(AND(G16="",J16=""),"",SUM(G16,J16))),"")</f>
        <v>72</v>
      </c>
      <c r="L16" s="26">
        <f>IFERROR(VLOOKUP(L8,'Statement of Marks'!$B$7:'Statement of Marks'!$IC$206,59,0),"")</f>
        <v>70</v>
      </c>
      <c r="M16" s="26"/>
      <c r="N16" s="347">
        <f>IF(L8="","",IF(AND(L16="",M16=""),"",SUM(L16,M16)))</f>
        <v>70</v>
      </c>
      <c r="O16" s="674">
        <f>IFERROR(VLOOKUP(L8,'Statement of Marks'!$B$7:'Statement of Marks'!$IC$206,60,0),"")</f>
        <v>142</v>
      </c>
      <c r="P16" s="680" t="str">
        <f>IFERROR(IF(O13="","",IF(VLOOKUP(L8,'Statement of Marks'!$B$7:'Statement of Marks'!$IC$206,209,0)="D","I",IF(VLOOKUP(L8,'Statement of Marks'!$B$7:'Statement of Marks'!$IC$206,209,0)="G1","G",IF(VLOOKUP(L8,'Statement of Marks'!$B$7:'Statement of Marks'!$IC$206,209,0)="G2","G",VLOOKUP(L8,'Statement of Marks'!$B$7:'Statement of Marks'!$IC$206,209,0))))),"")</f>
        <v>I</v>
      </c>
      <c r="Q16" s="1680"/>
      <c r="R16" s="1617" t="str">
        <f>'Statement of Marks'!$BB$3</f>
        <v>गणित</v>
      </c>
      <c r="S16" s="1618"/>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7">
        <f>IF(AB8="","",IF(AND(X16="",Y16=""),"",SUM(X16,Y16)))</f>
        <v>46</v>
      </c>
      <c r="AA16" s="679">
        <f>IFERROR(IF(AB8="","",IF(AND(W16="",Z16=""),"",SUM(W16,Z16))),"")</f>
        <v>71</v>
      </c>
      <c r="AB16" s="26">
        <f>IFERROR(VLOOKUP(AB8,'Statement of Marks'!$B$7:'Statement of Marks'!$IC$206,59,0),"")</f>
        <v>45</v>
      </c>
      <c r="AC16" s="26"/>
      <c r="AD16" s="347">
        <f>IF(AB8="","",IF(AND(AB16="",AC16=""),"",SUM(AB16,AC16)))</f>
        <v>45</v>
      </c>
      <c r="AE16" s="674">
        <f>IFERROR(VLOOKUP(AB8,'Statement of Marks'!$B$7:'Statement of Marks'!$IC$206,60,0),"")</f>
        <v>116</v>
      </c>
      <c r="AF16" s="680"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51" customFormat="1" ht="22.5" customHeight="1">
      <c r="A17" s="350"/>
      <c r="B17" s="1619" t="str">
        <f>'Statement of Marks'!$BP$3</f>
        <v>विज्ञान</v>
      </c>
      <c r="C17" s="1620"/>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7">
        <f>IF(L8="","",IF(AND(H17="",I17=""),"",SUM(H17,I17)))</f>
        <v>46</v>
      </c>
      <c r="K17" s="679">
        <f>IFERROR(IF(L8="","",IF(AND(G17="",J17=""),"",SUM(G17,J17))),"")</f>
        <v>73</v>
      </c>
      <c r="L17" s="26">
        <f>IFERROR(VLOOKUP(L8,'Statement of Marks'!$B$7:'Statement of Marks'!$IC$206,73,0),"")</f>
        <v>70</v>
      </c>
      <c r="M17" s="26"/>
      <c r="N17" s="347">
        <f>IF(L8="","",IF(AND(L17="",M17=""),"",SUM(L17,M17)))</f>
        <v>70</v>
      </c>
      <c r="O17" s="674">
        <f>IFERROR(VLOOKUP(L8,'Statement of Marks'!$B$7:'Statement of Marks'!$IC$206,74,0),"")</f>
        <v>143</v>
      </c>
      <c r="P17" s="680" t="str">
        <f>IFERROR(IF(O13="","",IF(VLOOKUP(L8,'Statement of Marks'!$B$7:'Statement of Marks'!$IC$206,212,0)="D","I",IF(VLOOKUP(L8,'Statement of Marks'!$B$7:'Statement of Marks'!$IC$206,212,0)="G1","G",IF(VLOOKUP(L8,'Statement of Marks'!$B$7:'Statement of Marks'!$IC$206,212,0)="G2","G",VLOOKUP(L8,'Statement of Marks'!$B$7:'Statement of Marks'!$IC$206,212,0))))),"")</f>
        <v>I</v>
      </c>
      <c r="Q17" s="1680"/>
      <c r="R17" s="1619" t="str">
        <f>'Statement of Marks'!$BP$3</f>
        <v>विज्ञान</v>
      </c>
      <c r="S17" s="1620"/>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7">
        <f>IF(AB8="","",IF(AND(X17="",Y17=""),"",SUM(X17,Y17)))</f>
        <v>46</v>
      </c>
      <c r="AA17" s="679">
        <f>IFERROR(IF(AB8="","",IF(AND(W17="",Z17=""),"",SUM(W17,Z17))),"")</f>
        <v>72</v>
      </c>
      <c r="AB17" s="26">
        <f>IFERROR(VLOOKUP(AB8,'Statement of Marks'!$B$7:'Statement of Marks'!$IC$206,73,0),"")</f>
        <v>45</v>
      </c>
      <c r="AC17" s="26"/>
      <c r="AD17" s="347">
        <f>IF(AB8="","",IF(AND(AB17="",AC17=""),"",SUM(AB17,AC17)))</f>
        <v>45</v>
      </c>
      <c r="AE17" s="674">
        <f>IFERROR(VLOOKUP(AB8,'Statement of Marks'!$B$7:'Statement of Marks'!$IC$206,74,0),"")</f>
        <v>117</v>
      </c>
      <c r="AF17" s="680"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51" customFormat="1" ht="22.5" customHeight="1">
      <c r="A18" s="350"/>
      <c r="B18" s="409" t="str">
        <f>'Statement of Marks'!$CE$3</f>
        <v>सामाजिक विज्ञान</v>
      </c>
      <c r="C18" s="412"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7">
        <f>IF(L8="","",IF(AND(H18="",I18=""),"",SUM(H18,I18)))</f>
        <v>46</v>
      </c>
      <c r="K18" s="679">
        <f>IFERROR(IF(L8="","",IF(AND(G18="",J18=""),"",SUM(G18,J18))),"")</f>
        <v>73</v>
      </c>
      <c r="L18" s="26">
        <f>IFERROR(VLOOKUP(L8,'Statement of Marks'!$B$7:'Statement of Marks'!$IC$206,88,0),"")</f>
        <v>70</v>
      </c>
      <c r="M18" s="26"/>
      <c r="N18" s="347">
        <f>IF(L8="","",IF(AND(L18="",M18=""),"",SUM(L18,M18)))</f>
        <v>70</v>
      </c>
      <c r="O18" s="674">
        <f>IFERROR(VLOOKUP(L8,'Statement of Marks'!$B$7:'Statement of Marks'!$IC$206,89,0),"")</f>
        <v>143</v>
      </c>
      <c r="P18" s="680" t="str">
        <f>IFERROR(IF(O13="","",IF(VLOOKUP(L8,'Statement of Marks'!$B$7:'Statement of Marks'!$IC$206,215,0)="D","I",IF(VLOOKUP(L8,'Statement of Marks'!$B$7:'Statement of Marks'!$IC$206,215,0)="G1","G",IF(VLOOKUP(L8,'Statement of Marks'!$B$7:'Statement of Marks'!$IC$206,215,0)="G2","G",VLOOKUP(L8,'Statement of Marks'!$B$7:'Statement of Marks'!$IC$206,215,0))))),"")</f>
        <v>I</v>
      </c>
      <c r="Q18" s="1680"/>
      <c r="R18" s="409" t="str">
        <f>'Statement of Marks'!$CE$3</f>
        <v>सामाजिक विज्ञान</v>
      </c>
      <c r="S18" s="412" t="str">
        <f>IF(OR(AB8="",AE18="",AE20=""),"",IF(AND(AE18&gt;=AE20),"*",""))</f>
        <v>*</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7">
        <f>IF(AB8="","",IF(AND(X18="",Y18=""),"",SUM(X18,Y18)))</f>
        <v>46</v>
      </c>
      <c r="AA18" s="679">
        <f>IFERROR(IF(AB8="","",IF(AND(W18="",Z18=""),"",SUM(W18,Z18))),"")</f>
        <v>76</v>
      </c>
      <c r="AB18" s="26">
        <f>IFERROR(VLOOKUP(AB8,'Statement of Marks'!$B$7:'Statement of Marks'!$IC$206,88,0),"")</f>
        <v>45</v>
      </c>
      <c r="AC18" s="26"/>
      <c r="AD18" s="347">
        <f>IF(AB8="","",IF(AND(AB18="",AC18=""),"",SUM(AB18,AC18)))</f>
        <v>45</v>
      </c>
      <c r="AE18" s="674">
        <f>IFERROR(VLOOKUP(AB8,'Statement of Marks'!$B$7:'Statement of Marks'!$IC$206,89,0),"")</f>
        <v>121</v>
      </c>
      <c r="AF18" s="680"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51" customFormat="1" ht="19.5" customHeight="1">
      <c r="A19" s="350"/>
      <c r="B19" s="1687" t="str">
        <f>IF('School Profile'!$D$12="Hindi","व्यावसायिक शिक्षा","Vocational Education")</f>
        <v>व्यावसायिक शिक्षा</v>
      </c>
      <c r="C19" s="1688"/>
      <c r="D19" s="1689"/>
      <c r="E19" s="1689"/>
      <c r="F19" s="1689"/>
      <c r="G19" s="1689"/>
      <c r="H19" s="1689"/>
      <c r="I19" s="1689"/>
      <c r="J19" s="1689"/>
      <c r="K19" s="1689"/>
      <c r="L19" s="1689"/>
      <c r="M19" s="1689"/>
      <c r="N19" s="1689"/>
      <c r="O19" s="1689"/>
      <c r="P19" s="1690"/>
      <c r="Q19" s="1680"/>
      <c r="R19" s="1687" t="str">
        <f>IF('School Profile'!$D$12="Hindi","व्यावसायिक शिक्षा","Vocational Education")</f>
        <v>व्यावसायिक शिक्षा</v>
      </c>
      <c r="S19" s="1688"/>
      <c r="T19" s="1689"/>
      <c r="U19" s="1689"/>
      <c r="V19" s="1689"/>
      <c r="W19" s="1689"/>
      <c r="X19" s="1689"/>
      <c r="Y19" s="1689"/>
      <c r="Z19" s="1689"/>
      <c r="AA19" s="1689"/>
      <c r="AB19" s="1689"/>
      <c r="AC19" s="1689"/>
      <c r="AD19" s="1689"/>
      <c r="AE19" s="1689"/>
      <c r="AF19" s="1690"/>
      <c r="AV19"/>
      <c r="AW19"/>
      <c r="AX19"/>
      <c r="BA19"/>
      <c r="BB19"/>
      <c r="BC19"/>
    </row>
    <row r="20" spans="1:55" s="351" customFormat="1" ht="22.5" customHeight="1">
      <c r="A20" s="350"/>
      <c r="B20" s="411" t="str">
        <f>IFERROR(VLOOKUP(L8,'Statement of Marks'!$B$7:'Statement of Marks'!$IC$206,96,0),"")</f>
        <v>BEAUTY AND HEALTH</v>
      </c>
      <c r="C20" s="410" t="str">
        <f>IF(OR(L8="",O18="",O20="",B20=""),"",IF(AND(O20&gt;=O18),"*",""))</f>
        <v>*</v>
      </c>
      <c r="D20" s="397">
        <f>IFERROR(VLOOKUP(L8,'Statement of Marks'!$B$7:'Statement of Marks'!$IC$206,97,0),"")</f>
        <v>8</v>
      </c>
      <c r="E20" s="26">
        <f>IFERROR(VLOOKUP(L8,'Statement of Marks'!$B$7:'Statement of Marks'!$IC$206,98,0),"")</f>
        <v>8</v>
      </c>
      <c r="F20" s="26">
        <f>IFERROR(VLOOKUP(L8,'Statement of Marks'!$B$7:'Statement of Marks'!$IC$206,99,0),"")</f>
        <v>8</v>
      </c>
      <c r="G20" s="26">
        <f>IFERROR(VLOOKUP(L8,'Statement of Marks'!$B$7:'Statement of Marks'!$IC$206,100,0),"")</f>
        <v>24</v>
      </c>
      <c r="H20" s="27">
        <f>IFERROR(VLOOKUP(L8,'Statement of Marks'!$B$7:'Statement of Marks'!$IC$206,101,0),"")</f>
        <v>31</v>
      </c>
      <c r="I20" s="27">
        <f>IFERROR(VLOOKUP(L8,'Statement of Marks'!$B$7:'Statement of Marks'!$IC$206,102,0),"")</f>
        <v>32</v>
      </c>
      <c r="J20" s="347">
        <f>IFERROR(VLOOKUP(L8,'Statement of Marks'!$B$7:'Statement of Marks'!$IC$206,103,0),"")</f>
        <v>63</v>
      </c>
      <c r="K20" s="679">
        <f>IFERROR(IF(L8="","",IF(AND(G20="",J20=""),"",SUM(G20,J20))),"")</f>
        <v>87</v>
      </c>
      <c r="L20" s="26">
        <f>IFERROR(VLOOKUP(L8,'Statement of Marks'!$B$7:'Statement of Marks'!$IC$206,105,0),"")</f>
        <v>43</v>
      </c>
      <c r="M20" s="26">
        <f>IFERROR(VLOOKUP(L8,'Statement of Marks'!$B$7:'Statement of Marks'!$IC$206,106,0),"")</f>
        <v>44</v>
      </c>
      <c r="N20" s="347">
        <f>IF(L8="","",IF(AND(L20="",M20=""),"",SUM(L20,M20)))</f>
        <v>87</v>
      </c>
      <c r="O20" s="672">
        <f>IFERROR(VLOOKUP(L8,'Statement of Marks'!$B$7:'Statement of Marks'!$IC$206,108,0),"")</f>
        <v>174</v>
      </c>
      <c r="P20" s="680" t="str">
        <f>IFERROR(IF(O13="","",IF(VLOOKUP(L8,'Statement of Marks'!$B$7:'Statement of Marks'!$IC$206,218,0)="D","I",IF(VLOOKUP(L8,'Statement of Marks'!$B$7:'Statement of Marks'!$IC$206,218,0)="G1","G",IF(VLOOKUP(L8,'Statement of Marks'!$B$7:'Statement of Marks'!$IC$206,218,0)="G2","G",VLOOKUP(L8,'Statement of Marks'!$B$7:'Statement of Marks'!$IC$206,218,0))))),"")</f>
        <v>I</v>
      </c>
      <c r="Q20" s="1680"/>
      <c r="R20" s="411" t="str">
        <f>IFERROR(VLOOKUP(AB8,'Statement of Marks'!$B$7:'Statement of Marks'!$IC$206,96,0),"")</f>
        <v>AUTOMOBILE</v>
      </c>
      <c r="S20" s="410" t="str">
        <f>IF(OR(AB8="",AE18="",AE20="",R20=""),"",IF(AND(AE20&gt;=AE18),"*",""))</f>
        <v/>
      </c>
      <c r="T20" s="397">
        <f>IFERROR(VLOOKUP(AB8,'Statement of Marks'!$B$7:'Statement of Marks'!$IC$206,97,0),"")</f>
        <v>4</v>
      </c>
      <c r="U20" s="26">
        <f>IFERROR(VLOOKUP(AB8,'Statement of Marks'!$B$7:'Statement of Marks'!$IC$206,98,0),"")</f>
        <v>4</v>
      </c>
      <c r="V20" s="26">
        <f>IFERROR(VLOOKUP(AB8,'Statement of Marks'!$B$7:'Statement of Marks'!$IC$206,99,0),"")</f>
        <v>4</v>
      </c>
      <c r="W20" s="26">
        <f>IFERROR(VLOOKUP(AB8,'Statement of Marks'!$B$7:'Statement of Marks'!$IC$206,100,0),"")</f>
        <v>12</v>
      </c>
      <c r="X20" s="27">
        <f>IFERROR(VLOOKUP(AB8,'Statement of Marks'!$B$7:'Statement of Marks'!$IC$206,101,0),"")</f>
        <v>15</v>
      </c>
      <c r="Y20" s="27">
        <f>IFERROR(VLOOKUP(AB8,'Statement of Marks'!$B$7:'Statement of Marks'!$IC$206,102,0),"")</f>
        <v>15</v>
      </c>
      <c r="Z20" s="347">
        <f>IFERROR(VLOOKUP(AB8,'Statement of Marks'!$B$7:'Statement of Marks'!$IC$206,103,0),"")</f>
        <v>30</v>
      </c>
      <c r="AA20" s="679">
        <f>IFERROR(IF(AB8="","",IF(AND(W20="",Z20=""),"",SUM(W20,Z20))),"")</f>
        <v>42</v>
      </c>
      <c r="AB20" s="26">
        <f>IFERROR(VLOOKUP(AB8,'Statement of Marks'!$B$7:'Statement of Marks'!$IC$206,105,0),"")</f>
        <v>30</v>
      </c>
      <c r="AC20" s="26">
        <f>IFERROR(VLOOKUP(AB8,'Statement of Marks'!$B$7:'Statement of Marks'!$IC$206,106,0),"")</f>
        <v>30</v>
      </c>
      <c r="AD20" s="347">
        <f>IF(AB8="","",IF(AND(AB20="",AC20=""),"",SUM(AB20,AC20)))</f>
        <v>60</v>
      </c>
      <c r="AE20" s="672">
        <f>IFERROR(VLOOKUP(AB8,'Statement of Marks'!$B$7:'Statement of Marks'!$IC$206,108,0),"")</f>
        <v>102</v>
      </c>
      <c r="AF20" s="680" t="str">
        <f>IFERROR(IF(AE13="","",IF(VLOOKUP(AB8,'Statement of Marks'!$B$7:'Statement of Marks'!$IC$206,218,0)="D","I",IF(VLOOKUP(AB8,'Statement of Marks'!$B$7:'Statement of Marks'!$IC$206,218,0)="G1","G",IF(VLOOKUP(AB8,'Statement of Marks'!$B$7:'Statement of Marks'!$IC$206,218,0)="G2","G",VLOOKUP(AB8,'Statement of Marks'!$B$7:'Statement of Marks'!$IC$206,218,0))))),"")</f>
        <v>II</v>
      </c>
      <c r="AV20"/>
      <c r="AW20"/>
      <c r="AX20"/>
      <c r="BA20"/>
      <c r="BB20"/>
      <c r="BC20"/>
    </row>
    <row r="21" spans="1:55" s="351" customFormat="1" ht="25.5" customHeight="1">
      <c r="A21" s="350"/>
      <c r="B21" s="1665"/>
      <c r="C21" s="1666"/>
      <c r="D21" s="1667"/>
      <c r="E21" s="1667"/>
      <c r="F21" s="1667"/>
      <c r="G21" s="1667"/>
      <c r="H21" s="1667"/>
      <c r="I21" s="1667"/>
      <c r="J21" s="1667"/>
      <c r="K21" s="1667"/>
      <c r="L21" s="1668" t="str">
        <f>IF('School Profile'!$D$12="Hindi","महायोग :","Grand Total :")</f>
        <v>महायोग :</v>
      </c>
      <c r="M21" s="1669"/>
      <c r="N21" s="1669"/>
      <c r="O21" s="1670">
        <f>IF(OR(L8="",C6=""),"",IF(OR(B20="",O20=""),SUM(O13,O14,O15,O16,O17,O18),IF((O18/O12*100)&gt;=(O20/O12*100),SUM(O13:O18),SUM(O13,O14,O15,O16,O17,O20))))</f>
        <v>886</v>
      </c>
      <c r="P21" s="1671"/>
      <c r="Q21" s="1680"/>
      <c r="R21" s="1665"/>
      <c r="S21" s="1666"/>
      <c r="T21" s="1667"/>
      <c r="U21" s="1667"/>
      <c r="V21" s="1667"/>
      <c r="W21" s="1667"/>
      <c r="X21" s="1667"/>
      <c r="Y21" s="1667"/>
      <c r="Z21" s="1667"/>
      <c r="AA21" s="1667"/>
      <c r="AB21" s="1668" t="str">
        <f>IF('School Profile'!$D$12="Hindi","महायोग :","Grand Total :")</f>
        <v>महायोग :</v>
      </c>
      <c r="AC21" s="1669"/>
      <c r="AD21" s="1669"/>
      <c r="AE21" s="1670">
        <f>IF(OR(AB8="",S6=""),"",IF(OR(R20="",AE20=""),SUM(AE13,AE14,AE15,AE16,AE17,AE18),IF((AE18/AE12*100)&gt;=(AE20/AE12*100),SUM(AE13:AE18),SUM(AE13,AE14,AE15,AE16,AE17,AE20))))</f>
        <v>859</v>
      </c>
      <c r="AF21" s="1671"/>
      <c r="AV21"/>
      <c r="AW21"/>
      <c r="AX21"/>
      <c r="BA21"/>
      <c r="BB21"/>
      <c r="BC21"/>
    </row>
    <row r="22" spans="1:55" s="351" customFormat="1" ht="25.5" customHeight="1">
      <c r="A22" s="350"/>
      <c r="B22" s="1644" t="str">
        <f>'Statement of Marks'!$DZ$208</f>
        <v>राजस्थान का स्वंत्रता आन्दोलन व शोर्य परम्परा</v>
      </c>
      <c r="C22" s="1645"/>
      <c r="D22" s="1646" t="s">
        <v>149</v>
      </c>
      <c r="E22" s="1647"/>
      <c r="F22" s="355">
        <f>IFERROR(VLOOKUP(L8,'Statement of Marks'!$B$7:'Statement of Marks'!$IC$206,136,0),"")</f>
        <v>190</v>
      </c>
      <c r="G22" s="356" t="s">
        <v>135</v>
      </c>
      <c r="H22" s="355" t="str">
        <f>IFERROR(VLOOKUP(L8,'Statement of Marks'!$B$7:'Statement of Marks'!$IC$206,137,0),"")</f>
        <v>A</v>
      </c>
      <c r="I22" s="1648" t="str">
        <f>'Statement of Marks'!$EL$208</f>
        <v>सूचना प्रोद्योगिकी की अवधारणा - I</v>
      </c>
      <c r="J22" s="1649"/>
      <c r="K22" s="1649"/>
      <c r="L22" s="1650"/>
      <c r="M22" s="354" t="s">
        <v>149</v>
      </c>
      <c r="N22" s="355">
        <f>IFERROR(VLOOKUP(L8,'Statement of Marks'!$B$7:'Statement of Marks'!$IC$206,152,0),"")</f>
        <v>175</v>
      </c>
      <c r="O22" s="356" t="s">
        <v>135</v>
      </c>
      <c r="P22" s="355" t="str">
        <f>IFERROR(VLOOKUP(L8,'Statement of Marks'!$B$7:'Statement of Marks'!$IC$206,153,0),"")</f>
        <v>A</v>
      </c>
      <c r="Q22" s="1680"/>
      <c r="R22" s="1644" t="str">
        <f>'Statement of Marks'!$DZ$208</f>
        <v>राजस्थान का स्वंत्रता आन्दोलन व शोर्य परम्परा</v>
      </c>
      <c r="S22" s="1645"/>
      <c r="T22" s="1646" t="s">
        <v>149</v>
      </c>
      <c r="U22" s="1647"/>
      <c r="V22" s="355">
        <f>IFERROR(VLOOKUP(AB8,'Statement of Marks'!$B$7:'Statement of Marks'!$IC$206,136,0),"")</f>
        <v>177</v>
      </c>
      <c r="W22" s="356" t="s">
        <v>135</v>
      </c>
      <c r="X22" s="355" t="str">
        <f>IFERROR(VLOOKUP(AB8,'Statement of Marks'!$B$7:'Statement of Marks'!$IC$206,137,0),"")</f>
        <v>A</v>
      </c>
      <c r="Y22" s="1648" t="str">
        <f>'Statement of Marks'!$EL$208</f>
        <v>सूचना प्रोद्योगिकी की अवधारणा - I</v>
      </c>
      <c r="Z22" s="1649"/>
      <c r="AA22" s="1649"/>
      <c r="AB22" s="1650"/>
      <c r="AC22" s="354" t="s">
        <v>149</v>
      </c>
      <c r="AD22" s="355">
        <f>IFERROR(VLOOKUP(AB8,'Statement of Marks'!$B$7:'Statement of Marks'!$IC$206,152,0),"")</f>
        <v>177</v>
      </c>
      <c r="AE22" s="356" t="s">
        <v>135</v>
      </c>
      <c r="AF22" s="355" t="str">
        <f>IFERROR(VLOOKUP(AB8,'Statement of Marks'!$B$7:'Statement of Marks'!$IC$206,153,0),"")</f>
        <v>A</v>
      </c>
      <c r="AV22"/>
      <c r="AW22"/>
      <c r="AX22"/>
      <c r="BA22"/>
      <c r="BB22"/>
      <c r="BC22"/>
    </row>
    <row r="23" spans="1:55" s="351" customFormat="1" ht="25.5" customHeight="1">
      <c r="A23" s="350"/>
      <c r="B23" s="1651" t="str">
        <f>'Statement of Marks'!$FB$208</f>
        <v>स्वा. एवं शा. शिक्षा</v>
      </c>
      <c r="C23" s="1652"/>
      <c r="D23" s="1653" t="s">
        <v>149</v>
      </c>
      <c r="E23" s="1654"/>
      <c r="F23" s="355">
        <f>IFERROR(VLOOKUP(L8,'Statement of Marks'!$B$7:'Statement of Marks'!$IC$206,171,0),"")</f>
        <v>153</v>
      </c>
      <c r="G23" s="356" t="s">
        <v>135</v>
      </c>
      <c r="H23" s="355" t="str">
        <f>IFERROR(VLOOKUP(L8,'Statement of Marks'!$B$7:'Statement of Marks'!$IC$206,172,0),"")</f>
        <v>B</v>
      </c>
      <c r="I23" s="1655" t="str">
        <f>'Statement of Marks'!$FJ$208</f>
        <v>समाजोपयोगी उत्पादन कार्य एवं समाज सेवा</v>
      </c>
      <c r="J23" s="1656"/>
      <c r="K23" s="1656"/>
      <c r="L23" s="1657"/>
      <c r="M23" s="403" t="s">
        <v>149</v>
      </c>
      <c r="N23" s="404">
        <f>IFERROR(VLOOKUP(L8,'Statement of Marks'!$B$7:'Statement of Marks'!$IC$206,179,0),"")</f>
        <v>91</v>
      </c>
      <c r="O23" s="405" t="s">
        <v>135</v>
      </c>
      <c r="P23" s="404" t="str">
        <f>IFERROR(VLOOKUP(L8,'Statement of Marks'!$B$7:'Statement of Marks'!$IC$206,180,0),"")</f>
        <v>A</v>
      </c>
      <c r="Q23" s="1680"/>
      <c r="R23" s="1651" t="str">
        <f>'Statement of Marks'!$FB$208</f>
        <v>स्वा. एवं शा. शिक्षा</v>
      </c>
      <c r="S23" s="1652"/>
      <c r="T23" s="1653" t="s">
        <v>149</v>
      </c>
      <c r="U23" s="1654"/>
      <c r="V23" s="355">
        <f>IFERROR(VLOOKUP(AB8,'Statement of Marks'!$B$7:'Statement of Marks'!$IC$206,171,0),"")</f>
        <v>148</v>
      </c>
      <c r="W23" s="356" t="s">
        <v>135</v>
      </c>
      <c r="X23" s="355" t="str">
        <f>IFERROR(VLOOKUP(AB8,'Statement of Marks'!$B$7:'Statement of Marks'!$IC$206,172,0),"")</f>
        <v>B</v>
      </c>
      <c r="Y23" s="1655" t="str">
        <f>'Statement of Marks'!$FJ$208</f>
        <v>समाजोपयोगी उत्पादन कार्य एवं समाज सेवा</v>
      </c>
      <c r="Z23" s="1656"/>
      <c r="AA23" s="1656"/>
      <c r="AB23" s="1657"/>
      <c r="AC23" s="403" t="s">
        <v>149</v>
      </c>
      <c r="AD23" s="404">
        <f>IFERROR(VLOOKUP(AB8,'Statement of Marks'!$B$7:'Statement of Marks'!$IC$206,179,0),"")</f>
        <v>94</v>
      </c>
      <c r="AE23" s="405" t="s">
        <v>135</v>
      </c>
      <c r="AF23" s="404" t="str">
        <f>IFERROR(VLOOKUP(AB8,'Statement of Marks'!$B$7:'Statement of Marks'!$IC$206,180,0),"")</f>
        <v>A</v>
      </c>
      <c r="AV23"/>
      <c r="AW23"/>
      <c r="AX23"/>
      <c r="BA23"/>
      <c r="BB23"/>
      <c r="BC23"/>
    </row>
    <row r="24" spans="1:55" s="351" customFormat="1" ht="25.5" customHeight="1">
      <c r="A24" s="350"/>
      <c r="B24" s="1658" t="str">
        <f>'Statement of Marks'!$FU$208</f>
        <v>कला शिक्षा</v>
      </c>
      <c r="C24" s="1659"/>
      <c r="D24" s="1660" t="s">
        <v>149</v>
      </c>
      <c r="E24" s="1661"/>
      <c r="F24" s="404">
        <f>IFERROR(VLOOKUP(L8,'Statement of Marks'!$B$7:'Statement of Marks'!$IC$206,187,0),"")</f>
        <v>66</v>
      </c>
      <c r="G24" s="405" t="s">
        <v>135</v>
      </c>
      <c r="H24" s="355" t="str">
        <f>IFERROR(VLOOKUP(L8,'Statement of Marks'!$B$7:'Statement of Marks'!$IC$206,188,0),"")</f>
        <v>B</v>
      </c>
      <c r="I24" s="1662" t="str">
        <f>IF('School Profile'!$D$12="Hindi","परीक्षा परिणाम घोषित दिनांक :-","Date of Result declaration :-")</f>
        <v>परीक्षा परिणाम घोषित दिनांक :-</v>
      </c>
      <c r="J24" s="1663"/>
      <c r="K24" s="1663"/>
      <c r="L24" s="1664"/>
      <c r="M24" s="1625">
        <f>IF(AND(L8=""),"",IF('School Profile'!$D$11="","",'School Profile'!$D$11))</f>
        <v>45793</v>
      </c>
      <c r="N24" s="1626"/>
      <c r="O24" s="690" t="str">
        <f>IF('School Profile'!$D$12="Hindi","श्रेणी","Division")</f>
        <v>श्रेणी</v>
      </c>
      <c r="P24" s="407" t="str">
        <f>IFERROR(VLOOKUP(L8,'Statement of Marks'!$B$7:'Statement of Marks'!$IC$206,229,0),"")</f>
        <v>1st</v>
      </c>
      <c r="Q24" s="1680"/>
      <c r="R24" s="1658" t="str">
        <f>'Statement of Marks'!$FU$208</f>
        <v>कला शिक्षा</v>
      </c>
      <c r="S24" s="1659"/>
      <c r="T24" s="1660" t="s">
        <v>149</v>
      </c>
      <c r="U24" s="1661"/>
      <c r="V24" s="404">
        <f>IFERROR(VLOOKUP(AB8,'Statement of Marks'!$B$7:'Statement of Marks'!$IC$206,187,0),"")</f>
        <v>75</v>
      </c>
      <c r="W24" s="405" t="s">
        <v>135</v>
      </c>
      <c r="X24" s="355" t="str">
        <f>IFERROR(VLOOKUP(AB8,'Statement of Marks'!$B$7:'Statement of Marks'!$IC$206,188,0),"")</f>
        <v>B</v>
      </c>
      <c r="Y24" s="1662" t="str">
        <f>IF('School Profile'!$D$12="Hindi","परीक्षा परिणाम घोषित दिनांक :-","Date of Result declaration :-")</f>
        <v>परीक्षा परिणाम घोषित दिनांक :-</v>
      </c>
      <c r="Z24" s="1663"/>
      <c r="AA24" s="1663"/>
      <c r="AB24" s="1664"/>
      <c r="AC24" s="1625">
        <f>IF(AND(AB8=""),"",IF('School Profile'!$D$11="","",'School Profile'!$D$11))</f>
        <v>45793</v>
      </c>
      <c r="AD24" s="1626"/>
      <c r="AE24" s="690" t="str">
        <f>IF('School Profile'!$D$12="Hindi","श्रेणी","Division")</f>
        <v>श्रेणी</v>
      </c>
      <c r="AF24" s="407" t="str">
        <f>IFERROR(VLOOKUP(AB8,'Statement of Marks'!$B$7:'Statement of Marks'!$IC$206,229,0),"")</f>
        <v>1st</v>
      </c>
      <c r="AV24"/>
      <c r="AW24"/>
      <c r="AX24"/>
      <c r="BA24"/>
      <c r="BB24"/>
      <c r="BC24"/>
    </row>
    <row r="25" spans="1:55" s="351" customFormat="1" ht="30" customHeight="1">
      <c r="A25" s="350"/>
      <c r="B25" s="1627" t="s">
        <v>144</v>
      </c>
      <c r="C25" s="1628"/>
      <c r="D25" s="1629">
        <f>IFERROR(VLOOKUP(L8,'Statement of Marks'!$B$7:'Statement of Marks'!$IC$206,192,0),"")</f>
        <v>200</v>
      </c>
      <c r="E25" s="1630"/>
      <c r="F25" s="1631" t="s">
        <v>76</v>
      </c>
      <c r="G25" s="1632"/>
      <c r="H25" s="406">
        <f>IFERROR(VLOOKUP(L8,'Statement of Marks'!$B$7:'Statement of Marks'!$IC$206,193,0),"")</f>
        <v>192</v>
      </c>
      <c r="I25" s="1633" t="s">
        <v>136</v>
      </c>
      <c r="J25" s="1634"/>
      <c r="K25" s="1635">
        <f>IFERROR(IF(OR(O21="",L8=""),"",VLOOKUP(L8,'Statement of Marks'!$B$7:'Statement of Marks'!$IC$206,230,0)),"")</f>
        <v>73.833333333333329</v>
      </c>
      <c r="L25" s="1636"/>
      <c r="M25" s="1637" t="s">
        <v>145</v>
      </c>
      <c r="N25" s="1638"/>
      <c r="O25" s="1638"/>
      <c r="P25" s="408">
        <f>IFERROR(VLOOKUP(L8,'Statement of Marks'!$B$7:'Statement of Marks'!$IC$206,231,0),"")</f>
        <v>1.0000000000000013</v>
      </c>
      <c r="Q25" s="1680"/>
      <c r="R25" s="1627" t="s">
        <v>144</v>
      </c>
      <c r="S25" s="1628"/>
      <c r="T25" s="1629">
        <f>IFERROR(VLOOKUP(AB8,'Statement of Marks'!$B$7:'Statement of Marks'!$IC$206,192,0),"")</f>
        <v>210</v>
      </c>
      <c r="U25" s="1630"/>
      <c r="V25" s="1631" t="s">
        <v>76</v>
      </c>
      <c r="W25" s="1632"/>
      <c r="X25" s="406">
        <f>IFERROR(VLOOKUP(AB8,'Statement of Marks'!$B$7:'Statement of Marks'!$IC$206,193,0),"")</f>
        <v>202</v>
      </c>
      <c r="Y25" s="1633" t="s">
        <v>136</v>
      </c>
      <c r="Z25" s="1634"/>
      <c r="AA25" s="1635">
        <f>IFERROR(IF(OR(AE21="",AB8=""),"",VLOOKUP(AB8,'Statement of Marks'!$B$7:'Statement of Marks'!$IC$206,230,0)),"")</f>
        <v>71.583333333333329</v>
      </c>
      <c r="AB25" s="1636"/>
      <c r="AC25" s="1637" t="s">
        <v>145</v>
      </c>
      <c r="AD25" s="1638"/>
      <c r="AE25" s="1638"/>
      <c r="AF25" s="408">
        <f>IFERROR(VLOOKUP(AB8,'Statement of Marks'!$B$7:'Statement of Marks'!$IC$206,231,0),"")</f>
        <v>2.0000000000000018</v>
      </c>
      <c r="AV25"/>
      <c r="AW25"/>
      <c r="AX25"/>
      <c r="BA25"/>
      <c r="BB25"/>
      <c r="BC25"/>
    </row>
    <row r="26" spans="1:55" s="351" customFormat="1" ht="25.5" customHeight="1">
      <c r="A26" s="350"/>
      <c r="B26" s="1639" t="str">
        <f>IF('School Profile'!$D$12="Hindi","मुख्य परीक्षा परिणाम ","Main Exam Result")</f>
        <v xml:space="preserve">मुख्य परीक्षा परिणाम </v>
      </c>
      <c r="C26" s="1639"/>
      <c r="D26" s="1640"/>
      <c r="E26" s="1640"/>
      <c r="F26" s="1640"/>
      <c r="G26" s="1640" t="str">
        <f>IF('School Profile'!$D$12="Hindi","विशेष योग्यता प्राप्त विषय","Subjects Of Dictation Marks")</f>
        <v>विशेष योग्यता प्राप्त विषय</v>
      </c>
      <c r="H26" s="1640"/>
      <c r="I26" s="1640"/>
      <c r="J26" s="1640"/>
      <c r="K26" s="1640"/>
      <c r="L26" s="1641" t="str">
        <f>IF('School Profile'!$D$12="Hindi","पूरक विषय","Supplementary Subject")</f>
        <v>पूरक विषय</v>
      </c>
      <c r="M26" s="1642"/>
      <c r="N26" s="1642"/>
      <c r="O26" s="1642"/>
      <c r="P26" s="1643"/>
      <c r="Q26" s="1680"/>
      <c r="R26" s="1639" t="str">
        <f>IF('School Profile'!$D$12="Hindi","मुख्य परीक्षा परिणाम ","Main Exam Result")</f>
        <v xml:space="preserve">मुख्य परीक्षा परिणाम </v>
      </c>
      <c r="S26" s="1639"/>
      <c r="T26" s="1640"/>
      <c r="U26" s="1640"/>
      <c r="V26" s="1640"/>
      <c r="W26" s="1640" t="str">
        <f>IF('School Profile'!$D$12="Hindi","विशेष योग्यता प्राप्त विषय","Subjects Of Dictation Marks")</f>
        <v>विशेष योग्यता प्राप्त विषय</v>
      </c>
      <c r="X26" s="1640"/>
      <c r="Y26" s="1640"/>
      <c r="Z26" s="1640"/>
      <c r="AA26" s="1640"/>
      <c r="AB26" s="1641" t="str">
        <f>IF('School Profile'!$D$12="Hindi","पूरक विषय","Supplementary Subject")</f>
        <v>पूरक विषय</v>
      </c>
      <c r="AC26" s="1642"/>
      <c r="AD26" s="1642"/>
      <c r="AE26" s="1642"/>
      <c r="AF26" s="1643"/>
      <c r="AV26"/>
      <c r="AW26"/>
      <c r="AX26"/>
      <c r="BA26"/>
      <c r="BB26"/>
      <c r="BC26"/>
    </row>
    <row r="27" spans="1:55" s="351" customFormat="1" ht="42.75" customHeight="1">
      <c r="A27" s="350"/>
      <c r="B27" s="1612"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12"/>
      <c r="D27" s="1612"/>
      <c r="E27" s="1612"/>
      <c r="F27" s="1612"/>
      <c r="G27" s="1613" t="str">
        <f>IFERROR(VLOOKUP(L8,'Statement of Marks'!$B$7:'Statement of Marks'!$IC$206,225,0),"")</f>
        <v xml:space="preserve">      व्यावसायिक शिक्षा</v>
      </c>
      <c r="H27" s="1613"/>
      <c r="I27" s="1613"/>
      <c r="J27" s="1613"/>
      <c r="K27" s="1613"/>
      <c r="L27" s="1614" t="str">
        <f>IFERROR(VLOOKUP(L8,'Statement of Marks'!$B$7:'Statement of Marks'!$IC$206,222,0),"")</f>
        <v xml:space="preserve">      </v>
      </c>
      <c r="M27" s="1615"/>
      <c r="N27" s="1615"/>
      <c r="O27" s="1615"/>
      <c r="P27" s="1616"/>
      <c r="Q27" s="1680"/>
      <c r="R27" s="1612"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12"/>
      <c r="T27" s="1612"/>
      <c r="U27" s="1612"/>
      <c r="V27" s="1612"/>
      <c r="W27" s="1613" t="str">
        <f>IFERROR(VLOOKUP(AB8,'Statement of Marks'!$B$7:'Statement of Marks'!$IC$206,225,0),"")</f>
        <v xml:space="preserve"> अंग्रेजी संस्कृत (71)    </v>
      </c>
      <c r="X27" s="1613"/>
      <c r="Y27" s="1613"/>
      <c r="Z27" s="1613"/>
      <c r="AA27" s="1613"/>
      <c r="AB27" s="1614" t="str">
        <f>IFERROR(VLOOKUP(AB8,'Statement of Marks'!$B$7:'Statement of Marks'!$IC$206,222,0),"")</f>
        <v xml:space="preserve">      </v>
      </c>
      <c r="AC27" s="1615"/>
      <c r="AD27" s="1615"/>
      <c r="AE27" s="1615"/>
      <c r="AF27" s="1616"/>
      <c r="AV27"/>
      <c r="AW27"/>
      <c r="AX27"/>
      <c r="BA27"/>
      <c r="BB27"/>
      <c r="BC27"/>
    </row>
    <row r="28" spans="1:55" s="351" customFormat="1" ht="52.5" customHeight="1">
      <c r="A28" s="350"/>
      <c r="B28" s="1621" t="str">
        <f>IF(AND(L8=""),"",CONCATENATE("(",'School Profile'!$D$18," )"))</f>
        <v>(Yogesh )</v>
      </c>
      <c r="C28" s="1621"/>
      <c r="D28" s="1621"/>
      <c r="E28" s="1621"/>
      <c r="F28" s="1621"/>
      <c r="G28" s="1622" t="str">
        <f>IF(AND(L8=""),"",CONCATENATE("( ",'School Profile'!$D$15," )"))</f>
        <v>( Heeralal Jat )</v>
      </c>
      <c r="H28" s="1622"/>
      <c r="I28" s="1622"/>
      <c r="J28" s="1622"/>
      <c r="K28" s="1623" t="str">
        <f>IF(AND(L8=""),"",CONCATENATE("( ",'School Profile'!$D$14," )"))</f>
        <v>( USHA PALIYA )</v>
      </c>
      <c r="L28" s="1623"/>
      <c r="M28" s="1623"/>
      <c r="N28" s="1623"/>
      <c r="O28" s="1623"/>
      <c r="P28" s="1623"/>
      <c r="Q28" s="1680"/>
      <c r="R28" s="1621" t="str">
        <f>IF(AND(AB8=""),"",CONCATENATE("(",'School Profile'!$D$18," )"))</f>
        <v>(Yogesh )</v>
      </c>
      <c r="S28" s="1621"/>
      <c r="T28" s="1621"/>
      <c r="U28" s="1621"/>
      <c r="V28" s="1621"/>
      <c r="W28" s="1622" t="str">
        <f>IF(AND(AB8=""),"",CONCATENATE("( ",'School Profile'!$D$15," )"))</f>
        <v>( Heeralal Jat )</v>
      </c>
      <c r="X28" s="1622"/>
      <c r="Y28" s="1622"/>
      <c r="Z28" s="1622"/>
      <c r="AA28" s="1623" t="str">
        <f>IF(AND(AB8=""),"",CONCATENATE("( ",'School Profile'!$D$14," )"))</f>
        <v>( USHA PALIYA )</v>
      </c>
      <c r="AB28" s="1623"/>
      <c r="AC28" s="1623"/>
      <c r="AD28" s="1623"/>
      <c r="AE28" s="1623"/>
      <c r="AF28" s="1623"/>
      <c r="AV28"/>
      <c r="AW28"/>
      <c r="AX28"/>
      <c r="BA28"/>
      <c r="BB28"/>
      <c r="BC28"/>
    </row>
    <row r="29" spans="1:55" s="351" customFormat="1" ht="24.75" customHeight="1">
      <c r="A29" s="350"/>
      <c r="B29" s="1624" t="str">
        <f>IF('School Profile'!$D$12="Hindi","हस्ताक्षर कक्षाध्यापक","Signature of the class teacher")</f>
        <v>हस्ताक्षर कक्षाध्यापक</v>
      </c>
      <c r="C29" s="1624"/>
      <c r="D29" s="1624"/>
      <c r="E29" s="1624"/>
      <c r="F29" s="1624"/>
      <c r="G29" s="1624" t="str">
        <f>IF('School Profile'!$D$12="Hindi","हस्ताक्षर परीक्षा प्रभारी","Signature of the exam. Incharge")</f>
        <v>हस्ताक्षर परीक्षा प्रभारी</v>
      </c>
      <c r="H29" s="1624"/>
      <c r="I29" s="1624"/>
      <c r="J29" s="1624"/>
      <c r="K29" s="1624" t="str">
        <f>IF('School Profile'!$D$12="Hindi","हस्ताक्षर मय सील मोहर संस्था प्रधान","Signature &amp; Seal of the Head of the Institution")</f>
        <v>हस्ताक्षर मय सील मोहर संस्था प्रधान</v>
      </c>
      <c r="L29" s="1624"/>
      <c r="M29" s="1624"/>
      <c r="N29" s="1624"/>
      <c r="O29" s="1624"/>
      <c r="P29" s="1624"/>
      <c r="Q29" s="1680"/>
      <c r="R29" s="1624" t="str">
        <f>IF('School Profile'!$D$12="Hindi","हस्ताक्षर कक्षाध्यापक","Signature of the class teacher")</f>
        <v>हस्ताक्षर कक्षाध्यापक</v>
      </c>
      <c r="S29" s="1624"/>
      <c r="T29" s="1624"/>
      <c r="U29" s="1624"/>
      <c r="V29" s="1624"/>
      <c r="W29" s="1624" t="str">
        <f>IF('School Profile'!$D$12="Hindi","हस्ताक्षर परीक्षा प्रभारी","Signature of the exam. Incharge")</f>
        <v>हस्ताक्षर परीक्षा प्रभारी</v>
      </c>
      <c r="X29" s="1624"/>
      <c r="Y29" s="1624"/>
      <c r="Z29" s="1624"/>
      <c r="AA29" s="1624" t="str">
        <f>IF('School Profile'!$D$12="Hindi","हस्ताक्षर मय सील मोहर संस्था प्रधान","Signature &amp; Seal of the Head of the Institution")</f>
        <v>हस्ताक्षर मय सील मोहर संस्था प्रधान</v>
      </c>
      <c r="AB29" s="1624"/>
      <c r="AC29" s="1624"/>
      <c r="AD29" s="1624"/>
      <c r="AE29" s="1624"/>
      <c r="AF29" s="1624"/>
      <c r="AV29"/>
      <c r="AW29"/>
      <c r="AX29"/>
      <c r="BA29"/>
      <c r="BB29"/>
      <c r="BC29"/>
    </row>
    <row r="30" spans="1:55" s="351" customFormat="1">
      <c r="A30" s="350"/>
      <c r="AV30"/>
      <c r="AW30"/>
      <c r="AX30"/>
      <c r="BA30"/>
      <c r="BB30"/>
      <c r="BC30"/>
    </row>
    <row r="31" spans="1:55" s="6" customFormat="1" ht="22.5" customHeight="1">
      <c r="A31" s="33">
        <f>IF(L38="","",1)</f>
        <v>1</v>
      </c>
      <c r="B31" s="28"/>
      <c r="C31" s="28"/>
      <c r="D31" s="1553" t="str">
        <f>IF('School Profile'!$D$12="Hindi","वार्षिक रिपोर्ट कार्ड ","Report Card")</f>
        <v xml:space="preserve">वार्षिक रिपोर्ट कार्ड </v>
      </c>
      <c r="E31" s="1553"/>
      <c r="F31" s="1553"/>
      <c r="G31" s="1553"/>
      <c r="H31" s="1553"/>
      <c r="I31" s="1553"/>
      <c r="J31" s="1553"/>
      <c r="K31" s="1553"/>
      <c r="L31" s="1553"/>
      <c r="M31" s="1553"/>
      <c r="N31" s="1553"/>
      <c r="O31" s="349"/>
      <c r="P31" s="349"/>
      <c r="Q31" s="1680" t="s">
        <v>77</v>
      </c>
      <c r="R31" s="28"/>
      <c r="S31" s="28"/>
      <c r="T31" s="1553" t="str">
        <f>IF('School Profile'!$D$12="Hindi","वार्षिक रिपोर्ट कार्ड ","Report Card")</f>
        <v xml:space="preserve">वार्षिक रिपोर्ट कार्ड </v>
      </c>
      <c r="U31" s="1553"/>
      <c r="V31" s="1553"/>
      <c r="W31" s="1553"/>
      <c r="X31" s="1553"/>
      <c r="Y31" s="1553"/>
      <c r="Z31" s="1553"/>
      <c r="AA31" s="1553"/>
      <c r="AB31" s="1553"/>
      <c r="AC31" s="1553"/>
      <c r="AD31" s="1553"/>
      <c r="AE31" s="349"/>
      <c r="AF31" s="349"/>
      <c r="AV31"/>
      <c r="AW31"/>
      <c r="AX31"/>
      <c r="BA31"/>
      <c r="BB31"/>
      <c r="BC31"/>
    </row>
    <row r="32" spans="1:55" s="6" customFormat="1" ht="22.5" customHeight="1">
      <c r="A32" s="33">
        <f>IF(L38="","",A31+1)</f>
        <v>2</v>
      </c>
      <c r="B32" s="28"/>
      <c r="C32" s="28"/>
      <c r="D32" s="1681" t="str">
        <f>IF('School Profile'!$D$12="Hindi","शिक्षा विभाग, राजस्थान सरकार","Education Department, Rajasthan Government")</f>
        <v>शिक्षा विभाग, राजस्थान सरकार</v>
      </c>
      <c r="E32" s="1681"/>
      <c r="F32" s="1681"/>
      <c r="G32" s="1681"/>
      <c r="H32" s="1681"/>
      <c r="I32" s="1681"/>
      <c r="J32" s="1681"/>
      <c r="K32" s="1681"/>
      <c r="L32" s="1681"/>
      <c r="M32" s="1681"/>
      <c r="N32" s="1681"/>
      <c r="O32" s="349"/>
      <c r="P32" s="349"/>
      <c r="Q32" s="1680"/>
      <c r="R32" s="28"/>
      <c r="S32" s="28"/>
      <c r="T32" s="1681" t="str">
        <f>IF('School Profile'!$D$12="Hindi","शिक्षा विभाग, राजस्थान सरकार","Education Department, Rajasthan Government")</f>
        <v>शिक्षा विभाग, राजस्थान सरकार</v>
      </c>
      <c r="U32" s="1681"/>
      <c r="V32" s="1681"/>
      <c r="W32" s="1681"/>
      <c r="X32" s="1681"/>
      <c r="Y32" s="1681"/>
      <c r="Z32" s="1681"/>
      <c r="AA32" s="1681"/>
      <c r="AB32" s="1681"/>
      <c r="AC32" s="1681"/>
      <c r="AD32" s="1681"/>
      <c r="AE32" s="349"/>
      <c r="AF32" s="349"/>
      <c r="AV32"/>
      <c r="AW32"/>
      <c r="AX32"/>
      <c r="BA32"/>
      <c r="BB32"/>
      <c r="BC32"/>
    </row>
    <row r="33" spans="1:55" s="32" customFormat="1" ht="24.95" customHeight="1">
      <c r="A33" s="34">
        <f>IF(L38="","",A32+1)</f>
        <v>3</v>
      </c>
      <c r="B33" s="1555" t="str">
        <f>IF('School Profile'!$D$12="Hindi",CONCATENATE("विद्यालय का नाम :-","  ",'School Profile'!$D$9),CONCATENATE("School Name :-","  ",'School Profile'!$D$8))</f>
        <v xml:space="preserve">विद्यालय का नाम :-  महात्मा गाँधी राजकीय विद्यालय (अंग्रेजी माध्यम) बर, पाली </v>
      </c>
      <c r="C33" s="1555"/>
      <c r="D33" s="1555"/>
      <c r="E33" s="1555"/>
      <c r="F33" s="1555"/>
      <c r="G33" s="1555"/>
      <c r="H33" s="1555"/>
      <c r="I33" s="1555"/>
      <c r="J33" s="1555"/>
      <c r="K33" s="1555"/>
      <c r="L33" s="1555"/>
      <c r="M33" s="1555"/>
      <c r="N33" s="1555"/>
      <c r="O33" s="1555"/>
      <c r="P33" s="1555"/>
      <c r="Q33" s="1680"/>
      <c r="R33" s="1555" t="str">
        <f>IF('School Profile'!$D$12="Hindi",CONCATENATE("विद्यालय का नाम :-","  ",'School Profile'!$D$9),CONCATENATE("School Name :-","  ",'School Profile'!$D$8))</f>
        <v xml:space="preserve">विद्यालय का नाम :-  महात्मा गाँधी राजकीय विद्यालय (अंग्रेजी माध्यम) बर, पाली </v>
      </c>
      <c r="S33" s="1555"/>
      <c r="T33" s="1555"/>
      <c r="U33" s="1555"/>
      <c r="V33" s="1555"/>
      <c r="W33" s="1555"/>
      <c r="X33" s="1555"/>
      <c r="Y33" s="1555"/>
      <c r="Z33" s="1555"/>
      <c r="AA33" s="1555"/>
      <c r="AB33" s="1555"/>
      <c r="AC33" s="1555"/>
      <c r="AD33" s="1555"/>
      <c r="AE33" s="1555"/>
      <c r="AF33" s="1555"/>
      <c r="AV33"/>
      <c r="AW33"/>
      <c r="AX33"/>
      <c r="BA33"/>
      <c r="BB33"/>
      <c r="BC33"/>
    </row>
    <row r="34" spans="1:55" s="32" customFormat="1" ht="24.95" customHeight="1">
      <c r="A34" s="34">
        <f>IF(L38="","",A33+1)</f>
        <v>4</v>
      </c>
      <c r="B34" s="668"/>
      <c r="C34" s="668"/>
      <c r="D34" s="668"/>
      <c r="E34" s="668"/>
      <c r="F34" s="1682"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82"/>
      <c r="H34" s="1682"/>
      <c r="I34" s="1682"/>
      <c r="J34" s="1682"/>
      <c r="K34" s="1682"/>
      <c r="L34" s="1682"/>
      <c r="M34" s="1682"/>
      <c r="N34" s="1682"/>
      <c r="O34" s="1682"/>
      <c r="P34" s="668"/>
      <c r="Q34" s="1680"/>
      <c r="R34" s="668"/>
      <c r="S34" s="668"/>
      <c r="T34" s="668"/>
      <c r="U34" s="668"/>
      <c r="V34" s="1682"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82"/>
      <c r="X34" s="1682"/>
      <c r="Y34" s="1682"/>
      <c r="Z34" s="1682"/>
      <c r="AA34" s="1682"/>
      <c r="AB34" s="1682"/>
      <c r="AC34" s="1682"/>
      <c r="AD34" s="1682"/>
      <c r="AE34" s="1682"/>
      <c r="AF34" s="668"/>
      <c r="AV34"/>
      <c r="AW34"/>
      <c r="AX34"/>
      <c r="AY34" s="6"/>
      <c r="AZ34" s="6"/>
      <c r="BA34"/>
      <c r="BB34"/>
      <c r="BC34"/>
    </row>
    <row r="35" spans="1:55" s="351" customFormat="1" ht="21" customHeight="1">
      <c r="A35" s="33">
        <f>IF(L38="","",A34+1)</f>
        <v>5</v>
      </c>
      <c r="B35" s="681" t="str">
        <f>IF('School Profile'!$D$12="Hindi","कक्षा  :-","CLASS :- ")</f>
        <v>कक्षा  :-</v>
      </c>
      <c r="C35" s="1611" t="str">
        <f>IF('Statement of Marks'!$E$3="","",'Statement of Marks'!$E$3)</f>
        <v>9th</v>
      </c>
      <c r="D35" s="1611"/>
      <c r="E35" s="820" t="str">
        <f>IFERROR(VLOOKUP(L38,'Statement of Marks'!$B$7:'Statement of Marks'!$IC$206,2,0),"")</f>
        <v>A</v>
      </c>
      <c r="F35" s="820"/>
      <c r="G35" s="820"/>
      <c r="H35" s="820"/>
      <c r="I35" s="1683" t="str">
        <f>IF('School Profile'!$D$12="Hindi","प्रवेशांक :","SR. NO. :")</f>
        <v>प्रवेशांक :</v>
      </c>
      <c r="J35" s="1683"/>
      <c r="K35" s="1683"/>
      <c r="L35" s="1684" t="str">
        <f>IFERROR(VLOOKUP(L38,'Statement of Marks'!$B$7:'Statement of Marks'!$IC$206,3,0),"")</f>
        <v/>
      </c>
      <c r="M35" s="1684"/>
      <c r="N35" s="1684"/>
      <c r="O35" s="1684"/>
      <c r="P35" s="414"/>
      <c r="Q35" s="1680"/>
      <c r="R35" s="681" t="str">
        <f>IF('School Profile'!$D$12="Hindi","कक्षा  :-","CLASS :- ")</f>
        <v>कक्षा  :-</v>
      </c>
      <c r="S35" s="1611" t="str">
        <f>IF('Statement of Marks'!$E$3="","",'Statement of Marks'!$E$3)</f>
        <v>9th</v>
      </c>
      <c r="T35" s="1611"/>
      <c r="U35" s="820" t="str">
        <f>IFERROR(VLOOKUP(AB38,'Statement of Marks'!$B$7:'Statement of Marks'!$IC$206,2,0),"")</f>
        <v>A</v>
      </c>
      <c r="V35" s="820"/>
      <c r="W35" s="820"/>
      <c r="X35" s="820"/>
      <c r="Y35" s="1683" t="str">
        <f>IF('School Profile'!$D$12="Hindi","प्रवेशांक :","SR. NO. :")</f>
        <v>प्रवेशांक :</v>
      </c>
      <c r="Z35" s="1683"/>
      <c r="AA35" s="1683"/>
      <c r="AB35" s="1684" t="str">
        <f>IFERROR(VLOOKUP(AB38,'Statement of Marks'!$B$7:'Statement of Marks'!$IC$206,3,0),"")</f>
        <v/>
      </c>
      <c r="AC35" s="1684"/>
      <c r="AD35" s="1684"/>
      <c r="AE35" s="1684"/>
      <c r="AF35" s="414"/>
      <c r="AV35"/>
      <c r="AW35" s="777">
        <f>L36</f>
        <v>41192</v>
      </c>
      <c r="AX35"/>
      <c r="BA35"/>
      <c r="BB35" s="777">
        <f>AB36</f>
        <v>40670</v>
      </c>
      <c r="BC35"/>
    </row>
    <row r="36" spans="1:55" s="351" customFormat="1" ht="21" customHeight="1">
      <c r="A36" s="33">
        <f>IF(L38="","",A35+1)</f>
        <v>6</v>
      </c>
      <c r="B36" s="683" t="str">
        <f>IF('School Profile'!$D$12="Hindi","विद्यार्थी का नाम :-","Student's Name :-")</f>
        <v>विद्यार्थी का नाम :-</v>
      </c>
      <c r="C36" s="1685" t="str">
        <f>IFERROR(VLOOKUP(L38,'Statement of Marks'!$B$7:'Statement of Marks'!$IC$206,5,0),"")</f>
        <v>DINESH</v>
      </c>
      <c r="D36" s="1685"/>
      <c r="E36" s="1685"/>
      <c r="F36" s="1685"/>
      <c r="G36" s="1685"/>
      <c r="H36" s="1685"/>
      <c r="I36" s="1683" t="str">
        <f>IF('School Profile'!$D$12="Hindi","जन्म तिथि :","Date of Birth :")</f>
        <v>जन्म तिथि :</v>
      </c>
      <c r="J36" s="1683"/>
      <c r="K36" s="1683"/>
      <c r="L36" s="1686">
        <f>IFERROR(VLOOKUP(L38,'Statement of Marks'!$B$7:'Statement of Marks'!$IC$206,4,0),"")</f>
        <v>41192</v>
      </c>
      <c r="M36" s="1686"/>
      <c r="N36" s="1686"/>
      <c r="O36" s="1686"/>
      <c r="P36" s="670"/>
      <c r="Q36" s="1680"/>
      <c r="R36" s="683" t="str">
        <f>IF('School Profile'!$D$12="Hindi","विद्यार्थी का नाम :-","Student's Name :-")</f>
        <v>विद्यार्थी का नाम :-</v>
      </c>
      <c r="S36" s="1685" t="str">
        <f>IFERROR(VLOOKUP(AB38,'Statement of Marks'!$B$7:'Statement of Marks'!$IC$206,5,0),"")</f>
        <v>RAMESH</v>
      </c>
      <c r="T36" s="1685"/>
      <c r="U36" s="1685"/>
      <c r="V36" s="1685"/>
      <c r="W36" s="1685"/>
      <c r="X36" s="1685"/>
      <c r="Y36" s="1683" t="str">
        <f>IF('School Profile'!$D$12="Hindi","जन्म तिथि :","Date of Birth :")</f>
        <v>जन्म तिथि :</v>
      </c>
      <c r="Z36" s="1683"/>
      <c r="AA36" s="1683"/>
      <c r="AB36" s="1686">
        <f>IFERROR(VLOOKUP(AB38,'Statement of Marks'!$B$7:'Statement of Marks'!$IC$206,4,0),"")</f>
        <v>40670</v>
      </c>
      <c r="AC36" s="1686"/>
      <c r="AD36" s="1686"/>
      <c r="AE36" s="1686"/>
      <c r="AF36" s="670"/>
      <c r="AV36">
        <f>YEAR(AW35)</f>
        <v>2012</v>
      </c>
      <c r="AW36">
        <f>MONTH(AW35)</f>
        <v>10</v>
      </c>
      <c r="AX36">
        <f>DAY(AW35)</f>
        <v>10</v>
      </c>
      <c r="BA36">
        <f>YEAR(BB35)</f>
        <v>2011</v>
      </c>
      <c r="BB36">
        <f>MONTH(BB35)</f>
        <v>5</v>
      </c>
      <c r="BC36">
        <f>DAY(BB35)</f>
        <v>7</v>
      </c>
    </row>
    <row r="37" spans="1:55" s="351" customFormat="1" ht="21" customHeight="1">
      <c r="A37" s="33">
        <f>IF(L38="","",A36+1)</f>
        <v>7</v>
      </c>
      <c r="B37" s="683" t="str">
        <f>IF('School Profile'!$D$12="Hindi","पिता का नाम :-","Father's Name :-")</f>
        <v>पिता का नाम :-</v>
      </c>
      <c r="C37" s="1685" t="str">
        <f>IFERROR(VLOOKUP(L38,'Statement of Marks'!$B$7:'Statement of Marks'!$IC$206,6,0),"")</f>
        <v/>
      </c>
      <c r="D37" s="1685"/>
      <c r="E37" s="1685"/>
      <c r="F37" s="1685"/>
      <c r="G37" s="1685"/>
      <c r="H37" s="1685"/>
      <c r="I37" s="1683" t="str">
        <f>IF('School Profile'!$D$12="Hindi","जन्मतिथि शब्दों में :-","Date of Birth in Words :-")</f>
        <v>जन्मतिथि शब्दों में :-</v>
      </c>
      <c r="J37" s="1683"/>
      <c r="K37" s="1683"/>
      <c r="L37" s="1685" t="str">
        <f>IFERROR(IF('School Profile'!$D$12="Hindi",AW38,AW40),"")</f>
        <v>दस अक्टूबर दो हजार बारह</v>
      </c>
      <c r="M37" s="1685"/>
      <c r="N37" s="1685"/>
      <c r="O37" s="1685"/>
      <c r="P37" s="670"/>
      <c r="Q37" s="1680"/>
      <c r="R37" s="683" t="str">
        <f>IF('School Profile'!$D$12="Hindi","पिता का नाम :-","Father's Name :-")</f>
        <v>पिता का नाम :-</v>
      </c>
      <c r="S37" s="1685" t="str">
        <f>IFERROR(VLOOKUP(AB38,'Statement of Marks'!$B$7:'Statement of Marks'!$IC$206,6,0),"")</f>
        <v/>
      </c>
      <c r="T37" s="1685"/>
      <c r="U37" s="1685"/>
      <c r="V37" s="1685"/>
      <c r="W37" s="1685"/>
      <c r="X37" s="1685"/>
      <c r="Y37" s="1683" t="str">
        <f>IF('School Profile'!$D$12="Hindi","जन्मतिथि शब्दों में :-","Date of Birth in Words :-")</f>
        <v>जन्मतिथि शब्दों में :-</v>
      </c>
      <c r="Z37" s="1683"/>
      <c r="AA37" s="1683"/>
      <c r="AB37" s="1685" t="str">
        <f>IFERROR(IF('School Profile'!$D$12="Hindi",BB38,BB40),"")</f>
        <v>सात मई दो हजार इग्यारह</v>
      </c>
      <c r="AC37" s="1685"/>
      <c r="AD37" s="1685"/>
      <c r="AE37" s="1685"/>
      <c r="AF37" s="670"/>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इग्यारह",IF(AV36=2012,"दो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इ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इग्यारह",IF(BA36=2012,"दो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इग्यारह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इ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51" customFormat="1" ht="21" customHeight="1">
      <c r="A38" s="33">
        <f>IF(L38="","",A37+1)</f>
        <v>8</v>
      </c>
      <c r="B38" s="681" t="str">
        <f>IF('School Profile'!$D$12="Hindi","माता का नाम :-","Mother's Name :-")</f>
        <v>माता का नाम :-</v>
      </c>
      <c r="C38" s="1685" t="str">
        <f>IFERROR(VLOOKUP(L38,'Statement of Marks'!$B$7:'Statement of Marks'!$IC$206,7,0),"")</f>
        <v/>
      </c>
      <c r="D38" s="1685"/>
      <c r="E38" s="1685"/>
      <c r="F38" s="1685"/>
      <c r="G38" s="1685"/>
      <c r="H38" s="1685"/>
      <c r="I38" s="1683" t="str">
        <f>IF('School Profile'!$D$12="Hindi","रोल नंबर :-","Roll No. :")</f>
        <v>रोल नंबर :-</v>
      </c>
      <c r="J38" s="1683"/>
      <c r="K38" s="1683"/>
      <c r="L38" s="1672">
        <f>IF(AB8="","",IF(AND(AB8+1&gt;$AN$11),"",AB8+1))</f>
        <v>903</v>
      </c>
      <c r="M38" s="1672"/>
      <c r="N38" s="1672"/>
      <c r="Q38" s="1680"/>
      <c r="R38" s="681" t="str">
        <f>IF('School Profile'!$D$12="Hindi","माता का नाम :-","Mother's Name :-")</f>
        <v>माता का नाम :-</v>
      </c>
      <c r="S38" s="1685" t="str">
        <f>IFERROR(VLOOKUP(AB38,'Statement of Marks'!$B$7:'Statement of Marks'!$IC$206,7,0),"")</f>
        <v/>
      </c>
      <c r="T38" s="1685"/>
      <c r="U38" s="1685"/>
      <c r="V38" s="1685"/>
      <c r="W38" s="1685"/>
      <c r="X38" s="1685"/>
      <c r="Y38" s="1683" t="str">
        <f>IF('School Profile'!$D$12="Hindi","रोल नंबर :-","Roll No. :")</f>
        <v>रोल नंबर :-</v>
      </c>
      <c r="Z38" s="1683"/>
      <c r="AA38" s="1683"/>
      <c r="AB38" s="1672">
        <f>IF(L38="","",IF(AND(L38+1&gt;$AN$11),"",L38+1))</f>
        <v>904</v>
      </c>
      <c r="AC38" s="1672"/>
      <c r="AD38" s="1672"/>
      <c r="AV38"/>
      <c r="AW38" t="str">
        <f>CONCATENATE(AX37," ",AW37," ",AV37)</f>
        <v>दस अक्टूबर दो हजार बारह</v>
      </c>
      <c r="AX38"/>
      <c r="BA38"/>
      <c r="BB38" t="str">
        <f>CONCATENATE(BC37," ",BB37," ",BA37)</f>
        <v>सात मई दो हजार इग्यारह</v>
      </c>
      <c r="BC38"/>
    </row>
    <row r="39" spans="1:55" s="351" customFormat="1" ht="9.75" customHeight="1">
      <c r="A39" s="33">
        <f>IF(L38="","",A38+1)</f>
        <v>9</v>
      </c>
      <c r="B39" s="1673"/>
      <c r="C39" s="1673"/>
      <c r="D39" s="1673"/>
      <c r="E39" s="1673"/>
      <c r="F39" s="1673"/>
      <c r="G39" s="1673"/>
      <c r="H39" s="1673"/>
      <c r="I39" s="1673"/>
      <c r="J39" s="1673"/>
      <c r="K39" s="1673"/>
      <c r="L39" s="1673"/>
      <c r="M39" s="1673"/>
      <c r="N39" s="1673"/>
      <c r="O39" s="1673"/>
      <c r="P39" s="401"/>
      <c r="Q39" s="1680"/>
      <c r="R39" s="1673"/>
      <c r="S39" s="1673"/>
      <c r="T39" s="1673"/>
      <c r="U39" s="1673"/>
      <c r="V39" s="1673"/>
      <c r="W39" s="1673"/>
      <c r="X39" s="1673"/>
      <c r="Y39" s="1673"/>
      <c r="Z39" s="1673"/>
      <c r="AA39" s="1673"/>
      <c r="AB39" s="1673"/>
      <c r="AC39" s="1673"/>
      <c r="AD39" s="1673"/>
      <c r="AE39" s="1673"/>
      <c r="AF39" s="401"/>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51" customFormat="1" ht="26.25" customHeight="1">
      <c r="A40" s="33">
        <f>IF(L38="","",A39+1)</f>
        <v>10</v>
      </c>
      <c r="B40" s="1619" t="str">
        <f>IF('School Profile'!$D$12="Hindi","विषय का नाम","Subject Name")</f>
        <v>विषय का नाम</v>
      </c>
      <c r="C40" s="1620"/>
      <c r="D40" s="1678" t="str">
        <f>IF('School Profile'!$D$12="Hindi","सामयिक परख","Seasonal Exam")</f>
        <v>सामयिक परख</v>
      </c>
      <c r="E40" s="1678"/>
      <c r="F40" s="1678"/>
      <c r="G40" s="1678"/>
      <c r="H40" s="1678" t="str">
        <f>IF('School Profile'!$D$12="Hindi","अर्द्धवार्षिक","Half Yearly")</f>
        <v>अर्द्धवार्षिक</v>
      </c>
      <c r="I40" s="1678"/>
      <c r="J40" s="1678"/>
      <c r="K40" s="1582" t="str">
        <f>IF('School Profile'!$D$12="Hindi","अर्द्ध वा. तक योग","Total Till H.Y.")</f>
        <v>अर्द्ध वा. तक योग</v>
      </c>
      <c r="L40" s="1678" t="str">
        <f>IF('School Profile'!$D$12="Hindi","वार्षिक","Yearly")</f>
        <v>वार्षिक</v>
      </c>
      <c r="M40" s="1678"/>
      <c r="N40" s="1678"/>
      <c r="O40" s="1577" t="str">
        <f>IF('School Profile'!$D$12="Hindi","विषय कुल योग ","Subject Total")</f>
        <v xml:space="preserve">विषय कुल योग </v>
      </c>
      <c r="P40" s="1679" t="str">
        <f>IF('School Profile'!$D$12="Hindi","विषय परिणाम / विषय श्रेणी","Sub. Result /  Sub. Div.")</f>
        <v>विषय परिणाम / विषय श्रेणी</v>
      </c>
      <c r="Q40" s="1680"/>
      <c r="R40" s="1619" t="str">
        <f>IF('School Profile'!$D$12="Hindi","विषय का नाम","Subject Name")</f>
        <v>विषय का नाम</v>
      </c>
      <c r="S40" s="1620"/>
      <c r="T40" s="1678" t="str">
        <f>IF('School Profile'!$D$12="Hindi","सामयिक परख","Seasonal Exam")</f>
        <v>सामयिक परख</v>
      </c>
      <c r="U40" s="1678"/>
      <c r="V40" s="1678"/>
      <c r="W40" s="1678"/>
      <c r="X40" s="1678" t="str">
        <f>IF('School Profile'!$D$12="Hindi","अर्द्धवार्षिक","Half Yearly")</f>
        <v>अर्द्धवार्षिक</v>
      </c>
      <c r="Y40" s="1678"/>
      <c r="Z40" s="1678"/>
      <c r="AA40" s="1582" t="str">
        <f>IF('School Profile'!$D$12="Hindi","अर्द्ध वा. तक योग","Total Till H.Y.")</f>
        <v>अर्द्ध वा. तक योग</v>
      </c>
      <c r="AB40" s="1678" t="str">
        <f>IF('School Profile'!$D$12="Hindi","वार्षिक","Yearly")</f>
        <v>वार्षिक</v>
      </c>
      <c r="AC40" s="1678"/>
      <c r="AD40" s="1678"/>
      <c r="AE40" s="1577" t="str">
        <f>IF('School Profile'!$D$12="Hindi","विषय कुल योग ","Subject Total")</f>
        <v xml:space="preserve">विषय कुल योग </v>
      </c>
      <c r="AF40" s="1679"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51" customFormat="1" ht="78.75" customHeight="1">
      <c r="A41" s="33">
        <f>IF(L38="","",A40+1)</f>
        <v>11</v>
      </c>
      <c r="B41" s="1674"/>
      <c r="C41" s="1675"/>
      <c r="D41" s="656" t="str">
        <f>IF('School Profile'!$D$12="Hindi","प्रथम परख ","First Test")</f>
        <v xml:space="preserve">प्रथम परख </v>
      </c>
      <c r="E41" s="656" t="str">
        <f>IF('School Profile'!$D$12="Hindi","द्वितीय परख","Second Test")</f>
        <v>द्वितीय परख</v>
      </c>
      <c r="F41" s="656" t="str">
        <f>IF('School Profile'!$D$12="Hindi","तृतीय परख","Third Test")</f>
        <v>तृतीय परख</v>
      </c>
      <c r="G41" s="657" t="str">
        <f>IF('School Profile'!$D$12="Hindi","सा. परख योग","Test Total")</f>
        <v>सा. परख योग</v>
      </c>
      <c r="H41" s="658" t="str">
        <f>IF('School Profile'!$D$12="Hindi","सैद्धान्तिक","Theoretical")</f>
        <v>सैद्धान्तिक</v>
      </c>
      <c r="I41" s="658" t="str">
        <f>IF('School Profile'!$D$12="Hindi","प्रायोगिक","Practical")</f>
        <v>प्रायोगिक</v>
      </c>
      <c r="J41" s="659" t="str">
        <f>IF('School Profile'!$D$12="Hindi","अर्द्धवार्षिक योग","H.Y.  Total")</f>
        <v>अर्द्धवार्षिक योग</v>
      </c>
      <c r="K41" s="1582"/>
      <c r="L41" s="658" t="str">
        <f>IF('School Profile'!$D$12="Hindi","सैद्धान्तिक","Theoretical")</f>
        <v>सैद्धान्तिक</v>
      </c>
      <c r="M41" s="658" t="str">
        <f>IF('School Profile'!$D$12="Hindi","प्रायोगिक","Practical")</f>
        <v>प्रायोगिक</v>
      </c>
      <c r="N41" s="659" t="str">
        <f>IF('School Profile'!$D$12="Hindi","वार्षिक योग","Yearly  Total")</f>
        <v>वार्षिक योग</v>
      </c>
      <c r="O41" s="1577"/>
      <c r="P41" s="1579"/>
      <c r="Q41" s="1680"/>
      <c r="R41" s="1674"/>
      <c r="S41" s="1675"/>
      <c r="T41" s="656" t="str">
        <f>IF('School Profile'!$D$12="Hindi","प्रथम परख ","First Test")</f>
        <v xml:space="preserve">प्रथम परख </v>
      </c>
      <c r="U41" s="656" t="str">
        <f>IF('School Profile'!$D$12="Hindi","द्वितीय परख","Second Test")</f>
        <v>द्वितीय परख</v>
      </c>
      <c r="V41" s="656" t="str">
        <f>IF('School Profile'!$D$12="Hindi","तृतीय परख","Third Test")</f>
        <v>तृतीय परख</v>
      </c>
      <c r="W41" s="657" t="str">
        <f>IF('School Profile'!$D$12="Hindi","सा. परख योग","Test Total")</f>
        <v>सा. परख योग</v>
      </c>
      <c r="X41" s="658" t="str">
        <f>IF('School Profile'!$D$12="Hindi","सैद्धान्तिक","Theoretical")</f>
        <v>सैद्धान्तिक</v>
      </c>
      <c r="Y41" s="658" t="str">
        <f>IF('School Profile'!$D$12="Hindi","प्रायोगिक","Practical")</f>
        <v>प्रायोगिक</v>
      </c>
      <c r="Z41" s="659" t="str">
        <f>IF('School Profile'!$D$12="Hindi","अर्द्धवार्षिक योग","H.Y.  Total")</f>
        <v>अर्द्धवार्षिक योग</v>
      </c>
      <c r="AA41" s="1582"/>
      <c r="AB41" s="658" t="str">
        <f>IF('School Profile'!$D$12="Hindi","सैद्धान्तिक","Theoretical")</f>
        <v>सैद्धान्तिक</v>
      </c>
      <c r="AC41" s="658" t="str">
        <f>IF('School Profile'!$D$12="Hindi","प्रायोगिक","Practical")</f>
        <v>प्रायोगिक</v>
      </c>
      <c r="AD41" s="659" t="str">
        <f>IF('School Profile'!$D$12="Hindi","वार्षिक योग","Yearly  Total")</f>
        <v>वार्षिक योग</v>
      </c>
      <c r="AE41" s="1577"/>
      <c r="AF41" s="1579"/>
      <c r="AV41"/>
      <c r="AW41"/>
      <c r="AX41"/>
      <c r="BA41"/>
      <c r="BB41"/>
      <c r="BC41"/>
    </row>
    <row r="42" spans="1:55" s="353" customFormat="1" ht="21" customHeight="1">
      <c r="A42" s="33">
        <f>IF(L38="","",A41+1)</f>
        <v>12</v>
      </c>
      <c r="B42" s="1676"/>
      <c r="C42" s="1677"/>
      <c r="D42" s="663">
        <v>10</v>
      </c>
      <c r="E42" s="663">
        <v>10</v>
      </c>
      <c r="F42" s="663">
        <v>10</v>
      </c>
      <c r="G42" s="663">
        <v>30</v>
      </c>
      <c r="H42" s="665" t="s">
        <v>252</v>
      </c>
      <c r="I42" s="661">
        <v>35</v>
      </c>
      <c r="J42" s="660">
        <v>70</v>
      </c>
      <c r="K42" s="661">
        <v>100</v>
      </c>
      <c r="L42" s="664" t="s">
        <v>253</v>
      </c>
      <c r="M42" s="663">
        <v>50</v>
      </c>
      <c r="N42" s="660">
        <v>100</v>
      </c>
      <c r="O42" s="662">
        <v>200</v>
      </c>
      <c r="P42" s="1580"/>
      <c r="Q42" s="1680"/>
      <c r="R42" s="1676"/>
      <c r="S42" s="1677"/>
      <c r="T42" s="663">
        <v>10</v>
      </c>
      <c r="U42" s="663">
        <v>10</v>
      </c>
      <c r="V42" s="663">
        <v>10</v>
      </c>
      <c r="W42" s="663">
        <v>30</v>
      </c>
      <c r="X42" s="665" t="s">
        <v>252</v>
      </c>
      <c r="Y42" s="661">
        <v>35</v>
      </c>
      <c r="Z42" s="660">
        <v>70</v>
      </c>
      <c r="AA42" s="661">
        <v>100</v>
      </c>
      <c r="AB42" s="664" t="s">
        <v>253</v>
      </c>
      <c r="AC42" s="663">
        <v>50</v>
      </c>
      <c r="AD42" s="660">
        <v>100</v>
      </c>
      <c r="AE42" s="662">
        <v>200</v>
      </c>
      <c r="AF42" s="1580"/>
      <c r="AV42"/>
      <c r="AW42"/>
      <c r="AX42"/>
      <c r="BA42"/>
      <c r="BB42"/>
      <c r="BC42"/>
    </row>
    <row r="43" spans="1:55" s="351" customFormat="1" ht="22.5" customHeight="1">
      <c r="A43" s="33">
        <f>IF(L38="","",A42+1)</f>
        <v>13</v>
      </c>
      <c r="B43" s="1617" t="str">
        <f>'Statement of Marks'!$K$3</f>
        <v>हिंदी</v>
      </c>
      <c r="C43" s="1618"/>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7">
        <f>IF(L38="","",IF(AND(H43="",I43=""),"",SUM(H43,I43)))</f>
        <v>46</v>
      </c>
      <c r="K43" s="679">
        <f>IFERROR(IF(L38="","",IF(AND(G43="",J43=""),"",SUM(G43,J43))),"")</f>
        <v>70</v>
      </c>
      <c r="L43" s="26">
        <f>IFERROR(VLOOKUP(L38,'Statement of Marks'!$B$7:'Statement of Marks'!$IC$206,16,0),"")</f>
        <v>13</v>
      </c>
      <c r="M43" s="26"/>
      <c r="N43" s="347">
        <f>IF(L38="","",IF(AND(L43="",M43=""),"",SUM(L43,M43)))</f>
        <v>13</v>
      </c>
      <c r="O43" s="674">
        <f>IFERROR(VLOOKUP(L38,'Statement of Marks'!$B$7:'Statement of Marks'!$IC$206,17,0),"")</f>
        <v>83</v>
      </c>
      <c r="P43" s="680" t="str">
        <f>IFERROR(IF(O43="","",IF(VLOOKUP(L38,'Statement of Marks'!$B$7:'Statement of Marks'!$IC$206,195,0)="D","I",IF(VLOOKUP(L38,'Statement of Marks'!$B$7:'Statement of Marks'!$IC$206,195,0)="G1","G",IF(VLOOKUP(L38,'Statement of Marks'!$B$7:'Statement of Marks'!$IC$206,195,0)="G2","G",VLOOKUP(L38,'Statement of Marks'!$B$7:'Statement of Marks'!$IC$206,195,0))))),"")</f>
        <v>F</v>
      </c>
      <c r="Q43" s="1680"/>
      <c r="R43" s="1617" t="str">
        <f>'Statement of Marks'!$K$3</f>
        <v>हिंदी</v>
      </c>
      <c r="S43" s="1618"/>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7">
        <f>IF(AB38="","",IF(AND(X43="",Y43=""),"",SUM(X43,Y43)))</f>
        <v>46</v>
      </c>
      <c r="AA43" s="679">
        <f>IFERROR(IF(AB38="","",IF(AND(W43="",Z43=""),"",SUM(W43,Z43))),"")</f>
        <v>59</v>
      </c>
      <c r="AB43" s="26">
        <f>IFERROR(VLOOKUP(AB38,'Statement of Marks'!$B$7:'Statement of Marks'!$IC$206,16,0),"")</f>
        <v>65</v>
      </c>
      <c r="AC43" s="26"/>
      <c r="AD43" s="347">
        <f>IF(AB38="","",IF(AND(AB43="",AC43=""),"",SUM(AB43,AC43)))</f>
        <v>65</v>
      </c>
      <c r="AE43" s="674">
        <f>IFERROR(VLOOKUP(AB38,'Statement of Marks'!$B$7:'Statement of Marks'!$IC$206,17,0),"")</f>
        <v>124</v>
      </c>
      <c r="AF43" s="680"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51" customFormat="1" ht="22.5" customHeight="1">
      <c r="A44" s="33">
        <f>IF(L38="","",A43+1)</f>
        <v>14</v>
      </c>
      <c r="B44" s="1617" t="str">
        <f>'Statement of Marks'!$Y$3</f>
        <v>अंग्रेजी</v>
      </c>
      <c r="C44" s="1618"/>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7">
        <f>IF(L38="","",IF(AND(H44="",I44=""),"",SUM(H44,I44)))</f>
        <v>65</v>
      </c>
      <c r="K44" s="679">
        <f>IFERROR(IF(L38="","",IF(AND(G44="",J44=""),"",SUM(G44,J44))),"")</f>
        <v>92</v>
      </c>
      <c r="L44" s="26">
        <f>IFERROR(VLOOKUP(L38,'Statement of Marks'!$B$7:'Statement of Marks'!$IC$206,30,0),"")</f>
        <v>95</v>
      </c>
      <c r="M44" s="26"/>
      <c r="N44" s="347">
        <f>IF(L38="","",IF(AND(L44="",M44=""),"",SUM(L44,M44)))</f>
        <v>95</v>
      </c>
      <c r="O44" s="674">
        <f>IFERROR(VLOOKUP(L38,'Statement of Marks'!$B$7:'Statement of Marks'!$IC$206,31,0),"")</f>
        <v>187</v>
      </c>
      <c r="P44" s="680" t="str">
        <f>IFERROR(IF(O43="","",IF(VLOOKUP(L38,'Statement of Marks'!$B$7:'Statement of Marks'!$IC$206,198,0)="D","I",IF(VLOOKUP(L38,'Statement of Marks'!$B$7:'Statement of Marks'!$IC$206,198,0)="G1","G",IF(VLOOKUP(L38,'Statement of Marks'!$B$7:'Statement of Marks'!$IC$206,198,0)="G2","G",VLOOKUP(L38,'Statement of Marks'!$B$7:'Statement of Marks'!$IC$206,198,0))))),"")</f>
        <v>I</v>
      </c>
      <c r="Q44" s="1680"/>
      <c r="R44" s="1617" t="str">
        <f>'Statement of Marks'!$Y$3</f>
        <v>अंग्रेजी</v>
      </c>
      <c r="S44" s="1618"/>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7">
        <f>IF(AB38="","",IF(AND(X44="",Y44=""),"",SUM(X44,Y44)))</f>
        <v>30</v>
      </c>
      <c r="AA44" s="679">
        <f>IFERROR(IF(AB38="","",IF(AND(W44="",Z44=""),"",SUM(W44,Z44))),"")</f>
        <v>57</v>
      </c>
      <c r="AB44" s="26">
        <f>IFERROR(VLOOKUP(AB38,'Statement of Marks'!$B$7:'Statement of Marks'!$IC$206,30,0),"")</f>
        <v>95</v>
      </c>
      <c r="AC44" s="26"/>
      <c r="AD44" s="347">
        <f>IF(AB38="","",IF(AND(AB44="",AC44=""),"",SUM(AB44,AC44)))</f>
        <v>95</v>
      </c>
      <c r="AE44" s="674">
        <f>IFERROR(VLOOKUP(AB38,'Statement of Marks'!$B$7:'Statement of Marks'!$IC$206,31,0),"")</f>
        <v>152</v>
      </c>
      <c r="AF44" s="680"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51" customFormat="1" ht="22.5" customHeight="1">
      <c r="A45" s="33">
        <f>IF(L38="","",A44+1)</f>
        <v>15</v>
      </c>
      <c r="B45" s="1617" t="str">
        <f>IFERROR(VLOOKUP(L38,'Statement of Marks'!$B$7:'Statement of Marks'!$IC$206,38,0),"")</f>
        <v>संस्कृत (71)</v>
      </c>
      <c r="C45" s="1618"/>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7">
        <f>IF(L38="","",IF(AND(H45="",I45=""),"",SUM(H45,I45)))</f>
        <v>46</v>
      </c>
      <c r="K45" s="679">
        <f>IFERROR(IF(L38="","",IF(AND(G45="",J45=""),"",SUM(G45,J45))),"")</f>
        <v>72</v>
      </c>
      <c r="L45" s="26">
        <f>IFERROR(VLOOKUP(L38,'Statement of Marks'!$B$7:'Statement of Marks'!$IC$206,45,0),"")</f>
        <v>45</v>
      </c>
      <c r="M45" s="26"/>
      <c r="N45" s="347">
        <f>IF(L38="","",IF(AND(L45="",M45=""),"",SUM(L45,M45)))</f>
        <v>45</v>
      </c>
      <c r="O45" s="674">
        <f>IFERROR(VLOOKUP(L38,'Statement of Marks'!$B$7:'Statement of Marks'!$IC$206,46,0),"")</f>
        <v>117</v>
      </c>
      <c r="P45" s="680"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80"/>
      <c r="R45" s="1617" t="str">
        <f>IFERROR(VLOOKUP(AB38,'Statement of Marks'!$B$7:'Statement of Marks'!$IC$206,38,0),"")</f>
        <v>संस्कृत (71)</v>
      </c>
      <c r="S45" s="1618"/>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7">
        <f>IF(AB38="","",IF(AND(X45="",Y45=""),"",SUM(X45,Y45)))</f>
        <v>46</v>
      </c>
      <c r="AA45" s="679">
        <f>IFERROR(IF(AB38="","",IF(AND(W45="",Z45=""),"",SUM(W45,Z45))),"")</f>
        <v>72</v>
      </c>
      <c r="AB45" s="26">
        <f>IFERROR(VLOOKUP(AB38,'Statement of Marks'!$B$7:'Statement of Marks'!$IC$206,45,0),"")</f>
        <v>45</v>
      </c>
      <c r="AC45" s="26"/>
      <c r="AD45" s="347">
        <f>IF(AB38="","",IF(AND(AB45="",AC45=""),"",SUM(AB45,AC45)))</f>
        <v>45</v>
      </c>
      <c r="AE45" s="674">
        <f>IFERROR(VLOOKUP(AB38,'Statement of Marks'!$B$7:'Statement of Marks'!$IC$206,46,0),"")</f>
        <v>117</v>
      </c>
      <c r="AF45" s="680"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51" customFormat="1" ht="22.5" customHeight="1">
      <c r="A46" s="33">
        <f>IF(L38="","",A45+1)</f>
        <v>16</v>
      </c>
      <c r="B46" s="1617" t="str">
        <f>'Statement of Marks'!$BB$3</f>
        <v>गणित</v>
      </c>
      <c r="C46" s="1618"/>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7">
        <f>IF(L38="","",IF(AND(H46="",I46=""),"",SUM(H46,I46)))</f>
        <v>68</v>
      </c>
      <c r="K46" s="679">
        <f>IFERROR(IF(L38="","",IF(AND(G46="",J46=""),"",SUM(G46,J46))),"")</f>
        <v>93</v>
      </c>
      <c r="L46" s="26">
        <f>IFERROR(VLOOKUP(L38,'Statement of Marks'!$B$7:'Statement of Marks'!$IC$206,59,0),"")</f>
        <v>95</v>
      </c>
      <c r="M46" s="26"/>
      <c r="N46" s="347">
        <f>IF(L38="","",IF(AND(L46="",M46=""),"",SUM(L46,M46)))</f>
        <v>95</v>
      </c>
      <c r="O46" s="674">
        <f>IFERROR(VLOOKUP(L38,'Statement of Marks'!$B$7:'Statement of Marks'!$IC$206,60,0),"")</f>
        <v>188</v>
      </c>
      <c r="P46" s="680" t="str">
        <f>IFERROR(IF(O43="","",IF(VLOOKUP(L38,'Statement of Marks'!$B$7:'Statement of Marks'!$IC$206,209,0)="D","I",IF(VLOOKUP(L38,'Statement of Marks'!$B$7:'Statement of Marks'!$IC$206,209,0)="G1","G",IF(VLOOKUP(L38,'Statement of Marks'!$B$7:'Statement of Marks'!$IC$206,209,0)="G2","G",VLOOKUP(L38,'Statement of Marks'!$B$7:'Statement of Marks'!$IC$206,209,0))))),"")</f>
        <v>I</v>
      </c>
      <c r="Q46" s="1680"/>
      <c r="R46" s="1617" t="str">
        <f>'Statement of Marks'!$BB$3</f>
        <v>गणित</v>
      </c>
      <c r="S46" s="1618"/>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7">
        <f>IF(AB38="","",IF(AND(X46="",Y46=""),"",SUM(X46,Y46)))</f>
        <v>12</v>
      </c>
      <c r="AA46" s="679">
        <f>IFERROR(IF(AB38="","",IF(AND(W46="",Z46=""),"",SUM(W46,Z46))),"")</f>
        <v>37</v>
      </c>
      <c r="AB46" s="26">
        <f>IFERROR(VLOOKUP(AB38,'Statement of Marks'!$B$7:'Statement of Marks'!$IC$206,59,0),"")</f>
        <v>34</v>
      </c>
      <c r="AC46" s="26"/>
      <c r="AD46" s="347">
        <f>IF(AB38="","",IF(AND(AB46="",AC46=""),"",SUM(AB46,AC46)))</f>
        <v>34</v>
      </c>
      <c r="AE46" s="674">
        <f>IFERROR(VLOOKUP(AB38,'Statement of Marks'!$B$7:'Statement of Marks'!$IC$206,60,0),"")</f>
        <v>71</v>
      </c>
      <c r="AF46" s="680"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51" customFormat="1" ht="22.5" customHeight="1">
      <c r="A47" s="33">
        <f>IF(L38="","",A46+1)</f>
        <v>17</v>
      </c>
      <c r="B47" s="1619" t="str">
        <f>'Statement of Marks'!$BP$3</f>
        <v>विज्ञान</v>
      </c>
      <c r="C47" s="1620"/>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7">
        <f>IF(L38="","",IF(AND(H47="",I47=""),"",SUM(H47,I47)))</f>
        <v>46</v>
      </c>
      <c r="K47" s="679">
        <f>IFERROR(IF(L38="","",IF(AND(G47="",J47=""),"",SUM(G47,J47))),"")</f>
        <v>71</v>
      </c>
      <c r="L47" s="26">
        <f>IFERROR(VLOOKUP(L38,'Statement of Marks'!$B$7:'Statement of Marks'!$IC$206,73,0),"")</f>
        <v>45</v>
      </c>
      <c r="M47" s="26"/>
      <c r="N47" s="347">
        <f>IF(L38="","",IF(AND(L47="",M47=""),"",SUM(L47,M47)))</f>
        <v>45</v>
      </c>
      <c r="O47" s="674">
        <f>IFERROR(VLOOKUP(L38,'Statement of Marks'!$B$7:'Statement of Marks'!$IC$206,74,0),"")</f>
        <v>116</v>
      </c>
      <c r="P47" s="680"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80"/>
      <c r="R47" s="1619" t="str">
        <f>'Statement of Marks'!$BP$3</f>
        <v>विज्ञान</v>
      </c>
      <c r="S47" s="1620"/>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7">
        <f>IF(AB38="","",IF(AND(X47="",Y47=""),"",SUM(X47,Y47)))</f>
        <v>46</v>
      </c>
      <c r="AA47" s="679">
        <f>IFERROR(IF(AB38="","",IF(AND(W47="",Z47=""),"",SUM(W47,Z47))),"")</f>
        <v>72</v>
      </c>
      <c r="AB47" s="26">
        <f>IFERROR(VLOOKUP(AB38,'Statement of Marks'!$B$7:'Statement of Marks'!$IC$206,73,0),"")</f>
        <v>45</v>
      </c>
      <c r="AC47" s="26"/>
      <c r="AD47" s="347">
        <f>IF(AB38="","",IF(AND(AB47="",AC47=""),"",SUM(AB47,AC47)))</f>
        <v>45</v>
      </c>
      <c r="AE47" s="674">
        <f>IFERROR(VLOOKUP(AB38,'Statement of Marks'!$B$7:'Statement of Marks'!$IC$206,74,0),"")</f>
        <v>117</v>
      </c>
      <c r="AF47" s="680"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51" customFormat="1" ht="22.5" customHeight="1">
      <c r="A48" s="33">
        <f>IF(L38="","",A47+1)</f>
        <v>18</v>
      </c>
      <c r="B48" s="409" t="str">
        <f>'Statement of Marks'!$CE$3</f>
        <v>सामाजिक विज्ञान</v>
      </c>
      <c r="C48" s="412"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7">
        <f>IF(L38="","",IF(AND(H48="",I48=""),"",SUM(H48,I48)))</f>
        <v>46</v>
      </c>
      <c r="K48" s="679">
        <f>IFERROR(IF(L38="","",IF(AND(G48="",J48=""),"",SUM(G48,J48))),"")</f>
        <v>70</v>
      </c>
      <c r="L48" s="26">
        <f>IFERROR(VLOOKUP(L38,'Statement of Marks'!$B$7:'Statement of Marks'!$IC$206,88,0),"")</f>
        <v>45</v>
      </c>
      <c r="M48" s="26"/>
      <c r="N48" s="347">
        <f>IF(L38="","",IF(AND(L48="",M48=""),"",SUM(L48,M48)))</f>
        <v>45</v>
      </c>
      <c r="O48" s="674">
        <f>IFERROR(VLOOKUP(L38,'Statement of Marks'!$B$7:'Statement of Marks'!$IC$206,89,0),"")</f>
        <v>115</v>
      </c>
      <c r="P48" s="680"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80"/>
      <c r="R48" s="409" t="str">
        <f>'Statement of Marks'!$CE$3</f>
        <v>सामाजिक विज्ञान</v>
      </c>
      <c r="S48" s="412"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7">
        <f>IF(AB38="","",IF(AND(X48="",Y48=""),"",SUM(X48,Y48)))</f>
        <v>46</v>
      </c>
      <c r="AA48" s="679">
        <f>IFERROR(IF(AB38="","",IF(AND(W48="",Z48=""),"",SUM(W48,Z48))),"")</f>
        <v>67</v>
      </c>
      <c r="AB48" s="26">
        <f>IFERROR(VLOOKUP(AB38,'Statement of Marks'!$B$7:'Statement of Marks'!$IC$206,88,0),"")</f>
        <v>45</v>
      </c>
      <c r="AC48" s="26"/>
      <c r="AD48" s="347">
        <f>IF(AB38="","",IF(AND(AB48="",AC48=""),"",SUM(AB48,AC48)))</f>
        <v>45</v>
      </c>
      <c r="AE48" s="674">
        <f>IFERROR(VLOOKUP(AB38,'Statement of Marks'!$B$7:'Statement of Marks'!$IC$206,89,0),"")</f>
        <v>112</v>
      </c>
      <c r="AF48" s="680"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51" customFormat="1">
      <c r="A49" s="33">
        <f>IF(L38="","",A48+1)</f>
        <v>19</v>
      </c>
      <c r="B49" s="1687" t="str">
        <f>IF('School Profile'!$D$12="Hindi","व्यावसायिक शिक्षा","Vocational Education")</f>
        <v>व्यावसायिक शिक्षा</v>
      </c>
      <c r="C49" s="1688"/>
      <c r="D49" s="1689"/>
      <c r="E49" s="1689"/>
      <c r="F49" s="1689"/>
      <c r="G49" s="1689"/>
      <c r="H49" s="1689"/>
      <c r="I49" s="1689"/>
      <c r="J49" s="1689"/>
      <c r="K49" s="1689"/>
      <c r="L49" s="1689"/>
      <c r="M49" s="1689"/>
      <c r="N49" s="1689"/>
      <c r="O49" s="1689"/>
      <c r="P49" s="1690"/>
      <c r="Q49" s="1680"/>
      <c r="R49" s="1687" t="str">
        <f>IF('School Profile'!$D$12="Hindi","व्यावसायिक शिक्षा","Vocational Education")</f>
        <v>व्यावसायिक शिक्षा</v>
      </c>
      <c r="S49" s="1688"/>
      <c r="T49" s="1689"/>
      <c r="U49" s="1689"/>
      <c r="V49" s="1689"/>
      <c r="W49" s="1689"/>
      <c r="X49" s="1689"/>
      <c r="Y49" s="1689"/>
      <c r="Z49" s="1689"/>
      <c r="AA49" s="1689"/>
      <c r="AB49" s="1689"/>
      <c r="AC49" s="1689"/>
      <c r="AD49" s="1689"/>
      <c r="AE49" s="1689"/>
      <c r="AF49" s="1690"/>
      <c r="AV49"/>
      <c r="AW49"/>
      <c r="AX49"/>
      <c r="BA49"/>
      <c r="BB49"/>
      <c r="BC49"/>
    </row>
    <row r="50" spans="1:55" s="351" customFormat="1" ht="22.5" customHeight="1">
      <c r="A50" s="33">
        <f>IF(L38="","",A49+1)</f>
        <v>20</v>
      </c>
      <c r="B50" s="411" t="str">
        <f>IFERROR(VLOOKUP(L38,'Statement of Marks'!$B$7:'Statement of Marks'!$IC$206,96,0),"")</f>
        <v>ELECTRICALS AND ELECTRONICS</v>
      </c>
      <c r="C50" s="410" t="str">
        <f>IF(OR(L38="",O48="",O50="",B50=""),"",IF(AND(O50&gt;=O48),"*",""))</f>
        <v>*</v>
      </c>
      <c r="D50" s="397">
        <f>IFERROR(VLOOKUP(L38,'Statement of Marks'!$B$7:'Statement of Marks'!$IC$206,97,0),"")</f>
        <v>10</v>
      </c>
      <c r="E50" s="26">
        <f>IFERROR(VLOOKUP(L38,'Statement of Marks'!$B$7:'Statement of Marks'!$IC$206,98,0),"")</f>
        <v>10</v>
      </c>
      <c r="F50" s="26">
        <f>IFERROR(VLOOKUP(L38,'Statement of Marks'!$B$7:'Statement of Marks'!$IC$206,99,0),"")</f>
        <v>10</v>
      </c>
      <c r="G50" s="26">
        <f>IFERROR(VLOOKUP(L38,'Statement of Marks'!$B$7:'Statement of Marks'!$IC$206,100,0),"")</f>
        <v>30</v>
      </c>
      <c r="H50" s="27">
        <f>IFERROR(VLOOKUP(L38,'Statement of Marks'!$B$7:'Statement of Marks'!$IC$206,101,0),"")</f>
        <v>35</v>
      </c>
      <c r="I50" s="27">
        <f>IFERROR(VLOOKUP(L38,'Statement of Marks'!$B$7:'Statement of Marks'!$IC$206,102,0),"")</f>
        <v>34</v>
      </c>
      <c r="J50" s="347">
        <f>IFERROR(VLOOKUP(L38,'Statement of Marks'!$B$7:'Statement of Marks'!$IC$206,103,0),"")</f>
        <v>69</v>
      </c>
      <c r="K50" s="679">
        <f>IFERROR(IF(L38="","",IF(AND(G50="",J50=""),"",SUM(G50,J50))),"")</f>
        <v>99</v>
      </c>
      <c r="L50" s="26">
        <f>IFERROR(VLOOKUP(L38,'Statement of Marks'!$B$7:'Statement of Marks'!$IC$206,105,0),"")</f>
        <v>45</v>
      </c>
      <c r="M50" s="26">
        <f>IFERROR(VLOOKUP(L38,'Statement of Marks'!$B$7:'Statement of Marks'!$IC$206,106,0),"")</f>
        <v>46</v>
      </c>
      <c r="N50" s="347">
        <f>IF(L38="","",IF(AND(L50="",M50=""),"",SUM(L50,M50)))</f>
        <v>91</v>
      </c>
      <c r="O50" s="672">
        <f>IFERROR(VLOOKUP(L38,'Statement of Marks'!$B$7:'Statement of Marks'!$IC$206,108,0),"")</f>
        <v>190</v>
      </c>
      <c r="P50" s="680" t="str">
        <f>IFERROR(IF(O43="","",IF(VLOOKUP(L38,'Statement of Marks'!$B$7:'Statement of Marks'!$IC$206,218,0)="D","I",IF(VLOOKUP(L38,'Statement of Marks'!$B$7:'Statement of Marks'!$IC$206,218,0)="G1","G",IF(VLOOKUP(L38,'Statement of Marks'!$B$7:'Statement of Marks'!$IC$206,218,0)="G2","G",VLOOKUP(L38,'Statement of Marks'!$B$7:'Statement of Marks'!$IC$206,218,0))))),"")</f>
        <v>I</v>
      </c>
      <c r="Q50" s="1680"/>
      <c r="R50" s="411" t="str">
        <f>IFERROR(VLOOKUP(AB38,'Statement of Marks'!$B$7:'Statement of Marks'!$IC$206,96,0),"")</f>
        <v/>
      </c>
      <c r="S50" s="410" t="str">
        <f>IF(OR(AB38="",AE48="",AE50="",R50=""),"",IF(AND(AE50&gt;=AE48),"*",""))</f>
        <v/>
      </c>
      <c r="T50" s="397"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7" t="str">
        <f>IFERROR(VLOOKUP(AB38,'Statement of Marks'!$B$7:'Statement of Marks'!$IC$206,103,0),"")</f>
        <v/>
      </c>
      <c r="AA50" s="679" t="str">
        <f>IFERROR(IF(AB38="","",IF(AND(W50="",Z50=""),"",SUM(W50,Z50))),"")</f>
        <v/>
      </c>
      <c r="AB50" s="26" t="str">
        <f>IFERROR(VLOOKUP(AB38,'Statement of Marks'!$B$7:'Statement of Marks'!$IC$206,105,0),"")</f>
        <v/>
      </c>
      <c r="AC50" s="26" t="str">
        <f>IFERROR(VLOOKUP(AB38,'Statement of Marks'!$B$7:'Statement of Marks'!$IC$206,106,0),"")</f>
        <v/>
      </c>
      <c r="AD50" s="347" t="str">
        <f>IF(AB38="","",IF(AND(AB50="",AC50=""),"",SUM(AB50,AC50)))</f>
        <v/>
      </c>
      <c r="AE50" s="672" t="str">
        <f>IFERROR(VLOOKUP(AB38,'Statement of Marks'!$B$7:'Statement of Marks'!$IC$206,108,0),"")</f>
        <v/>
      </c>
      <c r="AF50" s="680"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51" customFormat="1" ht="25.5" customHeight="1">
      <c r="A51" s="33">
        <f>IF(L38="","",A50+1)</f>
        <v>21</v>
      </c>
      <c r="B51" s="1665"/>
      <c r="C51" s="1666"/>
      <c r="D51" s="1667"/>
      <c r="E51" s="1667"/>
      <c r="F51" s="1667"/>
      <c r="G51" s="1667"/>
      <c r="H51" s="1667"/>
      <c r="I51" s="1667"/>
      <c r="J51" s="1667"/>
      <c r="K51" s="1667"/>
      <c r="L51" s="1668" t="str">
        <f>IF('School Profile'!$D$12="Hindi","महायोग :","Grand Total :")</f>
        <v>महायोग :</v>
      </c>
      <c r="M51" s="1669"/>
      <c r="N51" s="1669"/>
      <c r="O51" s="1670">
        <f>IF(OR(L38="",C36=""),"",IF(OR(B50="",O50=""),SUM(O43,O44,O45,O46,O47,O48),IF((O48/O42*100)&gt;=(O50/O42*100),SUM(O43:O48),SUM(O43,O44,O45,O46,O47,O50))))</f>
        <v>881</v>
      </c>
      <c r="P51" s="1671"/>
      <c r="Q51" s="1680"/>
      <c r="R51" s="1665"/>
      <c r="S51" s="1666"/>
      <c r="T51" s="1667"/>
      <c r="U51" s="1667"/>
      <c r="V51" s="1667"/>
      <c r="W51" s="1667"/>
      <c r="X51" s="1667"/>
      <c r="Y51" s="1667"/>
      <c r="Z51" s="1667"/>
      <c r="AA51" s="1667"/>
      <c r="AB51" s="1668" t="str">
        <f>IF('School Profile'!$D$12="Hindi","महायोग :","Grand Total :")</f>
        <v>महायोग :</v>
      </c>
      <c r="AC51" s="1669"/>
      <c r="AD51" s="1669"/>
      <c r="AE51" s="1670">
        <f>IF(OR(AB38="",S36=""),"",IF(OR(R50="",AE50=""),SUM(AE43,AE44,AE45,AE46,AE47,AE48),IF((AE48/AE42*100)&gt;=(AE50/AE42*100),SUM(AE43:AE48),SUM(AE43,AE44,AE45,AE46,AE47,AE50))))</f>
        <v>693</v>
      </c>
      <c r="AF51" s="1671"/>
      <c r="AV51"/>
      <c r="AW51"/>
      <c r="AX51"/>
      <c r="BA51"/>
      <c r="BB51"/>
      <c r="BC51"/>
    </row>
    <row r="52" spans="1:55" s="351" customFormat="1" ht="25.5" customHeight="1">
      <c r="A52" s="33">
        <f>IF(L38="","",A51+1)</f>
        <v>22</v>
      </c>
      <c r="B52" s="1644" t="str">
        <f>'Statement of Marks'!$DZ$208</f>
        <v>राजस्थान का स्वंत्रता आन्दोलन व शोर्य परम्परा</v>
      </c>
      <c r="C52" s="1645"/>
      <c r="D52" s="1646" t="s">
        <v>149</v>
      </c>
      <c r="E52" s="1647"/>
      <c r="F52" s="355">
        <f>IFERROR(VLOOKUP(L38,'Statement of Marks'!$B$7:'Statement of Marks'!$IC$206,136,0),"")</f>
        <v>184</v>
      </c>
      <c r="G52" s="356" t="s">
        <v>135</v>
      </c>
      <c r="H52" s="355" t="str">
        <f>IFERROR(VLOOKUP(L38,'Statement of Marks'!$B$7:'Statement of Marks'!$IC$206,137,0),"")</f>
        <v>A</v>
      </c>
      <c r="I52" s="1648" t="str">
        <f>'Statement of Marks'!$EL$208</f>
        <v>सूचना प्रोद्योगिकी की अवधारणा - I</v>
      </c>
      <c r="J52" s="1649"/>
      <c r="K52" s="1649"/>
      <c r="L52" s="1650"/>
      <c r="M52" s="354" t="s">
        <v>149</v>
      </c>
      <c r="N52" s="355">
        <f>IFERROR(VLOOKUP(L38,'Statement of Marks'!$B$7:'Statement of Marks'!$IC$206,152,0),"")</f>
        <v>175</v>
      </c>
      <c r="O52" s="356" t="s">
        <v>135</v>
      </c>
      <c r="P52" s="355" t="str">
        <f>IFERROR(VLOOKUP(L38,'Statement of Marks'!$B$7:'Statement of Marks'!$IC$206,153,0),"")</f>
        <v>A</v>
      </c>
      <c r="Q52" s="1680"/>
      <c r="R52" s="1644" t="str">
        <f>'Statement of Marks'!$DZ$208</f>
        <v>राजस्थान का स्वंत्रता आन्दोलन व शोर्य परम्परा</v>
      </c>
      <c r="S52" s="1645"/>
      <c r="T52" s="1646" t="s">
        <v>149</v>
      </c>
      <c r="U52" s="1647"/>
      <c r="V52" s="355">
        <f>IFERROR(VLOOKUP(AB38,'Statement of Marks'!$B$7:'Statement of Marks'!$IC$206,136,0),"")</f>
        <v>184</v>
      </c>
      <c r="W52" s="356" t="s">
        <v>135</v>
      </c>
      <c r="X52" s="355" t="str">
        <f>IFERROR(VLOOKUP(AB38,'Statement of Marks'!$B$7:'Statement of Marks'!$IC$206,137,0),"")</f>
        <v>A</v>
      </c>
      <c r="Y52" s="1648" t="str">
        <f>'Statement of Marks'!$EL$208</f>
        <v>सूचना प्रोद्योगिकी की अवधारणा - I</v>
      </c>
      <c r="Z52" s="1649"/>
      <c r="AA52" s="1649"/>
      <c r="AB52" s="1650"/>
      <c r="AC52" s="354" t="s">
        <v>149</v>
      </c>
      <c r="AD52" s="355">
        <f>IFERROR(VLOOKUP(AB38,'Statement of Marks'!$B$7:'Statement of Marks'!$IC$206,152,0),"")</f>
        <v>176</v>
      </c>
      <c r="AE52" s="356" t="s">
        <v>135</v>
      </c>
      <c r="AF52" s="355" t="str">
        <f>IFERROR(VLOOKUP(AB38,'Statement of Marks'!$B$7:'Statement of Marks'!$IC$206,153,0),"")</f>
        <v>A</v>
      </c>
      <c r="AV52"/>
      <c r="AW52"/>
      <c r="AX52"/>
      <c r="BA52"/>
      <c r="BB52"/>
      <c r="BC52"/>
    </row>
    <row r="53" spans="1:55" s="351" customFormat="1" ht="25.5" customHeight="1">
      <c r="A53" s="33">
        <f>IF(L38="","",A52+1)</f>
        <v>23</v>
      </c>
      <c r="B53" s="1651" t="str">
        <f>'Statement of Marks'!$FB$208</f>
        <v>स्वा. एवं शा. शिक्षा</v>
      </c>
      <c r="C53" s="1652"/>
      <c r="D53" s="1653" t="s">
        <v>149</v>
      </c>
      <c r="E53" s="1654"/>
      <c r="F53" s="355">
        <f>IFERROR(VLOOKUP(L38,'Statement of Marks'!$B$7:'Statement of Marks'!$IC$206,171,0),"")</f>
        <v>161</v>
      </c>
      <c r="G53" s="356" t="s">
        <v>135</v>
      </c>
      <c r="H53" s="355" t="str">
        <f>IFERROR(VLOOKUP(L38,'Statement of Marks'!$B$7:'Statement of Marks'!$IC$206,172,0),"")</f>
        <v>A</v>
      </c>
      <c r="I53" s="1655" t="str">
        <f>'Statement of Marks'!$FJ$208</f>
        <v>समाजोपयोगी उत्पादन कार्य एवं समाज सेवा</v>
      </c>
      <c r="J53" s="1656"/>
      <c r="K53" s="1656"/>
      <c r="L53" s="1657"/>
      <c r="M53" s="403" t="s">
        <v>149</v>
      </c>
      <c r="N53" s="404">
        <f>IFERROR(VLOOKUP(L38,'Statement of Marks'!$B$7:'Statement of Marks'!$IC$206,179,0),"")</f>
        <v>92</v>
      </c>
      <c r="O53" s="405" t="s">
        <v>135</v>
      </c>
      <c r="P53" s="404" t="str">
        <f>IFERROR(VLOOKUP(L38,'Statement of Marks'!$B$7:'Statement of Marks'!$IC$206,180,0),"")</f>
        <v>A</v>
      </c>
      <c r="Q53" s="1680"/>
      <c r="R53" s="1651" t="str">
        <f>'Statement of Marks'!$FB$208</f>
        <v>स्वा. एवं शा. शिक्षा</v>
      </c>
      <c r="S53" s="1652"/>
      <c r="T53" s="1653" t="s">
        <v>149</v>
      </c>
      <c r="U53" s="1654"/>
      <c r="V53" s="355">
        <f>IFERROR(VLOOKUP(AB38,'Statement of Marks'!$B$7:'Statement of Marks'!$IC$206,171,0),"")</f>
        <v>167</v>
      </c>
      <c r="W53" s="356" t="s">
        <v>135</v>
      </c>
      <c r="X53" s="355" t="str">
        <f>IFERROR(VLOOKUP(AB38,'Statement of Marks'!$B$7:'Statement of Marks'!$IC$206,172,0),"")</f>
        <v>A</v>
      </c>
      <c r="Y53" s="1655" t="str">
        <f>'Statement of Marks'!$FJ$208</f>
        <v>समाजोपयोगी उत्पादन कार्य एवं समाज सेवा</v>
      </c>
      <c r="Z53" s="1656"/>
      <c r="AA53" s="1656"/>
      <c r="AB53" s="1657"/>
      <c r="AC53" s="403" t="s">
        <v>149</v>
      </c>
      <c r="AD53" s="404">
        <f>IFERROR(VLOOKUP(AB38,'Statement of Marks'!$B$7:'Statement of Marks'!$IC$206,179,0),"")</f>
        <v>96</v>
      </c>
      <c r="AE53" s="405" t="s">
        <v>135</v>
      </c>
      <c r="AF53" s="404" t="str">
        <f>IFERROR(VLOOKUP(AB38,'Statement of Marks'!$B$7:'Statement of Marks'!$IC$206,180,0),"")</f>
        <v>A</v>
      </c>
      <c r="AV53"/>
      <c r="AW53"/>
      <c r="AX53"/>
      <c r="BA53"/>
      <c r="BB53"/>
      <c r="BC53"/>
    </row>
    <row r="54" spans="1:55" s="351" customFormat="1" ht="30" customHeight="1">
      <c r="A54" s="33">
        <f>IF(L38="","",A53+1)</f>
        <v>24</v>
      </c>
      <c r="B54" s="1658" t="str">
        <f>'Statement of Marks'!$FU$208</f>
        <v>कला शिक्षा</v>
      </c>
      <c r="C54" s="1659"/>
      <c r="D54" s="1660" t="s">
        <v>149</v>
      </c>
      <c r="E54" s="1661"/>
      <c r="F54" s="404">
        <f>IFERROR(VLOOKUP(L38,'Statement of Marks'!$B$7:'Statement of Marks'!$IC$206,187,0),"")</f>
        <v>79</v>
      </c>
      <c r="G54" s="405" t="s">
        <v>135</v>
      </c>
      <c r="H54" s="355" t="str">
        <f>IFERROR(VLOOKUP(L38,'Statement of Marks'!$B$7:'Statement of Marks'!$IC$206,188,0),"")</f>
        <v>B</v>
      </c>
      <c r="I54" s="1662" t="str">
        <f>IF('School Profile'!$D$12="Hindi","परीक्षा परिणाम घोषित दिनांक :-","Date of Result declaration :-")</f>
        <v>परीक्षा परिणाम घोषित दिनांक :-</v>
      </c>
      <c r="J54" s="1663"/>
      <c r="K54" s="1663"/>
      <c r="L54" s="1664"/>
      <c r="M54" s="1625">
        <f>IF(AND(L38=""),"",IF('School Profile'!$D$11="","",'School Profile'!$D$11))</f>
        <v>45793</v>
      </c>
      <c r="N54" s="1626"/>
      <c r="O54" s="690" t="str">
        <f>IF('School Profile'!$D$12="Hindi","श्रेणी","Division")</f>
        <v>श्रेणी</v>
      </c>
      <c r="P54" s="407" t="str">
        <f>IFERROR(VLOOKUP(L38,'Statement of Marks'!$B$7:'Statement of Marks'!$IC$206,229,0),"")</f>
        <v/>
      </c>
      <c r="Q54" s="1680"/>
      <c r="R54" s="1658" t="str">
        <f>'Statement of Marks'!$FU$208</f>
        <v>कला शिक्षा</v>
      </c>
      <c r="S54" s="1659"/>
      <c r="T54" s="1660" t="s">
        <v>149</v>
      </c>
      <c r="U54" s="1661"/>
      <c r="V54" s="404">
        <f>IFERROR(VLOOKUP(AB38,'Statement of Marks'!$B$7:'Statement of Marks'!$IC$206,187,0),"")</f>
        <v>81</v>
      </c>
      <c r="W54" s="405" t="s">
        <v>135</v>
      </c>
      <c r="X54" s="355" t="str">
        <f>IFERROR(VLOOKUP(AB38,'Statement of Marks'!$B$7:'Statement of Marks'!$IC$206,188,0),"")</f>
        <v>A</v>
      </c>
      <c r="Y54" s="1662" t="str">
        <f>IF('School Profile'!$D$12="Hindi","परीक्षा परिणाम घोषित दिनांक :-","Date of Result declaration :-")</f>
        <v>परीक्षा परिणाम घोषित दिनांक :-</v>
      </c>
      <c r="Z54" s="1663"/>
      <c r="AA54" s="1663"/>
      <c r="AB54" s="1664"/>
      <c r="AC54" s="1625">
        <f>IF(AND(AB38=""),"",IF('School Profile'!$D$11="","",'School Profile'!$D$11))</f>
        <v>45793</v>
      </c>
      <c r="AD54" s="1626"/>
      <c r="AE54" s="690" t="str">
        <f>IF('School Profile'!$D$12="Hindi","श्रेणी","Division")</f>
        <v>श्रेणी</v>
      </c>
      <c r="AF54" s="407" t="str">
        <f>IFERROR(VLOOKUP(AB38,'Statement of Marks'!$B$7:'Statement of Marks'!$IC$206,229,0),"")</f>
        <v>2nd</v>
      </c>
      <c r="AV54"/>
      <c r="AW54"/>
      <c r="AX54"/>
      <c r="BA54"/>
      <c r="BB54"/>
      <c r="BC54"/>
    </row>
    <row r="55" spans="1:55" s="351" customFormat="1" ht="29.25" customHeight="1">
      <c r="A55" s="33">
        <f>IF(L38="","",A54+1)</f>
        <v>25</v>
      </c>
      <c r="B55" s="1627" t="s">
        <v>144</v>
      </c>
      <c r="C55" s="1628"/>
      <c r="D55" s="1629" t="str">
        <f>IFERROR(VLOOKUP(L38,'Statement of Marks'!$B$7:'Statement of Marks'!$IC$206,192,0),"")</f>
        <v/>
      </c>
      <c r="E55" s="1630"/>
      <c r="F55" s="1631" t="s">
        <v>76</v>
      </c>
      <c r="G55" s="1632"/>
      <c r="H55" s="406" t="str">
        <f>IFERROR(VLOOKUP(L38,'Statement of Marks'!$B$7:'Statement of Marks'!$IC$206,193,0),"")</f>
        <v/>
      </c>
      <c r="I55" s="1633" t="s">
        <v>136</v>
      </c>
      <c r="J55" s="1634"/>
      <c r="K55" s="1635" t="str">
        <f>IFERROR(IF(OR(O51="",L38=""),"",VLOOKUP(L38,'Statement of Marks'!$B$7:'Statement of Marks'!$IC$206,230,0)),"")</f>
        <v/>
      </c>
      <c r="L55" s="1636"/>
      <c r="M55" s="1637" t="s">
        <v>145</v>
      </c>
      <c r="N55" s="1638"/>
      <c r="O55" s="1638"/>
      <c r="P55" s="408" t="str">
        <f>IFERROR(VLOOKUP(L38,'Statement of Marks'!$B$7:'Statement of Marks'!$IC$206,231,0),"")</f>
        <v/>
      </c>
      <c r="Q55" s="1680"/>
      <c r="R55" s="1627" t="s">
        <v>144</v>
      </c>
      <c r="S55" s="1628"/>
      <c r="T55" s="1629" t="str">
        <f>IFERROR(VLOOKUP(AB38,'Statement of Marks'!$B$7:'Statement of Marks'!$IC$206,192,0),"")</f>
        <v/>
      </c>
      <c r="U55" s="1630"/>
      <c r="V55" s="1631" t="s">
        <v>76</v>
      </c>
      <c r="W55" s="1632"/>
      <c r="X55" s="406" t="str">
        <f>IFERROR(VLOOKUP(AB38,'Statement of Marks'!$B$7:'Statement of Marks'!$IC$206,193,0),"")</f>
        <v/>
      </c>
      <c r="Y55" s="1633" t="s">
        <v>136</v>
      </c>
      <c r="Z55" s="1634"/>
      <c r="AA55" s="1635">
        <f>IFERROR(IF(OR(AE51="",AB38=""),"",VLOOKUP(AB38,'Statement of Marks'!$B$7:'Statement of Marks'!$IC$206,230,0)),"")</f>
        <v>57.75</v>
      </c>
      <c r="AB55" s="1636"/>
      <c r="AC55" s="1637" t="s">
        <v>145</v>
      </c>
      <c r="AD55" s="1638"/>
      <c r="AE55" s="1638"/>
      <c r="AF55" s="408">
        <f>IFERROR(VLOOKUP(AB38,'Statement of Marks'!$B$7:'Statement of Marks'!$IC$206,231,0),"")</f>
        <v>15.000000000000075</v>
      </c>
      <c r="AV55"/>
      <c r="AW55"/>
      <c r="AX55"/>
      <c r="BA55"/>
      <c r="BB55"/>
      <c r="BC55"/>
    </row>
    <row r="56" spans="1:55" s="351" customFormat="1" ht="27.75" customHeight="1">
      <c r="A56" s="33">
        <f>IF(L38="","",A55+1)</f>
        <v>26</v>
      </c>
      <c r="B56" s="1639" t="str">
        <f>IF('School Profile'!$D$12="Hindi","मुख्य परीक्षा परिणाम ","Main Exam Result")</f>
        <v xml:space="preserve">मुख्य परीक्षा परिणाम </v>
      </c>
      <c r="C56" s="1639"/>
      <c r="D56" s="1640"/>
      <c r="E56" s="1640"/>
      <c r="F56" s="1640"/>
      <c r="G56" s="1640" t="str">
        <f>IF('School Profile'!$D$12="Hindi","विशेष योग्यता प्राप्त विषय","Subjects Of Dictation Marks")</f>
        <v>विशेष योग्यता प्राप्त विषय</v>
      </c>
      <c r="H56" s="1640"/>
      <c r="I56" s="1640"/>
      <c r="J56" s="1640"/>
      <c r="K56" s="1640"/>
      <c r="L56" s="1641" t="str">
        <f>IF('School Profile'!$D$12="Hindi","पूरक विषय","Supplementary Subject")</f>
        <v>पूरक विषय</v>
      </c>
      <c r="M56" s="1642"/>
      <c r="N56" s="1642"/>
      <c r="O56" s="1642"/>
      <c r="P56" s="1643"/>
      <c r="Q56" s="1680"/>
      <c r="R56" s="1639" t="str">
        <f>IF('School Profile'!$D$12="Hindi","मुख्य परीक्षा परिणाम ","Main Exam Result")</f>
        <v xml:space="preserve">मुख्य परीक्षा परिणाम </v>
      </c>
      <c r="S56" s="1639"/>
      <c r="T56" s="1640"/>
      <c r="U56" s="1640"/>
      <c r="V56" s="1640"/>
      <c r="W56" s="1640" t="str">
        <f>IF('School Profile'!$D$12="Hindi","विशेष योग्यता प्राप्त विषय","Subjects Of Dictation Marks")</f>
        <v>विशेष योग्यता प्राप्त विषय</v>
      </c>
      <c r="X56" s="1640"/>
      <c r="Y56" s="1640"/>
      <c r="Z56" s="1640"/>
      <c r="AA56" s="1640"/>
      <c r="AB56" s="1641" t="str">
        <f>IF('School Profile'!$D$12="Hindi","पूरक विषय","Supplementary Subject")</f>
        <v>पूरक विषय</v>
      </c>
      <c r="AC56" s="1642"/>
      <c r="AD56" s="1642"/>
      <c r="AE56" s="1642"/>
      <c r="AF56" s="1643"/>
      <c r="AV56"/>
      <c r="AW56"/>
      <c r="AX56"/>
      <c r="BA56"/>
      <c r="BB56"/>
      <c r="BC56"/>
    </row>
    <row r="57" spans="1:55" s="351" customFormat="1" ht="42.75" customHeight="1">
      <c r="A57" s="33">
        <f>IF(L38="","",A56+1)</f>
        <v>27</v>
      </c>
      <c r="B57" s="1612"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12"/>
      <c r="D57" s="1612"/>
      <c r="E57" s="1612"/>
      <c r="F57" s="1612"/>
      <c r="G57" s="1613" t="str">
        <f>IFERROR(VLOOKUP(L38,'Statement of Marks'!$B$7:'Statement of Marks'!$IC$206,225,0),"")</f>
        <v xml:space="preserve"> अंग्रेजी  गणित   व्यावसायिक शिक्षा</v>
      </c>
      <c r="H57" s="1613"/>
      <c r="I57" s="1613"/>
      <c r="J57" s="1613"/>
      <c r="K57" s="1613"/>
      <c r="L57" s="1614" t="str">
        <f>IFERROR(VLOOKUP(L38,'Statement of Marks'!$B$7:'Statement of Marks'!$IC$206,222,0),"")</f>
        <v/>
      </c>
      <c r="M57" s="1615"/>
      <c r="N57" s="1615"/>
      <c r="O57" s="1615"/>
      <c r="P57" s="1616"/>
      <c r="Q57" s="1680"/>
      <c r="R57" s="1612"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12"/>
      <c r="T57" s="1612"/>
      <c r="U57" s="1612"/>
      <c r="V57" s="1612"/>
      <c r="W57" s="1613" t="str">
        <f>IFERROR(VLOOKUP(AB38,'Statement of Marks'!$B$7:'Statement of Marks'!$IC$206,225,0),"")</f>
        <v xml:space="preserve"> अंग्रेजी     </v>
      </c>
      <c r="X57" s="1613"/>
      <c r="Y57" s="1613"/>
      <c r="Z57" s="1613"/>
      <c r="AA57" s="1613"/>
      <c r="AB57" s="1614" t="str">
        <f>IFERROR(VLOOKUP(AB38,'Statement of Marks'!$B$7:'Statement of Marks'!$IC$206,222,0),"")</f>
        <v xml:space="preserve">      </v>
      </c>
      <c r="AC57" s="1615"/>
      <c r="AD57" s="1615"/>
      <c r="AE57" s="1615"/>
      <c r="AF57" s="1616"/>
      <c r="AV57"/>
      <c r="AW57"/>
      <c r="AX57"/>
      <c r="BA57"/>
      <c r="BB57"/>
      <c r="BC57"/>
    </row>
    <row r="58" spans="1:55" s="351" customFormat="1" ht="52.5" customHeight="1">
      <c r="A58" s="33">
        <f>IF(L38="","",A57+1)</f>
        <v>28</v>
      </c>
      <c r="B58" s="1621" t="str">
        <f>IF(AND(L38=""),"",CONCATENATE("(",'School Profile'!$D$18," )"))</f>
        <v>(Yogesh )</v>
      </c>
      <c r="C58" s="1621"/>
      <c r="D58" s="1621"/>
      <c r="E58" s="1621"/>
      <c r="F58" s="1621"/>
      <c r="G58" s="1622" t="str">
        <f>IF(AND(L38=""),"",CONCATENATE("( ",'School Profile'!$D$15," )"))</f>
        <v>( Heeralal Jat )</v>
      </c>
      <c r="H58" s="1622"/>
      <c r="I58" s="1622"/>
      <c r="J58" s="1622"/>
      <c r="K58" s="1623" t="str">
        <f>IF(AND(L38=""),"",CONCATENATE("( ",'School Profile'!$D$14," )"))</f>
        <v>( USHA PALIYA )</v>
      </c>
      <c r="L58" s="1623"/>
      <c r="M58" s="1623"/>
      <c r="N58" s="1623"/>
      <c r="O58" s="1623"/>
      <c r="P58" s="1623"/>
      <c r="Q58" s="1680"/>
      <c r="R58" s="1621" t="str">
        <f>IF(AND(AB38=""),"",CONCATENATE("(",'School Profile'!$D$18," )"))</f>
        <v>(Yogesh )</v>
      </c>
      <c r="S58" s="1621"/>
      <c r="T58" s="1621"/>
      <c r="U58" s="1621"/>
      <c r="V58" s="1621"/>
      <c r="W58" s="1622" t="str">
        <f>IF(AND(AB38=""),"",CONCATENATE("( ",'School Profile'!$D$15," )"))</f>
        <v>( Heeralal Jat )</v>
      </c>
      <c r="X58" s="1622"/>
      <c r="Y58" s="1622"/>
      <c r="Z58" s="1622"/>
      <c r="AA58" s="1623" t="str">
        <f>IF(AND(AB38=""),"",CONCATENATE("( ",'School Profile'!$D$14," )"))</f>
        <v>( USHA PALIYA )</v>
      </c>
      <c r="AB58" s="1623"/>
      <c r="AC58" s="1623"/>
      <c r="AD58" s="1623"/>
      <c r="AE58" s="1623"/>
      <c r="AF58" s="1623"/>
      <c r="AV58"/>
      <c r="AW58"/>
      <c r="AX58"/>
      <c r="BA58"/>
      <c r="BB58"/>
      <c r="BC58"/>
    </row>
    <row r="59" spans="1:55" s="351" customFormat="1" ht="24.75" customHeight="1">
      <c r="A59" s="33">
        <f>IF(L38="","",A58+1)</f>
        <v>29</v>
      </c>
      <c r="B59" s="1624" t="str">
        <f>IF('School Profile'!$D$12="Hindi","हस्ताक्षर कक्षाध्यापक","Signature of the class teacher")</f>
        <v>हस्ताक्षर कक्षाध्यापक</v>
      </c>
      <c r="C59" s="1624"/>
      <c r="D59" s="1624"/>
      <c r="E59" s="1624"/>
      <c r="F59" s="1624"/>
      <c r="G59" s="1624" t="str">
        <f>IF('School Profile'!$D$12="Hindi","हस्ताक्षर परीक्षा प्रभारी","Signature of the exam. Incharge")</f>
        <v>हस्ताक्षर परीक्षा प्रभारी</v>
      </c>
      <c r="H59" s="1624"/>
      <c r="I59" s="1624"/>
      <c r="J59" s="1624"/>
      <c r="K59" s="1624" t="str">
        <f>IF('School Profile'!$D$12="Hindi","हस्ताक्षर मय सील मोहर संस्था प्रधान","Signature &amp; Seal of the Head of the Institution")</f>
        <v>हस्ताक्षर मय सील मोहर संस्था प्रधान</v>
      </c>
      <c r="L59" s="1624"/>
      <c r="M59" s="1624"/>
      <c r="N59" s="1624"/>
      <c r="O59" s="1624"/>
      <c r="P59" s="1624"/>
      <c r="Q59" s="1680"/>
      <c r="R59" s="1624" t="str">
        <f>IF('School Profile'!$D$12="Hindi","हस्ताक्षर कक्षाध्यापक","Signature of the class teacher")</f>
        <v>हस्ताक्षर कक्षाध्यापक</v>
      </c>
      <c r="S59" s="1624"/>
      <c r="T59" s="1624"/>
      <c r="U59" s="1624"/>
      <c r="V59" s="1624"/>
      <c r="W59" s="1624" t="str">
        <f>IF('School Profile'!$D$12="Hindi","हस्ताक्षर परीक्षा प्रभारी","Signature of the exam. Incharge")</f>
        <v>हस्ताक्षर परीक्षा प्रभारी</v>
      </c>
      <c r="X59" s="1624"/>
      <c r="Y59" s="1624"/>
      <c r="Z59" s="1624"/>
      <c r="AA59" s="1624" t="str">
        <f>IF('School Profile'!$D$12="Hindi","हस्ताक्षर मय सील मोहर संस्था प्रधान","Signature &amp; Seal of the Head of the Institution")</f>
        <v>हस्ताक्षर मय सील मोहर संस्था प्रधान</v>
      </c>
      <c r="AB59" s="1624"/>
      <c r="AC59" s="1624"/>
      <c r="AD59" s="1624"/>
      <c r="AE59" s="1624"/>
      <c r="AF59" s="1624"/>
      <c r="AV59"/>
      <c r="AW59"/>
      <c r="AX59"/>
      <c r="BA59"/>
      <c r="BB59"/>
      <c r="BC59"/>
    </row>
    <row r="60" spans="1:55" s="351" customFormat="1">
      <c r="A60" s="350"/>
      <c r="AV60"/>
      <c r="AW60"/>
      <c r="AX60"/>
      <c r="BA60"/>
      <c r="BB60"/>
      <c r="BC60"/>
    </row>
    <row r="61" spans="1:55" s="6" customFormat="1" ht="22.5" customHeight="1">
      <c r="A61" s="33">
        <f>IF(L68="","",1)</f>
        <v>1</v>
      </c>
      <c r="B61" s="28"/>
      <c r="C61" s="28"/>
      <c r="D61" s="1553" t="str">
        <f>IF('School Profile'!$D$12="Hindi","वार्षिक रिपोर्ट कार्ड ","Report Card")</f>
        <v xml:space="preserve">वार्षिक रिपोर्ट कार्ड </v>
      </c>
      <c r="E61" s="1553"/>
      <c r="F61" s="1553"/>
      <c r="G61" s="1553"/>
      <c r="H61" s="1553"/>
      <c r="I61" s="1553"/>
      <c r="J61" s="1553"/>
      <c r="K61" s="1553"/>
      <c r="L61" s="1553"/>
      <c r="M61" s="1553"/>
      <c r="N61" s="1553"/>
      <c r="O61" s="349"/>
      <c r="P61" s="349"/>
      <c r="Q61" s="1680" t="s">
        <v>77</v>
      </c>
      <c r="R61" s="28"/>
      <c r="S61" s="28"/>
      <c r="T61" s="1553" t="str">
        <f>IF('School Profile'!$D$12="Hindi","वार्षिक रिपोर्ट कार्ड ","Report Card")</f>
        <v xml:space="preserve">वार्षिक रिपोर्ट कार्ड </v>
      </c>
      <c r="U61" s="1553"/>
      <c r="V61" s="1553"/>
      <c r="W61" s="1553"/>
      <c r="X61" s="1553"/>
      <c r="Y61" s="1553"/>
      <c r="Z61" s="1553"/>
      <c r="AA61" s="1553"/>
      <c r="AB61" s="1553"/>
      <c r="AC61" s="1553"/>
      <c r="AD61" s="1553"/>
      <c r="AE61" s="349"/>
      <c r="AF61" s="349"/>
      <c r="AV61"/>
      <c r="AW61"/>
      <c r="AX61"/>
      <c r="BA61"/>
      <c r="BB61"/>
      <c r="BC61"/>
    </row>
    <row r="62" spans="1:55" s="6" customFormat="1" ht="22.5" customHeight="1">
      <c r="A62" s="33">
        <f>IF(L68="","",A61+1)</f>
        <v>2</v>
      </c>
      <c r="B62" s="28"/>
      <c r="C62" s="28"/>
      <c r="D62" s="1681" t="str">
        <f>IF('School Profile'!$D$12="Hindi","शिक्षा विभाग, राजस्थान सरकार","Education Department, Rajasthan Government")</f>
        <v>शिक्षा विभाग, राजस्थान सरकार</v>
      </c>
      <c r="E62" s="1681"/>
      <c r="F62" s="1681"/>
      <c r="G62" s="1681"/>
      <c r="H62" s="1681"/>
      <c r="I62" s="1681"/>
      <c r="J62" s="1681"/>
      <c r="K62" s="1681"/>
      <c r="L62" s="1681"/>
      <c r="M62" s="1681"/>
      <c r="N62" s="1681"/>
      <c r="O62" s="349"/>
      <c r="P62" s="349"/>
      <c r="Q62" s="1680"/>
      <c r="R62" s="28"/>
      <c r="S62" s="28"/>
      <c r="T62" s="1681" t="str">
        <f>IF('School Profile'!$D$12="Hindi","शिक्षा विभाग, राजस्थान सरकार","Education Department, Rajasthan Government")</f>
        <v>शिक्षा विभाग, राजस्थान सरकार</v>
      </c>
      <c r="U62" s="1681"/>
      <c r="V62" s="1681"/>
      <c r="W62" s="1681"/>
      <c r="X62" s="1681"/>
      <c r="Y62" s="1681"/>
      <c r="Z62" s="1681"/>
      <c r="AA62" s="1681"/>
      <c r="AB62" s="1681"/>
      <c r="AC62" s="1681"/>
      <c r="AD62" s="1681"/>
      <c r="AE62" s="349"/>
      <c r="AF62" s="349"/>
      <c r="AV62"/>
      <c r="AW62"/>
      <c r="AX62"/>
      <c r="BA62"/>
      <c r="BB62"/>
      <c r="BC62"/>
    </row>
    <row r="63" spans="1:55" s="32" customFormat="1" ht="24.95" customHeight="1">
      <c r="A63" s="34">
        <f>IF(L68="","",A62+1)</f>
        <v>3</v>
      </c>
      <c r="B63" s="1555" t="str">
        <f>IF('School Profile'!$D$12="Hindi",CONCATENATE("विद्यालय का नाम :-","  ",'School Profile'!$D$9),CONCATENATE("School Name :-","  ",'School Profile'!$D$8))</f>
        <v xml:space="preserve">विद्यालय का नाम :-  महात्मा गाँधी राजकीय विद्यालय (अंग्रेजी माध्यम) बर, पाली </v>
      </c>
      <c r="C63" s="1555"/>
      <c r="D63" s="1555"/>
      <c r="E63" s="1555"/>
      <c r="F63" s="1555"/>
      <c r="G63" s="1555"/>
      <c r="H63" s="1555"/>
      <c r="I63" s="1555"/>
      <c r="J63" s="1555"/>
      <c r="K63" s="1555"/>
      <c r="L63" s="1555"/>
      <c r="M63" s="1555"/>
      <c r="N63" s="1555"/>
      <c r="O63" s="1555"/>
      <c r="P63" s="1555"/>
      <c r="Q63" s="1680"/>
      <c r="R63" s="1555" t="str">
        <f>IF('School Profile'!$D$12="Hindi",CONCATENATE("विद्यालय का नाम :-","  ",'School Profile'!$D$9),CONCATENATE("School Name :-","  ",'School Profile'!$D$8))</f>
        <v xml:space="preserve">विद्यालय का नाम :-  महात्मा गाँधी राजकीय विद्यालय (अंग्रेजी माध्यम) बर, पाली </v>
      </c>
      <c r="S63" s="1555"/>
      <c r="T63" s="1555"/>
      <c r="U63" s="1555"/>
      <c r="V63" s="1555"/>
      <c r="W63" s="1555"/>
      <c r="X63" s="1555"/>
      <c r="Y63" s="1555"/>
      <c r="Z63" s="1555"/>
      <c r="AA63" s="1555"/>
      <c r="AB63" s="1555"/>
      <c r="AC63" s="1555"/>
      <c r="AD63" s="1555"/>
      <c r="AE63" s="1555"/>
      <c r="AF63" s="1555"/>
      <c r="AV63"/>
      <c r="AW63"/>
      <c r="AX63"/>
      <c r="BA63"/>
      <c r="BB63"/>
      <c r="BC63"/>
    </row>
    <row r="64" spans="1:55" s="32" customFormat="1" ht="24.95" customHeight="1">
      <c r="A64" s="34">
        <f>IF(L68="","",A63+1)</f>
        <v>4</v>
      </c>
      <c r="B64" s="668"/>
      <c r="C64" s="668"/>
      <c r="D64" s="668"/>
      <c r="E64" s="668"/>
      <c r="F64" s="1682"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82"/>
      <c r="H64" s="1682"/>
      <c r="I64" s="1682"/>
      <c r="J64" s="1682"/>
      <c r="K64" s="1682"/>
      <c r="L64" s="1682"/>
      <c r="M64" s="1682"/>
      <c r="N64" s="1682"/>
      <c r="O64" s="1682"/>
      <c r="P64" s="668"/>
      <c r="Q64" s="1680"/>
      <c r="R64" s="668"/>
      <c r="S64" s="668"/>
      <c r="T64" s="668"/>
      <c r="U64" s="668"/>
      <c r="V64" s="1682"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82"/>
      <c r="X64" s="1682"/>
      <c r="Y64" s="1682"/>
      <c r="Z64" s="1682"/>
      <c r="AA64" s="1682"/>
      <c r="AB64" s="1682"/>
      <c r="AC64" s="1682"/>
      <c r="AD64" s="1682"/>
      <c r="AE64" s="1682"/>
      <c r="AF64" s="668"/>
      <c r="AV64"/>
      <c r="AW64"/>
      <c r="AX64"/>
      <c r="AY64" s="6"/>
      <c r="AZ64" s="6"/>
      <c r="BA64"/>
      <c r="BB64"/>
      <c r="BC64"/>
    </row>
    <row r="65" spans="1:55" s="351" customFormat="1" ht="21" customHeight="1">
      <c r="A65" s="33">
        <f>IF(L68="","",A64+1)</f>
        <v>5</v>
      </c>
      <c r="B65" s="681" t="str">
        <f>IF('School Profile'!$D$12="Hindi","कक्षा  :-","CLASS :- ")</f>
        <v>कक्षा  :-</v>
      </c>
      <c r="C65" s="1611" t="str">
        <f>IF('Statement of Marks'!$E$3="","",'Statement of Marks'!$E$3)</f>
        <v>9th</v>
      </c>
      <c r="D65" s="1611"/>
      <c r="E65" s="820" t="str">
        <f>IFERROR(VLOOKUP(L68,'Statement of Marks'!$B$7:'Statement of Marks'!$IC$206,2,0),"")</f>
        <v>A</v>
      </c>
      <c r="F65" s="820"/>
      <c r="G65" s="820"/>
      <c r="H65" s="820"/>
      <c r="I65" s="1683" t="str">
        <f>IF('School Profile'!$D$12="Hindi","प्रवेशांक :","SR. NO. :")</f>
        <v>प्रवेशांक :</v>
      </c>
      <c r="J65" s="1683"/>
      <c r="K65" s="1683"/>
      <c r="L65" s="1684" t="str">
        <f>IFERROR(VLOOKUP(L68,'Statement of Marks'!$B$7:'Statement of Marks'!$IC$206,3,0),"")</f>
        <v/>
      </c>
      <c r="M65" s="1684"/>
      <c r="N65" s="1684"/>
      <c r="O65" s="1684"/>
      <c r="P65" s="414"/>
      <c r="Q65" s="1680"/>
      <c r="R65" s="681" t="str">
        <f>IF('School Profile'!$D$12="Hindi","कक्षा  :-","CLASS :- ")</f>
        <v>कक्षा  :-</v>
      </c>
      <c r="S65" s="1611" t="str">
        <f>IF('Statement of Marks'!$E$3="","",'Statement of Marks'!$E$3)</f>
        <v>9th</v>
      </c>
      <c r="T65" s="1611"/>
      <c r="U65" s="820" t="str">
        <f>IFERROR(VLOOKUP(AB68,'Statement of Marks'!$B$7:'Statement of Marks'!$IC$206,2,0),"")</f>
        <v>A</v>
      </c>
      <c r="V65" s="820"/>
      <c r="W65" s="820"/>
      <c r="X65" s="820"/>
      <c r="Y65" s="1683" t="str">
        <f>IF('School Profile'!$D$12="Hindi","प्रवेशांक :","SR. NO. :")</f>
        <v>प्रवेशांक :</v>
      </c>
      <c r="Z65" s="1683"/>
      <c r="AA65" s="1683"/>
      <c r="AB65" s="1684" t="str">
        <f>IFERROR(VLOOKUP(AB68,'Statement of Marks'!$B$7:'Statement of Marks'!$IC$206,3,0),"")</f>
        <v/>
      </c>
      <c r="AC65" s="1684"/>
      <c r="AD65" s="1684"/>
      <c r="AE65" s="1684"/>
      <c r="AF65" s="414"/>
      <c r="AV65"/>
      <c r="AW65" s="777">
        <f>L66</f>
        <v>41525</v>
      </c>
      <c r="AX65"/>
      <c r="BA65"/>
      <c r="BB65" s="777">
        <f>AB66</f>
        <v>40933</v>
      </c>
      <c r="BC65"/>
    </row>
    <row r="66" spans="1:55" s="351" customFormat="1" ht="21" customHeight="1">
      <c r="A66" s="33">
        <f>IF(L68="","",A65+1)</f>
        <v>6</v>
      </c>
      <c r="B66" s="683" t="str">
        <f>IF('School Profile'!$D$12="Hindi","विद्यार्थी का नाम :-","Student's Name :-")</f>
        <v>विद्यार्थी का नाम :-</v>
      </c>
      <c r="C66" s="1685" t="str">
        <f>IFERROR(VLOOKUP(L68,'Statement of Marks'!$B$7:'Statement of Marks'!$IC$206,5,0),"")</f>
        <v>SHYAM</v>
      </c>
      <c r="D66" s="1685"/>
      <c r="E66" s="1685"/>
      <c r="F66" s="1685"/>
      <c r="G66" s="1685"/>
      <c r="H66" s="1685"/>
      <c r="I66" s="1683" t="str">
        <f>IF('School Profile'!$D$12="Hindi","जन्म तिथि :","Date of Birth :")</f>
        <v>जन्म तिथि :</v>
      </c>
      <c r="J66" s="1683"/>
      <c r="K66" s="1683"/>
      <c r="L66" s="1686">
        <f>IFERROR(VLOOKUP(L68,'Statement of Marks'!$B$7:'Statement of Marks'!$IC$206,4,0),"")</f>
        <v>41525</v>
      </c>
      <c r="M66" s="1686"/>
      <c r="N66" s="1686"/>
      <c r="O66" s="1686"/>
      <c r="P66" s="670"/>
      <c r="Q66" s="1680"/>
      <c r="R66" s="683" t="str">
        <f>IF('School Profile'!$D$12="Hindi","विद्यार्थी का नाम :-","Student's Name :-")</f>
        <v>विद्यार्थी का नाम :-</v>
      </c>
      <c r="S66" s="1685" t="str">
        <f>IFERROR(VLOOKUP(AB68,'Statement of Marks'!$B$7:'Statement of Marks'!$IC$206,5,0),"")</f>
        <v>GITA</v>
      </c>
      <c r="T66" s="1685"/>
      <c r="U66" s="1685"/>
      <c r="V66" s="1685"/>
      <c r="W66" s="1685"/>
      <c r="X66" s="1685"/>
      <c r="Y66" s="1683" t="str">
        <f>IF('School Profile'!$D$12="Hindi","जन्म तिथि :","Date of Birth :")</f>
        <v>जन्म तिथि :</v>
      </c>
      <c r="Z66" s="1683"/>
      <c r="AA66" s="1683"/>
      <c r="AB66" s="1686">
        <f>IFERROR(VLOOKUP(AB68,'Statement of Marks'!$B$7:'Statement of Marks'!$IC$206,4,0),"")</f>
        <v>40933</v>
      </c>
      <c r="AC66" s="1686"/>
      <c r="AD66" s="1686"/>
      <c r="AE66" s="1686"/>
      <c r="AF66" s="670"/>
      <c r="AV66">
        <f>YEAR(AW65)</f>
        <v>2013</v>
      </c>
      <c r="AW66">
        <f>MONTH(AW65)</f>
        <v>9</v>
      </c>
      <c r="AX66">
        <f>DAY(AW65)</f>
        <v>8</v>
      </c>
      <c r="BA66">
        <f>YEAR(BB65)</f>
        <v>2012</v>
      </c>
      <c r="BB66">
        <f>MONTH(BB65)</f>
        <v>1</v>
      </c>
      <c r="BC66">
        <f>DAY(BB65)</f>
        <v>25</v>
      </c>
    </row>
    <row r="67" spans="1:55" s="351" customFormat="1" ht="21" customHeight="1">
      <c r="A67" s="33">
        <f>IF(L68="","",A66+1)</f>
        <v>7</v>
      </c>
      <c r="B67" s="683" t="str">
        <f>IF('School Profile'!$D$12="Hindi","पिता का नाम :-","Father's Name :-")</f>
        <v>पिता का नाम :-</v>
      </c>
      <c r="C67" s="1685" t="str">
        <f>IFERROR(VLOOKUP(L68,'Statement of Marks'!$B$7:'Statement of Marks'!$IC$206,6,0),"")</f>
        <v/>
      </c>
      <c r="D67" s="1685"/>
      <c r="E67" s="1685"/>
      <c r="F67" s="1685"/>
      <c r="G67" s="1685"/>
      <c r="H67" s="1685"/>
      <c r="I67" s="1683" t="str">
        <f>IF('School Profile'!$D$12="Hindi","जन्मतिथि शब्दों में :-","Date of Birth in Words :-")</f>
        <v>जन्मतिथि शब्दों में :-</v>
      </c>
      <c r="J67" s="1683"/>
      <c r="K67" s="1683"/>
      <c r="L67" s="1685" t="str">
        <f>IFERROR(IF('School Profile'!$D$12="Hindi",AW68,AW70),"")</f>
        <v>आठ सितम्बर दो हजार तेरह</v>
      </c>
      <c r="M67" s="1685"/>
      <c r="N67" s="1685"/>
      <c r="O67" s="1685"/>
      <c r="P67" s="670"/>
      <c r="Q67" s="1680"/>
      <c r="R67" s="683" t="str">
        <f>IF('School Profile'!$D$12="Hindi","पिता का नाम :-","Father's Name :-")</f>
        <v>पिता का नाम :-</v>
      </c>
      <c r="S67" s="1685" t="str">
        <f>IFERROR(VLOOKUP(AB68,'Statement of Marks'!$B$7:'Statement of Marks'!$IC$206,6,0),"")</f>
        <v/>
      </c>
      <c r="T67" s="1685"/>
      <c r="U67" s="1685"/>
      <c r="V67" s="1685"/>
      <c r="W67" s="1685"/>
      <c r="X67" s="1685"/>
      <c r="Y67" s="1683" t="str">
        <f>IF('School Profile'!$D$12="Hindi","जन्मतिथि शब्दों में :-","Date of Birth in Words :-")</f>
        <v>जन्मतिथि शब्दों में :-</v>
      </c>
      <c r="Z67" s="1683"/>
      <c r="AA67" s="1683"/>
      <c r="AB67" s="1685" t="str">
        <f>IFERROR(IF('School Profile'!$D$12="Hindi",BB68,BB70),"")</f>
        <v>पचीस जनवरी दो हजार बारह</v>
      </c>
      <c r="AC67" s="1685"/>
      <c r="AD67" s="1685"/>
      <c r="AE67" s="1685"/>
      <c r="AF67" s="670"/>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इग्यारह",IF(AV66=2012,"दो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इ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इग्यारह",IF(BA66=2012,"दो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इ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51" customFormat="1" ht="21" customHeight="1">
      <c r="A68" s="33">
        <f>IF(L68="","",A67+1)</f>
        <v>8</v>
      </c>
      <c r="B68" s="681" t="str">
        <f>IF('School Profile'!$D$12="Hindi","माता का नाम :-","Mother's Name :-")</f>
        <v>माता का नाम :-</v>
      </c>
      <c r="C68" s="1685" t="str">
        <f>IFERROR(VLOOKUP(L68,'Statement of Marks'!$B$7:'Statement of Marks'!$IC$206,7,0),"")</f>
        <v/>
      </c>
      <c r="D68" s="1685"/>
      <c r="E68" s="1685"/>
      <c r="F68" s="1685"/>
      <c r="G68" s="1685"/>
      <c r="H68" s="1685"/>
      <c r="I68" s="1683" t="str">
        <f>IF('School Profile'!$D$12="Hindi","रोल नंबर :-","Roll No. :")</f>
        <v>रोल नंबर :-</v>
      </c>
      <c r="J68" s="1683"/>
      <c r="K68" s="1683"/>
      <c r="L68" s="1672">
        <f>IF(AB38="","",IF(AND(AB38+1&gt;$AN$11),"",AB38+1))</f>
        <v>905</v>
      </c>
      <c r="M68" s="1672"/>
      <c r="N68" s="1672"/>
      <c r="Q68" s="1680"/>
      <c r="R68" s="681" t="str">
        <f>IF('School Profile'!$D$12="Hindi","माता का नाम :-","Mother's Name :-")</f>
        <v>माता का नाम :-</v>
      </c>
      <c r="S68" s="1685" t="str">
        <f>IFERROR(VLOOKUP(AB68,'Statement of Marks'!$B$7:'Statement of Marks'!$IC$206,7,0),"")</f>
        <v/>
      </c>
      <c r="T68" s="1685"/>
      <c r="U68" s="1685"/>
      <c r="V68" s="1685"/>
      <c r="W68" s="1685"/>
      <c r="X68" s="1685"/>
      <c r="Y68" s="1683" t="str">
        <f>IF('School Profile'!$D$12="Hindi","रोल नंबर :-","Roll No. :")</f>
        <v>रोल नंबर :-</v>
      </c>
      <c r="Z68" s="1683"/>
      <c r="AA68" s="1683"/>
      <c r="AB68" s="1672">
        <f>IF(L68="","",IF(AND(L68+1&gt;$AN$11),"",L68+1))</f>
        <v>906</v>
      </c>
      <c r="AC68" s="1672"/>
      <c r="AD68" s="1672"/>
      <c r="AV68"/>
      <c r="AW68" t="str">
        <f>CONCATENATE(AX67," ",AW67," ",AV67)</f>
        <v>आठ सितम्बर दो हजार तेरह</v>
      </c>
      <c r="AX68"/>
      <c r="BA68"/>
      <c r="BB68" t="str">
        <f>CONCATENATE(BC67," ",BB67," ",BA67)</f>
        <v>पचीस जनवरी दो हजार बारह</v>
      </c>
      <c r="BC68"/>
    </row>
    <row r="69" spans="1:55" s="351" customFormat="1" ht="9.75" customHeight="1">
      <c r="A69" s="33">
        <f>IF(L68="","",A68+1)</f>
        <v>9</v>
      </c>
      <c r="B69" s="1673"/>
      <c r="C69" s="1673"/>
      <c r="D69" s="1673"/>
      <c r="E69" s="1673"/>
      <c r="F69" s="1673"/>
      <c r="G69" s="1673"/>
      <c r="H69" s="1673"/>
      <c r="I69" s="1673"/>
      <c r="J69" s="1673"/>
      <c r="K69" s="1673"/>
      <c r="L69" s="1673"/>
      <c r="M69" s="1673"/>
      <c r="N69" s="1673"/>
      <c r="O69" s="1673"/>
      <c r="P69" s="401"/>
      <c r="Q69" s="1680"/>
      <c r="R69" s="1673"/>
      <c r="S69" s="1673"/>
      <c r="T69" s="1673"/>
      <c r="U69" s="1673"/>
      <c r="V69" s="1673"/>
      <c r="W69" s="1673"/>
      <c r="X69" s="1673"/>
      <c r="Y69" s="1673"/>
      <c r="Z69" s="1673"/>
      <c r="AA69" s="1673"/>
      <c r="AB69" s="1673"/>
      <c r="AC69" s="1673"/>
      <c r="AD69" s="1673"/>
      <c r="AE69" s="1673"/>
      <c r="AF69" s="401"/>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51" customFormat="1" ht="26.25" customHeight="1">
      <c r="A70" s="33">
        <f>IF(L68="","",A69+1)</f>
        <v>10</v>
      </c>
      <c r="B70" s="1619" t="str">
        <f>IF('School Profile'!$D$12="Hindi","विषय का नाम","Subject Name")</f>
        <v>विषय का नाम</v>
      </c>
      <c r="C70" s="1620"/>
      <c r="D70" s="1678" t="str">
        <f>IF('School Profile'!$D$12="Hindi","सामयिक परख","Seasonal Exam")</f>
        <v>सामयिक परख</v>
      </c>
      <c r="E70" s="1678"/>
      <c r="F70" s="1678"/>
      <c r="G70" s="1678"/>
      <c r="H70" s="1678" t="str">
        <f>IF('School Profile'!$D$12="Hindi","अर्द्धवार्षिक","Half Yearly")</f>
        <v>अर्द्धवार्षिक</v>
      </c>
      <c r="I70" s="1678"/>
      <c r="J70" s="1678"/>
      <c r="K70" s="1582" t="str">
        <f>IF('School Profile'!$D$12="Hindi","अर्द्ध वा. तक योग","Total Till H.Y.")</f>
        <v>अर्द्ध वा. तक योग</v>
      </c>
      <c r="L70" s="1678" t="str">
        <f>IF('School Profile'!$D$12="Hindi","वार्षिक","Yearly")</f>
        <v>वार्षिक</v>
      </c>
      <c r="M70" s="1678"/>
      <c r="N70" s="1678"/>
      <c r="O70" s="1577" t="str">
        <f>IF('School Profile'!$D$12="Hindi","विषय कुल योग ","Subject Total")</f>
        <v xml:space="preserve">विषय कुल योग </v>
      </c>
      <c r="P70" s="1679" t="str">
        <f>IF('School Profile'!$D$12="Hindi","विषय परिणाम / विषय श्रेणी","Sub. Result /  Sub. Div.")</f>
        <v>विषय परिणाम / विषय श्रेणी</v>
      </c>
      <c r="Q70" s="1680"/>
      <c r="R70" s="1619" t="str">
        <f>IF('School Profile'!$D$12="Hindi","विषय का नाम","Subject Name")</f>
        <v>विषय का नाम</v>
      </c>
      <c r="S70" s="1620"/>
      <c r="T70" s="1678" t="str">
        <f>IF('School Profile'!$D$12="Hindi","सामयिक परख","Seasonal Exam")</f>
        <v>सामयिक परख</v>
      </c>
      <c r="U70" s="1678"/>
      <c r="V70" s="1678"/>
      <c r="W70" s="1678"/>
      <c r="X70" s="1678" t="str">
        <f>IF('School Profile'!$D$12="Hindi","अर्द्धवार्षिक","Half Yearly")</f>
        <v>अर्द्धवार्षिक</v>
      </c>
      <c r="Y70" s="1678"/>
      <c r="Z70" s="1678"/>
      <c r="AA70" s="1582" t="str">
        <f>IF('School Profile'!$D$12="Hindi","अर्द्ध वा. तक योग","Total Till H.Y.")</f>
        <v>अर्द्ध वा. तक योग</v>
      </c>
      <c r="AB70" s="1678" t="str">
        <f>IF('School Profile'!$D$12="Hindi","वार्षिक","Yearly")</f>
        <v>वार्षिक</v>
      </c>
      <c r="AC70" s="1678"/>
      <c r="AD70" s="1678"/>
      <c r="AE70" s="1577" t="str">
        <f>IF('School Profile'!$D$12="Hindi","विषय कुल योग ","Subject Total")</f>
        <v xml:space="preserve">विषय कुल योग </v>
      </c>
      <c r="AF70" s="1679"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51" customFormat="1" ht="78.75" customHeight="1">
      <c r="A71" s="33">
        <f>IF(L68="","",A70+1)</f>
        <v>11</v>
      </c>
      <c r="B71" s="1674"/>
      <c r="C71" s="1675"/>
      <c r="D71" s="656" t="str">
        <f>IF('School Profile'!$D$12="Hindi","प्रथम परख ","First Test")</f>
        <v xml:space="preserve">प्रथम परख </v>
      </c>
      <c r="E71" s="656" t="str">
        <f>IF('School Profile'!$D$12="Hindi","द्वितीय परख","Second Test")</f>
        <v>द्वितीय परख</v>
      </c>
      <c r="F71" s="656" t="str">
        <f>IF('School Profile'!$D$12="Hindi","तृतीय परख","Third Test")</f>
        <v>तृतीय परख</v>
      </c>
      <c r="G71" s="657" t="str">
        <f>IF('School Profile'!$D$12="Hindi","सा. परख योग","Test Total")</f>
        <v>सा. परख योग</v>
      </c>
      <c r="H71" s="658" t="str">
        <f>IF('School Profile'!$D$12="Hindi","सैद्धान्तिक","Theoretical")</f>
        <v>सैद्धान्तिक</v>
      </c>
      <c r="I71" s="658" t="str">
        <f>IF('School Profile'!$D$12="Hindi","प्रायोगिक","Practical")</f>
        <v>प्रायोगिक</v>
      </c>
      <c r="J71" s="659" t="str">
        <f>IF('School Profile'!$D$12="Hindi","अर्द्धवार्षिक योग","H.Y.  Total")</f>
        <v>अर्द्धवार्षिक योग</v>
      </c>
      <c r="K71" s="1582"/>
      <c r="L71" s="658" t="str">
        <f>IF('School Profile'!$D$12="Hindi","सैद्धान्तिक","Theoretical")</f>
        <v>सैद्धान्तिक</v>
      </c>
      <c r="M71" s="658" t="str">
        <f>IF('School Profile'!$D$12="Hindi","प्रायोगिक","Practical")</f>
        <v>प्रायोगिक</v>
      </c>
      <c r="N71" s="659" t="str">
        <f>IF('School Profile'!$D$12="Hindi","वार्षिक योग","Yearly  Total")</f>
        <v>वार्षिक योग</v>
      </c>
      <c r="O71" s="1577"/>
      <c r="P71" s="1579"/>
      <c r="Q71" s="1680"/>
      <c r="R71" s="1674"/>
      <c r="S71" s="1675"/>
      <c r="T71" s="656" t="str">
        <f>IF('School Profile'!$D$12="Hindi","प्रथम परख ","First Test")</f>
        <v xml:space="preserve">प्रथम परख </v>
      </c>
      <c r="U71" s="656" t="str">
        <f>IF('School Profile'!$D$12="Hindi","द्वितीय परख","Second Test")</f>
        <v>द्वितीय परख</v>
      </c>
      <c r="V71" s="656" t="str">
        <f>IF('School Profile'!$D$12="Hindi","तृतीय परख","Third Test")</f>
        <v>तृतीय परख</v>
      </c>
      <c r="W71" s="657" t="str">
        <f>IF('School Profile'!$D$12="Hindi","सा. परख योग","Test Total")</f>
        <v>सा. परख योग</v>
      </c>
      <c r="X71" s="658" t="str">
        <f>IF('School Profile'!$D$12="Hindi","सैद्धान्तिक","Theoretical")</f>
        <v>सैद्धान्तिक</v>
      </c>
      <c r="Y71" s="658" t="str">
        <f>IF('School Profile'!$D$12="Hindi","प्रायोगिक","Practical")</f>
        <v>प्रायोगिक</v>
      </c>
      <c r="Z71" s="659" t="str">
        <f>IF('School Profile'!$D$12="Hindi","अर्द्धवार्षिक योग","H.Y.  Total")</f>
        <v>अर्द्धवार्षिक योग</v>
      </c>
      <c r="AA71" s="1582"/>
      <c r="AB71" s="658" t="str">
        <f>IF('School Profile'!$D$12="Hindi","सैद्धान्तिक","Theoretical")</f>
        <v>सैद्धान्तिक</v>
      </c>
      <c r="AC71" s="658" t="str">
        <f>IF('School Profile'!$D$12="Hindi","प्रायोगिक","Practical")</f>
        <v>प्रायोगिक</v>
      </c>
      <c r="AD71" s="659" t="str">
        <f>IF('School Profile'!$D$12="Hindi","वार्षिक योग","Yearly  Total")</f>
        <v>वार्षिक योग</v>
      </c>
      <c r="AE71" s="1577"/>
      <c r="AF71" s="1579"/>
      <c r="AV71"/>
      <c r="AW71"/>
      <c r="AX71"/>
      <c r="BA71"/>
      <c r="BB71"/>
      <c r="BC71"/>
    </row>
    <row r="72" spans="1:55" s="353" customFormat="1" ht="21" customHeight="1">
      <c r="A72" s="33">
        <f>IF(L68="","",A71+1)</f>
        <v>12</v>
      </c>
      <c r="B72" s="1676"/>
      <c r="C72" s="1677"/>
      <c r="D72" s="663">
        <v>10</v>
      </c>
      <c r="E72" s="663">
        <v>10</v>
      </c>
      <c r="F72" s="663">
        <v>10</v>
      </c>
      <c r="G72" s="663">
        <v>30</v>
      </c>
      <c r="H72" s="665" t="s">
        <v>252</v>
      </c>
      <c r="I72" s="661">
        <v>35</v>
      </c>
      <c r="J72" s="660">
        <v>70</v>
      </c>
      <c r="K72" s="661">
        <v>100</v>
      </c>
      <c r="L72" s="664" t="s">
        <v>253</v>
      </c>
      <c r="M72" s="663">
        <v>50</v>
      </c>
      <c r="N72" s="660">
        <v>100</v>
      </c>
      <c r="O72" s="662">
        <v>200</v>
      </c>
      <c r="P72" s="1580"/>
      <c r="Q72" s="1680"/>
      <c r="R72" s="1676"/>
      <c r="S72" s="1677"/>
      <c r="T72" s="663">
        <v>10</v>
      </c>
      <c r="U72" s="663">
        <v>10</v>
      </c>
      <c r="V72" s="663">
        <v>10</v>
      </c>
      <c r="W72" s="663">
        <v>30</v>
      </c>
      <c r="X72" s="665" t="s">
        <v>252</v>
      </c>
      <c r="Y72" s="661">
        <v>35</v>
      </c>
      <c r="Z72" s="660">
        <v>70</v>
      </c>
      <c r="AA72" s="661">
        <v>100</v>
      </c>
      <c r="AB72" s="664" t="s">
        <v>253</v>
      </c>
      <c r="AC72" s="663">
        <v>50</v>
      </c>
      <c r="AD72" s="660">
        <v>100</v>
      </c>
      <c r="AE72" s="662">
        <v>200</v>
      </c>
      <c r="AF72" s="1580"/>
      <c r="AV72"/>
      <c r="AW72"/>
      <c r="AX72"/>
      <c r="BA72"/>
      <c r="BB72"/>
      <c r="BC72"/>
    </row>
    <row r="73" spans="1:55" s="351" customFormat="1" ht="22.5" customHeight="1">
      <c r="A73" s="33">
        <f>IF(L68="","",A72+1)</f>
        <v>13</v>
      </c>
      <c r="B73" s="1617" t="str">
        <f>'Statement of Marks'!$K$3</f>
        <v>हिंदी</v>
      </c>
      <c r="C73" s="1618"/>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7">
        <f>IF(L68="","",IF(AND(H73="",I73=""),"",SUM(H73,I73)))</f>
        <v>46</v>
      </c>
      <c r="K73" s="679">
        <f>IFERROR(IF(L68="","",IF(AND(G73="",J73=""),"",SUM(G73,J73))),"")</f>
        <v>71</v>
      </c>
      <c r="L73" s="26">
        <f>IFERROR(VLOOKUP(L68,'Statement of Marks'!$B$7:'Statement of Marks'!$IC$206,16,0),"")</f>
        <v>65</v>
      </c>
      <c r="M73" s="26"/>
      <c r="N73" s="347">
        <f>IF(L68="","",IF(AND(L73="",M73=""),"",SUM(L73,M73)))</f>
        <v>65</v>
      </c>
      <c r="O73" s="674">
        <f>IFERROR(VLOOKUP(L68,'Statement of Marks'!$B$7:'Statement of Marks'!$IC$206,17,0),"")</f>
        <v>136</v>
      </c>
      <c r="P73" s="680" t="str">
        <f>IFERROR(IF(O73="","",IF(VLOOKUP(L68,'Statement of Marks'!$B$7:'Statement of Marks'!$IC$206,195,0)="D","I",IF(VLOOKUP(L68,'Statement of Marks'!$B$7:'Statement of Marks'!$IC$206,195,0)="G1","G",IF(VLOOKUP(L68,'Statement of Marks'!$B$7:'Statement of Marks'!$IC$206,195,0)="G2","G",VLOOKUP(L68,'Statement of Marks'!$B$7:'Statement of Marks'!$IC$206,195,0))))),"")</f>
        <v>I</v>
      </c>
      <c r="Q73" s="1680"/>
      <c r="R73" s="1617" t="str">
        <f>'Statement of Marks'!$K$3</f>
        <v>हिंदी</v>
      </c>
      <c r="S73" s="1618"/>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7">
        <f>IF(AB68="","",IF(AND(X73="",Y73=""),"",SUM(X73,Y73)))</f>
        <v>46</v>
      </c>
      <c r="AA73" s="679">
        <f>IFERROR(IF(AB68="","",IF(AND(W73="",Z73=""),"",SUM(W73,Z73))),"")</f>
        <v>62</v>
      </c>
      <c r="AB73" s="26">
        <f>IFERROR(VLOOKUP(AB68,'Statement of Marks'!$B$7:'Statement of Marks'!$IC$206,16,0),"")</f>
        <v>65</v>
      </c>
      <c r="AC73" s="26"/>
      <c r="AD73" s="347">
        <f>IF(AB68="","",IF(AND(AB73="",AC73=""),"",SUM(AB73,AC73)))</f>
        <v>65</v>
      </c>
      <c r="AE73" s="674">
        <f>IFERROR(VLOOKUP(AB68,'Statement of Marks'!$B$7:'Statement of Marks'!$IC$206,17,0),"")</f>
        <v>127</v>
      </c>
      <c r="AF73" s="680"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51" customFormat="1" ht="22.5" customHeight="1">
      <c r="A74" s="33">
        <f>IF(L68="","",A73+1)</f>
        <v>14</v>
      </c>
      <c r="B74" s="1617" t="str">
        <f>'Statement of Marks'!$Y$3</f>
        <v>अंग्रेजी</v>
      </c>
      <c r="C74" s="1618"/>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7">
        <f>IF(L68="","",IF(AND(H74="",I74=""),"",SUM(H74,I74)))</f>
        <v>61</v>
      </c>
      <c r="K74" s="679">
        <f>IFERROR(IF(L68="","",IF(AND(G74="",J74=""),"",SUM(G74,J74))),"")</f>
        <v>88</v>
      </c>
      <c r="L74" s="26">
        <f>IFERROR(VLOOKUP(L68,'Statement of Marks'!$B$7:'Statement of Marks'!$IC$206,30,0),"")</f>
        <v>45</v>
      </c>
      <c r="M74" s="26"/>
      <c r="N74" s="347">
        <f>IF(L68="","",IF(AND(L74="",M74=""),"",SUM(L74,M74)))</f>
        <v>45</v>
      </c>
      <c r="O74" s="674">
        <f>IFERROR(VLOOKUP(L68,'Statement of Marks'!$B$7:'Statement of Marks'!$IC$206,31,0),"")</f>
        <v>133</v>
      </c>
      <c r="P74" s="680" t="str">
        <f>IFERROR(IF(O73="","",IF(VLOOKUP(L68,'Statement of Marks'!$B$7:'Statement of Marks'!$IC$206,198,0)="D","I",IF(VLOOKUP(L68,'Statement of Marks'!$B$7:'Statement of Marks'!$IC$206,198,0)="G1","G",IF(VLOOKUP(L68,'Statement of Marks'!$B$7:'Statement of Marks'!$IC$206,198,0)="G2","G",VLOOKUP(L68,'Statement of Marks'!$B$7:'Statement of Marks'!$IC$206,198,0))))),"")</f>
        <v>I</v>
      </c>
      <c r="Q74" s="1680"/>
      <c r="R74" s="1617" t="str">
        <f>'Statement of Marks'!$Y$3</f>
        <v>अंग्रेजी</v>
      </c>
      <c r="S74" s="1618"/>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7">
        <f>IF(AB68="","",IF(AND(X74="",Y74=""),"",SUM(X74,Y74)))</f>
        <v>62</v>
      </c>
      <c r="AA74" s="679">
        <f>IFERROR(IF(AB68="","",IF(AND(W74="",Z74=""),"",SUM(W74,Z74))),"")</f>
        <v>89</v>
      </c>
      <c r="AB74" s="26">
        <f>IFERROR(VLOOKUP(AB68,'Statement of Marks'!$B$7:'Statement of Marks'!$IC$206,30,0),"")</f>
        <v>95</v>
      </c>
      <c r="AC74" s="26"/>
      <c r="AD74" s="347">
        <f>IF(AB68="","",IF(AND(AB74="",AC74=""),"",SUM(AB74,AC74)))</f>
        <v>95</v>
      </c>
      <c r="AE74" s="674">
        <f>IFERROR(VLOOKUP(AB68,'Statement of Marks'!$B$7:'Statement of Marks'!$IC$206,31,0),"")</f>
        <v>184</v>
      </c>
      <c r="AF74" s="680"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51" customFormat="1" ht="22.5" customHeight="1">
      <c r="A75" s="33">
        <f>IF(L68="","",A74+1)</f>
        <v>15</v>
      </c>
      <c r="B75" s="1617" t="str">
        <f>IFERROR(VLOOKUP(L68,'Statement of Marks'!$B$7:'Statement of Marks'!$IC$206,38,0),"")</f>
        <v xml:space="preserve">उर्दू (72) </v>
      </c>
      <c r="C75" s="1618"/>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7">
        <f>IF(L68="","",IF(AND(H75="",I75=""),"",SUM(H75,I75)))</f>
        <v>46</v>
      </c>
      <c r="K75" s="679">
        <f>IFERROR(IF(L68="","",IF(AND(G75="",J75=""),"",SUM(G75,J75))),"")</f>
        <v>71</v>
      </c>
      <c r="L75" s="26">
        <f>IFERROR(VLOOKUP(L68,'Statement of Marks'!$B$7:'Statement of Marks'!$IC$206,45,0),"")</f>
        <v>45</v>
      </c>
      <c r="M75" s="26"/>
      <c r="N75" s="347">
        <f>IF(L68="","",IF(AND(L75="",M75=""),"",SUM(L75,M75)))</f>
        <v>45</v>
      </c>
      <c r="O75" s="674">
        <f>IFERROR(VLOOKUP(L68,'Statement of Marks'!$B$7:'Statement of Marks'!$IC$206,46,0),"")</f>
        <v>116</v>
      </c>
      <c r="P75" s="680"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80"/>
      <c r="R75" s="1617" t="str">
        <f>IFERROR(VLOOKUP(AB68,'Statement of Marks'!$B$7:'Statement of Marks'!$IC$206,38,0),"")</f>
        <v xml:space="preserve">उर्दू (72) </v>
      </c>
      <c r="S75" s="1618"/>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7">
        <f>IF(AB68="","",IF(AND(X75="",Y75=""),"",SUM(X75,Y75)))</f>
        <v>46</v>
      </c>
      <c r="AA75" s="679">
        <f>IFERROR(IF(AB68="","",IF(AND(W75="",Z75=""),"",SUM(W75,Z75))),"")</f>
        <v>71</v>
      </c>
      <c r="AB75" s="26">
        <f>IFERROR(VLOOKUP(AB68,'Statement of Marks'!$B$7:'Statement of Marks'!$IC$206,45,0),"")</f>
        <v>45</v>
      </c>
      <c r="AC75" s="26"/>
      <c r="AD75" s="347">
        <f>IF(AB68="","",IF(AND(AB75="",AC75=""),"",SUM(AB75,AC75)))</f>
        <v>45</v>
      </c>
      <c r="AE75" s="674">
        <f>IFERROR(VLOOKUP(AB68,'Statement of Marks'!$B$7:'Statement of Marks'!$IC$206,46,0),"")</f>
        <v>116</v>
      </c>
      <c r="AF75" s="680"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51" customFormat="1" ht="22.5" customHeight="1">
      <c r="A76" s="33">
        <f>IF(L68="","",A75+1)</f>
        <v>16</v>
      </c>
      <c r="B76" s="1617" t="str">
        <f>'Statement of Marks'!$BB$3</f>
        <v>गणित</v>
      </c>
      <c r="C76" s="1618"/>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7">
        <f>IF(L68="","",IF(AND(H76="",I76=""),"",SUM(H76,I76)))</f>
        <v>46</v>
      </c>
      <c r="K76" s="679">
        <f>IFERROR(IF(L68="","",IF(AND(G76="",J76=""),"",SUM(G76,J76))),"")</f>
        <v>72</v>
      </c>
      <c r="L76" s="26">
        <f>IFERROR(VLOOKUP(L68,'Statement of Marks'!$B$7:'Statement of Marks'!$IC$206,59,0),"")</f>
        <v>45</v>
      </c>
      <c r="M76" s="26"/>
      <c r="N76" s="347">
        <f>IF(L68="","",IF(AND(L76="",M76=""),"",SUM(L76,M76)))</f>
        <v>45</v>
      </c>
      <c r="O76" s="674">
        <f>IFERROR(VLOOKUP(L68,'Statement of Marks'!$B$7:'Statement of Marks'!$IC$206,60,0),"")</f>
        <v>117</v>
      </c>
      <c r="P76" s="680"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80"/>
      <c r="R76" s="1617" t="str">
        <f>'Statement of Marks'!$BB$3</f>
        <v>गणित</v>
      </c>
      <c r="S76" s="1618"/>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7">
        <f>IF(AB68="","",IF(AND(X76="",Y76=""),"",SUM(X76,Y76)))</f>
        <v>46</v>
      </c>
      <c r="AA76" s="679">
        <f>IFERROR(IF(AB68="","",IF(AND(W76="",Z76=""),"",SUM(W76,Z76))),"")</f>
        <v>72</v>
      </c>
      <c r="AB76" s="26">
        <f>IFERROR(VLOOKUP(AB68,'Statement of Marks'!$B$7:'Statement of Marks'!$IC$206,59,0),"")</f>
        <v>45</v>
      </c>
      <c r="AC76" s="26"/>
      <c r="AD76" s="347">
        <f>IF(AB68="","",IF(AND(AB76="",AC76=""),"",SUM(AB76,AC76)))</f>
        <v>45</v>
      </c>
      <c r="AE76" s="674">
        <f>IFERROR(VLOOKUP(AB68,'Statement of Marks'!$B$7:'Statement of Marks'!$IC$206,60,0),"")</f>
        <v>117</v>
      </c>
      <c r="AF76" s="680"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51" customFormat="1" ht="22.5" customHeight="1">
      <c r="A77" s="33">
        <f>IF(L68="","",A76+1)</f>
        <v>17</v>
      </c>
      <c r="B77" s="1619" t="str">
        <f>'Statement of Marks'!$BP$3</f>
        <v>विज्ञान</v>
      </c>
      <c r="C77" s="1620"/>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7">
        <f>IF(L68="","",IF(AND(H77="",I77=""),"",SUM(H77,I77)))</f>
        <v>46</v>
      </c>
      <c r="K77" s="679">
        <f>IFERROR(IF(L68="","",IF(AND(G77="",J77=""),"",SUM(G77,J77))),"")</f>
        <v>73</v>
      </c>
      <c r="L77" s="26">
        <f>IFERROR(VLOOKUP(L68,'Statement of Marks'!$B$7:'Statement of Marks'!$IC$206,73,0),"")</f>
        <v>45</v>
      </c>
      <c r="M77" s="26"/>
      <c r="N77" s="347">
        <f>IF(L68="","",IF(AND(L77="",M77=""),"",SUM(L77,M77)))</f>
        <v>45</v>
      </c>
      <c r="O77" s="674">
        <f>IFERROR(VLOOKUP(L68,'Statement of Marks'!$B$7:'Statement of Marks'!$IC$206,74,0),"")</f>
        <v>118</v>
      </c>
      <c r="P77" s="680"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80"/>
      <c r="R77" s="1619" t="str">
        <f>'Statement of Marks'!$BP$3</f>
        <v>विज्ञान</v>
      </c>
      <c r="S77" s="1620"/>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7">
        <f>IF(AB68="","",IF(AND(X77="",Y77=""),"",SUM(X77,Y77)))</f>
        <v>46</v>
      </c>
      <c r="AA77" s="679">
        <f>IFERROR(IF(AB68="","",IF(AND(W77="",Z77=""),"",SUM(W77,Z77))),"")</f>
        <v>73</v>
      </c>
      <c r="AB77" s="26">
        <f>IFERROR(VLOOKUP(AB68,'Statement of Marks'!$B$7:'Statement of Marks'!$IC$206,73,0),"")</f>
        <v>45</v>
      </c>
      <c r="AC77" s="26"/>
      <c r="AD77" s="347">
        <f>IF(AB68="","",IF(AND(AB77="",AC77=""),"",SUM(AB77,AC77)))</f>
        <v>45</v>
      </c>
      <c r="AE77" s="674">
        <f>IFERROR(VLOOKUP(AB68,'Statement of Marks'!$B$7:'Statement of Marks'!$IC$206,74,0),"")</f>
        <v>118</v>
      </c>
      <c r="AF77" s="680"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51" customFormat="1" ht="22.5" customHeight="1">
      <c r="A78" s="33">
        <f>IF(L68="","",A77+1)</f>
        <v>18</v>
      </c>
      <c r="B78" s="409" t="str">
        <f>'Statement of Marks'!$CE$3</f>
        <v>सामाजिक विज्ञान</v>
      </c>
      <c r="C78" s="412"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7">
        <f>IF(L68="","",IF(AND(H78="",I78=""),"",SUM(H78,I78)))</f>
        <v>46</v>
      </c>
      <c r="K78" s="679">
        <f>IFERROR(IF(L68="","",IF(AND(G78="",J78=""),"",SUM(G78,J78))),"")</f>
        <v>64</v>
      </c>
      <c r="L78" s="26">
        <f>IFERROR(VLOOKUP(L68,'Statement of Marks'!$B$7:'Statement of Marks'!$IC$206,88,0),"")</f>
        <v>45</v>
      </c>
      <c r="M78" s="26"/>
      <c r="N78" s="347">
        <f>IF(L68="","",IF(AND(L78="",M78=""),"",SUM(L78,M78)))</f>
        <v>45</v>
      </c>
      <c r="O78" s="674">
        <f>IFERROR(VLOOKUP(L68,'Statement of Marks'!$B$7:'Statement of Marks'!$IC$206,89,0),"")</f>
        <v>109</v>
      </c>
      <c r="P78" s="680"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80"/>
      <c r="R78" s="409" t="str">
        <f>'Statement of Marks'!$CE$3</f>
        <v>सामाजिक विज्ञान</v>
      </c>
      <c r="S78" s="412"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7">
        <f>IF(AB68="","",IF(AND(X78="",Y78=""),"",SUM(X78,Y78)))</f>
        <v>46</v>
      </c>
      <c r="AA78" s="679">
        <f>IFERROR(IF(AB68="","",IF(AND(W78="",Z78=""),"",SUM(W78,Z78))),"")</f>
        <v>70</v>
      </c>
      <c r="AB78" s="26">
        <f>IFERROR(VLOOKUP(AB68,'Statement of Marks'!$B$7:'Statement of Marks'!$IC$206,88,0),"")</f>
        <v>45</v>
      </c>
      <c r="AC78" s="26"/>
      <c r="AD78" s="347">
        <f>IF(AB68="","",IF(AND(AB78="",AC78=""),"",SUM(AB78,AC78)))</f>
        <v>45</v>
      </c>
      <c r="AE78" s="674">
        <f>IFERROR(VLOOKUP(AB68,'Statement of Marks'!$B$7:'Statement of Marks'!$IC$206,89,0),"")</f>
        <v>115</v>
      </c>
      <c r="AF78" s="680"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51" customFormat="1">
      <c r="A79" s="33">
        <f>IF(L68="","",A78+1)</f>
        <v>19</v>
      </c>
      <c r="B79" s="1687" t="str">
        <f>IF('School Profile'!$D$12="Hindi","व्यावसायिक शिक्षा","Vocational Education")</f>
        <v>व्यावसायिक शिक्षा</v>
      </c>
      <c r="C79" s="1688"/>
      <c r="D79" s="1689"/>
      <c r="E79" s="1689"/>
      <c r="F79" s="1689"/>
      <c r="G79" s="1689"/>
      <c r="H79" s="1689"/>
      <c r="I79" s="1689"/>
      <c r="J79" s="1689"/>
      <c r="K79" s="1689"/>
      <c r="L79" s="1689"/>
      <c r="M79" s="1689"/>
      <c r="N79" s="1689"/>
      <c r="O79" s="1689"/>
      <c r="P79" s="1690"/>
      <c r="Q79" s="1680"/>
      <c r="R79" s="1687" t="str">
        <f>IF('School Profile'!$D$12="Hindi","व्यावसायिक शिक्षा","Vocational Education")</f>
        <v>व्यावसायिक शिक्षा</v>
      </c>
      <c r="S79" s="1688"/>
      <c r="T79" s="1689"/>
      <c r="U79" s="1689"/>
      <c r="V79" s="1689"/>
      <c r="W79" s="1689"/>
      <c r="X79" s="1689"/>
      <c r="Y79" s="1689"/>
      <c r="Z79" s="1689"/>
      <c r="AA79" s="1689"/>
      <c r="AB79" s="1689"/>
      <c r="AC79" s="1689"/>
      <c r="AD79" s="1689"/>
      <c r="AE79" s="1689"/>
      <c r="AF79" s="1690"/>
      <c r="AV79"/>
      <c r="AW79"/>
      <c r="AX79"/>
      <c r="BA79"/>
      <c r="BB79"/>
      <c r="BC79"/>
    </row>
    <row r="80" spans="1:55" s="351" customFormat="1" ht="22.5" customHeight="1">
      <c r="A80" s="33">
        <f>IF(L68="","",A79+1)</f>
        <v>20</v>
      </c>
      <c r="B80" s="411" t="str">
        <f>IFERROR(VLOOKUP(L68,'Statement of Marks'!$B$7:'Statement of Marks'!$IC$206,96,0),"")</f>
        <v/>
      </c>
      <c r="C80" s="410" t="str">
        <f>IF(OR(L68="",O78="",O80="",B80=""),"",IF(AND(O80&gt;=O78),"*",""))</f>
        <v/>
      </c>
      <c r="D80" s="397"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7" t="str">
        <f>IFERROR(VLOOKUP(L68,'Statement of Marks'!$B$7:'Statement of Marks'!$IC$206,103,0),"")</f>
        <v/>
      </c>
      <c r="K80" s="679" t="str">
        <f>IFERROR(IF(L68="","",IF(AND(G80="",J80=""),"",SUM(G80,J80))),"")</f>
        <v/>
      </c>
      <c r="L80" s="26" t="str">
        <f>IFERROR(VLOOKUP(L68,'Statement of Marks'!$B$7:'Statement of Marks'!$IC$206,105,0),"")</f>
        <v/>
      </c>
      <c r="M80" s="26" t="str">
        <f>IFERROR(VLOOKUP(L68,'Statement of Marks'!$B$7:'Statement of Marks'!$IC$206,106,0),"")</f>
        <v/>
      </c>
      <c r="N80" s="347" t="str">
        <f>IF(L68="","",IF(AND(L80="",M80=""),"",SUM(L80,M80)))</f>
        <v/>
      </c>
      <c r="O80" s="672" t="str">
        <f>IFERROR(VLOOKUP(L68,'Statement of Marks'!$B$7:'Statement of Marks'!$IC$206,108,0),"")</f>
        <v/>
      </c>
      <c r="P80" s="680" t="str">
        <f>IFERROR(IF(O73="","",IF(VLOOKUP(L68,'Statement of Marks'!$B$7:'Statement of Marks'!$IC$206,218,0)="D","I",IF(VLOOKUP(L68,'Statement of Marks'!$B$7:'Statement of Marks'!$IC$206,218,0)="G1","G",IF(VLOOKUP(L68,'Statement of Marks'!$B$7:'Statement of Marks'!$IC$206,218,0)="G2","G",VLOOKUP(L68,'Statement of Marks'!$B$7:'Statement of Marks'!$IC$206,218,0))))),"")</f>
        <v/>
      </c>
      <c r="Q80" s="1680"/>
      <c r="R80" s="411" t="str">
        <f>IFERROR(VLOOKUP(AB68,'Statement of Marks'!$B$7:'Statement of Marks'!$IC$206,96,0),"")</f>
        <v/>
      </c>
      <c r="S80" s="410" t="str">
        <f>IF(OR(AB68="",AE78="",AE80="",R80=""),"",IF(AND(AE80&gt;=AE78),"*",""))</f>
        <v/>
      </c>
      <c r="T80" s="397"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7" t="str">
        <f>IFERROR(VLOOKUP(AB68,'Statement of Marks'!$B$7:'Statement of Marks'!$IC$206,103,0),"")</f>
        <v/>
      </c>
      <c r="AA80" s="679" t="str">
        <f>IFERROR(IF(AB68="","",IF(AND(W80="",Z80=""),"",SUM(W80,Z80))),"")</f>
        <v/>
      </c>
      <c r="AB80" s="26" t="str">
        <f>IFERROR(VLOOKUP(AB68,'Statement of Marks'!$B$7:'Statement of Marks'!$IC$206,105,0),"")</f>
        <v/>
      </c>
      <c r="AC80" s="26" t="str">
        <f>IFERROR(VLOOKUP(AB68,'Statement of Marks'!$B$7:'Statement of Marks'!$IC$206,106,0),"")</f>
        <v/>
      </c>
      <c r="AD80" s="347" t="str">
        <f>IF(AB68="","",IF(AND(AB80="",AC80=""),"",SUM(AB80,AC80)))</f>
        <v/>
      </c>
      <c r="AE80" s="672" t="str">
        <f>IFERROR(VLOOKUP(AB68,'Statement of Marks'!$B$7:'Statement of Marks'!$IC$206,108,0),"")</f>
        <v/>
      </c>
      <c r="AF80" s="680"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51" customFormat="1" ht="25.5" customHeight="1">
      <c r="A81" s="33">
        <f>IF(L68="","",A80+1)</f>
        <v>21</v>
      </c>
      <c r="B81" s="1665"/>
      <c r="C81" s="1666"/>
      <c r="D81" s="1667"/>
      <c r="E81" s="1667"/>
      <c r="F81" s="1667"/>
      <c r="G81" s="1667"/>
      <c r="H81" s="1667"/>
      <c r="I81" s="1667"/>
      <c r="J81" s="1667"/>
      <c r="K81" s="1667"/>
      <c r="L81" s="1668" t="str">
        <f>IF('School Profile'!$D$12="Hindi","महायोग :","Grand Total :")</f>
        <v>महायोग :</v>
      </c>
      <c r="M81" s="1669"/>
      <c r="N81" s="1669"/>
      <c r="O81" s="1670">
        <f>IF(OR(L68="",C66=""),"",IF(OR(B80="",O80=""),SUM(O73,O74,O75,O76,O77,O78),IF((O78/O72*100)&gt;=(O80/O72*100),SUM(O73:O78),SUM(O73,O74,O75,O76,O77,O80))))</f>
        <v>729</v>
      </c>
      <c r="P81" s="1671"/>
      <c r="Q81" s="1680"/>
      <c r="R81" s="1665"/>
      <c r="S81" s="1666"/>
      <c r="T81" s="1667"/>
      <c r="U81" s="1667"/>
      <c r="V81" s="1667"/>
      <c r="W81" s="1667"/>
      <c r="X81" s="1667"/>
      <c r="Y81" s="1667"/>
      <c r="Z81" s="1667"/>
      <c r="AA81" s="1667"/>
      <c r="AB81" s="1668" t="str">
        <f>IF('School Profile'!$D$12="Hindi","महायोग :","Grand Total :")</f>
        <v>महायोग :</v>
      </c>
      <c r="AC81" s="1669"/>
      <c r="AD81" s="1669"/>
      <c r="AE81" s="1670">
        <f>IF(OR(AB68="",S66=""),"",IF(OR(R80="",AE80=""),SUM(AE73,AE74,AE75,AE76,AE77,AE78),IF((AE78/AE72*100)&gt;=(AE80/AE72*100),SUM(AE73:AE78),SUM(AE73,AE74,AE75,AE76,AE77,AE80))))</f>
        <v>777</v>
      </c>
      <c r="AF81" s="1671"/>
      <c r="AV81"/>
      <c r="AW81"/>
      <c r="AX81"/>
      <c r="BA81"/>
      <c r="BB81"/>
      <c r="BC81"/>
    </row>
    <row r="82" spans="1:55" s="351" customFormat="1" ht="25.5" customHeight="1">
      <c r="A82" s="33">
        <f>IF(L68="","",A81+1)</f>
        <v>22</v>
      </c>
      <c r="B82" s="1644" t="str">
        <f>'Statement of Marks'!$DZ$208</f>
        <v>राजस्थान का स्वंत्रता आन्दोलन व शोर्य परम्परा</v>
      </c>
      <c r="C82" s="1645"/>
      <c r="D82" s="1646" t="s">
        <v>149</v>
      </c>
      <c r="E82" s="1647"/>
      <c r="F82" s="355">
        <f>IFERROR(VLOOKUP(L68,'Statement of Marks'!$B$7:'Statement of Marks'!$IC$206,136,0),"")</f>
        <v>184</v>
      </c>
      <c r="G82" s="356" t="s">
        <v>135</v>
      </c>
      <c r="H82" s="355" t="str">
        <f>IFERROR(VLOOKUP(L68,'Statement of Marks'!$B$7:'Statement of Marks'!$IC$206,137,0),"")</f>
        <v>A</v>
      </c>
      <c r="I82" s="1648" t="str">
        <f>'Statement of Marks'!$EL$208</f>
        <v>सूचना प्रोद्योगिकी की अवधारणा - I</v>
      </c>
      <c r="J82" s="1649"/>
      <c r="K82" s="1649"/>
      <c r="L82" s="1650"/>
      <c r="M82" s="354" t="s">
        <v>149</v>
      </c>
      <c r="N82" s="355">
        <f>IFERROR(VLOOKUP(L68,'Statement of Marks'!$B$7:'Statement of Marks'!$IC$206,152,0),"")</f>
        <v>177</v>
      </c>
      <c r="O82" s="356" t="s">
        <v>135</v>
      </c>
      <c r="P82" s="355" t="str">
        <f>IFERROR(VLOOKUP(L68,'Statement of Marks'!$B$7:'Statement of Marks'!$IC$206,153,0),"")</f>
        <v>A</v>
      </c>
      <c r="Q82" s="1680"/>
      <c r="R82" s="1644" t="str">
        <f>'Statement of Marks'!$DZ$208</f>
        <v>राजस्थान का स्वंत्रता आन्दोलन व शोर्य परम्परा</v>
      </c>
      <c r="S82" s="1645"/>
      <c r="T82" s="1646" t="s">
        <v>149</v>
      </c>
      <c r="U82" s="1647"/>
      <c r="V82" s="355">
        <f>IFERROR(VLOOKUP(AB68,'Statement of Marks'!$B$7:'Statement of Marks'!$IC$206,136,0),"")</f>
        <v>184</v>
      </c>
      <c r="W82" s="356" t="s">
        <v>135</v>
      </c>
      <c r="X82" s="355" t="str">
        <f>IFERROR(VLOOKUP(AB68,'Statement of Marks'!$B$7:'Statement of Marks'!$IC$206,137,0),"")</f>
        <v>A</v>
      </c>
      <c r="Y82" s="1648" t="str">
        <f>'Statement of Marks'!$EL$208</f>
        <v>सूचना प्रोद्योगिकी की अवधारणा - I</v>
      </c>
      <c r="Z82" s="1649"/>
      <c r="AA82" s="1649"/>
      <c r="AB82" s="1650"/>
      <c r="AC82" s="354" t="s">
        <v>149</v>
      </c>
      <c r="AD82" s="355">
        <f>IFERROR(VLOOKUP(AB68,'Statement of Marks'!$B$7:'Statement of Marks'!$IC$206,152,0),"")</f>
        <v>172</v>
      </c>
      <c r="AE82" s="356" t="s">
        <v>135</v>
      </c>
      <c r="AF82" s="355" t="str">
        <f>IFERROR(VLOOKUP(AB68,'Statement of Marks'!$B$7:'Statement of Marks'!$IC$206,153,0),"")</f>
        <v>A</v>
      </c>
      <c r="AV82"/>
      <c r="AW82"/>
      <c r="AX82"/>
      <c r="BA82"/>
      <c r="BB82"/>
      <c r="BC82"/>
    </row>
    <row r="83" spans="1:55" s="351" customFormat="1" ht="25.5" customHeight="1">
      <c r="A83" s="33">
        <f>IF(L68="","",A82+1)</f>
        <v>23</v>
      </c>
      <c r="B83" s="1651" t="str">
        <f>'Statement of Marks'!$FB$208</f>
        <v>स्वा. एवं शा. शिक्षा</v>
      </c>
      <c r="C83" s="1652"/>
      <c r="D83" s="1653" t="s">
        <v>149</v>
      </c>
      <c r="E83" s="1654"/>
      <c r="F83" s="355">
        <f>IFERROR(VLOOKUP(L68,'Statement of Marks'!$B$7:'Statement of Marks'!$IC$206,171,0),"")</f>
        <v>173</v>
      </c>
      <c r="G83" s="356" t="s">
        <v>135</v>
      </c>
      <c r="H83" s="355" t="str">
        <f>IFERROR(VLOOKUP(L68,'Statement of Marks'!$B$7:'Statement of Marks'!$IC$206,172,0),"")</f>
        <v>A</v>
      </c>
      <c r="I83" s="1655" t="str">
        <f>'Statement of Marks'!$FJ$208</f>
        <v>समाजोपयोगी उत्पादन कार्य एवं समाज सेवा</v>
      </c>
      <c r="J83" s="1656"/>
      <c r="K83" s="1656"/>
      <c r="L83" s="1657"/>
      <c r="M83" s="403" t="s">
        <v>149</v>
      </c>
      <c r="N83" s="404">
        <f>IFERROR(VLOOKUP(L68,'Statement of Marks'!$B$7:'Statement of Marks'!$IC$206,179,0),"")</f>
        <v>87</v>
      </c>
      <c r="O83" s="405" t="s">
        <v>135</v>
      </c>
      <c r="P83" s="404" t="str">
        <f>IFERROR(VLOOKUP(L68,'Statement of Marks'!$B$7:'Statement of Marks'!$IC$206,180,0),"")</f>
        <v>A</v>
      </c>
      <c r="Q83" s="1680"/>
      <c r="R83" s="1651" t="str">
        <f>'Statement of Marks'!$FB$208</f>
        <v>स्वा. एवं शा. शिक्षा</v>
      </c>
      <c r="S83" s="1652"/>
      <c r="T83" s="1653" t="s">
        <v>149</v>
      </c>
      <c r="U83" s="1654"/>
      <c r="V83" s="355">
        <f>IFERROR(VLOOKUP(AB68,'Statement of Marks'!$B$7:'Statement of Marks'!$IC$206,171,0),"")</f>
        <v>178</v>
      </c>
      <c r="W83" s="356" t="s">
        <v>135</v>
      </c>
      <c r="X83" s="355" t="str">
        <f>IFERROR(VLOOKUP(AB68,'Statement of Marks'!$B$7:'Statement of Marks'!$IC$206,172,0),"")</f>
        <v>A</v>
      </c>
      <c r="Y83" s="1655" t="str">
        <f>'Statement of Marks'!$FJ$208</f>
        <v>समाजोपयोगी उत्पादन कार्य एवं समाज सेवा</v>
      </c>
      <c r="Z83" s="1656"/>
      <c r="AA83" s="1656"/>
      <c r="AB83" s="1657"/>
      <c r="AC83" s="403" t="s">
        <v>149</v>
      </c>
      <c r="AD83" s="404">
        <f>IFERROR(VLOOKUP(AB68,'Statement of Marks'!$B$7:'Statement of Marks'!$IC$206,179,0),"")</f>
        <v>80</v>
      </c>
      <c r="AE83" s="405" t="s">
        <v>135</v>
      </c>
      <c r="AF83" s="404" t="str">
        <f>IFERROR(VLOOKUP(AB68,'Statement of Marks'!$B$7:'Statement of Marks'!$IC$206,180,0),"")</f>
        <v>B</v>
      </c>
      <c r="AV83"/>
      <c r="AW83"/>
      <c r="AX83"/>
      <c r="BA83"/>
      <c r="BB83"/>
      <c r="BC83"/>
    </row>
    <row r="84" spans="1:55" s="351" customFormat="1" ht="30" customHeight="1">
      <c r="A84" s="33">
        <f>IF(L68="","",A83+1)</f>
        <v>24</v>
      </c>
      <c r="B84" s="1658" t="str">
        <f>'Statement of Marks'!$FU$208</f>
        <v>कला शिक्षा</v>
      </c>
      <c r="C84" s="1659"/>
      <c r="D84" s="1660" t="s">
        <v>149</v>
      </c>
      <c r="E84" s="1661"/>
      <c r="F84" s="404">
        <f>IFERROR(VLOOKUP(L68,'Statement of Marks'!$B$7:'Statement of Marks'!$IC$206,187,0),"")</f>
        <v>91</v>
      </c>
      <c r="G84" s="405" t="s">
        <v>135</v>
      </c>
      <c r="H84" s="355" t="str">
        <f>IFERROR(VLOOKUP(L68,'Statement of Marks'!$B$7:'Statement of Marks'!$IC$206,188,0),"")</f>
        <v>A</v>
      </c>
      <c r="I84" s="1662" t="str">
        <f>IF('School Profile'!$D$12="Hindi","परीक्षा परिणाम घोषित दिनांक :-","Date of Result declaration :-")</f>
        <v>परीक्षा परिणाम घोषित दिनांक :-</v>
      </c>
      <c r="J84" s="1663"/>
      <c r="K84" s="1663"/>
      <c r="L84" s="1664"/>
      <c r="M84" s="1625">
        <f>IF(AND(L68=""),"",IF('School Profile'!$D$11="","",'School Profile'!$D$11))</f>
        <v>45793</v>
      </c>
      <c r="N84" s="1626"/>
      <c r="O84" s="690" t="str">
        <f>IF('School Profile'!$D$12="Hindi","श्रेणी","Division")</f>
        <v>श्रेणी</v>
      </c>
      <c r="P84" s="407" t="str">
        <f>IFERROR(VLOOKUP(L68,'Statement of Marks'!$B$7:'Statement of Marks'!$IC$206,229,0),"")</f>
        <v>1st</v>
      </c>
      <c r="Q84" s="1680"/>
      <c r="R84" s="1658" t="str">
        <f>'Statement of Marks'!$FU$208</f>
        <v>कला शिक्षा</v>
      </c>
      <c r="S84" s="1659"/>
      <c r="T84" s="1660" t="s">
        <v>149</v>
      </c>
      <c r="U84" s="1661"/>
      <c r="V84" s="404">
        <f>IFERROR(VLOOKUP(AB68,'Statement of Marks'!$B$7:'Statement of Marks'!$IC$206,187,0),"")</f>
        <v>85</v>
      </c>
      <c r="W84" s="405" t="s">
        <v>135</v>
      </c>
      <c r="X84" s="355" t="str">
        <f>IFERROR(VLOOKUP(AB68,'Statement of Marks'!$B$7:'Statement of Marks'!$IC$206,188,0),"")</f>
        <v>A</v>
      </c>
      <c r="Y84" s="1662" t="str">
        <f>IF('School Profile'!$D$12="Hindi","परीक्षा परिणाम घोषित दिनांक :-","Date of Result declaration :-")</f>
        <v>परीक्षा परिणाम घोषित दिनांक :-</v>
      </c>
      <c r="Z84" s="1663"/>
      <c r="AA84" s="1663"/>
      <c r="AB84" s="1664"/>
      <c r="AC84" s="1625">
        <f>IF(AND(AB68=""),"",IF('School Profile'!$D$11="","",'School Profile'!$D$11))</f>
        <v>45793</v>
      </c>
      <c r="AD84" s="1626"/>
      <c r="AE84" s="690" t="str">
        <f>IF('School Profile'!$D$12="Hindi","श्रेणी","Division")</f>
        <v>श्रेणी</v>
      </c>
      <c r="AF84" s="407" t="str">
        <f>IFERROR(VLOOKUP(AB68,'Statement of Marks'!$B$7:'Statement of Marks'!$IC$206,229,0),"")</f>
        <v>1st</v>
      </c>
      <c r="AV84"/>
      <c r="AW84"/>
      <c r="AX84"/>
      <c r="BA84"/>
      <c r="BB84"/>
      <c r="BC84"/>
    </row>
    <row r="85" spans="1:55" s="351" customFormat="1" ht="29.25" customHeight="1">
      <c r="A85" s="33">
        <f>IF(L68="","",A84+1)</f>
        <v>25</v>
      </c>
      <c r="B85" s="1627" t="s">
        <v>144</v>
      </c>
      <c r="C85" s="1628"/>
      <c r="D85" s="1629" t="str">
        <f>IFERROR(VLOOKUP(L68,'Statement of Marks'!$B$7:'Statement of Marks'!$IC$206,192,0),"")</f>
        <v/>
      </c>
      <c r="E85" s="1630"/>
      <c r="F85" s="1631" t="s">
        <v>76</v>
      </c>
      <c r="G85" s="1632"/>
      <c r="H85" s="406" t="str">
        <f>IFERROR(VLOOKUP(L68,'Statement of Marks'!$B$7:'Statement of Marks'!$IC$206,193,0),"")</f>
        <v/>
      </c>
      <c r="I85" s="1633" t="s">
        <v>136</v>
      </c>
      <c r="J85" s="1634"/>
      <c r="K85" s="1635">
        <f>IFERROR(IF(OR(O81="",L68=""),"",VLOOKUP(L68,'Statement of Marks'!$B$7:'Statement of Marks'!$IC$206,230,0)),"")</f>
        <v>60.75</v>
      </c>
      <c r="L85" s="1636"/>
      <c r="M85" s="1637" t="s">
        <v>145</v>
      </c>
      <c r="N85" s="1638"/>
      <c r="O85" s="1638"/>
      <c r="P85" s="408">
        <f>IFERROR(VLOOKUP(L68,'Statement of Marks'!$B$7:'Statement of Marks'!$IC$206,231,0),"")</f>
        <v>11.000000000000082</v>
      </c>
      <c r="Q85" s="1680"/>
      <c r="R85" s="1627" t="s">
        <v>144</v>
      </c>
      <c r="S85" s="1628"/>
      <c r="T85" s="1629" t="str">
        <f>IFERROR(VLOOKUP(AB68,'Statement of Marks'!$B$7:'Statement of Marks'!$IC$206,192,0),"")</f>
        <v/>
      </c>
      <c r="U85" s="1630"/>
      <c r="V85" s="1631" t="s">
        <v>76</v>
      </c>
      <c r="W85" s="1632"/>
      <c r="X85" s="406" t="str">
        <f>IFERROR(VLOOKUP(AB68,'Statement of Marks'!$B$7:'Statement of Marks'!$IC$206,193,0),"")</f>
        <v/>
      </c>
      <c r="Y85" s="1633" t="s">
        <v>136</v>
      </c>
      <c r="Z85" s="1634"/>
      <c r="AA85" s="1635">
        <f>IFERROR(IF(OR(AE81="",AB68=""),"",VLOOKUP(AB68,'Statement of Marks'!$B$7:'Statement of Marks'!$IC$206,230,0)),"")</f>
        <v>65.294117647058826</v>
      </c>
      <c r="AB85" s="1636"/>
      <c r="AC85" s="1637" t="s">
        <v>145</v>
      </c>
      <c r="AD85" s="1638"/>
      <c r="AE85" s="1638"/>
      <c r="AF85" s="408">
        <f>IFERROR(VLOOKUP(AB68,'Statement of Marks'!$B$7:'Statement of Marks'!$IC$206,231,0),"")</f>
        <v>4.0000000000000018</v>
      </c>
      <c r="AV85"/>
      <c r="AW85"/>
      <c r="AX85"/>
      <c r="BA85"/>
      <c r="BB85"/>
      <c r="BC85"/>
    </row>
    <row r="86" spans="1:55" s="351" customFormat="1" ht="27.75" customHeight="1">
      <c r="A86" s="33">
        <f>IF(L68="","",A85+1)</f>
        <v>26</v>
      </c>
      <c r="B86" s="1639" t="str">
        <f>IF('School Profile'!$D$12="Hindi","मुख्य परीक्षा परिणाम ","Main Exam Result")</f>
        <v xml:space="preserve">मुख्य परीक्षा परिणाम </v>
      </c>
      <c r="C86" s="1639"/>
      <c r="D86" s="1640"/>
      <c r="E86" s="1640"/>
      <c r="F86" s="1640"/>
      <c r="G86" s="1640" t="str">
        <f>IF('School Profile'!$D$12="Hindi","विशेष योग्यता प्राप्त विषय","Subjects Of Dictation Marks")</f>
        <v>विशेष योग्यता प्राप्त विषय</v>
      </c>
      <c r="H86" s="1640"/>
      <c r="I86" s="1640"/>
      <c r="J86" s="1640"/>
      <c r="K86" s="1640"/>
      <c r="L86" s="1641" t="str">
        <f>IF('School Profile'!$D$12="Hindi","पूरक विषय","Supplementary Subject")</f>
        <v>पूरक विषय</v>
      </c>
      <c r="M86" s="1642"/>
      <c r="N86" s="1642"/>
      <c r="O86" s="1642"/>
      <c r="P86" s="1643"/>
      <c r="Q86" s="1680"/>
      <c r="R86" s="1639" t="str">
        <f>IF('School Profile'!$D$12="Hindi","मुख्य परीक्षा परिणाम ","Main Exam Result")</f>
        <v xml:space="preserve">मुख्य परीक्षा परिणाम </v>
      </c>
      <c r="S86" s="1639"/>
      <c r="T86" s="1640"/>
      <c r="U86" s="1640"/>
      <c r="V86" s="1640"/>
      <c r="W86" s="1640" t="str">
        <f>IF('School Profile'!$D$12="Hindi","विशेष योग्यता प्राप्त विषय","Subjects Of Dictation Marks")</f>
        <v>विशेष योग्यता प्राप्त विषय</v>
      </c>
      <c r="X86" s="1640"/>
      <c r="Y86" s="1640"/>
      <c r="Z86" s="1640"/>
      <c r="AA86" s="1640"/>
      <c r="AB86" s="1641" t="str">
        <f>IF('School Profile'!$D$12="Hindi","पूरक विषय","Supplementary Subject")</f>
        <v>पूरक विषय</v>
      </c>
      <c r="AC86" s="1642"/>
      <c r="AD86" s="1642"/>
      <c r="AE86" s="1642"/>
      <c r="AF86" s="1643"/>
      <c r="AV86"/>
      <c r="AW86"/>
      <c r="AX86"/>
      <c r="BA86"/>
      <c r="BB86"/>
      <c r="BC86"/>
    </row>
    <row r="87" spans="1:55" s="351" customFormat="1" ht="42.75" customHeight="1">
      <c r="A87" s="33">
        <f>IF(L68="","",A86+1)</f>
        <v>27</v>
      </c>
      <c r="B87" s="1612"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12"/>
      <c r="D87" s="1612"/>
      <c r="E87" s="1612"/>
      <c r="F87" s="1612"/>
      <c r="G87" s="1613" t="str">
        <f>IFERROR(VLOOKUP(L68,'Statement of Marks'!$B$7:'Statement of Marks'!$IC$206,225,0),"")</f>
        <v xml:space="preserve">      </v>
      </c>
      <c r="H87" s="1613"/>
      <c r="I87" s="1613"/>
      <c r="J87" s="1613"/>
      <c r="K87" s="1613"/>
      <c r="L87" s="1614" t="str">
        <f>IFERROR(VLOOKUP(L68,'Statement of Marks'!$B$7:'Statement of Marks'!$IC$206,222,0),"")</f>
        <v xml:space="preserve">      </v>
      </c>
      <c r="M87" s="1615"/>
      <c r="N87" s="1615"/>
      <c r="O87" s="1615"/>
      <c r="P87" s="1616"/>
      <c r="Q87" s="1680"/>
      <c r="R87" s="1612"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12"/>
      <c r="T87" s="1612"/>
      <c r="U87" s="1612"/>
      <c r="V87" s="1612"/>
      <c r="W87" s="1613" t="str">
        <f>IFERROR(VLOOKUP(AB68,'Statement of Marks'!$B$7:'Statement of Marks'!$IC$206,225,0),"")</f>
        <v xml:space="preserve"> अंग्रेजी     </v>
      </c>
      <c r="X87" s="1613"/>
      <c r="Y87" s="1613"/>
      <c r="Z87" s="1613"/>
      <c r="AA87" s="1613"/>
      <c r="AB87" s="1614" t="str">
        <f>IFERROR(VLOOKUP(AB68,'Statement of Marks'!$B$7:'Statement of Marks'!$IC$206,222,0),"")</f>
        <v xml:space="preserve">      </v>
      </c>
      <c r="AC87" s="1615"/>
      <c r="AD87" s="1615"/>
      <c r="AE87" s="1615"/>
      <c r="AF87" s="1616"/>
      <c r="AV87"/>
      <c r="AW87"/>
      <c r="AX87"/>
      <c r="BA87"/>
      <c r="BB87"/>
      <c r="BC87"/>
    </row>
    <row r="88" spans="1:55" s="351" customFormat="1" ht="52.5" customHeight="1">
      <c r="A88" s="33">
        <f>IF(L68="","",A87+1)</f>
        <v>28</v>
      </c>
      <c r="B88" s="1621" t="str">
        <f>IF(AND(L68=""),"",CONCATENATE("(",'School Profile'!$D$18," )"))</f>
        <v>(Yogesh )</v>
      </c>
      <c r="C88" s="1621"/>
      <c r="D88" s="1621"/>
      <c r="E88" s="1621"/>
      <c r="F88" s="1621"/>
      <c r="G88" s="1622" t="str">
        <f>IF(AND(L68=""),"",CONCATENATE("( ",'School Profile'!$D$15," )"))</f>
        <v>( Heeralal Jat )</v>
      </c>
      <c r="H88" s="1622"/>
      <c r="I88" s="1622"/>
      <c r="J88" s="1622"/>
      <c r="K88" s="1623" t="str">
        <f>IF(AND(L68=""),"",CONCATENATE("( ",'School Profile'!$D$14," )"))</f>
        <v>( USHA PALIYA )</v>
      </c>
      <c r="L88" s="1623"/>
      <c r="M88" s="1623"/>
      <c r="N88" s="1623"/>
      <c r="O88" s="1623"/>
      <c r="P88" s="1623"/>
      <c r="Q88" s="1680"/>
      <c r="R88" s="1621" t="str">
        <f>IF(AND(AB68=""),"",CONCATENATE("(",'School Profile'!$D$18," )"))</f>
        <v>(Yogesh )</v>
      </c>
      <c r="S88" s="1621"/>
      <c r="T88" s="1621"/>
      <c r="U88" s="1621"/>
      <c r="V88" s="1621"/>
      <c r="W88" s="1622" t="str">
        <f>IF(AND(AB68=""),"",CONCATENATE("( ",'School Profile'!$D$15," )"))</f>
        <v>( Heeralal Jat )</v>
      </c>
      <c r="X88" s="1622"/>
      <c r="Y88" s="1622"/>
      <c r="Z88" s="1622"/>
      <c r="AA88" s="1623" t="str">
        <f>IF(AND(AB68=""),"",CONCATENATE("( ",'School Profile'!$D$14," )"))</f>
        <v>( USHA PALIYA )</v>
      </c>
      <c r="AB88" s="1623"/>
      <c r="AC88" s="1623"/>
      <c r="AD88" s="1623"/>
      <c r="AE88" s="1623"/>
      <c r="AF88" s="1623"/>
      <c r="AV88"/>
      <c r="AW88"/>
      <c r="AX88"/>
      <c r="BA88"/>
      <c r="BB88"/>
      <c r="BC88"/>
    </row>
    <row r="89" spans="1:55" s="351" customFormat="1" ht="24.75" customHeight="1">
      <c r="A89" s="33">
        <f>IF(L68="","",A88+1)</f>
        <v>29</v>
      </c>
      <c r="B89" s="1624" t="str">
        <f>IF('School Profile'!$D$12="Hindi","हस्ताक्षर कक्षाध्यापक","Signature of the class teacher")</f>
        <v>हस्ताक्षर कक्षाध्यापक</v>
      </c>
      <c r="C89" s="1624"/>
      <c r="D89" s="1624"/>
      <c r="E89" s="1624"/>
      <c r="F89" s="1624"/>
      <c r="G89" s="1624" t="str">
        <f>IF('School Profile'!$D$12="Hindi","हस्ताक्षर परीक्षा प्रभारी","Signature of the exam. Incharge")</f>
        <v>हस्ताक्षर परीक्षा प्रभारी</v>
      </c>
      <c r="H89" s="1624"/>
      <c r="I89" s="1624"/>
      <c r="J89" s="1624"/>
      <c r="K89" s="1624" t="str">
        <f>IF('School Profile'!$D$12="Hindi","हस्ताक्षर मय सील मोहर संस्था प्रधान","Signature &amp; Seal of the Head of the Institution")</f>
        <v>हस्ताक्षर मय सील मोहर संस्था प्रधान</v>
      </c>
      <c r="L89" s="1624"/>
      <c r="M89" s="1624"/>
      <c r="N89" s="1624"/>
      <c r="O89" s="1624"/>
      <c r="P89" s="1624"/>
      <c r="Q89" s="1680"/>
      <c r="R89" s="1624" t="str">
        <f>IF('School Profile'!$D$12="Hindi","हस्ताक्षर कक्षाध्यापक","Signature of the class teacher")</f>
        <v>हस्ताक्षर कक्षाध्यापक</v>
      </c>
      <c r="S89" s="1624"/>
      <c r="T89" s="1624"/>
      <c r="U89" s="1624"/>
      <c r="V89" s="1624"/>
      <c r="W89" s="1624" t="str">
        <f>IF('School Profile'!$D$12="Hindi","हस्ताक्षर परीक्षा प्रभारी","Signature of the exam. Incharge")</f>
        <v>हस्ताक्षर परीक्षा प्रभारी</v>
      </c>
      <c r="X89" s="1624"/>
      <c r="Y89" s="1624"/>
      <c r="Z89" s="1624"/>
      <c r="AA89" s="1624" t="str">
        <f>IF('School Profile'!$D$12="Hindi","हस्ताक्षर मय सील मोहर संस्था प्रधान","Signature &amp; Seal of the Head of the Institution")</f>
        <v>हस्ताक्षर मय सील मोहर संस्था प्रधान</v>
      </c>
      <c r="AB89" s="1624"/>
      <c r="AC89" s="1624"/>
      <c r="AD89" s="1624"/>
      <c r="AE89" s="1624"/>
      <c r="AF89" s="1624"/>
      <c r="AV89"/>
      <c r="AW89"/>
      <c r="AX89"/>
      <c r="BA89"/>
      <c r="BB89"/>
      <c r="BC89"/>
    </row>
    <row r="91" spans="1:55" s="6" customFormat="1" ht="22.5" customHeight="1">
      <c r="A91" s="33">
        <f>IF(L98="","",1)</f>
        <v>1</v>
      </c>
      <c r="B91" s="28"/>
      <c r="C91" s="28"/>
      <c r="D91" s="1553" t="str">
        <f>IF('School Profile'!$D$12="Hindi","वार्षिक रिपोर्ट कार्ड ","Report Card")</f>
        <v xml:space="preserve">वार्षिक रिपोर्ट कार्ड </v>
      </c>
      <c r="E91" s="1553"/>
      <c r="F91" s="1553"/>
      <c r="G91" s="1553"/>
      <c r="H91" s="1553"/>
      <c r="I91" s="1553"/>
      <c r="J91" s="1553"/>
      <c r="K91" s="1553"/>
      <c r="L91" s="1553"/>
      <c r="M91" s="1553"/>
      <c r="N91" s="1553"/>
      <c r="O91" s="349"/>
      <c r="P91" s="349"/>
      <c r="Q91" s="1680" t="s">
        <v>77</v>
      </c>
      <c r="R91" s="28"/>
      <c r="S91" s="28"/>
      <c r="T91" s="1553" t="str">
        <f>IF('School Profile'!$D$12="Hindi","वार्षिक रिपोर्ट कार्ड ","Report Card")</f>
        <v xml:space="preserve">वार्षिक रिपोर्ट कार्ड </v>
      </c>
      <c r="U91" s="1553"/>
      <c r="V91" s="1553"/>
      <c r="W91" s="1553"/>
      <c r="X91" s="1553"/>
      <c r="Y91" s="1553"/>
      <c r="Z91" s="1553"/>
      <c r="AA91" s="1553"/>
      <c r="AB91" s="1553"/>
      <c r="AC91" s="1553"/>
      <c r="AD91" s="1553"/>
      <c r="AE91" s="349"/>
      <c r="AF91" s="349"/>
      <c r="AV91"/>
      <c r="AW91"/>
      <c r="AX91"/>
      <c r="BA91"/>
      <c r="BB91"/>
      <c r="BC91"/>
    </row>
    <row r="92" spans="1:55" s="6" customFormat="1" ht="22.5" customHeight="1">
      <c r="A92" s="33">
        <f>IF(L98="","",A91+1)</f>
        <v>2</v>
      </c>
      <c r="B92" s="28"/>
      <c r="C92" s="28"/>
      <c r="D92" s="1681" t="str">
        <f>IF('School Profile'!$D$12="Hindi","शिक्षा विभाग, राजस्थान सरकार","Education Department, Rajasthan Government")</f>
        <v>शिक्षा विभाग, राजस्थान सरकार</v>
      </c>
      <c r="E92" s="1681"/>
      <c r="F92" s="1681"/>
      <c r="G92" s="1681"/>
      <c r="H92" s="1681"/>
      <c r="I92" s="1681"/>
      <c r="J92" s="1681"/>
      <c r="K92" s="1681"/>
      <c r="L92" s="1681"/>
      <c r="M92" s="1681"/>
      <c r="N92" s="1681"/>
      <c r="O92" s="349"/>
      <c r="P92" s="349"/>
      <c r="Q92" s="1680"/>
      <c r="R92" s="28"/>
      <c r="S92" s="28"/>
      <c r="T92" s="1681" t="str">
        <f>IF('School Profile'!$D$12="Hindi","शिक्षा विभाग, राजस्थान सरकार","Education Department, Rajasthan Government")</f>
        <v>शिक्षा विभाग, राजस्थान सरकार</v>
      </c>
      <c r="U92" s="1681"/>
      <c r="V92" s="1681"/>
      <c r="W92" s="1681"/>
      <c r="X92" s="1681"/>
      <c r="Y92" s="1681"/>
      <c r="Z92" s="1681"/>
      <c r="AA92" s="1681"/>
      <c r="AB92" s="1681"/>
      <c r="AC92" s="1681"/>
      <c r="AD92" s="1681"/>
      <c r="AE92" s="349"/>
      <c r="AF92" s="349"/>
      <c r="AV92"/>
      <c r="AW92"/>
      <c r="AX92"/>
      <c r="BA92"/>
      <c r="BB92"/>
      <c r="BC92"/>
    </row>
    <row r="93" spans="1:55" s="32" customFormat="1" ht="24.95" customHeight="1">
      <c r="A93" s="34">
        <f>IF(L98="","",A92+1)</f>
        <v>3</v>
      </c>
      <c r="B93" s="1555" t="str">
        <f>IF('School Profile'!$D$12="Hindi",CONCATENATE("विद्यालय का नाम :-","  ",'School Profile'!$D$9),CONCATENATE("School Name :-","  ",'School Profile'!$D$8))</f>
        <v xml:space="preserve">विद्यालय का नाम :-  महात्मा गाँधी राजकीय विद्यालय (अंग्रेजी माध्यम) बर, पाली </v>
      </c>
      <c r="C93" s="1555"/>
      <c r="D93" s="1555"/>
      <c r="E93" s="1555"/>
      <c r="F93" s="1555"/>
      <c r="G93" s="1555"/>
      <c r="H93" s="1555"/>
      <c r="I93" s="1555"/>
      <c r="J93" s="1555"/>
      <c r="K93" s="1555"/>
      <c r="L93" s="1555"/>
      <c r="M93" s="1555"/>
      <c r="N93" s="1555"/>
      <c r="O93" s="1555"/>
      <c r="P93" s="1555"/>
      <c r="Q93" s="1680"/>
      <c r="R93" s="1555" t="str">
        <f>IF('School Profile'!$D$12="Hindi",CONCATENATE("विद्यालय का नाम :-","  ",'School Profile'!$D$9),CONCATENATE("School Name :-","  ",'School Profile'!$D$8))</f>
        <v xml:space="preserve">विद्यालय का नाम :-  महात्मा गाँधी राजकीय विद्यालय (अंग्रेजी माध्यम) बर, पाली </v>
      </c>
      <c r="S93" s="1555"/>
      <c r="T93" s="1555"/>
      <c r="U93" s="1555"/>
      <c r="V93" s="1555"/>
      <c r="W93" s="1555"/>
      <c r="X93" s="1555"/>
      <c r="Y93" s="1555"/>
      <c r="Z93" s="1555"/>
      <c r="AA93" s="1555"/>
      <c r="AB93" s="1555"/>
      <c r="AC93" s="1555"/>
      <c r="AD93" s="1555"/>
      <c r="AE93" s="1555"/>
      <c r="AF93" s="1555"/>
      <c r="AV93"/>
      <c r="AW93"/>
      <c r="AX93"/>
      <c r="BA93"/>
      <c r="BB93"/>
      <c r="BC93"/>
    </row>
    <row r="94" spans="1:55" s="32" customFormat="1" ht="24.95" customHeight="1">
      <c r="A94" s="34">
        <f>IF(L98="","",A93+1)</f>
        <v>4</v>
      </c>
      <c r="B94" s="668"/>
      <c r="C94" s="668"/>
      <c r="D94" s="668"/>
      <c r="E94" s="668"/>
      <c r="F94" s="1682"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82"/>
      <c r="H94" s="1682"/>
      <c r="I94" s="1682"/>
      <c r="J94" s="1682"/>
      <c r="K94" s="1682"/>
      <c r="L94" s="1682"/>
      <c r="M94" s="1682"/>
      <c r="N94" s="1682"/>
      <c r="O94" s="1682"/>
      <c r="P94" s="668"/>
      <c r="Q94" s="1680"/>
      <c r="R94" s="668"/>
      <c r="S94" s="668"/>
      <c r="T94" s="668"/>
      <c r="U94" s="668"/>
      <c r="V94" s="1682"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82"/>
      <c r="X94" s="1682"/>
      <c r="Y94" s="1682"/>
      <c r="Z94" s="1682"/>
      <c r="AA94" s="1682"/>
      <c r="AB94" s="1682"/>
      <c r="AC94" s="1682"/>
      <c r="AD94" s="1682"/>
      <c r="AE94" s="1682"/>
      <c r="AF94" s="668"/>
      <c r="AV94"/>
      <c r="AW94"/>
      <c r="AX94"/>
      <c r="AY94" s="6"/>
      <c r="AZ94" s="6"/>
      <c r="BA94"/>
      <c r="BB94"/>
      <c r="BC94"/>
    </row>
    <row r="95" spans="1:55" s="351" customFormat="1" ht="21" customHeight="1">
      <c r="A95" s="33">
        <f>IF(L98="","",A94+1)</f>
        <v>5</v>
      </c>
      <c r="B95" s="681" t="str">
        <f>IF('School Profile'!$D$12="Hindi","कक्षा  :-","CLASS :- ")</f>
        <v>कक्षा  :-</v>
      </c>
      <c r="C95" s="1611" t="str">
        <f>IF('Statement of Marks'!$E$3="","",'Statement of Marks'!$E$3)</f>
        <v>9th</v>
      </c>
      <c r="D95" s="1611"/>
      <c r="E95" s="820" t="str">
        <f>IFERROR(VLOOKUP(L98,'Statement of Marks'!$B$7:'Statement of Marks'!$IC$206,2,0),"")</f>
        <v>A</v>
      </c>
      <c r="F95" s="820"/>
      <c r="G95" s="820"/>
      <c r="H95" s="820"/>
      <c r="I95" s="1683" t="str">
        <f>IF('School Profile'!$D$12="Hindi","प्रवेशांक :","SR. NO. :")</f>
        <v>प्रवेशांक :</v>
      </c>
      <c r="J95" s="1683"/>
      <c r="K95" s="1683"/>
      <c r="L95" s="1684" t="str">
        <f>IFERROR(VLOOKUP(L98,'Statement of Marks'!$B$7:'Statement of Marks'!$IC$206,3,0),"")</f>
        <v/>
      </c>
      <c r="M95" s="1684"/>
      <c r="N95" s="1684"/>
      <c r="O95" s="1684"/>
      <c r="P95" s="414"/>
      <c r="Q95" s="1680"/>
      <c r="R95" s="681" t="str">
        <f>IF('School Profile'!$D$12="Hindi","कक्षा  :-","CLASS :- ")</f>
        <v>कक्षा  :-</v>
      </c>
      <c r="S95" s="1611" t="str">
        <f>IF('Statement of Marks'!$E$3="","",'Statement of Marks'!$E$3)</f>
        <v>9th</v>
      </c>
      <c r="T95" s="1611"/>
      <c r="U95" s="820" t="str">
        <f>IFERROR(VLOOKUP(AB98,'Statement of Marks'!$B$7:'Statement of Marks'!$IC$206,2,0),"")</f>
        <v>A</v>
      </c>
      <c r="V95" s="820"/>
      <c r="W95" s="820"/>
      <c r="X95" s="820"/>
      <c r="Y95" s="1683" t="str">
        <f>IF('School Profile'!$D$12="Hindi","प्रवेशांक :","SR. NO. :")</f>
        <v>प्रवेशांक :</v>
      </c>
      <c r="Z95" s="1683"/>
      <c r="AA95" s="1683"/>
      <c r="AB95" s="1684" t="str">
        <f>IFERROR(VLOOKUP(AB98,'Statement of Marks'!$B$7:'Statement of Marks'!$IC$206,3,0),"")</f>
        <v/>
      </c>
      <c r="AC95" s="1684"/>
      <c r="AD95" s="1684"/>
      <c r="AE95" s="1684"/>
      <c r="AF95" s="414"/>
      <c r="AV95"/>
      <c r="AW95" s="777">
        <f>L96</f>
        <v>41317</v>
      </c>
      <c r="AX95"/>
      <c r="BA95"/>
      <c r="BB95" s="777">
        <f>AB96</f>
        <v>40282</v>
      </c>
      <c r="BC95"/>
    </row>
    <row r="96" spans="1:55" s="351" customFormat="1" ht="21" customHeight="1">
      <c r="A96" s="33">
        <f>IF(L98="","",A95+1)</f>
        <v>6</v>
      </c>
      <c r="B96" s="683" t="str">
        <f>IF('School Profile'!$D$12="Hindi","विद्यार्थी का नाम :-","Student's Name :-")</f>
        <v>विद्यार्थी का नाम :-</v>
      </c>
      <c r="C96" s="1685" t="str">
        <f>IFERROR(VLOOKUP(L98,'Statement of Marks'!$B$7:'Statement of Marks'!$IC$206,5,0),"")</f>
        <v>MITA</v>
      </c>
      <c r="D96" s="1685"/>
      <c r="E96" s="1685"/>
      <c r="F96" s="1685"/>
      <c r="G96" s="1685"/>
      <c r="H96" s="1685"/>
      <c r="I96" s="1683" t="str">
        <f>IF('School Profile'!$D$12="Hindi","जन्म तिथि :","Date of Birth :")</f>
        <v>जन्म तिथि :</v>
      </c>
      <c r="J96" s="1683"/>
      <c r="K96" s="1683"/>
      <c r="L96" s="1686">
        <f>IFERROR(VLOOKUP(L98,'Statement of Marks'!$B$7:'Statement of Marks'!$IC$206,4,0),"")</f>
        <v>41317</v>
      </c>
      <c r="M96" s="1686"/>
      <c r="N96" s="1686"/>
      <c r="O96" s="1686"/>
      <c r="P96" s="670"/>
      <c r="Q96" s="1680"/>
      <c r="R96" s="683" t="str">
        <f>IF('School Profile'!$D$12="Hindi","विद्यार्थी का नाम :-","Student's Name :-")</f>
        <v>विद्यार्थी का नाम :-</v>
      </c>
      <c r="S96" s="1685" t="str">
        <f>IFERROR(VLOOKUP(AB98,'Statement of Marks'!$B$7:'Statement of Marks'!$IC$206,5,0),"")</f>
        <v>SITA</v>
      </c>
      <c r="T96" s="1685"/>
      <c r="U96" s="1685"/>
      <c r="V96" s="1685"/>
      <c r="W96" s="1685"/>
      <c r="X96" s="1685"/>
      <c r="Y96" s="1683" t="str">
        <f>IF('School Profile'!$D$12="Hindi","जन्म तिथि :","Date of Birth :")</f>
        <v>जन्म तिथि :</v>
      </c>
      <c r="Z96" s="1683"/>
      <c r="AA96" s="1683"/>
      <c r="AB96" s="1686">
        <f>IFERROR(VLOOKUP(AB98,'Statement of Marks'!$B$7:'Statement of Marks'!$IC$206,4,0),"")</f>
        <v>40282</v>
      </c>
      <c r="AC96" s="1686"/>
      <c r="AD96" s="1686"/>
      <c r="AE96" s="1686"/>
      <c r="AF96" s="670"/>
      <c r="AV96">
        <f>YEAR(AW95)</f>
        <v>2013</v>
      </c>
      <c r="AW96">
        <f>MONTH(AW95)</f>
        <v>2</v>
      </c>
      <c r="AX96">
        <f>DAY(AW95)</f>
        <v>12</v>
      </c>
      <c r="BA96">
        <f>YEAR(BB95)</f>
        <v>2010</v>
      </c>
      <c r="BB96">
        <f>MONTH(BB95)</f>
        <v>4</v>
      </c>
      <c r="BC96">
        <f>DAY(BB95)</f>
        <v>14</v>
      </c>
    </row>
    <row r="97" spans="1:55" s="351" customFormat="1" ht="21" customHeight="1">
      <c r="A97" s="33">
        <f>IF(L98="","",A96+1)</f>
        <v>7</v>
      </c>
      <c r="B97" s="683" t="str">
        <f>IF('School Profile'!$D$12="Hindi","पिता का नाम :-","Father's Name :-")</f>
        <v>पिता का नाम :-</v>
      </c>
      <c r="C97" s="1685" t="str">
        <f>IFERROR(VLOOKUP(L98,'Statement of Marks'!$B$7:'Statement of Marks'!$IC$206,6,0),"")</f>
        <v/>
      </c>
      <c r="D97" s="1685"/>
      <c r="E97" s="1685"/>
      <c r="F97" s="1685"/>
      <c r="G97" s="1685"/>
      <c r="H97" s="1685"/>
      <c r="I97" s="1683" t="str">
        <f>IF('School Profile'!$D$12="Hindi","जन्मतिथि शब्दों में :-","Date of Birth in Words :-")</f>
        <v>जन्मतिथि शब्दों में :-</v>
      </c>
      <c r="J97" s="1683"/>
      <c r="K97" s="1683"/>
      <c r="L97" s="1685" t="str">
        <f>IFERROR(IF('School Profile'!$D$12="Hindi",AW98,AW100),"")</f>
        <v>बारह फरवरी दो हजार तेरह</v>
      </c>
      <c r="M97" s="1685"/>
      <c r="N97" s="1685"/>
      <c r="O97" s="1685"/>
      <c r="P97" s="670"/>
      <c r="Q97" s="1680"/>
      <c r="R97" s="683" t="str">
        <f>IF('School Profile'!$D$12="Hindi","पिता का नाम :-","Father's Name :-")</f>
        <v>पिता का नाम :-</v>
      </c>
      <c r="S97" s="1685" t="str">
        <f>IFERROR(VLOOKUP(AB98,'Statement of Marks'!$B$7:'Statement of Marks'!$IC$206,6,0),"")</f>
        <v/>
      </c>
      <c r="T97" s="1685"/>
      <c r="U97" s="1685"/>
      <c r="V97" s="1685"/>
      <c r="W97" s="1685"/>
      <c r="X97" s="1685"/>
      <c r="Y97" s="1683" t="str">
        <f>IF('School Profile'!$D$12="Hindi","जन्मतिथि शब्दों में :-","Date of Birth in Words :-")</f>
        <v>जन्मतिथि शब्दों में :-</v>
      </c>
      <c r="Z97" s="1683"/>
      <c r="AA97" s="1683"/>
      <c r="AB97" s="1685" t="str">
        <f>IFERROR(IF('School Profile'!$D$12="Hindi",BB98,BB100),"")</f>
        <v>चौदह अप्रैल दो हजार दस</v>
      </c>
      <c r="AC97" s="1685"/>
      <c r="AD97" s="1685"/>
      <c r="AE97" s="1685"/>
      <c r="AF97" s="670"/>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इग्यारह",IF(AV96=2012,"दो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इ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इग्यारह",IF(BA96=2012,"दो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इ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51" customFormat="1" ht="21" customHeight="1">
      <c r="A98" s="33">
        <f>IF(L98="","",A97+1)</f>
        <v>8</v>
      </c>
      <c r="B98" s="681" t="str">
        <f>IF('School Profile'!$D$12="Hindi","माता का नाम :-","Mother's Name :-")</f>
        <v>माता का नाम :-</v>
      </c>
      <c r="C98" s="1685" t="str">
        <f>IFERROR(VLOOKUP(L98,'Statement of Marks'!$B$7:'Statement of Marks'!$IC$206,7,0),"")</f>
        <v/>
      </c>
      <c r="D98" s="1685"/>
      <c r="E98" s="1685"/>
      <c r="F98" s="1685"/>
      <c r="G98" s="1685"/>
      <c r="H98" s="1685"/>
      <c r="I98" s="1683" t="str">
        <f>IF('School Profile'!$D$12="Hindi","रोल नंबर :-","Roll No. :")</f>
        <v>रोल नंबर :-</v>
      </c>
      <c r="J98" s="1683"/>
      <c r="K98" s="1683"/>
      <c r="L98" s="1672">
        <f>IF(AB68="","",IF(AND(AB68+1&gt;$AN$11),"",AB68+1))</f>
        <v>907</v>
      </c>
      <c r="M98" s="1672"/>
      <c r="N98" s="1672"/>
      <c r="Q98" s="1680"/>
      <c r="R98" s="681" t="str">
        <f>IF('School Profile'!$D$12="Hindi","माता का नाम :-","Mother's Name :-")</f>
        <v>माता का नाम :-</v>
      </c>
      <c r="S98" s="1685" t="str">
        <f>IFERROR(VLOOKUP(AB98,'Statement of Marks'!$B$7:'Statement of Marks'!$IC$206,7,0),"")</f>
        <v/>
      </c>
      <c r="T98" s="1685"/>
      <c r="U98" s="1685"/>
      <c r="V98" s="1685"/>
      <c r="W98" s="1685"/>
      <c r="X98" s="1685"/>
      <c r="Y98" s="1683" t="str">
        <f>IF('School Profile'!$D$12="Hindi","रोल नंबर :-","Roll No. :")</f>
        <v>रोल नंबर :-</v>
      </c>
      <c r="Z98" s="1683"/>
      <c r="AA98" s="1683"/>
      <c r="AB98" s="1672">
        <f>IF(L98="","",IF(AND(L98+1&gt;$AN$11),"",L98+1))</f>
        <v>908</v>
      </c>
      <c r="AC98" s="1672"/>
      <c r="AD98" s="1672"/>
      <c r="AV98"/>
      <c r="AW98" t="str">
        <f>CONCATENATE(AX97," ",AW97," ",AV97)</f>
        <v>बारह फरवरी दो हजार तेरह</v>
      </c>
      <c r="AX98"/>
      <c r="BA98"/>
      <c r="BB98" t="str">
        <f>CONCATENATE(BC97," ",BB97," ",BA97)</f>
        <v>चौदह अप्रैल दो हजार दस</v>
      </c>
      <c r="BC98"/>
    </row>
    <row r="99" spans="1:55" s="351" customFormat="1" ht="9.75" customHeight="1">
      <c r="A99" s="33">
        <f>IF(L98="","",A98+1)</f>
        <v>9</v>
      </c>
      <c r="B99" s="1673"/>
      <c r="C99" s="1673"/>
      <c r="D99" s="1673"/>
      <c r="E99" s="1673"/>
      <c r="F99" s="1673"/>
      <c r="G99" s="1673"/>
      <c r="H99" s="1673"/>
      <c r="I99" s="1673"/>
      <c r="J99" s="1673"/>
      <c r="K99" s="1673"/>
      <c r="L99" s="1673"/>
      <c r="M99" s="1673"/>
      <c r="N99" s="1673"/>
      <c r="O99" s="1673"/>
      <c r="P99" s="401"/>
      <c r="Q99" s="1680"/>
      <c r="R99" s="1673"/>
      <c r="S99" s="1673"/>
      <c r="T99" s="1673"/>
      <c r="U99" s="1673"/>
      <c r="V99" s="1673"/>
      <c r="W99" s="1673"/>
      <c r="X99" s="1673"/>
      <c r="Y99" s="1673"/>
      <c r="Z99" s="1673"/>
      <c r="AA99" s="1673"/>
      <c r="AB99" s="1673"/>
      <c r="AC99" s="1673"/>
      <c r="AD99" s="1673"/>
      <c r="AE99" s="1673"/>
      <c r="AF99" s="401"/>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51" customFormat="1" ht="26.25" customHeight="1">
      <c r="A100" s="33">
        <f>IF(L98="","",A99+1)</f>
        <v>10</v>
      </c>
      <c r="B100" s="1619" t="str">
        <f>IF('School Profile'!$D$12="Hindi","विषय का नाम","Subject Name")</f>
        <v>विषय का नाम</v>
      </c>
      <c r="C100" s="1620"/>
      <c r="D100" s="1678" t="str">
        <f>IF('School Profile'!$D$12="Hindi","सामयिक परख","Seasonal Exam")</f>
        <v>सामयिक परख</v>
      </c>
      <c r="E100" s="1678"/>
      <c r="F100" s="1678"/>
      <c r="G100" s="1678"/>
      <c r="H100" s="1678" t="str">
        <f>IF('School Profile'!$D$12="Hindi","अर्द्धवार्षिक","Half Yearly")</f>
        <v>अर्द्धवार्षिक</v>
      </c>
      <c r="I100" s="1678"/>
      <c r="J100" s="1678"/>
      <c r="K100" s="1582" t="str">
        <f>IF('School Profile'!$D$12="Hindi","अर्द्ध वा. तक योग","Total Till H.Y.")</f>
        <v>अर्द्ध वा. तक योग</v>
      </c>
      <c r="L100" s="1678" t="str">
        <f>IF('School Profile'!$D$12="Hindi","वार्षिक","Yearly")</f>
        <v>वार्षिक</v>
      </c>
      <c r="M100" s="1678"/>
      <c r="N100" s="1678"/>
      <c r="O100" s="1577" t="str">
        <f>IF('School Profile'!$D$12="Hindi","विषय कुल योग ","Subject Total")</f>
        <v xml:space="preserve">विषय कुल योग </v>
      </c>
      <c r="P100" s="1679" t="str">
        <f>IF('School Profile'!$D$12="Hindi","विषय परिणाम / विषय श्रेणी","Sub. Result /  Sub. Div.")</f>
        <v>विषय परिणाम / विषय श्रेणी</v>
      </c>
      <c r="Q100" s="1680"/>
      <c r="R100" s="1619" t="str">
        <f>IF('School Profile'!$D$12="Hindi","विषय का नाम","Subject Name")</f>
        <v>विषय का नाम</v>
      </c>
      <c r="S100" s="1620"/>
      <c r="T100" s="1678" t="str">
        <f>IF('School Profile'!$D$12="Hindi","सामयिक परख","Seasonal Exam")</f>
        <v>सामयिक परख</v>
      </c>
      <c r="U100" s="1678"/>
      <c r="V100" s="1678"/>
      <c r="W100" s="1678"/>
      <c r="X100" s="1678" t="str">
        <f>IF('School Profile'!$D$12="Hindi","अर्द्धवार्षिक","Half Yearly")</f>
        <v>अर्द्धवार्षिक</v>
      </c>
      <c r="Y100" s="1678"/>
      <c r="Z100" s="1678"/>
      <c r="AA100" s="1582" t="str">
        <f>IF('School Profile'!$D$12="Hindi","अर्द्ध वा. तक योग","Total Till H.Y.")</f>
        <v>अर्द्ध वा. तक योग</v>
      </c>
      <c r="AB100" s="1678" t="str">
        <f>IF('School Profile'!$D$12="Hindi","वार्षिक","Yearly")</f>
        <v>वार्षिक</v>
      </c>
      <c r="AC100" s="1678"/>
      <c r="AD100" s="1678"/>
      <c r="AE100" s="1577" t="str">
        <f>IF('School Profile'!$D$12="Hindi","विषय कुल योग ","Subject Total")</f>
        <v xml:space="preserve">विषय कुल योग </v>
      </c>
      <c r="AF100" s="1679"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51" customFormat="1" ht="78.75" customHeight="1">
      <c r="A101" s="33">
        <f>IF(L98="","",A100+1)</f>
        <v>11</v>
      </c>
      <c r="B101" s="1674"/>
      <c r="C101" s="1675"/>
      <c r="D101" s="656" t="str">
        <f>IF('School Profile'!$D$12="Hindi","प्रथम परख ","First Test")</f>
        <v xml:space="preserve">प्रथम परख </v>
      </c>
      <c r="E101" s="656" t="str">
        <f>IF('School Profile'!$D$12="Hindi","द्वितीय परख","Second Test")</f>
        <v>द्वितीय परख</v>
      </c>
      <c r="F101" s="656" t="str">
        <f>IF('School Profile'!$D$12="Hindi","तृतीय परख","Third Test")</f>
        <v>तृतीय परख</v>
      </c>
      <c r="G101" s="657" t="str">
        <f>IF('School Profile'!$D$12="Hindi","सा. परख योग","Test Total")</f>
        <v>सा. परख योग</v>
      </c>
      <c r="H101" s="658" t="str">
        <f>IF('School Profile'!$D$12="Hindi","सैद्धान्तिक","Theoretical")</f>
        <v>सैद्धान्तिक</v>
      </c>
      <c r="I101" s="658" t="str">
        <f>IF('School Profile'!$D$12="Hindi","प्रायोगिक","Practical")</f>
        <v>प्रायोगिक</v>
      </c>
      <c r="J101" s="659" t="str">
        <f>IF('School Profile'!$D$12="Hindi","अर्द्धवार्षिक योग","H.Y.  Total")</f>
        <v>अर्द्धवार्षिक योग</v>
      </c>
      <c r="K101" s="1582"/>
      <c r="L101" s="658" t="str">
        <f>IF('School Profile'!$D$12="Hindi","सैद्धान्तिक","Theoretical")</f>
        <v>सैद्धान्तिक</v>
      </c>
      <c r="M101" s="658" t="str">
        <f>IF('School Profile'!$D$12="Hindi","प्रायोगिक","Practical")</f>
        <v>प्रायोगिक</v>
      </c>
      <c r="N101" s="659" t="str">
        <f>IF('School Profile'!$D$12="Hindi","वार्षिक योग","Yearly  Total")</f>
        <v>वार्षिक योग</v>
      </c>
      <c r="O101" s="1577"/>
      <c r="P101" s="1579"/>
      <c r="Q101" s="1680"/>
      <c r="R101" s="1674"/>
      <c r="S101" s="1675"/>
      <c r="T101" s="656" t="str">
        <f>IF('School Profile'!$D$12="Hindi","प्रथम परख ","First Test")</f>
        <v xml:space="preserve">प्रथम परख </v>
      </c>
      <c r="U101" s="656" t="str">
        <f>IF('School Profile'!$D$12="Hindi","द्वितीय परख","Second Test")</f>
        <v>द्वितीय परख</v>
      </c>
      <c r="V101" s="656" t="str">
        <f>IF('School Profile'!$D$12="Hindi","तृतीय परख","Third Test")</f>
        <v>तृतीय परख</v>
      </c>
      <c r="W101" s="657" t="str">
        <f>IF('School Profile'!$D$12="Hindi","सा. परख योग","Test Total")</f>
        <v>सा. परख योग</v>
      </c>
      <c r="X101" s="658" t="str">
        <f>IF('School Profile'!$D$12="Hindi","सैद्धान्तिक","Theoretical")</f>
        <v>सैद्धान्तिक</v>
      </c>
      <c r="Y101" s="658" t="str">
        <f>IF('School Profile'!$D$12="Hindi","प्रायोगिक","Practical")</f>
        <v>प्रायोगिक</v>
      </c>
      <c r="Z101" s="659" t="str">
        <f>IF('School Profile'!$D$12="Hindi","अर्द्धवार्षिक योग","H.Y.  Total")</f>
        <v>अर्द्धवार्षिक योग</v>
      </c>
      <c r="AA101" s="1582"/>
      <c r="AB101" s="658" t="str">
        <f>IF('School Profile'!$D$12="Hindi","सैद्धान्तिक","Theoretical")</f>
        <v>सैद्धान्तिक</v>
      </c>
      <c r="AC101" s="658" t="str">
        <f>IF('School Profile'!$D$12="Hindi","प्रायोगिक","Practical")</f>
        <v>प्रायोगिक</v>
      </c>
      <c r="AD101" s="659" t="str">
        <f>IF('School Profile'!$D$12="Hindi","वार्षिक योग","Yearly  Total")</f>
        <v>वार्षिक योग</v>
      </c>
      <c r="AE101" s="1577"/>
      <c r="AF101" s="1579"/>
      <c r="AV101"/>
      <c r="AW101"/>
      <c r="AX101"/>
      <c r="BA101"/>
      <c r="BB101"/>
      <c r="BC101"/>
    </row>
    <row r="102" spans="1:55" s="353" customFormat="1" ht="21" customHeight="1">
      <c r="A102" s="33">
        <f>IF(L98="","",A101+1)</f>
        <v>12</v>
      </c>
      <c r="B102" s="1676"/>
      <c r="C102" s="1677"/>
      <c r="D102" s="663">
        <v>10</v>
      </c>
      <c r="E102" s="663">
        <v>10</v>
      </c>
      <c r="F102" s="663">
        <v>10</v>
      </c>
      <c r="G102" s="663">
        <v>30</v>
      </c>
      <c r="H102" s="665" t="s">
        <v>252</v>
      </c>
      <c r="I102" s="661">
        <v>35</v>
      </c>
      <c r="J102" s="660">
        <v>70</v>
      </c>
      <c r="K102" s="661">
        <v>100</v>
      </c>
      <c r="L102" s="664" t="s">
        <v>253</v>
      </c>
      <c r="M102" s="663">
        <v>50</v>
      </c>
      <c r="N102" s="660">
        <v>100</v>
      </c>
      <c r="O102" s="662">
        <v>200</v>
      </c>
      <c r="P102" s="1580"/>
      <c r="Q102" s="1680"/>
      <c r="R102" s="1676"/>
      <c r="S102" s="1677"/>
      <c r="T102" s="663">
        <v>10</v>
      </c>
      <c r="U102" s="663">
        <v>10</v>
      </c>
      <c r="V102" s="663">
        <v>10</v>
      </c>
      <c r="W102" s="663">
        <v>30</v>
      </c>
      <c r="X102" s="665" t="s">
        <v>252</v>
      </c>
      <c r="Y102" s="661">
        <v>35</v>
      </c>
      <c r="Z102" s="660">
        <v>70</v>
      </c>
      <c r="AA102" s="661">
        <v>100</v>
      </c>
      <c r="AB102" s="664" t="s">
        <v>253</v>
      </c>
      <c r="AC102" s="663">
        <v>50</v>
      </c>
      <c r="AD102" s="660">
        <v>100</v>
      </c>
      <c r="AE102" s="662">
        <v>200</v>
      </c>
      <c r="AF102" s="1580"/>
      <c r="AV102"/>
      <c r="AW102"/>
      <c r="AX102"/>
      <c r="BA102"/>
      <c r="BB102"/>
      <c r="BC102"/>
    </row>
    <row r="103" spans="1:55" s="351" customFormat="1" ht="22.5" customHeight="1">
      <c r="A103" s="33">
        <f>IF(L98="","",A102+1)</f>
        <v>13</v>
      </c>
      <c r="B103" s="1617" t="str">
        <f>'Statement of Marks'!$K$3</f>
        <v>हिंदी</v>
      </c>
      <c r="C103" s="1618"/>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7">
        <f>IF(L98="","",IF(AND(H103="",I103=""),"",SUM(H103,I103)))</f>
        <v>46</v>
      </c>
      <c r="K103" s="679">
        <f>IFERROR(IF(L98="","",IF(AND(G103="",J103=""),"",SUM(G103,J103))),"")</f>
        <v>62</v>
      </c>
      <c r="L103" s="26">
        <f>IFERROR(VLOOKUP(L98,'Statement of Marks'!$B$7:'Statement of Marks'!$IC$206,16,0),"")</f>
        <v>65</v>
      </c>
      <c r="M103" s="26"/>
      <c r="N103" s="347">
        <f>IF(L98="","",IF(AND(L103="",M103=""),"",SUM(L103,M103)))</f>
        <v>65</v>
      </c>
      <c r="O103" s="674">
        <f>IFERROR(VLOOKUP(L98,'Statement of Marks'!$B$7:'Statement of Marks'!$IC$206,17,0),"")</f>
        <v>127</v>
      </c>
      <c r="P103" s="680"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80"/>
      <c r="R103" s="1617" t="str">
        <f>'Statement of Marks'!$K$3</f>
        <v>हिंदी</v>
      </c>
      <c r="S103" s="1618"/>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7">
        <f>IF(AB98="","",IF(AND(X103="",Y103=""),"",SUM(X103,Y103)))</f>
        <v>46</v>
      </c>
      <c r="AA103" s="679">
        <f>IFERROR(IF(AB98="","",IF(AND(W103="",Z103=""),"",SUM(W103,Z103))),"")</f>
        <v>72</v>
      </c>
      <c r="AB103" s="26">
        <f>IFERROR(VLOOKUP(AB98,'Statement of Marks'!$B$7:'Statement of Marks'!$IC$206,16,0),"")</f>
        <v>65</v>
      </c>
      <c r="AC103" s="26"/>
      <c r="AD103" s="347">
        <f>IF(AB98="","",IF(AND(AB103="",AC103=""),"",SUM(AB103,AC103)))</f>
        <v>65</v>
      </c>
      <c r="AE103" s="674">
        <f>IFERROR(VLOOKUP(AB98,'Statement of Marks'!$B$7:'Statement of Marks'!$IC$206,17,0),"")</f>
        <v>137</v>
      </c>
      <c r="AF103" s="680"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51" customFormat="1" ht="22.5" customHeight="1">
      <c r="A104" s="33">
        <f>IF(L98="","",A103+1)</f>
        <v>14</v>
      </c>
      <c r="B104" s="1617" t="str">
        <f>'Statement of Marks'!$Y$3</f>
        <v>अंग्रेजी</v>
      </c>
      <c r="C104" s="1618"/>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7">
        <f>IF(L98="","",IF(AND(H104="",I104=""),"",SUM(H104,I104)))</f>
        <v>60</v>
      </c>
      <c r="K104" s="679">
        <f>IFERROR(IF(L98="","",IF(AND(G104="",J104=""),"",SUM(G104,J104))),"")</f>
        <v>86</v>
      </c>
      <c r="L104" s="26">
        <f>IFERROR(VLOOKUP(L98,'Statement of Marks'!$B$7:'Statement of Marks'!$IC$206,30,0),"")</f>
        <v>60</v>
      </c>
      <c r="M104" s="26"/>
      <c r="N104" s="347">
        <f>IF(L98="","",IF(AND(L104="",M104=""),"",SUM(L104,M104)))</f>
        <v>60</v>
      </c>
      <c r="O104" s="674">
        <f>IFERROR(VLOOKUP(L98,'Statement of Marks'!$B$7:'Statement of Marks'!$IC$206,31,0),"")</f>
        <v>146</v>
      </c>
      <c r="P104" s="680"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80"/>
      <c r="R104" s="1617" t="str">
        <f>'Statement of Marks'!$Y$3</f>
        <v>अंग्रेजी</v>
      </c>
      <c r="S104" s="1618"/>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7">
        <f>IF(AB98="","",IF(AND(X104="",Y104=""),"",SUM(X104,Y104)))</f>
        <v>60</v>
      </c>
      <c r="AA104" s="679">
        <f>IFERROR(IF(AB98="","",IF(AND(W104="",Z104=""),"",SUM(W104,Z104))),"")</f>
        <v>86</v>
      </c>
      <c r="AB104" s="26">
        <f>IFERROR(VLOOKUP(AB98,'Statement of Marks'!$B$7:'Statement of Marks'!$IC$206,30,0),"")</f>
        <v>95</v>
      </c>
      <c r="AC104" s="26"/>
      <c r="AD104" s="347">
        <f>IF(AB98="","",IF(AND(AB104="",AC104=""),"",SUM(AB104,AC104)))</f>
        <v>95</v>
      </c>
      <c r="AE104" s="674">
        <f>IFERROR(VLOOKUP(AB98,'Statement of Marks'!$B$7:'Statement of Marks'!$IC$206,31,0),"")</f>
        <v>181</v>
      </c>
      <c r="AF104" s="680"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51" customFormat="1" ht="22.5" customHeight="1">
      <c r="A105" s="33">
        <f>IF(L98="","",A104+1)</f>
        <v>15</v>
      </c>
      <c r="B105" s="1617" t="str">
        <f>IFERROR(VLOOKUP(L98,'Statement of Marks'!$B$7:'Statement of Marks'!$IC$206,38,0),"")</f>
        <v>गुजराती (73)</v>
      </c>
      <c r="C105" s="1618"/>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7">
        <f>IF(L98="","",IF(AND(H105="",I105=""),"",SUM(H105,I105)))</f>
        <v>46</v>
      </c>
      <c r="K105" s="679">
        <f>IFERROR(IF(L98="","",IF(AND(G105="",J105=""),"",SUM(G105,J105))),"")</f>
        <v>71</v>
      </c>
      <c r="L105" s="26">
        <f>IFERROR(VLOOKUP(L98,'Statement of Marks'!$B$7:'Statement of Marks'!$IC$206,45,0),"")</f>
        <v>45</v>
      </c>
      <c r="M105" s="26"/>
      <c r="N105" s="347">
        <f>IF(L98="","",IF(AND(L105="",M105=""),"",SUM(L105,M105)))</f>
        <v>45</v>
      </c>
      <c r="O105" s="674">
        <f>IFERROR(VLOOKUP(L98,'Statement of Marks'!$B$7:'Statement of Marks'!$IC$206,46,0),"")</f>
        <v>116</v>
      </c>
      <c r="P105" s="680"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80"/>
      <c r="R105" s="1617" t="str">
        <f>IFERROR(VLOOKUP(AB98,'Statement of Marks'!$B$7:'Statement of Marks'!$IC$206,38,0),"")</f>
        <v>गुजराती (73)</v>
      </c>
      <c r="S105" s="1618"/>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7">
        <f>IF(AB98="","",IF(AND(X105="",Y105=""),"",SUM(X105,Y105)))</f>
        <v>58</v>
      </c>
      <c r="AA105" s="679">
        <f>IFERROR(IF(AB98="","",IF(AND(W105="",Z105=""),"",SUM(W105,Z105))),"")</f>
        <v>83</v>
      </c>
      <c r="AB105" s="26">
        <f>IFERROR(VLOOKUP(AB98,'Statement of Marks'!$B$7:'Statement of Marks'!$IC$206,45,0),"")</f>
        <v>95</v>
      </c>
      <c r="AC105" s="26"/>
      <c r="AD105" s="347">
        <f>IF(AB98="","",IF(AND(AB105="",AC105=""),"",SUM(AB105,AC105)))</f>
        <v>95</v>
      </c>
      <c r="AE105" s="674">
        <f>IFERROR(VLOOKUP(AB98,'Statement of Marks'!$B$7:'Statement of Marks'!$IC$206,46,0),"")</f>
        <v>178</v>
      </c>
      <c r="AF105" s="680"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51" customFormat="1" ht="22.5" customHeight="1">
      <c r="A106" s="33">
        <f>IF(L98="","",A105+1)</f>
        <v>16</v>
      </c>
      <c r="B106" s="1617" t="str">
        <f>'Statement of Marks'!$BB$3</f>
        <v>गणित</v>
      </c>
      <c r="C106" s="1618"/>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7">
        <f>IF(L98="","",IF(AND(H106="",I106=""),"",SUM(H106,I106)))</f>
        <v>9</v>
      </c>
      <c r="K106" s="679">
        <f>IFERROR(IF(L98="","",IF(AND(G106="",J106=""),"",SUM(G106,J106))),"")</f>
        <v>26</v>
      </c>
      <c r="L106" s="26">
        <f>IFERROR(VLOOKUP(L98,'Statement of Marks'!$B$7:'Statement of Marks'!$IC$206,59,0),"")</f>
        <v>34</v>
      </c>
      <c r="M106" s="26"/>
      <c r="N106" s="347">
        <f>IF(L98="","",IF(AND(L106="",M106=""),"",SUM(L106,M106)))</f>
        <v>34</v>
      </c>
      <c r="O106" s="674">
        <f>IFERROR(VLOOKUP(L98,'Statement of Marks'!$B$7:'Statement of Marks'!$IC$206,60,0),"")</f>
        <v>60</v>
      </c>
      <c r="P106" s="680"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80"/>
      <c r="R106" s="1617" t="str">
        <f>'Statement of Marks'!$BB$3</f>
        <v>गणित</v>
      </c>
      <c r="S106" s="1618"/>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7">
        <f>IF(AB98="","",IF(AND(X106="",Y106=""),"",SUM(X106,Y106)))</f>
        <v>46</v>
      </c>
      <c r="AA106" s="679">
        <f>IFERROR(IF(AB98="","",IF(AND(W106="",Z106=""),"",SUM(W106,Z106))),"")</f>
        <v>72</v>
      </c>
      <c r="AB106" s="26">
        <f>IFERROR(VLOOKUP(AB98,'Statement of Marks'!$B$7:'Statement of Marks'!$IC$206,59,0),"")</f>
        <v>45</v>
      </c>
      <c r="AC106" s="26"/>
      <c r="AD106" s="347">
        <f>IF(AB98="","",IF(AND(AB106="",AC106=""),"",SUM(AB106,AC106)))</f>
        <v>45</v>
      </c>
      <c r="AE106" s="674">
        <f>IFERROR(VLOOKUP(AB98,'Statement of Marks'!$B$7:'Statement of Marks'!$IC$206,60,0),"")</f>
        <v>117</v>
      </c>
      <c r="AF106" s="680"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51" customFormat="1" ht="22.5" customHeight="1">
      <c r="A107" s="33">
        <f>IF(L98="","",A106+1)</f>
        <v>17</v>
      </c>
      <c r="B107" s="1619" t="str">
        <f>'Statement of Marks'!$BP$3</f>
        <v>विज्ञान</v>
      </c>
      <c r="C107" s="1620"/>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7">
        <f>IF(L98="","",IF(AND(H107="",I107=""),"",SUM(H107,I107)))</f>
        <v>46</v>
      </c>
      <c r="K107" s="679">
        <f>IFERROR(IF(L98="","",IF(AND(G107="",J107=""),"",SUM(G107,J107))),"")</f>
        <v>73</v>
      </c>
      <c r="L107" s="26">
        <f>IFERROR(VLOOKUP(L98,'Statement of Marks'!$B$7:'Statement of Marks'!$IC$206,73,0),"")</f>
        <v>45</v>
      </c>
      <c r="M107" s="26"/>
      <c r="N107" s="347">
        <f>IF(L98="","",IF(AND(L107="",M107=""),"",SUM(L107,M107)))</f>
        <v>45</v>
      </c>
      <c r="O107" s="674">
        <f>IFERROR(VLOOKUP(L98,'Statement of Marks'!$B$7:'Statement of Marks'!$IC$206,74,0),"")</f>
        <v>118</v>
      </c>
      <c r="P107" s="680"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80"/>
      <c r="R107" s="1619" t="str">
        <f>'Statement of Marks'!$BP$3</f>
        <v>विज्ञान</v>
      </c>
      <c r="S107" s="1620"/>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7">
        <f>IF(AB98="","",IF(AND(X107="",Y107=""),"",SUM(X107,Y107)))</f>
        <v>46</v>
      </c>
      <c r="AA107" s="679">
        <f>IFERROR(IF(AB98="","",IF(AND(W107="",Z107=""),"",SUM(W107,Z107))),"")</f>
        <v>73</v>
      </c>
      <c r="AB107" s="26">
        <f>IFERROR(VLOOKUP(AB98,'Statement of Marks'!$B$7:'Statement of Marks'!$IC$206,73,0),"")</f>
        <v>45</v>
      </c>
      <c r="AC107" s="26"/>
      <c r="AD107" s="347">
        <f>IF(AB98="","",IF(AND(AB107="",AC107=""),"",SUM(AB107,AC107)))</f>
        <v>45</v>
      </c>
      <c r="AE107" s="674">
        <f>IFERROR(VLOOKUP(AB98,'Statement of Marks'!$B$7:'Statement of Marks'!$IC$206,74,0),"")</f>
        <v>118</v>
      </c>
      <c r="AF107" s="680"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51" customFormat="1" ht="22.5" customHeight="1">
      <c r="A108" s="33">
        <f>IF(L98="","",A107+1)</f>
        <v>18</v>
      </c>
      <c r="B108" s="409" t="str">
        <f>'Statement of Marks'!$CE$3</f>
        <v>सामाजिक विज्ञान</v>
      </c>
      <c r="C108" s="412"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7">
        <f>IF(L98="","",IF(AND(H108="",I108=""),"",SUM(H108,I108)))</f>
        <v>46</v>
      </c>
      <c r="K108" s="679">
        <f>IFERROR(IF(L98="","",IF(AND(G108="",J108=""),"",SUM(G108,J108))),"")</f>
        <v>76</v>
      </c>
      <c r="L108" s="26">
        <f>IFERROR(VLOOKUP(L98,'Statement of Marks'!$B$7:'Statement of Marks'!$IC$206,88,0),"")</f>
        <v>45</v>
      </c>
      <c r="M108" s="26"/>
      <c r="N108" s="347">
        <f>IF(L98="","",IF(AND(L108="",M108=""),"",SUM(L108,M108)))</f>
        <v>45</v>
      </c>
      <c r="O108" s="674">
        <f>IFERROR(VLOOKUP(L98,'Statement of Marks'!$B$7:'Statement of Marks'!$IC$206,89,0),"")</f>
        <v>121</v>
      </c>
      <c r="P108" s="680"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80"/>
      <c r="R108" s="409" t="str">
        <f>'Statement of Marks'!$CE$3</f>
        <v>सामाजिक विज्ञान</v>
      </c>
      <c r="S108" s="412"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7">
        <f>IF(AB98="","",IF(AND(X108="",Y108=""),"",SUM(X108,Y108)))</f>
        <v>46</v>
      </c>
      <c r="AA108" s="679">
        <f>IFERROR(IF(AB98="","",IF(AND(W108="",Z108=""),"",SUM(W108,Z108))),"")</f>
        <v>70</v>
      </c>
      <c r="AB108" s="26">
        <f>IFERROR(VLOOKUP(AB98,'Statement of Marks'!$B$7:'Statement of Marks'!$IC$206,88,0),"")</f>
        <v>45</v>
      </c>
      <c r="AC108" s="26"/>
      <c r="AD108" s="347">
        <f>IF(AB98="","",IF(AND(AB108="",AC108=""),"",SUM(AB108,AC108)))</f>
        <v>45</v>
      </c>
      <c r="AE108" s="674">
        <f>IFERROR(VLOOKUP(AB98,'Statement of Marks'!$B$7:'Statement of Marks'!$IC$206,89,0),"")</f>
        <v>115</v>
      </c>
      <c r="AF108" s="680"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51" customFormat="1">
      <c r="A109" s="33">
        <f>IF(L98="","",A108+1)</f>
        <v>19</v>
      </c>
      <c r="B109" s="1687" t="str">
        <f>IF('School Profile'!$D$12="Hindi","व्यावसायिक शिक्षा","Vocational Education")</f>
        <v>व्यावसायिक शिक्षा</v>
      </c>
      <c r="C109" s="1688"/>
      <c r="D109" s="1689"/>
      <c r="E109" s="1689"/>
      <c r="F109" s="1689"/>
      <c r="G109" s="1689"/>
      <c r="H109" s="1689"/>
      <c r="I109" s="1689"/>
      <c r="J109" s="1689"/>
      <c r="K109" s="1689"/>
      <c r="L109" s="1689"/>
      <c r="M109" s="1689"/>
      <c r="N109" s="1689"/>
      <c r="O109" s="1689"/>
      <c r="P109" s="1690"/>
      <c r="Q109" s="1680"/>
      <c r="R109" s="1687" t="str">
        <f>IF('School Profile'!$D$12="Hindi","व्यावसायिक शिक्षा","Vocational Education")</f>
        <v>व्यावसायिक शिक्षा</v>
      </c>
      <c r="S109" s="1688"/>
      <c r="T109" s="1689"/>
      <c r="U109" s="1689"/>
      <c r="V109" s="1689"/>
      <c r="W109" s="1689"/>
      <c r="X109" s="1689"/>
      <c r="Y109" s="1689"/>
      <c r="Z109" s="1689"/>
      <c r="AA109" s="1689"/>
      <c r="AB109" s="1689"/>
      <c r="AC109" s="1689"/>
      <c r="AD109" s="1689"/>
      <c r="AE109" s="1689"/>
      <c r="AF109" s="1690"/>
      <c r="AV109"/>
      <c r="AW109"/>
      <c r="AX109"/>
      <c r="BA109"/>
      <c r="BB109"/>
      <c r="BC109"/>
    </row>
    <row r="110" spans="1:55" s="351" customFormat="1" ht="22.5" customHeight="1">
      <c r="A110" s="33">
        <f>IF(L98="","",A109+1)</f>
        <v>20</v>
      </c>
      <c r="B110" s="411" t="str">
        <f>IFERROR(VLOOKUP(L98,'Statement of Marks'!$B$7:'Statement of Marks'!$IC$206,96,0),"")</f>
        <v/>
      </c>
      <c r="C110" s="410" t="str">
        <f>IF(OR(L98="",O108="",O110="",B110=""),"",IF(AND(O110&gt;=O108),"*",""))</f>
        <v/>
      </c>
      <c r="D110" s="397"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7" t="str">
        <f>IFERROR(VLOOKUP(L98,'Statement of Marks'!$B$7:'Statement of Marks'!$IC$206,103,0),"")</f>
        <v/>
      </c>
      <c r="K110" s="679" t="str">
        <f>IFERROR(IF(L98="","",IF(AND(G110="",J110=""),"",SUM(G110,J110))),"")</f>
        <v/>
      </c>
      <c r="L110" s="26" t="str">
        <f>IFERROR(VLOOKUP(L98,'Statement of Marks'!$B$7:'Statement of Marks'!$IC$206,105,0),"")</f>
        <v/>
      </c>
      <c r="M110" s="26" t="str">
        <f>IFERROR(VLOOKUP(L98,'Statement of Marks'!$B$7:'Statement of Marks'!$IC$206,106,0),"")</f>
        <v/>
      </c>
      <c r="N110" s="347" t="str">
        <f>IF(L98="","",IF(AND(L110="",M110=""),"",SUM(L110,M110)))</f>
        <v/>
      </c>
      <c r="O110" s="672" t="str">
        <f>IFERROR(VLOOKUP(L98,'Statement of Marks'!$B$7:'Statement of Marks'!$IC$206,108,0),"")</f>
        <v/>
      </c>
      <c r="P110" s="680" t="str">
        <f>IFERROR(IF(O103="","",IF(VLOOKUP(L98,'Statement of Marks'!$B$7:'Statement of Marks'!$IC$206,218,0)="D","I",IF(VLOOKUP(L98,'Statement of Marks'!$B$7:'Statement of Marks'!$IC$206,218,0)="G1","G",IF(VLOOKUP(L98,'Statement of Marks'!$B$7:'Statement of Marks'!$IC$206,218,0)="G2","G",VLOOKUP(L98,'Statement of Marks'!$B$7:'Statement of Marks'!$IC$206,218,0))))),"")</f>
        <v/>
      </c>
      <c r="Q110" s="1680"/>
      <c r="R110" s="411" t="str">
        <f>IFERROR(VLOOKUP(AB98,'Statement of Marks'!$B$7:'Statement of Marks'!$IC$206,96,0),"")</f>
        <v/>
      </c>
      <c r="S110" s="410" t="str">
        <f>IF(OR(AB98="",AE108="",AE110="",R110=""),"",IF(AND(AE110&gt;=AE108),"*",""))</f>
        <v/>
      </c>
      <c r="T110" s="397"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7" t="str">
        <f>IFERROR(VLOOKUP(AB98,'Statement of Marks'!$B$7:'Statement of Marks'!$IC$206,103,0),"")</f>
        <v/>
      </c>
      <c r="AA110" s="679" t="str">
        <f>IFERROR(IF(AB98="","",IF(AND(W110="",Z110=""),"",SUM(W110,Z110))),"")</f>
        <v/>
      </c>
      <c r="AB110" s="26" t="str">
        <f>IFERROR(VLOOKUP(AB98,'Statement of Marks'!$B$7:'Statement of Marks'!$IC$206,105,0),"")</f>
        <v/>
      </c>
      <c r="AC110" s="26" t="str">
        <f>IFERROR(VLOOKUP(AB98,'Statement of Marks'!$B$7:'Statement of Marks'!$IC$206,106,0),"")</f>
        <v/>
      </c>
      <c r="AD110" s="347" t="str">
        <f>IF(AB98="","",IF(AND(AB110="",AC110=""),"",SUM(AB110,AC110)))</f>
        <v/>
      </c>
      <c r="AE110" s="672" t="str">
        <f>IFERROR(VLOOKUP(AB98,'Statement of Marks'!$B$7:'Statement of Marks'!$IC$206,108,0),"")</f>
        <v/>
      </c>
      <c r="AF110" s="680"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51" customFormat="1" ht="25.5" customHeight="1">
      <c r="A111" s="33">
        <f>IF(L98="","",A110+1)</f>
        <v>21</v>
      </c>
      <c r="B111" s="1665"/>
      <c r="C111" s="1666"/>
      <c r="D111" s="1667"/>
      <c r="E111" s="1667"/>
      <c r="F111" s="1667"/>
      <c r="G111" s="1667"/>
      <c r="H111" s="1667"/>
      <c r="I111" s="1667"/>
      <c r="J111" s="1667"/>
      <c r="K111" s="1667"/>
      <c r="L111" s="1668" t="str">
        <f>IF('School Profile'!$D$12="Hindi","महायोग :","Grand Total :")</f>
        <v>महायोग :</v>
      </c>
      <c r="M111" s="1669"/>
      <c r="N111" s="1669"/>
      <c r="O111" s="1670">
        <f>IF(OR(L98="",C96=""),"",IF(OR(B110="",O110=""),SUM(O103,O104,O105,O106,O107,O108),IF((O108/O102*100)&gt;=(O110/O102*100),SUM(O103:O108),SUM(O103,O104,O105,O106,O107,O110))))</f>
        <v>688</v>
      </c>
      <c r="P111" s="1671"/>
      <c r="Q111" s="1680"/>
      <c r="R111" s="1665"/>
      <c r="S111" s="1666"/>
      <c r="T111" s="1667"/>
      <c r="U111" s="1667"/>
      <c r="V111" s="1667"/>
      <c r="W111" s="1667"/>
      <c r="X111" s="1667"/>
      <c r="Y111" s="1667"/>
      <c r="Z111" s="1667"/>
      <c r="AA111" s="1667"/>
      <c r="AB111" s="1668" t="str">
        <f>IF('School Profile'!$D$12="Hindi","महायोग :","Grand Total :")</f>
        <v>महायोग :</v>
      </c>
      <c r="AC111" s="1669"/>
      <c r="AD111" s="1669"/>
      <c r="AE111" s="1670">
        <f>IF(OR(AB98="",S96=""),"",IF(OR(R110="",AE110=""),SUM(AE103,AE104,AE105,AE106,AE107,AE108),IF((AE108/AE102*100)&gt;=(AE110/AE102*100),SUM(AE103:AE108),SUM(AE103,AE104,AE105,AE106,AE107,AE110))))</f>
        <v>846</v>
      </c>
      <c r="AF111" s="1671"/>
      <c r="AV111"/>
      <c r="AW111"/>
      <c r="AX111"/>
      <c r="BA111"/>
      <c r="BB111"/>
      <c r="BC111"/>
    </row>
    <row r="112" spans="1:55" s="351" customFormat="1" ht="25.5" customHeight="1">
      <c r="A112" s="33">
        <f>IF(L98="","",A111+1)</f>
        <v>22</v>
      </c>
      <c r="B112" s="1644" t="str">
        <f>'Statement of Marks'!$DZ$208</f>
        <v>राजस्थान का स्वंत्रता आन्दोलन व शोर्य परम्परा</v>
      </c>
      <c r="C112" s="1645"/>
      <c r="D112" s="1646" t="s">
        <v>149</v>
      </c>
      <c r="E112" s="1647"/>
      <c r="F112" s="355">
        <f>IFERROR(VLOOKUP(L98,'Statement of Marks'!$B$7:'Statement of Marks'!$IC$206,136,0),"")</f>
        <v>184</v>
      </c>
      <c r="G112" s="356" t="s">
        <v>135</v>
      </c>
      <c r="H112" s="355" t="str">
        <f>IFERROR(VLOOKUP(L98,'Statement of Marks'!$B$7:'Statement of Marks'!$IC$206,137,0),"")</f>
        <v>A</v>
      </c>
      <c r="I112" s="1648" t="str">
        <f>'Statement of Marks'!$EL$208</f>
        <v>सूचना प्रोद्योगिकी की अवधारणा - I</v>
      </c>
      <c r="J112" s="1649"/>
      <c r="K112" s="1649"/>
      <c r="L112" s="1650"/>
      <c r="M112" s="354" t="s">
        <v>149</v>
      </c>
      <c r="N112" s="355">
        <f>IFERROR(VLOOKUP(L98,'Statement of Marks'!$B$7:'Statement of Marks'!$IC$206,152,0),"")</f>
        <v>168</v>
      </c>
      <c r="O112" s="356" t="s">
        <v>135</v>
      </c>
      <c r="P112" s="355" t="str">
        <f>IFERROR(VLOOKUP(L98,'Statement of Marks'!$B$7:'Statement of Marks'!$IC$206,153,0),"")</f>
        <v>A</v>
      </c>
      <c r="Q112" s="1680"/>
      <c r="R112" s="1644" t="str">
        <f>'Statement of Marks'!$DZ$208</f>
        <v>राजस्थान का स्वंत्रता आन्दोलन व शोर्य परम्परा</v>
      </c>
      <c r="S112" s="1645"/>
      <c r="T112" s="1646" t="s">
        <v>149</v>
      </c>
      <c r="U112" s="1647"/>
      <c r="V112" s="355">
        <f>IFERROR(VLOOKUP(AB98,'Statement of Marks'!$B$7:'Statement of Marks'!$IC$206,136,0),"")</f>
        <v>184</v>
      </c>
      <c r="W112" s="356" t="s">
        <v>135</v>
      </c>
      <c r="X112" s="355" t="str">
        <f>IFERROR(VLOOKUP(AB98,'Statement of Marks'!$B$7:'Statement of Marks'!$IC$206,137,0),"")</f>
        <v>A</v>
      </c>
      <c r="Y112" s="1648" t="str">
        <f>'Statement of Marks'!$EL$208</f>
        <v>सूचना प्रोद्योगिकी की अवधारणा - I</v>
      </c>
      <c r="Z112" s="1649"/>
      <c r="AA112" s="1649"/>
      <c r="AB112" s="1650"/>
      <c r="AC112" s="354" t="s">
        <v>149</v>
      </c>
      <c r="AD112" s="355">
        <f>IFERROR(VLOOKUP(AB98,'Statement of Marks'!$B$7:'Statement of Marks'!$IC$206,152,0),"")</f>
        <v>183</v>
      </c>
      <c r="AE112" s="356" t="s">
        <v>135</v>
      </c>
      <c r="AF112" s="355" t="str">
        <f>IFERROR(VLOOKUP(AB98,'Statement of Marks'!$B$7:'Statement of Marks'!$IC$206,153,0),"")</f>
        <v>A</v>
      </c>
      <c r="AV112"/>
      <c r="AW112"/>
      <c r="AX112"/>
      <c r="BA112"/>
      <c r="BB112"/>
      <c r="BC112"/>
    </row>
    <row r="113" spans="1:55" s="351" customFormat="1" ht="25.5" customHeight="1">
      <c r="A113" s="33">
        <f>IF(L98="","",A112+1)</f>
        <v>23</v>
      </c>
      <c r="B113" s="1651" t="str">
        <f>'Statement of Marks'!$FB$208</f>
        <v>स्वा. एवं शा. शिक्षा</v>
      </c>
      <c r="C113" s="1652"/>
      <c r="D113" s="1653" t="s">
        <v>149</v>
      </c>
      <c r="E113" s="1654"/>
      <c r="F113" s="355">
        <f>IFERROR(VLOOKUP(L98,'Statement of Marks'!$B$7:'Statement of Marks'!$IC$206,171,0),"")</f>
        <v>171</v>
      </c>
      <c r="G113" s="356" t="s">
        <v>135</v>
      </c>
      <c r="H113" s="355" t="str">
        <f>IFERROR(VLOOKUP(L98,'Statement of Marks'!$B$7:'Statement of Marks'!$IC$206,172,0),"")</f>
        <v>A</v>
      </c>
      <c r="I113" s="1655" t="str">
        <f>'Statement of Marks'!$FJ$208</f>
        <v>समाजोपयोगी उत्पादन कार्य एवं समाज सेवा</v>
      </c>
      <c r="J113" s="1656"/>
      <c r="K113" s="1656"/>
      <c r="L113" s="1657"/>
      <c r="M113" s="403" t="s">
        <v>149</v>
      </c>
      <c r="N113" s="404">
        <f>IFERROR(VLOOKUP(L98,'Statement of Marks'!$B$7:'Statement of Marks'!$IC$206,179,0),"")</f>
        <v>80</v>
      </c>
      <c r="O113" s="405" t="s">
        <v>135</v>
      </c>
      <c r="P113" s="404" t="str">
        <f>IFERROR(VLOOKUP(L98,'Statement of Marks'!$B$7:'Statement of Marks'!$IC$206,180,0),"")</f>
        <v>B</v>
      </c>
      <c r="Q113" s="1680"/>
      <c r="R113" s="1651" t="str">
        <f>'Statement of Marks'!$FB$208</f>
        <v>स्वा. एवं शा. शिक्षा</v>
      </c>
      <c r="S113" s="1652"/>
      <c r="T113" s="1653" t="s">
        <v>149</v>
      </c>
      <c r="U113" s="1654"/>
      <c r="V113" s="355">
        <f>IFERROR(VLOOKUP(AB98,'Statement of Marks'!$B$7:'Statement of Marks'!$IC$206,171,0),"")</f>
        <v>175</v>
      </c>
      <c r="W113" s="356" t="s">
        <v>135</v>
      </c>
      <c r="X113" s="355" t="str">
        <f>IFERROR(VLOOKUP(AB98,'Statement of Marks'!$B$7:'Statement of Marks'!$IC$206,172,0),"")</f>
        <v>A</v>
      </c>
      <c r="Y113" s="1655" t="str">
        <f>'Statement of Marks'!$FJ$208</f>
        <v>समाजोपयोगी उत्पादन कार्य एवं समाज सेवा</v>
      </c>
      <c r="Z113" s="1656"/>
      <c r="AA113" s="1656"/>
      <c r="AB113" s="1657"/>
      <c r="AC113" s="403" t="s">
        <v>149</v>
      </c>
      <c r="AD113" s="404">
        <f>IFERROR(VLOOKUP(AB98,'Statement of Marks'!$B$7:'Statement of Marks'!$IC$206,179,0),"")</f>
        <v>80</v>
      </c>
      <c r="AE113" s="405" t="s">
        <v>135</v>
      </c>
      <c r="AF113" s="404" t="str">
        <f>IFERROR(VLOOKUP(AB98,'Statement of Marks'!$B$7:'Statement of Marks'!$IC$206,180,0),"")</f>
        <v>B</v>
      </c>
      <c r="AV113"/>
      <c r="AW113"/>
      <c r="AX113"/>
      <c r="BA113"/>
      <c r="BB113"/>
      <c r="BC113"/>
    </row>
    <row r="114" spans="1:55" s="351" customFormat="1" ht="30" customHeight="1">
      <c r="A114" s="33">
        <f>IF(L98="","",A113+1)</f>
        <v>24</v>
      </c>
      <c r="B114" s="1658" t="str">
        <f>'Statement of Marks'!$FU$208</f>
        <v>कला शिक्षा</v>
      </c>
      <c r="C114" s="1659"/>
      <c r="D114" s="1660" t="s">
        <v>149</v>
      </c>
      <c r="E114" s="1661"/>
      <c r="F114" s="404">
        <f>IFERROR(VLOOKUP(L98,'Statement of Marks'!$B$7:'Statement of Marks'!$IC$206,187,0),"")</f>
        <v>88</v>
      </c>
      <c r="G114" s="405" t="s">
        <v>135</v>
      </c>
      <c r="H114" s="355" t="str">
        <f>IFERROR(VLOOKUP(L98,'Statement of Marks'!$B$7:'Statement of Marks'!$IC$206,188,0),"")</f>
        <v>A</v>
      </c>
      <c r="I114" s="1662" t="str">
        <f>IF('School Profile'!$D$12="Hindi","परीक्षा परिणाम घोषित दिनांक :-","Date of Result declaration :-")</f>
        <v>परीक्षा परिणाम घोषित दिनांक :-</v>
      </c>
      <c r="J114" s="1663"/>
      <c r="K114" s="1663"/>
      <c r="L114" s="1664"/>
      <c r="M114" s="1625">
        <f>IF(AND(L98=""),"",IF('School Profile'!$D$11="","",'School Profile'!$D$11))</f>
        <v>45793</v>
      </c>
      <c r="N114" s="1626"/>
      <c r="O114" s="690" t="str">
        <f>IF('School Profile'!$D$12="Hindi","श्रेणी","Division")</f>
        <v>श्रेणी</v>
      </c>
      <c r="P114" s="407" t="str">
        <f>IFERROR(VLOOKUP(L98,'Statement of Marks'!$B$7:'Statement of Marks'!$IC$206,229,0),"")</f>
        <v/>
      </c>
      <c r="Q114" s="1680"/>
      <c r="R114" s="1658" t="str">
        <f>'Statement of Marks'!$FU$208</f>
        <v>कला शिक्षा</v>
      </c>
      <c r="S114" s="1659"/>
      <c r="T114" s="1660" t="s">
        <v>149</v>
      </c>
      <c r="U114" s="1661"/>
      <c r="V114" s="404">
        <f>IFERROR(VLOOKUP(AB98,'Statement of Marks'!$B$7:'Statement of Marks'!$IC$206,187,0),"")</f>
        <v>96</v>
      </c>
      <c r="W114" s="405" t="s">
        <v>135</v>
      </c>
      <c r="X114" s="355" t="str">
        <f>IFERROR(VLOOKUP(AB98,'Statement of Marks'!$B$7:'Statement of Marks'!$IC$206,188,0),"")</f>
        <v>A</v>
      </c>
      <c r="Y114" s="1662" t="str">
        <f>IF('School Profile'!$D$12="Hindi","परीक्षा परिणाम घोषित दिनांक :-","Date of Result declaration :-")</f>
        <v>परीक्षा परिणाम घोषित दिनांक :-</v>
      </c>
      <c r="Z114" s="1663"/>
      <c r="AA114" s="1663"/>
      <c r="AB114" s="1664"/>
      <c r="AC114" s="1625">
        <f>IF(AND(AB98=""),"",IF('School Profile'!$D$11="","",'School Profile'!$D$11))</f>
        <v>45793</v>
      </c>
      <c r="AD114" s="1626"/>
      <c r="AE114" s="690" t="str">
        <f>IF('School Profile'!$D$12="Hindi","श्रेणी","Division")</f>
        <v>श्रेणी</v>
      </c>
      <c r="AF114" s="407" t="str">
        <f>IFERROR(VLOOKUP(AB98,'Statement of Marks'!$B$7:'Statement of Marks'!$IC$206,229,0),"")</f>
        <v>1st</v>
      </c>
      <c r="AV114"/>
      <c r="AW114"/>
      <c r="AX114"/>
      <c r="BA114"/>
      <c r="BB114"/>
      <c r="BC114"/>
    </row>
    <row r="115" spans="1:55" s="351" customFormat="1" ht="29.25" customHeight="1">
      <c r="A115" s="33">
        <f>IF(L98="","",A114+1)</f>
        <v>25</v>
      </c>
      <c r="B115" s="1627" t="s">
        <v>144</v>
      </c>
      <c r="C115" s="1628"/>
      <c r="D115" s="1629" t="str">
        <f>IFERROR(VLOOKUP(L98,'Statement of Marks'!$B$7:'Statement of Marks'!$IC$206,192,0),"")</f>
        <v/>
      </c>
      <c r="E115" s="1630"/>
      <c r="F115" s="1631" t="s">
        <v>76</v>
      </c>
      <c r="G115" s="1632"/>
      <c r="H115" s="406" t="str">
        <f>IFERROR(VLOOKUP(L98,'Statement of Marks'!$B$7:'Statement of Marks'!$IC$206,193,0),"")</f>
        <v/>
      </c>
      <c r="I115" s="1633" t="s">
        <v>136</v>
      </c>
      <c r="J115" s="1634"/>
      <c r="K115" s="1635" t="str">
        <f>IFERROR(IF(OR(O111="",L98=""),"",VLOOKUP(L98,'Statement of Marks'!$B$7:'Statement of Marks'!$IC$206,230,0)),"")</f>
        <v/>
      </c>
      <c r="L115" s="1636"/>
      <c r="M115" s="1637" t="s">
        <v>145</v>
      </c>
      <c r="N115" s="1638"/>
      <c r="O115" s="1638"/>
      <c r="P115" s="408" t="str">
        <f>IFERROR(VLOOKUP(L98,'Statement of Marks'!$B$7:'Statement of Marks'!$IC$206,231,0),"")</f>
        <v/>
      </c>
      <c r="Q115" s="1680"/>
      <c r="R115" s="1627" t="s">
        <v>144</v>
      </c>
      <c r="S115" s="1628"/>
      <c r="T115" s="1629" t="str">
        <f>IFERROR(VLOOKUP(AB98,'Statement of Marks'!$B$7:'Statement of Marks'!$IC$206,192,0),"")</f>
        <v/>
      </c>
      <c r="U115" s="1630"/>
      <c r="V115" s="1631" t="s">
        <v>76</v>
      </c>
      <c r="W115" s="1632"/>
      <c r="X115" s="406" t="str">
        <f>IFERROR(VLOOKUP(AB98,'Statement of Marks'!$B$7:'Statement of Marks'!$IC$206,193,0),"")</f>
        <v/>
      </c>
      <c r="Y115" s="1633" t="s">
        <v>136</v>
      </c>
      <c r="Z115" s="1634"/>
      <c r="AA115" s="1635">
        <f>IFERROR(IF(OR(AE111="",AB98=""),"",VLOOKUP(AB98,'Statement of Marks'!$B$7:'Statement of Marks'!$IC$206,230,0)),"")</f>
        <v>70.5</v>
      </c>
      <c r="AB115" s="1636"/>
      <c r="AC115" s="1637" t="s">
        <v>145</v>
      </c>
      <c r="AD115" s="1638"/>
      <c r="AE115" s="1638"/>
      <c r="AF115" s="408">
        <f>IFERROR(VLOOKUP(AB98,'Statement of Marks'!$B$7:'Statement of Marks'!$IC$206,231,0),"")</f>
        <v>3.0000000000000018</v>
      </c>
      <c r="AV115"/>
      <c r="AW115"/>
      <c r="AX115"/>
      <c r="BA115"/>
      <c r="BB115"/>
      <c r="BC115"/>
    </row>
    <row r="116" spans="1:55" s="351" customFormat="1" ht="27.75" customHeight="1">
      <c r="A116" s="33">
        <f>IF(L98="","",A115+1)</f>
        <v>26</v>
      </c>
      <c r="B116" s="1639" t="str">
        <f>IF('School Profile'!$D$12="Hindi","मुख्य परीक्षा परिणाम ","Main Exam Result")</f>
        <v xml:space="preserve">मुख्य परीक्षा परिणाम </v>
      </c>
      <c r="C116" s="1639"/>
      <c r="D116" s="1640"/>
      <c r="E116" s="1640"/>
      <c r="F116" s="1640"/>
      <c r="G116" s="1640" t="str">
        <f>IF('School Profile'!$D$12="Hindi","विशेष योग्यता प्राप्त विषय","Subjects Of Dictation Marks")</f>
        <v>विशेष योग्यता प्राप्त विषय</v>
      </c>
      <c r="H116" s="1640"/>
      <c r="I116" s="1640"/>
      <c r="J116" s="1640"/>
      <c r="K116" s="1640"/>
      <c r="L116" s="1641" t="str">
        <f>IF('School Profile'!$D$12="Hindi","पूरक विषय","Supplementary Subject")</f>
        <v>पूरक विषय</v>
      </c>
      <c r="M116" s="1642"/>
      <c r="N116" s="1642"/>
      <c r="O116" s="1642"/>
      <c r="P116" s="1643"/>
      <c r="Q116" s="1680"/>
      <c r="R116" s="1639" t="str">
        <f>IF('School Profile'!$D$12="Hindi","मुख्य परीक्षा परिणाम ","Main Exam Result")</f>
        <v xml:space="preserve">मुख्य परीक्षा परिणाम </v>
      </c>
      <c r="S116" s="1639"/>
      <c r="T116" s="1640"/>
      <c r="U116" s="1640"/>
      <c r="V116" s="1640"/>
      <c r="W116" s="1640" t="str">
        <f>IF('School Profile'!$D$12="Hindi","विशेष योग्यता प्राप्त विषय","Subjects Of Dictation Marks")</f>
        <v>विशेष योग्यता प्राप्त विषय</v>
      </c>
      <c r="X116" s="1640"/>
      <c r="Y116" s="1640"/>
      <c r="Z116" s="1640"/>
      <c r="AA116" s="1640"/>
      <c r="AB116" s="1641" t="str">
        <f>IF('School Profile'!$D$12="Hindi","पूरक विषय","Supplementary Subject")</f>
        <v>पूरक विषय</v>
      </c>
      <c r="AC116" s="1642"/>
      <c r="AD116" s="1642"/>
      <c r="AE116" s="1642"/>
      <c r="AF116" s="1643"/>
      <c r="AV116"/>
      <c r="AW116"/>
      <c r="AX116"/>
      <c r="BA116"/>
      <c r="BB116"/>
      <c r="BC116"/>
    </row>
    <row r="117" spans="1:55" s="351" customFormat="1" ht="42.75" customHeight="1">
      <c r="A117" s="33">
        <f>IF(L98="","",A116+1)</f>
        <v>27</v>
      </c>
      <c r="B117" s="1612"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12"/>
      <c r="D117" s="1612"/>
      <c r="E117" s="1612"/>
      <c r="F117" s="1612"/>
      <c r="G117" s="1613" t="str">
        <f>IFERROR(VLOOKUP(L98,'Statement of Marks'!$B$7:'Statement of Marks'!$IC$206,225,0),"")</f>
        <v xml:space="preserve">      </v>
      </c>
      <c r="H117" s="1613"/>
      <c r="I117" s="1613"/>
      <c r="J117" s="1613"/>
      <c r="K117" s="1613"/>
      <c r="L117" s="1614" t="str">
        <f>IFERROR(VLOOKUP(L98,'Statement of Marks'!$B$7:'Statement of Marks'!$IC$206,222,0),"")</f>
        <v xml:space="preserve">   गणित   </v>
      </c>
      <c r="M117" s="1615"/>
      <c r="N117" s="1615"/>
      <c r="O117" s="1615"/>
      <c r="P117" s="1616"/>
      <c r="Q117" s="1680"/>
      <c r="R117" s="1612"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12"/>
      <c r="T117" s="1612"/>
      <c r="U117" s="1612"/>
      <c r="V117" s="1612"/>
      <c r="W117" s="1613" t="str">
        <f>IFERROR(VLOOKUP(AB98,'Statement of Marks'!$B$7:'Statement of Marks'!$IC$206,225,0),"")</f>
        <v xml:space="preserve"> अंग्रेजी गुजराती (73)    </v>
      </c>
      <c r="X117" s="1613"/>
      <c r="Y117" s="1613"/>
      <c r="Z117" s="1613"/>
      <c r="AA117" s="1613"/>
      <c r="AB117" s="1614" t="str">
        <f>IFERROR(VLOOKUP(AB98,'Statement of Marks'!$B$7:'Statement of Marks'!$IC$206,222,0),"")</f>
        <v xml:space="preserve">      </v>
      </c>
      <c r="AC117" s="1615"/>
      <c r="AD117" s="1615"/>
      <c r="AE117" s="1615"/>
      <c r="AF117" s="1616"/>
      <c r="AV117"/>
      <c r="AW117"/>
      <c r="AX117"/>
      <c r="BA117"/>
      <c r="BB117"/>
      <c r="BC117"/>
    </row>
    <row r="118" spans="1:55" s="351" customFormat="1" ht="52.5" customHeight="1">
      <c r="A118" s="33">
        <f>IF(L98="","",A117+1)</f>
        <v>28</v>
      </c>
      <c r="B118" s="1621" t="str">
        <f>IF(AND(L98=""),"",CONCATENATE("(",'School Profile'!$D$18," )"))</f>
        <v>(Yogesh )</v>
      </c>
      <c r="C118" s="1621"/>
      <c r="D118" s="1621"/>
      <c r="E118" s="1621"/>
      <c r="F118" s="1621"/>
      <c r="G118" s="1622" t="str">
        <f>IF(AND(L98=""),"",CONCATENATE("( ",'School Profile'!$D$15," )"))</f>
        <v>( Heeralal Jat )</v>
      </c>
      <c r="H118" s="1622"/>
      <c r="I118" s="1622"/>
      <c r="J118" s="1622"/>
      <c r="K118" s="1623" t="str">
        <f>IF(AND(L98=""),"",CONCATENATE("( ",'School Profile'!$D$14," )"))</f>
        <v>( USHA PALIYA )</v>
      </c>
      <c r="L118" s="1623"/>
      <c r="M118" s="1623"/>
      <c r="N118" s="1623"/>
      <c r="O118" s="1623"/>
      <c r="P118" s="1623"/>
      <c r="Q118" s="1680"/>
      <c r="R118" s="1621" t="str">
        <f>IF(AND(AB98=""),"",CONCATENATE("(",'School Profile'!$D$18," )"))</f>
        <v>(Yogesh )</v>
      </c>
      <c r="S118" s="1621"/>
      <c r="T118" s="1621"/>
      <c r="U118" s="1621"/>
      <c r="V118" s="1621"/>
      <c r="W118" s="1622" t="str">
        <f>IF(AND(AB98=""),"",CONCATENATE("( ",'School Profile'!$D$15," )"))</f>
        <v>( Heeralal Jat )</v>
      </c>
      <c r="X118" s="1622"/>
      <c r="Y118" s="1622"/>
      <c r="Z118" s="1622"/>
      <c r="AA118" s="1623" t="str">
        <f>IF(AND(AB98=""),"",CONCATENATE("( ",'School Profile'!$D$14," )"))</f>
        <v>( USHA PALIYA )</v>
      </c>
      <c r="AB118" s="1623"/>
      <c r="AC118" s="1623"/>
      <c r="AD118" s="1623"/>
      <c r="AE118" s="1623"/>
      <c r="AF118" s="1623"/>
      <c r="AV118"/>
      <c r="AW118"/>
      <c r="AX118"/>
      <c r="BA118"/>
      <c r="BB118"/>
      <c r="BC118"/>
    </row>
    <row r="119" spans="1:55" s="351" customFormat="1" ht="24.75" customHeight="1">
      <c r="A119" s="33">
        <f>IF(L98="","",A118+1)</f>
        <v>29</v>
      </c>
      <c r="B119" s="1624" t="str">
        <f>IF('School Profile'!$D$12="Hindi","हस्ताक्षर कक्षाध्यापक","Signature of the class teacher")</f>
        <v>हस्ताक्षर कक्षाध्यापक</v>
      </c>
      <c r="C119" s="1624"/>
      <c r="D119" s="1624"/>
      <c r="E119" s="1624"/>
      <c r="F119" s="1624"/>
      <c r="G119" s="1624" t="str">
        <f>IF('School Profile'!$D$12="Hindi","हस्ताक्षर परीक्षा प्रभारी","Signature of the exam. Incharge")</f>
        <v>हस्ताक्षर परीक्षा प्रभारी</v>
      </c>
      <c r="H119" s="1624"/>
      <c r="I119" s="1624"/>
      <c r="J119" s="1624"/>
      <c r="K119" s="1624" t="str">
        <f>IF('School Profile'!$D$12="Hindi","हस्ताक्षर मय सील मोहर संस्था प्रधान","Signature &amp; Seal of the Head of the Institution")</f>
        <v>हस्ताक्षर मय सील मोहर संस्था प्रधान</v>
      </c>
      <c r="L119" s="1624"/>
      <c r="M119" s="1624"/>
      <c r="N119" s="1624"/>
      <c r="O119" s="1624"/>
      <c r="P119" s="1624"/>
      <c r="Q119" s="1680"/>
      <c r="R119" s="1624" t="str">
        <f>IF('School Profile'!$D$12="Hindi","हस्ताक्षर कक्षाध्यापक","Signature of the class teacher")</f>
        <v>हस्ताक्षर कक्षाध्यापक</v>
      </c>
      <c r="S119" s="1624"/>
      <c r="T119" s="1624"/>
      <c r="U119" s="1624"/>
      <c r="V119" s="1624"/>
      <c r="W119" s="1624" t="str">
        <f>IF('School Profile'!$D$12="Hindi","हस्ताक्षर परीक्षा प्रभारी","Signature of the exam. Incharge")</f>
        <v>हस्ताक्षर परीक्षा प्रभारी</v>
      </c>
      <c r="X119" s="1624"/>
      <c r="Y119" s="1624"/>
      <c r="Z119" s="1624"/>
      <c r="AA119" s="1624" t="str">
        <f>IF('School Profile'!$D$12="Hindi","हस्ताक्षर मय सील मोहर संस्था प्रधान","Signature &amp; Seal of the Head of the Institution")</f>
        <v>हस्ताक्षर मय सील मोहर संस्था प्रधान</v>
      </c>
      <c r="AB119" s="1624"/>
      <c r="AC119" s="1624"/>
      <c r="AD119" s="1624"/>
      <c r="AE119" s="1624"/>
      <c r="AF119" s="1624"/>
      <c r="AV119"/>
      <c r="AW119"/>
      <c r="AX119"/>
      <c r="BA119"/>
      <c r="BB119"/>
      <c r="BC119"/>
    </row>
    <row r="121" spans="1:55" s="6" customFormat="1" ht="22.5" customHeight="1">
      <c r="A121" s="33">
        <f>IF(L128="","",1)</f>
        <v>1</v>
      </c>
      <c r="B121" s="28"/>
      <c r="C121" s="28"/>
      <c r="D121" s="1553" t="str">
        <f>IF('School Profile'!$D$12="Hindi","वार्षिक रिपोर्ट कार्ड ","Report Card")</f>
        <v xml:space="preserve">वार्षिक रिपोर्ट कार्ड </v>
      </c>
      <c r="E121" s="1553"/>
      <c r="F121" s="1553"/>
      <c r="G121" s="1553"/>
      <c r="H121" s="1553"/>
      <c r="I121" s="1553"/>
      <c r="J121" s="1553"/>
      <c r="K121" s="1553"/>
      <c r="L121" s="1553"/>
      <c r="M121" s="1553"/>
      <c r="N121" s="1553"/>
      <c r="O121" s="349"/>
      <c r="P121" s="349"/>
      <c r="Q121" s="1680" t="s">
        <v>77</v>
      </c>
      <c r="R121" s="28"/>
      <c r="S121" s="28"/>
      <c r="T121" s="1553" t="str">
        <f>IF('School Profile'!$D$12="Hindi","वार्षिक रिपोर्ट कार्ड ","Report Card")</f>
        <v xml:space="preserve">वार्षिक रिपोर्ट कार्ड </v>
      </c>
      <c r="U121" s="1553"/>
      <c r="V121" s="1553"/>
      <c r="W121" s="1553"/>
      <c r="X121" s="1553"/>
      <c r="Y121" s="1553"/>
      <c r="Z121" s="1553"/>
      <c r="AA121" s="1553"/>
      <c r="AB121" s="1553"/>
      <c r="AC121" s="1553"/>
      <c r="AD121" s="1553"/>
      <c r="AE121" s="349"/>
      <c r="AF121" s="349"/>
      <c r="AV121"/>
      <c r="AW121"/>
      <c r="AX121"/>
      <c r="BA121"/>
      <c r="BB121"/>
      <c r="BC121"/>
    </row>
    <row r="122" spans="1:55" s="6" customFormat="1" ht="22.5" customHeight="1">
      <c r="A122" s="33">
        <f>IF(L128="","",A121+1)</f>
        <v>2</v>
      </c>
      <c r="B122" s="28"/>
      <c r="C122" s="28"/>
      <c r="D122" s="1681" t="str">
        <f>IF('School Profile'!$D$12="Hindi","शिक्षा विभाग, राजस्थान सरकार","Education Department, Rajasthan Government")</f>
        <v>शिक्षा विभाग, राजस्थान सरकार</v>
      </c>
      <c r="E122" s="1681"/>
      <c r="F122" s="1681"/>
      <c r="G122" s="1681"/>
      <c r="H122" s="1681"/>
      <c r="I122" s="1681"/>
      <c r="J122" s="1681"/>
      <c r="K122" s="1681"/>
      <c r="L122" s="1681"/>
      <c r="M122" s="1681"/>
      <c r="N122" s="1681"/>
      <c r="O122" s="349"/>
      <c r="P122" s="349"/>
      <c r="Q122" s="1680"/>
      <c r="R122" s="28"/>
      <c r="S122" s="28"/>
      <c r="T122" s="1681" t="str">
        <f>IF('School Profile'!$D$12="Hindi","शिक्षा विभाग, राजस्थान सरकार","Education Department, Rajasthan Government")</f>
        <v>शिक्षा विभाग, राजस्थान सरकार</v>
      </c>
      <c r="U122" s="1681"/>
      <c r="V122" s="1681"/>
      <c r="W122" s="1681"/>
      <c r="X122" s="1681"/>
      <c r="Y122" s="1681"/>
      <c r="Z122" s="1681"/>
      <c r="AA122" s="1681"/>
      <c r="AB122" s="1681"/>
      <c r="AC122" s="1681"/>
      <c r="AD122" s="1681"/>
      <c r="AE122" s="349"/>
      <c r="AF122" s="349"/>
      <c r="AV122"/>
      <c r="AW122"/>
      <c r="AX122"/>
      <c r="BA122"/>
      <c r="BB122"/>
      <c r="BC122"/>
    </row>
    <row r="123" spans="1:55" s="32" customFormat="1" ht="24.95" customHeight="1">
      <c r="A123" s="34">
        <f>IF(L128="","",A122+1)</f>
        <v>3</v>
      </c>
      <c r="B123" s="1555" t="str">
        <f>IF('School Profile'!$D$12="Hindi",CONCATENATE("विद्यालय का नाम :-","  ",'School Profile'!$D$9),CONCATENATE("School Name :-","  ",'School Profile'!$D$8))</f>
        <v xml:space="preserve">विद्यालय का नाम :-  महात्मा गाँधी राजकीय विद्यालय (अंग्रेजी माध्यम) बर, पाली </v>
      </c>
      <c r="C123" s="1555"/>
      <c r="D123" s="1555"/>
      <c r="E123" s="1555"/>
      <c r="F123" s="1555"/>
      <c r="G123" s="1555"/>
      <c r="H123" s="1555"/>
      <c r="I123" s="1555"/>
      <c r="J123" s="1555"/>
      <c r="K123" s="1555"/>
      <c r="L123" s="1555"/>
      <c r="M123" s="1555"/>
      <c r="N123" s="1555"/>
      <c r="O123" s="1555"/>
      <c r="P123" s="1555"/>
      <c r="Q123" s="1680"/>
      <c r="R123" s="1555" t="str">
        <f>IF('School Profile'!$D$12="Hindi",CONCATENATE("विद्यालय का नाम :-","  ",'School Profile'!$D$9),CONCATENATE("School Name :-","  ",'School Profile'!$D$8))</f>
        <v xml:space="preserve">विद्यालय का नाम :-  महात्मा गाँधी राजकीय विद्यालय (अंग्रेजी माध्यम) बर, पाली </v>
      </c>
      <c r="S123" s="1555"/>
      <c r="T123" s="1555"/>
      <c r="U123" s="1555"/>
      <c r="V123" s="1555"/>
      <c r="W123" s="1555"/>
      <c r="X123" s="1555"/>
      <c r="Y123" s="1555"/>
      <c r="Z123" s="1555"/>
      <c r="AA123" s="1555"/>
      <c r="AB123" s="1555"/>
      <c r="AC123" s="1555"/>
      <c r="AD123" s="1555"/>
      <c r="AE123" s="1555"/>
      <c r="AF123" s="1555"/>
      <c r="AV123"/>
      <c r="AW123"/>
      <c r="AX123"/>
      <c r="BA123"/>
      <c r="BB123"/>
      <c r="BC123"/>
    </row>
    <row r="124" spans="1:55" s="32" customFormat="1" ht="24.95" customHeight="1">
      <c r="A124" s="34">
        <f>IF(L128="","",A123+1)</f>
        <v>4</v>
      </c>
      <c r="B124" s="668"/>
      <c r="C124" s="668"/>
      <c r="D124" s="668"/>
      <c r="E124" s="668"/>
      <c r="F124" s="1682"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82"/>
      <c r="H124" s="1682"/>
      <c r="I124" s="1682"/>
      <c r="J124" s="1682"/>
      <c r="K124" s="1682"/>
      <c r="L124" s="1682"/>
      <c r="M124" s="1682"/>
      <c r="N124" s="1682"/>
      <c r="O124" s="1682"/>
      <c r="P124" s="668"/>
      <c r="Q124" s="1680"/>
      <c r="R124" s="668"/>
      <c r="S124" s="668"/>
      <c r="T124" s="668"/>
      <c r="U124" s="668"/>
      <c r="V124" s="1682"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82"/>
      <c r="X124" s="1682"/>
      <c r="Y124" s="1682"/>
      <c r="Z124" s="1682"/>
      <c r="AA124" s="1682"/>
      <c r="AB124" s="1682"/>
      <c r="AC124" s="1682"/>
      <c r="AD124" s="1682"/>
      <c r="AE124" s="1682"/>
      <c r="AF124" s="668"/>
      <c r="AV124"/>
      <c r="AW124"/>
      <c r="AX124"/>
      <c r="AY124" s="6"/>
      <c r="AZ124" s="6"/>
      <c r="BA124"/>
      <c r="BB124"/>
      <c r="BC124"/>
    </row>
    <row r="125" spans="1:55" s="351" customFormat="1" ht="21" customHeight="1">
      <c r="A125" s="33">
        <f>IF(L128="","",A124+1)</f>
        <v>5</v>
      </c>
      <c r="B125" s="681" t="str">
        <f>IF('School Profile'!$D$12="Hindi","कक्षा  :-","CLASS :- ")</f>
        <v>कक्षा  :-</v>
      </c>
      <c r="C125" s="1611" t="str">
        <f>IF('Statement of Marks'!$E$3="","",'Statement of Marks'!$E$3)</f>
        <v>9th</v>
      </c>
      <c r="D125" s="1611"/>
      <c r="E125" s="820" t="str">
        <f>IFERROR(VLOOKUP(L128,'Statement of Marks'!$B$7:'Statement of Marks'!$IC$206,2,0),"")</f>
        <v>A</v>
      </c>
      <c r="F125" s="820"/>
      <c r="G125" s="820"/>
      <c r="H125" s="820"/>
      <c r="I125" s="1683" t="str">
        <f>IF('School Profile'!$D$12="Hindi","प्रवेशांक :","SR. NO. :")</f>
        <v>प्रवेशांक :</v>
      </c>
      <c r="J125" s="1683"/>
      <c r="K125" s="1683"/>
      <c r="L125" s="1684" t="str">
        <f>IFERROR(VLOOKUP(L128,'Statement of Marks'!$B$7:'Statement of Marks'!$IC$206,3,0),"")</f>
        <v/>
      </c>
      <c r="M125" s="1684"/>
      <c r="N125" s="1684"/>
      <c r="O125" s="1684"/>
      <c r="P125" s="414"/>
      <c r="Q125" s="1680"/>
      <c r="R125" s="681" t="str">
        <f>IF('School Profile'!$D$12="Hindi","कक्षा  :-","CLASS :- ")</f>
        <v>कक्षा  :-</v>
      </c>
      <c r="S125" s="1611" t="str">
        <f>IF('Statement of Marks'!$E$3="","",'Statement of Marks'!$E$3)</f>
        <v>9th</v>
      </c>
      <c r="T125" s="1611"/>
      <c r="U125" s="820" t="str">
        <f>IFERROR(VLOOKUP(AB128,'Statement of Marks'!$B$7:'Statement of Marks'!$IC$206,2,0),"")</f>
        <v>A</v>
      </c>
      <c r="V125" s="820"/>
      <c r="W125" s="820"/>
      <c r="X125" s="820"/>
      <c r="Y125" s="1683" t="str">
        <f>IF('School Profile'!$D$12="Hindi","प्रवेशांक :","SR. NO. :")</f>
        <v>प्रवेशांक :</v>
      </c>
      <c r="Z125" s="1683"/>
      <c r="AA125" s="1683"/>
      <c r="AB125" s="1684" t="str">
        <f>IFERROR(VLOOKUP(AB128,'Statement of Marks'!$B$7:'Statement of Marks'!$IC$206,3,0),"")</f>
        <v/>
      </c>
      <c r="AC125" s="1684"/>
      <c r="AD125" s="1684"/>
      <c r="AE125" s="1684"/>
      <c r="AF125" s="414"/>
      <c r="AV125"/>
      <c r="AW125" s="777">
        <f>L126</f>
        <v>40065</v>
      </c>
      <c r="AX125"/>
      <c r="BA125"/>
      <c r="BB125" s="777">
        <f>AB126</f>
        <v>40737</v>
      </c>
      <c r="BC125"/>
    </row>
    <row r="126" spans="1:55" s="351" customFormat="1" ht="21" customHeight="1">
      <c r="A126" s="33">
        <f>IF(L128="","",A125+1)</f>
        <v>6</v>
      </c>
      <c r="B126" s="683" t="str">
        <f>IF('School Profile'!$D$12="Hindi","विद्यार्थी का नाम :-","Student's Name :-")</f>
        <v>विद्यार्थी का नाम :-</v>
      </c>
      <c r="C126" s="1685" t="str">
        <f>IFERROR(VLOOKUP(L128,'Statement of Marks'!$B$7:'Statement of Marks'!$IC$206,5,0),"")</f>
        <v>RITA</v>
      </c>
      <c r="D126" s="1685"/>
      <c r="E126" s="1685"/>
      <c r="F126" s="1685"/>
      <c r="G126" s="1685"/>
      <c r="H126" s="1685"/>
      <c r="I126" s="1683" t="str">
        <f>IF('School Profile'!$D$12="Hindi","जन्म तिथि :","Date of Birth :")</f>
        <v>जन्म तिथि :</v>
      </c>
      <c r="J126" s="1683"/>
      <c r="K126" s="1683"/>
      <c r="L126" s="1686">
        <f>IFERROR(VLOOKUP(L128,'Statement of Marks'!$B$7:'Statement of Marks'!$IC$206,4,0),"")</f>
        <v>40065</v>
      </c>
      <c r="M126" s="1686"/>
      <c r="N126" s="1686"/>
      <c r="O126" s="1686"/>
      <c r="P126" s="670"/>
      <c r="Q126" s="1680"/>
      <c r="R126" s="683" t="str">
        <f>IF('School Profile'!$D$12="Hindi","विद्यार्थी का नाम :-","Student's Name :-")</f>
        <v>विद्यार्थी का नाम :-</v>
      </c>
      <c r="S126" s="1685" t="str">
        <f>IFERROR(VLOOKUP(AB128,'Statement of Marks'!$B$7:'Statement of Marks'!$IC$206,5,0),"")</f>
        <v>SONU</v>
      </c>
      <c r="T126" s="1685"/>
      <c r="U126" s="1685"/>
      <c r="V126" s="1685"/>
      <c r="W126" s="1685"/>
      <c r="X126" s="1685"/>
      <c r="Y126" s="1683" t="str">
        <f>IF('School Profile'!$D$12="Hindi","जन्म तिथि :","Date of Birth :")</f>
        <v>जन्म तिथि :</v>
      </c>
      <c r="Z126" s="1683"/>
      <c r="AA126" s="1683"/>
      <c r="AB126" s="1686">
        <f>IFERROR(VLOOKUP(AB128,'Statement of Marks'!$B$7:'Statement of Marks'!$IC$206,4,0),"")</f>
        <v>40737</v>
      </c>
      <c r="AC126" s="1686"/>
      <c r="AD126" s="1686"/>
      <c r="AE126" s="1686"/>
      <c r="AF126" s="670"/>
      <c r="AV126">
        <f>YEAR(AW125)</f>
        <v>2009</v>
      </c>
      <c r="AW126">
        <f>MONTH(AW125)</f>
        <v>9</v>
      </c>
      <c r="AX126">
        <f>DAY(AW125)</f>
        <v>9</v>
      </c>
      <c r="BA126">
        <f>YEAR(BB125)</f>
        <v>2011</v>
      </c>
      <c r="BB126">
        <f>MONTH(BB125)</f>
        <v>7</v>
      </c>
      <c r="BC126">
        <f>DAY(BB125)</f>
        <v>13</v>
      </c>
    </row>
    <row r="127" spans="1:55" s="351" customFormat="1" ht="21" customHeight="1">
      <c r="A127" s="33">
        <f>IF(L128="","",A126+1)</f>
        <v>7</v>
      </c>
      <c r="B127" s="683" t="str">
        <f>IF('School Profile'!$D$12="Hindi","पिता का नाम :-","Father's Name :-")</f>
        <v>पिता का नाम :-</v>
      </c>
      <c r="C127" s="1685" t="str">
        <f>IFERROR(VLOOKUP(L128,'Statement of Marks'!$B$7:'Statement of Marks'!$IC$206,6,0),"")</f>
        <v/>
      </c>
      <c r="D127" s="1685"/>
      <c r="E127" s="1685"/>
      <c r="F127" s="1685"/>
      <c r="G127" s="1685"/>
      <c r="H127" s="1685"/>
      <c r="I127" s="1683" t="str">
        <f>IF('School Profile'!$D$12="Hindi","जन्मतिथि शब्दों में :-","Date of Birth in Words :-")</f>
        <v>जन्मतिथि शब्दों में :-</v>
      </c>
      <c r="J127" s="1683"/>
      <c r="K127" s="1683"/>
      <c r="L127" s="1685" t="str">
        <f>IFERROR(IF('School Profile'!$D$12="Hindi",AW128,AW130),"")</f>
        <v>नौ सितम्बर दो हजार नौ</v>
      </c>
      <c r="M127" s="1685"/>
      <c r="N127" s="1685"/>
      <c r="O127" s="1685"/>
      <c r="P127" s="670"/>
      <c r="Q127" s="1680"/>
      <c r="R127" s="683" t="str">
        <f>IF('School Profile'!$D$12="Hindi","पिता का नाम :-","Father's Name :-")</f>
        <v>पिता का नाम :-</v>
      </c>
      <c r="S127" s="1685" t="str">
        <f>IFERROR(VLOOKUP(AB128,'Statement of Marks'!$B$7:'Statement of Marks'!$IC$206,6,0),"")</f>
        <v/>
      </c>
      <c r="T127" s="1685"/>
      <c r="U127" s="1685"/>
      <c r="V127" s="1685"/>
      <c r="W127" s="1685"/>
      <c r="X127" s="1685"/>
      <c r="Y127" s="1683" t="str">
        <f>IF('School Profile'!$D$12="Hindi","जन्मतिथि शब्दों में :-","Date of Birth in Words :-")</f>
        <v>जन्मतिथि शब्दों में :-</v>
      </c>
      <c r="Z127" s="1683"/>
      <c r="AA127" s="1683"/>
      <c r="AB127" s="1685" t="str">
        <f>IFERROR(IF('School Profile'!$D$12="Hindi",BB128,BB130),"")</f>
        <v>तेरह जुलाई दो हजार इग्यारह</v>
      </c>
      <c r="AC127" s="1685"/>
      <c r="AD127" s="1685"/>
      <c r="AE127" s="1685"/>
      <c r="AF127" s="670"/>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इग्यारह",IF(AV126=2012,"दो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इ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इग्यारह",IF(BA126=2012,"दो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इग्यारह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इ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51" customFormat="1" ht="21" customHeight="1">
      <c r="A128" s="33">
        <f>IF(L128="","",A127+1)</f>
        <v>8</v>
      </c>
      <c r="B128" s="681" t="str">
        <f>IF('School Profile'!$D$12="Hindi","माता का नाम :-","Mother's Name :-")</f>
        <v>माता का नाम :-</v>
      </c>
      <c r="C128" s="1685" t="str">
        <f>IFERROR(VLOOKUP(L128,'Statement of Marks'!$B$7:'Statement of Marks'!$IC$206,7,0),"")</f>
        <v/>
      </c>
      <c r="D128" s="1685"/>
      <c r="E128" s="1685"/>
      <c r="F128" s="1685"/>
      <c r="G128" s="1685"/>
      <c r="H128" s="1685"/>
      <c r="I128" s="1683" t="str">
        <f>IF('School Profile'!$D$12="Hindi","रोल नंबर :-","Roll No. :")</f>
        <v>रोल नंबर :-</v>
      </c>
      <c r="J128" s="1683"/>
      <c r="K128" s="1683"/>
      <c r="L128" s="1672">
        <f>IF(AB98="","",IF(AND(AB98+1&gt;$AN$11),"",AB98+1))</f>
        <v>909</v>
      </c>
      <c r="M128" s="1672"/>
      <c r="N128" s="1672"/>
      <c r="Q128" s="1680"/>
      <c r="R128" s="681" t="str">
        <f>IF('School Profile'!$D$12="Hindi","माता का नाम :-","Mother's Name :-")</f>
        <v>माता का नाम :-</v>
      </c>
      <c r="S128" s="1685" t="str">
        <f>IFERROR(VLOOKUP(AB128,'Statement of Marks'!$B$7:'Statement of Marks'!$IC$206,7,0),"")</f>
        <v/>
      </c>
      <c r="T128" s="1685"/>
      <c r="U128" s="1685"/>
      <c r="V128" s="1685"/>
      <c r="W128" s="1685"/>
      <c r="X128" s="1685"/>
      <c r="Y128" s="1683" t="str">
        <f>IF('School Profile'!$D$12="Hindi","रोल नंबर :-","Roll No. :")</f>
        <v>रोल नंबर :-</v>
      </c>
      <c r="Z128" s="1683"/>
      <c r="AA128" s="1683"/>
      <c r="AB128" s="1672">
        <f>IF(L128="","",IF(AND(L128+1&gt;$AN$11),"",L128+1))</f>
        <v>910</v>
      </c>
      <c r="AC128" s="1672"/>
      <c r="AD128" s="1672"/>
      <c r="AV128"/>
      <c r="AW128" t="str">
        <f>CONCATENATE(AX127," ",AW127," ",AV127)</f>
        <v>नौ सितम्बर दो हजार नौ</v>
      </c>
      <c r="AX128"/>
      <c r="BA128"/>
      <c r="BB128" t="str">
        <f>CONCATENATE(BC127," ",BB127," ",BA127)</f>
        <v>तेरह जुलाई दो हजार इग्यारह</v>
      </c>
      <c r="BC128"/>
    </row>
    <row r="129" spans="1:55" s="351" customFormat="1" ht="9.75" customHeight="1">
      <c r="A129" s="33">
        <f>IF(L128="","",A128+1)</f>
        <v>9</v>
      </c>
      <c r="B129" s="1673"/>
      <c r="C129" s="1673"/>
      <c r="D129" s="1673"/>
      <c r="E129" s="1673"/>
      <c r="F129" s="1673"/>
      <c r="G129" s="1673"/>
      <c r="H129" s="1673"/>
      <c r="I129" s="1673"/>
      <c r="J129" s="1673"/>
      <c r="K129" s="1673"/>
      <c r="L129" s="1673"/>
      <c r="M129" s="1673"/>
      <c r="N129" s="1673"/>
      <c r="O129" s="1673"/>
      <c r="P129" s="401"/>
      <c r="Q129" s="1680"/>
      <c r="R129" s="1673"/>
      <c r="S129" s="1673"/>
      <c r="T129" s="1673"/>
      <c r="U129" s="1673"/>
      <c r="V129" s="1673"/>
      <c r="W129" s="1673"/>
      <c r="X129" s="1673"/>
      <c r="Y129" s="1673"/>
      <c r="Z129" s="1673"/>
      <c r="AA129" s="1673"/>
      <c r="AB129" s="1673"/>
      <c r="AC129" s="1673"/>
      <c r="AD129" s="1673"/>
      <c r="AE129" s="1673"/>
      <c r="AF129" s="401"/>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51" customFormat="1" ht="26.25" customHeight="1">
      <c r="A130" s="33">
        <f>IF(L128="","",A129+1)</f>
        <v>10</v>
      </c>
      <c r="B130" s="1619" t="str">
        <f>IF('School Profile'!$D$12="Hindi","विषय का नाम","Subject Name")</f>
        <v>विषय का नाम</v>
      </c>
      <c r="C130" s="1620"/>
      <c r="D130" s="1678" t="str">
        <f>IF('School Profile'!$D$12="Hindi","सामयिक परख","Seasonal Exam")</f>
        <v>सामयिक परख</v>
      </c>
      <c r="E130" s="1678"/>
      <c r="F130" s="1678"/>
      <c r="G130" s="1678"/>
      <c r="H130" s="1678" t="str">
        <f>IF('School Profile'!$D$12="Hindi","अर्द्धवार्षिक","Half Yearly")</f>
        <v>अर्द्धवार्षिक</v>
      </c>
      <c r="I130" s="1678"/>
      <c r="J130" s="1678"/>
      <c r="K130" s="1582" t="str">
        <f>IF('School Profile'!$D$12="Hindi","अर्द्ध वा. तक योग","Total Till H.Y.")</f>
        <v>अर्द्ध वा. तक योग</v>
      </c>
      <c r="L130" s="1678" t="str">
        <f>IF('School Profile'!$D$12="Hindi","वार्षिक","Yearly")</f>
        <v>वार्षिक</v>
      </c>
      <c r="M130" s="1678"/>
      <c r="N130" s="1678"/>
      <c r="O130" s="1577" t="str">
        <f>IF('School Profile'!$D$12="Hindi","विषय कुल योग ","Subject Total")</f>
        <v xml:space="preserve">विषय कुल योग </v>
      </c>
      <c r="P130" s="1679" t="str">
        <f>IF('School Profile'!$D$12="Hindi","विषय परिणाम / विषय श्रेणी","Sub. Result /  Sub. Div.")</f>
        <v>विषय परिणाम / विषय श्रेणी</v>
      </c>
      <c r="Q130" s="1680"/>
      <c r="R130" s="1619" t="str">
        <f>IF('School Profile'!$D$12="Hindi","विषय का नाम","Subject Name")</f>
        <v>विषय का नाम</v>
      </c>
      <c r="S130" s="1620"/>
      <c r="T130" s="1678" t="str">
        <f>IF('School Profile'!$D$12="Hindi","सामयिक परख","Seasonal Exam")</f>
        <v>सामयिक परख</v>
      </c>
      <c r="U130" s="1678"/>
      <c r="V130" s="1678"/>
      <c r="W130" s="1678"/>
      <c r="X130" s="1678" t="str">
        <f>IF('School Profile'!$D$12="Hindi","अर्द्धवार्षिक","Half Yearly")</f>
        <v>अर्द्धवार्षिक</v>
      </c>
      <c r="Y130" s="1678"/>
      <c r="Z130" s="1678"/>
      <c r="AA130" s="1582" t="str">
        <f>IF('School Profile'!$D$12="Hindi","अर्द्ध वा. तक योग","Total Till H.Y.")</f>
        <v>अर्द्ध वा. तक योग</v>
      </c>
      <c r="AB130" s="1678" t="str">
        <f>IF('School Profile'!$D$12="Hindi","वार्षिक","Yearly")</f>
        <v>वार्षिक</v>
      </c>
      <c r="AC130" s="1678"/>
      <c r="AD130" s="1678"/>
      <c r="AE130" s="1577" t="str">
        <f>IF('School Profile'!$D$12="Hindi","विषय कुल योग ","Subject Total")</f>
        <v xml:space="preserve">विषय कुल योग </v>
      </c>
      <c r="AF130" s="1679"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51" customFormat="1" ht="78.75" customHeight="1">
      <c r="A131" s="33">
        <f>IF(L128="","",A130+1)</f>
        <v>11</v>
      </c>
      <c r="B131" s="1674"/>
      <c r="C131" s="1675"/>
      <c r="D131" s="656" t="str">
        <f>IF('School Profile'!$D$12="Hindi","प्रथम परख ","First Test")</f>
        <v xml:space="preserve">प्रथम परख </v>
      </c>
      <c r="E131" s="656" t="str">
        <f>IF('School Profile'!$D$12="Hindi","द्वितीय परख","Second Test")</f>
        <v>द्वितीय परख</v>
      </c>
      <c r="F131" s="656" t="str">
        <f>IF('School Profile'!$D$12="Hindi","तृतीय परख","Third Test")</f>
        <v>तृतीय परख</v>
      </c>
      <c r="G131" s="657" t="str">
        <f>IF('School Profile'!$D$12="Hindi","सा. परख योग","Test Total")</f>
        <v>सा. परख योग</v>
      </c>
      <c r="H131" s="658" t="str">
        <f>IF('School Profile'!$D$12="Hindi","सैद्धान्तिक","Theoretical")</f>
        <v>सैद्धान्तिक</v>
      </c>
      <c r="I131" s="658" t="str">
        <f>IF('School Profile'!$D$12="Hindi","प्रायोगिक","Practical")</f>
        <v>प्रायोगिक</v>
      </c>
      <c r="J131" s="659" t="str">
        <f>IF('School Profile'!$D$12="Hindi","अर्द्धवार्षिक योग","H.Y.  Total")</f>
        <v>अर्द्धवार्षिक योग</v>
      </c>
      <c r="K131" s="1582"/>
      <c r="L131" s="658" t="str">
        <f>IF('School Profile'!$D$12="Hindi","सैद्धान्तिक","Theoretical")</f>
        <v>सैद्धान्तिक</v>
      </c>
      <c r="M131" s="658" t="str">
        <f>IF('School Profile'!$D$12="Hindi","प्रायोगिक","Practical")</f>
        <v>प्रायोगिक</v>
      </c>
      <c r="N131" s="659" t="str">
        <f>IF('School Profile'!$D$12="Hindi","वार्षिक योग","Yearly  Total")</f>
        <v>वार्षिक योग</v>
      </c>
      <c r="O131" s="1577"/>
      <c r="P131" s="1579"/>
      <c r="Q131" s="1680"/>
      <c r="R131" s="1674"/>
      <c r="S131" s="1675"/>
      <c r="T131" s="656" t="str">
        <f>IF('School Profile'!$D$12="Hindi","प्रथम परख ","First Test")</f>
        <v xml:space="preserve">प्रथम परख </v>
      </c>
      <c r="U131" s="656" t="str">
        <f>IF('School Profile'!$D$12="Hindi","द्वितीय परख","Second Test")</f>
        <v>द्वितीय परख</v>
      </c>
      <c r="V131" s="656" t="str">
        <f>IF('School Profile'!$D$12="Hindi","तृतीय परख","Third Test")</f>
        <v>तृतीय परख</v>
      </c>
      <c r="W131" s="657" t="str">
        <f>IF('School Profile'!$D$12="Hindi","सा. परख योग","Test Total")</f>
        <v>सा. परख योग</v>
      </c>
      <c r="X131" s="658" t="str">
        <f>IF('School Profile'!$D$12="Hindi","सैद्धान्तिक","Theoretical")</f>
        <v>सैद्धान्तिक</v>
      </c>
      <c r="Y131" s="658" t="str">
        <f>IF('School Profile'!$D$12="Hindi","प्रायोगिक","Practical")</f>
        <v>प्रायोगिक</v>
      </c>
      <c r="Z131" s="659" t="str">
        <f>IF('School Profile'!$D$12="Hindi","अर्द्धवार्षिक योग","H.Y.  Total")</f>
        <v>अर्द्धवार्षिक योग</v>
      </c>
      <c r="AA131" s="1582"/>
      <c r="AB131" s="658" t="str">
        <f>IF('School Profile'!$D$12="Hindi","सैद्धान्तिक","Theoretical")</f>
        <v>सैद्धान्तिक</v>
      </c>
      <c r="AC131" s="658" t="str">
        <f>IF('School Profile'!$D$12="Hindi","प्रायोगिक","Practical")</f>
        <v>प्रायोगिक</v>
      </c>
      <c r="AD131" s="659" t="str">
        <f>IF('School Profile'!$D$12="Hindi","वार्षिक योग","Yearly  Total")</f>
        <v>वार्षिक योग</v>
      </c>
      <c r="AE131" s="1577"/>
      <c r="AF131" s="1579"/>
      <c r="AV131"/>
      <c r="AW131"/>
      <c r="AX131"/>
      <c r="BA131"/>
      <c r="BB131"/>
      <c r="BC131"/>
    </row>
    <row r="132" spans="1:55" s="353" customFormat="1" ht="21" customHeight="1">
      <c r="A132" s="33">
        <f>IF(L128="","",A131+1)</f>
        <v>12</v>
      </c>
      <c r="B132" s="1676"/>
      <c r="C132" s="1677"/>
      <c r="D132" s="663">
        <v>10</v>
      </c>
      <c r="E132" s="663">
        <v>10</v>
      </c>
      <c r="F132" s="663">
        <v>10</v>
      </c>
      <c r="G132" s="663">
        <v>30</v>
      </c>
      <c r="H132" s="665" t="s">
        <v>252</v>
      </c>
      <c r="I132" s="661">
        <v>35</v>
      </c>
      <c r="J132" s="660">
        <v>70</v>
      </c>
      <c r="K132" s="661">
        <v>100</v>
      </c>
      <c r="L132" s="664" t="s">
        <v>253</v>
      </c>
      <c r="M132" s="663">
        <v>50</v>
      </c>
      <c r="N132" s="660">
        <v>100</v>
      </c>
      <c r="O132" s="662">
        <v>200</v>
      </c>
      <c r="P132" s="1580"/>
      <c r="Q132" s="1680"/>
      <c r="R132" s="1676"/>
      <c r="S132" s="1677"/>
      <c r="T132" s="663">
        <v>10</v>
      </c>
      <c r="U132" s="663">
        <v>10</v>
      </c>
      <c r="V132" s="663">
        <v>10</v>
      </c>
      <c r="W132" s="663">
        <v>30</v>
      </c>
      <c r="X132" s="665" t="s">
        <v>252</v>
      </c>
      <c r="Y132" s="661">
        <v>35</v>
      </c>
      <c r="Z132" s="660">
        <v>70</v>
      </c>
      <c r="AA132" s="661">
        <v>100</v>
      </c>
      <c r="AB132" s="664" t="s">
        <v>253</v>
      </c>
      <c r="AC132" s="663">
        <v>50</v>
      </c>
      <c r="AD132" s="660">
        <v>100</v>
      </c>
      <c r="AE132" s="662">
        <v>200</v>
      </c>
      <c r="AF132" s="1580"/>
      <c r="AV132"/>
      <c r="AW132"/>
      <c r="AX132"/>
      <c r="BA132"/>
      <c r="BB132"/>
      <c r="BC132"/>
    </row>
    <row r="133" spans="1:55" s="351" customFormat="1" ht="22.5" customHeight="1">
      <c r="A133" s="33">
        <f>IF(L128="","",A132+1)</f>
        <v>13</v>
      </c>
      <c r="B133" s="1617" t="str">
        <f>'Statement of Marks'!$K$3</f>
        <v>हिंदी</v>
      </c>
      <c r="C133" s="1618"/>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7">
        <f>IF(L128="","",IF(AND(H133="",I133=""),"",SUM(H133,I133)))</f>
        <v>46</v>
      </c>
      <c r="K133" s="679">
        <f>IFERROR(IF(L128="","",IF(AND(G133="",J133=""),"",SUM(G133,J133))),"")</f>
        <v>54</v>
      </c>
      <c r="L133" s="26">
        <f>IFERROR(VLOOKUP(L128,'Statement of Marks'!$B$7:'Statement of Marks'!$IC$206,16,0),"")</f>
        <v>65</v>
      </c>
      <c r="M133" s="26"/>
      <c r="N133" s="347">
        <f>IF(L128="","",IF(AND(L133="",M133=""),"",SUM(L133,M133)))</f>
        <v>65</v>
      </c>
      <c r="O133" s="674">
        <f>IFERROR(VLOOKUP(L128,'Statement of Marks'!$B$7:'Statement of Marks'!$IC$206,17,0),"")</f>
        <v>119</v>
      </c>
      <c r="P133" s="680"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80"/>
      <c r="R133" s="1617" t="str">
        <f>'Statement of Marks'!$K$3</f>
        <v>हिंदी</v>
      </c>
      <c r="S133" s="1618"/>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7">
        <f>IF(AB128="","",IF(AND(X133="",Y133=""),"",SUM(X133,Y133)))</f>
        <v>46</v>
      </c>
      <c r="AA133" s="679">
        <f>IFERROR(IF(AB128="","",IF(AND(W133="",Z133=""),"",SUM(W133,Z133))),"")</f>
        <v>70</v>
      </c>
      <c r="AB133" s="26">
        <f>IFERROR(VLOOKUP(AB128,'Statement of Marks'!$B$7:'Statement of Marks'!$IC$206,16,0),"")</f>
        <v>65</v>
      </c>
      <c r="AC133" s="26"/>
      <c r="AD133" s="347">
        <f>IF(AB128="","",IF(AND(AB133="",AC133=""),"",SUM(AB133,AC133)))</f>
        <v>65</v>
      </c>
      <c r="AE133" s="674">
        <f>IFERROR(VLOOKUP(AB128,'Statement of Marks'!$B$7:'Statement of Marks'!$IC$206,17,0),"")</f>
        <v>135</v>
      </c>
      <c r="AF133" s="680"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51" customFormat="1" ht="22.5" customHeight="1">
      <c r="A134" s="33">
        <f>IF(L128="","",A133+1)</f>
        <v>14</v>
      </c>
      <c r="B134" s="1617" t="str">
        <f>'Statement of Marks'!$Y$3</f>
        <v>अंग्रेजी</v>
      </c>
      <c r="C134" s="1618"/>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7">
        <f>IF(L128="","",IF(AND(H134="",I134=""),"",SUM(H134,I134)))</f>
        <v>60</v>
      </c>
      <c r="K134" s="679">
        <f>IFERROR(IF(L128="","",IF(AND(G134="",J134=""),"",SUM(G134,J134))),"")</f>
        <v>86</v>
      </c>
      <c r="L134" s="26">
        <f>IFERROR(VLOOKUP(L128,'Statement of Marks'!$B$7:'Statement of Marks'!$IC$206,30,0),"")</f>
        <v>85</v>
      </c>
      <c r="M134" s="26"/>
      <c r="N134" s="347">
        <f>IF(L128="","",IF(AND(L134="",M134=""),"",SUM(L134,M134)))</f>
        <v>85</v>
      </c>
      <c r="O134" s="674">
        <f>IFERROR(VLOOKUP(L128,'Statement of Marks'!$B$7:'Statement of Marks'!$IC$206,31,0),"")</f>
        <v>171</v>
      </c>
      <c r="P134" s="680"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80"/>
      <c r="R134" s="1617" t="str">
        <f>'Statement of Marks'!$Y$3</f>
        <v>अंग्रेजी</v>
      </c>
      <c r="S134" s="1618"/>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7">
        <f>IF(AB128="","",IF(AND(X134="",Y134=""),"",SUM(X134,Y134)))</f>
        <v>30</v>
      </c>
      <c r="AA134" s="679">
        <f>IFERROR(IF(AB128="","",IF(AND(W134="",Z134=""),"",SUM(W134,Z134))),"")</f>
        <v>56</v>
      </c>
      <c r="AB134" s="26">
        <f>IFERROR(VLOOKUP(AB128,'Statement of Marks'!$B$7:'Statement of Marks'!$IC$206,30,0),"")</f>
        <v>30</v>
      </c>
      <c r="AC134" s="26"/>
      <c r="AD134" s="347">
        <f>IF(AB128="","",IF(AND(AB134="",AC134=""),"",SUM(AB134,AC134)))</f>
        <v>30</v>
      </c>
      <c r="AE134" s="674">
        <f>IFERROR(VLOOKUP(AB128,'Statement of Marks'!$B$7:'Statement of Marks'!$IC$206,31,0),"")</f>
        <v>86</v>
      </c>
      <c r="AF134" s="680"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51" customFormat="1" ht="22.5" customHeight="1">
      <c r="A135" s="33">
        <f>IF(L128="","",A134+1)</f>
        <v>15</v>
      </c>
      <c r="B135" s="1617" t="str">
        <f>IFERROR(VLOOKUP(L128,'Statement of Marks'!$B$7:'Statement of Marks'!$IC$206,38,0),"")</f>
        <v xml:space="preserve">उर्दू (72) </v>
      </c>
      <c r="C135" s="1618"/>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7">
        <f>IF(L128="","",IF(AND(H135="",I135=""),"",SUM(H135,I135)))</f>
        <v>46</v>
      </c>
      <c r="K135" s="679">
        <f>IFERROR(IF(L128="","",IF(AND(G135="",J135=""),"",SUM(G135,J135))),"")</f>
        <v>71</v>
      </c>
      <c r="L135" s="26">
        <f>IFERROR(VLOOKUP(L128,'Statement of Marks'!$B$7:'Statement of Marks'!$IC$206,45,0),"")</f>
        <v>45</v>
      </c>
      <c r="M135" s="26"/>
      <c r="N135" s="347">
        <f>IF(L128="","",IF(AND(L135="",M135=""),"",SUM(L135,M135)))</f>
        <v>45</v>
      </c>
      <c r="O135" s="674">
        <f>IFERROR(VLOOKUP(L128,'Statement of Marks'!$B$7:'Statement of Marks'!$IC$206,46,0),"")</f>
        <v>116</v>
      </c>
      <c r="P135" s="680"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80"/>
      <c r="R135" s="1617" t="str">
        <f>IFERROR(VLOOKUP(AB128,'Statement of Marks'!$B$7:'Statement of Marks'!$IC$206,38,0),"")</f>
        <v>संस्कृत (71)</v>
      </c>
      <c r="S135" s="1618"/>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7">
        <f>IF(AB128="","",IF(AND(X135="",Y135=""),"",SUM(X135,Y135)))</f>
        <v>46</v>
      </c>
      <c r="AA135" s="679">
        <f>IFERROR(IF(AB128="","",IF(AND(W135="",Z135=""),"",SUM(W135,Z135))),"")</f>
        <v>70</v>
      </c>
      <c r="AB135" s="26">
        <f>IFERROR(VLOOKUP(AB128,'Statement of Marks'!$B$7:'Statement of Marks'!$IC$206,45,0),"")</f>
        <v>45</v>
      </c>
      <c r="AC135" s="26"/>
      <c r="AD135" s="347">
        <f>IF(AB128="","",IF(AND(AB135="",AC135=""),"",SUM(AB135,AC135)))</f>
        <v>45</v>
      </c>
      <c r="AE135" s="674">
        <f>IFERROR(VLOOKUP(AB128,'Statement of Marks'!$B$7:'Statement of Marks'!$IC$206,46,0),"")</f>
        <v>115</v>
      </c>
      <c r="AF135" s="680"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51" customFormat="1" ht="22.5" customHeight="1">
      <c r="A136" s="33">
        <f>IF(L128="","",A135+1)</f>
        <v>16</v>
      </c>
      <c r="B136" s="1617" t="str">
        <f>'Statement of Marks'!$BB$3</f>
        <v>गणित</v>
      </c>
      <c r="C136" s="1618"/>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7">
        <f>IF(L128="","",IF(AND(H136="",I136=""),"",SUM(H136,I136)))</f>
        <v>16</v>
      </c>
      <c r="K136" s="679">
        <f>IFERROR(IF(L128="","",IF(AND(G136="",J136=""),"",SUM(G136,J136))),"")</f>
        <v>42</v>
      </c>
      <c r="L136" s="26">
        <f>IFERROR(VLOOKUP(L128,'Statement of Marks'!$B$7:'Statement of Marks'!$IC$206,59,0),"")</f>
        <v>45</v>
      </c>
      <c r="M136" s="26"/>
      <c r="N136" s="347">
        <f>IF(L128="","",IF(AND(L136="",M136=""),"",SUM(L136,M136)))</f>
        <v>45</v>
      </c>
      <c r="O136" s="674">
        <f>IFERROR(VLOOKUP(L128,'Statement of Marks'!$B$7:'Statement of Marks'!$IC$206,60,0),"")</f>
        <v>87</v>
      </c>
      <c r="P136" s="680"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80"/>
      <c r="R136" s="1617" t="str">
        <f>'Statement of Marks'!$BB$3</f>
        <v>गणित</v>
      </c>
      <c r="S136" s="1618"/>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7">
        <f>IF(AB128="","",IF(AND(X136="",Y136=""),"",SUM(X136,Y136)))</f>
        <v>15</v>
      </c>
      <c r="AA136" s="679">
        <f>IFERROR(IF(AB128="","",IF(AND(W136="",Z136=""),"",SUM(W136,Z136))),"")</f>
        <v>42</v>
      </c>
      <c r="AB136" s="26">
        <f>IFERROR(VLOOKUP(AB128,'Statement of Marks'!$B$7:'Statement of Marks'!$IC$206,59,0),"")</f>
        <v>25</v>
      </c>
      <c r="AC136" s="26"/>
      <c r="AD136" s="347">
        <f>IF(AB128="","",IF(AND(AB136="",AC136=""),"",SUM(AB136,AC136)))</f>
        <v>25</v>
      </c>
      <c r="AE136" s="674">
        <f>IFERROR(VLOOKUP(AB128,'Statement of Marks'!$B$7:'Statement of Marks'!$IC$206,60,0),"")</f>
        <v>67</v>
      </c>
      <c r="AF136" s="680"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51" customFormat="1" ht="22.5" customHeight="1">
      <c r="A137" s="33">
        <f>IF(L128="","",A136+1)</f>
        <v>17</v>
      </c>
      <c r="B137" s="1619" t="str">
        <f>'Statement of Marks'!$BP$3</f>
        <v>विज्ञान</v>
      </c>
      <c r="C137" s="1620"/>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7">
        <f>IF(L128="","",IF(AND(H137="",I137=""),"",SUM(H137,I137)))</f>
        <v>46</v>
      </c>
      <c r="K137" s="679">
        <f>IFERROR(IF(L128="","",IF(AND(G137="",J137=""),"",SUM(G137,J137))),"")</f>
        <v>71</v>
      </c>
      <c r="L137" s="26">
        <f>IFERROR(VLOOKUP(L128,'Statement of Marks'!$B$7:'Statement of Marks'!$IC$206,73,0),"")</f>
        <v>45</v>
      </c>
      <c r="M137" s="26"/>
      <c r="N137" s="347">
        <f>IF(L128="","",IF(AND(L137="",M137=""),"",SUM(L137,M137)))</f>
        <v>45</v>
      </c>
      <c r="O137" s="674">
        <f>IFERROR(VLOOKUP(L128,'Statement of Marks'!$B$7:'Statement of Marks'!$IC$206,74,0),"")</f>
        <v>116</v>
      </c>
      <c r="P137" s="680"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80"/>
      <c r="R137" s="1619" t="str">
        <f>'Statement of Marks'!$BP$3</f>
        <v>विज्ञान</v>
      </c>
      <c r="S137" s="1620"/>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7">
        <f>IF(AB128="","",IF(AND(X137="",Y137=""),"",SUM(X137,Y137)))</f>
        <v>46</v>
      </c>
      <c r="AA137" s="679">
        <f>IFERROR(IF(AB128="","",IF(AND(W137="",Z137=""),"",SUM(W137,Z137))),"")</f>
        <v>70</v>
      </c>
      <c r="AB137" s="26">
        <f>IFERROR(VLOOKUP(AB128,'Statement of Marks'!$B$7:'Statement of Marks'!$IC$206,73,0),"")</f>
        <v>45</v>
      </c>
      <c r="AC137" s="26"/>
      <c r="AD137" s="347">
        <f>IF(AB128="","",IF(AND(AB137="",AC137=""),"",SUM(AB137,AC137)))</f>
        <v>45</v>
      </c>
      <c r="AE137" s="674">
        <f>IFERROR(VLOOKUP(AB128,'Statement of Marks'!$B$7:'Statement of Marks'!$IC$206,74,0),"")</f>
        <v>115</v>
      </c>
      <c r="AF137" s="680"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51" customFormat="1" ht="22.5" customHeight="1">
      <c r="A138" s="33">
        <f>IF(L128="","",A137+1)</f>
        <v>18</v>
      </c>
      <c r="B138" s="409" t="str">
        <f>'Statement of Marks'!$CE$3</f>
        <v>सामाजिक विज्ञान</v>
      </c>
      <c r="C138" s="412"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7">
        <f>IF(L128="","",IF(AND(H138="",I138=""),"",SUM(H138,I138)))</f>
        <v>46</v>
      </c>
      <c r="K138" s="679">
        <f>IFERROR(IF(L128="","",IF(AND(G138="",J138=""),"",SUM(G138,J138))),"")</f>
        <v>70</v>
      </c>
      <c r="L138" s="26">
        <f>IFERROR(VLOOKUP(L128,'Statement of Marks'!$B$7:'Statement of Marks'!$IC$206,88,0),"")</f>
        <v>45</v>
      </c>
      <c r="M138" s="26"/>
      <c r="N138" s="347">
        <f>IF(L128="","",IF(AND(L138="",M138=""),"",SUM(L138,M138)))</f>
        <v>45</v>
      </c>
      <c r="O138" s="674">
        <f>IFERROR(VLOOKUP(L128,'Statement of Marks'!$B$7:'Statement of Marks'!$IC$206,89,0),"")</f>
        <v>115</v>
      </c>
      <c r="P138" s="680"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80"/>
      <c r="R138" s="409" t="str">
        <f>'Statement of Marks'!$CE$3</f>
        <v>सामाजिक विज्ञान</v>
      </c>
      <c r="S138" s="412"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7">
        <f>IF(AB128="","",IF(AND(X138="",Y138=""),"",SUM(X138,Y138)))</f>
        <v>46</v>
      </c>
      <c r="AA138" s="679">
        <f>IFERROR(IF(AB128="","",IF(AND(W138="",Z138=""),"",SUM(W138,Z138))),"")</f>
        <v>70</v>
      </c>
      <c r="AB138" s="26">
        <f>IFERROR(VLOOKUP(AB128,'Statement of Marks'!$B$7:'Statement of Marks'!$IC$206,88,0),"")</f>
        <v>45</v>
      </c>
      <c r="AC138" s="26"/>
      <c r="AD138" s="347">
        <f>IF(AB128="","",IF(AND(AB138="",AC138=""),"",SUM(AB138,AC138)))</f>
        <v>45</v>
      </c>
      <c r="AE138" s="674">
        <f>IFERROR(VLOOKUP(AB128,'Statement of Marks'!$B$7:'Statement of Marks'!$IC$206,89,0),"")</f>
        <v>115</v>
      </c>
      <c r="AF138" s="680"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51" customFormat="1">
      <c r="A139" s="33">
        <f>IF(L128="","",A138+1)</f>
        <v>19</v>
      </c>
      <c r="B139" s="1687" t="str">
        <f>IF('School Profile'!$D$12="Hindi","व्यावसायिक शिक्षा","Vocational Education")</f>
        <v>व्यावसायिक शिक्षा</v>
      </c>
      <c r="C139" s="1688"/>
      <c r="D139" s="1689"/>
      <c r="E139" s="1689"/>
      <c r="F139" s="1689"/>
      <c r="G139" s="1689"/>
      <c r="H139" s="1689"/>
      <c r="I139" s="1689"/>
      <c r="J139" s="1689"/>
      <c r="K139" s="1689"/>
      <c r="L139" s="1689"/>
      <c r="M139" s="1689"/>
      <c r="N139" s="1689"/>
      <c r="O139" s="1689"/>
      <c r="P139" s="1690"/>
      <c r="Q139" s="1680"/>
      <c r="R139" s="1687" t="str">
        <f>IF('School Profile'!$D$12="Hindi","व्यावसायिक शिक्षा","Vocational Education")</f>
        <v>व्यावसायिक शिक्षा</v>
      </c>
      <c r="S139" s="1688"/>
      <c r="T139" s="1689"/>
      <c r="U139" s="1689"/>
      <c r="V139" s="1689"/>
      <c r="W139" s="1689"/>
      <c r="X139" s="1689"/>
      <c r="Y139" s="1689"/>
      <c r="Z139" s="1689"/>
      <c r="AA139" s="1689"/>
      <c r="AB139" s="1689"/>
      <c r="AC139" s="1689"/>
      <c r="AD139" s="1689"/>
      <c r="AE139" s="1689"/>
      <c r="AF139" s="1690"/>
      <c r="AV139"/>
      <c r="AW139"/>
      <c r="AX139"/>
      <c r="BA139"/>
      <c r="BB139"/>
      <c r="BC139"/>
    </row>
    <row r="140" spans="1:55" s="351" customFormat="1" ht="22.5" customHeight="1">
      <c r="A140" s="33">
        <f>IF(L128="","",A139+1)</f>
        <v>20</v>
      </c>
      <c r="B140" s="411" t="str">
        <f>IFERROR(VLOOKUP(L128,'Statement of Marks'!$B$7:'Statement of Marks'!$IC$206,96,0),"")</f>
        <v/>
      </c>
      <c r="C140" s="410" t="str">
        <f>IF(OR(L128="",O138="",O140="",B140=""),"",IF(AND(O140&gt;=O138),"*",""))</f>
        <v/>
      </c>
      <c r="D140" s="397"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7" t="str">
        <f>IFERROR(VLOOKUP(L128,'Statement of Marks'!$B$7:'Statement of Marks'!$IC$206,103,0),"")</f>
        <v/>
      </c>
      <c r="K140" s="679" t="str">
        <f>IFERROR(IF(L128="","",IF(AND(G140="",J140=""),"",SUM(G140,J140))),"")</f>
        <v/>
      </c>
      <c r="L140" s="26" t="str">
        <f>IFERROR(VLOOKUP(L128,'Statement of Marks'!$B$7:'Statement of Marks'!$IC$206,105,0),"")</f>
        <v/>
      </c>
      <c r="M140" s="26" t="str">
        <f>IFERROR(VLOOKUP(L128,'Statement of Marks'!$B$7:'Statement of Marks'!$IC$206,106,0),"")</f>
        <v/>
      </c>
      <c r="N140" s="347" t="str">
        <f>IF(L128="","",IF(AND(L140="",M140=""),"",SUM(L140,M140)))</f>
        <v/>
      </c>
      <c r="O140" s="672" t="str">
        <f>IFERROR(VLOOKUP(L128,'Statement of Marks'!$B$7:'Statement of Marks'!$IC$206,108,0),"")</f>
        <v/>
      </c>
      <c r="P140" s="680"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80"/>
      <c r="R140" s="411" t="str">
        <f>IFERROR(VLOOKUP(AB128,'Statement of Marks'!$B$7:'Statement of Marks'!$IC$206,96,0),"")</f>
        <v/>
      </c>
      <c r="S140" s="410" t="str">
        <f>IF(OR(AB128="",AE138="",AE140="",R140=""),"",IF(AND(AE140&gt;=AE138),"*",""))</f>
        <v/>
      </c>
      <c r="T140" s="397"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7" t="str">
        <f>IFERROR(VLOOKUP(AB128,'Statement of Marks'!$B$7:'Statement of Marks'!$IC$206,103,0),"")</f>
        <v/>
      </c>
      <c r="AA140" s="679" t="str">
        <f>IFERROR(IF(AB128="","",IF(AND(W140="",Z140=""),"",SUM(W140,Z140))),"")</f>
        <v/>
      </c>
      <c r="AB140" s="26" t="str">
        <f>IFERROR(VLOOKUP(AB128,'Statement of Marks'!$B$7:'Statement of Marks'!$IC$206,105,0),"")</f>
        <v/>
      </c>
      <c r="AC140" s="26" t="str">
        <f>IFERROR(VLOOKUP(AB128,'Statement of Marks'!$B$7:'Statement of Marks'!$IC$206,106,0),"")</f>
        <v/>
      </c>
      <c r="AD140" s="347" t="str">
        <f>IF(AB128="","",IF(AND(AB140="",AC140=""),"",SUM(AB140,AC140)))</f>
        <v/>
      </c>
      <c r="AE140" s="672" t="str">
        <f>IFERROR(VLOOKUP(AB128,'Statement of Marks'!$B$7:'Statement of Marks'!$IC$206,108,0),"")</f>
        <v/>
      </c>
      <c r="AF140" s="680"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51" customFormat="1" ht="25.5" customHeight="1">
      <c r="A141" s="33">
        <f>IF(L128="","",A140+1)</f>
        <v>21</v>
      </c>
      <c r="B141" s="1665"/>
      <c r="C141" s="1666"/>
      <c r="D141" s="1667"/>
      <c r="E141" s="1667"/>
      <c r="F141" s="1667"/>
      <c r="G141" s="1667"/>
      <c r="H141" s="1667"/>
      <c r="I141" s="1667"/>
      <c r="J141" s="1667"/>
      <c r="K141" s="1667"/>
      <c r="L141" s="1668" t="str">
        <f>IF('School Profile'!$D$12="Hindi","महायोग :","Grand Total :")</f>
        <v>महायोग :</v>
      </c>
      <c r="M141" s="1669"/>
      <c r="N141" s="1669"/>
      <c r="O141" s="1670">
        <f>IF(OR(L128="",C126=""),"",IF(OR(B140="",O140=""),SUM(O133,O134,O135,O136,O137,O138),IF((O138/O132*100)&gt;=(O140/O132*100),SUM(O133:O138),SUM(O133,O134,O135,O136,O137,O140))))</f>
        <v>724</v>
      </c>
      <c r="P141" s="1671"/>
      <c r="Q141" s="1680"/>
      <c r="R141" s="1665"/>
      <c r="S141" s="1666"/>
      <c r="T141" s="1667"/>
      <c r="U141" s="1667"/>
      <c r="V141" s="1667"/>
      <c r="W141" s="1667"/>
      <c r="X141" s="1667"/>
      <c r="Y141" s="1667"/>
      <c r="Z141" s="1667"/>
      <c r="AA141" s="1667"/>
      <c r="AB141" s="1668" t="str">
        <f>IF('School Profile'!$D$12="Hindi","महायोग :","Grand Total :")</f>
        <v>महायोग :</v>
      </c>
      <c r="AC141" s="1669"/>
      <c r="AD141" s="1669"/>
      <c r="AE141" s="1670">
        <f>IF(OR(AB128="",S126=""),"",IF(OR(R140="",AE140=""),SUM(AE133,AE134,AE135,AE136,AE137,AE138),IF((AE138/AE132*100)&gt;=(AE140/AE132*100),SUM(AE133:AE138),SUM(AE133,AE134,AE135,AE136,AE137,AE140))))</f>
        <v>633</v>
      </c>
      <c r="AF141" s="1671"/>
      <c r="AV141"/>
      <c r="AW141"/>
      <c r="AX141"/>
      <c r="BA141"/>
      <c r="BB141"/>
      <c r="BC141"/>
    </row>
    <row r="142" spans="1:55" s="351" customFormat="1" ht="25.5" customHeight="1">
      <c r="A142" s="33">
        <f>IF(L128="","",A141+1)</f>
        <v>22</v>
      </c>
      <c r="B142" s="1644" t="str">
        <f>'Statement of Marks'!$DZ$208</f>
        <v>राजस्थान का स्वंत्रता आन्दोलन व शोर्य परम्परा</v>
      </c>
      <c r="C142" s="1645"/>
      <c r="D142" s="1646" t="s">
        <v>149</v>
      </c>
      <c r="E142" s="1647"/>
      <c r="F142" s="355">
        <f>IFERROR(VLOOKUP(L128,'Statement of Marks'!$B$7:'Statement of Marks'!$IC$206,136,0),"")</f>
        <v>184</v>
      </c>
      <c r="G142" s="356" t="s">
        <v>135</v>
      </c>
      <c r="H142" s="355" t="str">
        <f>IFERROR(VLOOKUP(L128,'Statement of Marks'!$B$7:'Statement of Marks'!$IC$206,137,0),"")</f>
        <v>A</v>
      </c>
      <c r="I142" s="1648" t="str">
        <f>'Statement of Marks'!$EL$208</f>
        <v>सूचना प्रोद्योगिकी की अवधारणा - I</v>
      </c>
      <c r="J142" s="1649"/>
      <c r="K142" s="1649"/>
      <c r="L142" s="1650"/>
      <c r="M142" s="354" t="s">
        <v>149</v>
      </c>
      <c r="N142" s="355">
        <f>IFERROR(VLOOKUP(L128,'Statement of Marks'!$B$7:'Statement of Marks'!$IC$206,152,0),"")</f>
        <v>179</v>
      </c>
      <c r="O142" s="356" t="s">
        <v>135</v>
      </c>
      <c r="P142" s="355" t="str">
        <f>IFERROR(VLOOKUP(L128,'Statement of Marks'!$B$7:'Statement of Marks'!$IC$206,153,0),"")</f>
        <v>A</v>
      </c>
      <c r="Q142" s="1680"/>
      <c r="R142" s="1644" t="str">
        <f>'Statement of Marks'!$DZ$208</f>
        <v>राजस्थान का स्वंत्रता आन्दोलन व शोर्य परम्परा</v>
      </c>
      <c r="S142" s="1645"/>
      <c r="T142" s="1646" t="s">
        <v>149</v>
      </c>
      <c r="U142" s="1647"/>
      <c r="V142" s="355">
        <f>IFERROR(VLOOKUP(AB128,'Statement of Marks'!$B$7:'Statement of Marks'!$IC$206,136,0),"")</f>
        <v>184</v>
      </c>
      <c r="W142" s="356" t="s">
        <v>135</v>
      </c>
      <c r="X142" s="355" t="str">
        <f>IFERROR(VLOOKUP(AB128,'Statement of Marks'!$B$7:'Statement of Marks'!$IC$206,137,0),"")</f>
        <v>A</v>
      </c>
      <c r="Y142" s="1648" t="str">
        <f>'Statement of Marks'!$EL$208</f>
        <v>सूचना प्रोद्योगिकी की अवधारणा - I</v>
      </c>
      <c r="Z142" s="1649"/>
      <c r="AA142" s="1649"/>
      <c r="AB142" s="1650"/>
      <c r="AC142" s="354" t="s">
        <v>149</v>
      </c>
      <c r="AD142" s="355">
        <f>IFERROR(VLOOKUP(AB128,'Statement of Marks'!$B$7:'Statement of Marks'!$IC$206,152,0),"")</f>
        <v>163</v>
      </c>
      <c r="AE142" s="356" t="s">
        <v>135</v>
      </c>
      <c r="AF142" s="355" t="str">
        <f>IFERROR(VLOOKUP(AB128,'Statement of Marks'!$B$7:'Statement of Marks'!$IC$206,153,0),"")</f>
        <v>A</v>
      </c>
      <c r="AV142"/>
      <c r="AW142"/>
      <c r="AX142"/>
      <c r="BA142"/>
      <c r="BB142"/>
      <c r="BC142"/>
    </row>
    <row r="143" spans="1:55" s="351" customFormat="1" ht="25.5" customHeight="1">
      <c r="A143" s="33">
        <f>IF(L128="","",A142+1)</f>
        <v>23</v>
      </c>
      <c r="B143" s="1651" t="str">
        <f>'Statement of Marks'!$FB$208</f>
        <v>स्वा. एवं शा. शिक्षा</v>
      </c>
      <c r="C143" s="1652"/>
      <c r="D143" s="1653" t="s">
        <v>149</v>
      </c>
      <c r="E143" s="1654"/>
      <c r="F143" s="355">
        <f>IFERROR(VLOOKUP(L128,'Statement of Marks'!$B$7:'Statement of Marks'!$IC$206,171,0),"")</f>
        <v>174</v>
      </c>
      <c r="G143" s="356" t="s">
        <v>135</v>
      </c>
      <c r="H143" s="355" t="str">
        <f>IFERROR(VLOOKUP(L128,'Statement of Marks'!$B$7:'Statement of Marks'!$IC$206,172,0),"")</f>
        <v>A</v>
      </c>
      <c r="I143" s="1655" t="str">
        <f>'Statement of Marks'!$FJ$208</f>
        <v>समाजोपयोगी उत्पादन कार्य एवं समाज सेवा</v>
      </c>
      <c r="J143" s="1656"/>
      <c r="K143" s="1656"/>
      <c r="L143" s="1657"/>
      <c r="M143" s="403" t="s">
        <v>149</v>
      </c>
      <c r="N143" s="404">
        <f>IFERROR(VLOOKUP(L128,'Statement of Marks'!$B$7:'Statement of Marks'!$IC$206,179,0),"")</f>
        <v>80</v>
      </c>
      <c r="O143" s="405" t="s">
        <v>135</v>
      </c>
      <c r="P143" s="404" t="str">
        <f>IFERROR(VLOOKUP(L128,'Statement of Marks'!$B$7:'Statement of Marks'!$IC$206,180,0),"")</f>
        <v>B</v>
      </c>
      <c r="Q143" s="1680"/>
      <c r="R143" s="1651" t="str">
        <f>'Statement of Marks'!$FB$208</f>
        <v>स्वा. एवं शा. शिक्षा</v>
      </c>
      <c r="S143" s="1652"/>
      <c r="T143" s="1653" t="s">
        <v>149</v>
      </c>
      <c r="U143" s="1654"/>
      <c r="V143" s="355">
        <f>IFERROR(VLOOKUP(AB128,'Statement of Marks'!$B$7:'Statement of Marks'!$IC$206,171,0),"")</f>
        <v>182</v>
      </c>
      <c r="W143" s="356" t="s">
        <v>135</v>
      </c>
      <c r="X143" s="355" t="str">
        <f>IFERROR(VLOOKUP(AB128,'Statement of Marks'!$B$7:'Statement of Marks'!$IC$206,172,0),"")</f>
        <v>A</v>
      </c>
      <c r="Y143" s="1655" t="str">
        <f>'Statement of Marks'!$FJ$208</f>
        <v>समाजोपयोगी उत्पादन कार्य एवं समाज सेवा</v>
      </c>
      <c r="Z143" s="1656"/>
      <c r="AA143" s="1656"/>
      <c r="AB143" s="1657"/>
      <c r="AC143" s="403" t="s">
        <v>149</v>
      </c>
      <c r="AD143" s="404">
        <f>IFERROR(VLOOKUP(AB128,'Statement of Marks'!$B$7:'Statement of Marks'!$IC$206,179,0),"")</f>
        <v>80</v>
      </c>
      <c r="AE143" s="405" t="s">
        <v>135</v>
      </c>
      <c r="AF143" s="404" t="str">
        <f>IFERROR(VLOOKUP(AB128,'Statement of Marks'!$B$7:'Statement of Marks'!$IC$206,180,0),"")</f>
        <v>B</v>
      </c>
      <c r="AV143"/>
      <c r="AW143"/>
      <c r="AX143"/>
      <c r="BA143"/>
      <c r="BB143"/>
      <c r="BC143"/>
    </row>
    <row r="144" spans="1:55" s="351" customFormat="1" ht="30" customHeight="1">
      <c r="A144" s="33">
        <f>IF(L128="","",A143+1)</f>
        <v>24</v>
      </c>
      <c r="B144" s="1658" t="str">
        <f>'Statement of Marks'!$FU$208</f>
        <v>कला शिक्षा</v>
      </c>
      <c r="C144" s="1659"/>
      <c r="D144" s="1660" t="s">
        <v>149</v>
      </c>
      <c r="E144" s="1661"/>
      <c r="F144" s="404">
        <f>IFERROR(VLOOKUP(L128,'Statement of Marks'!$B$7:'Statement of Marks'!$IC$206,187,0),"")</f>
        <v>89</v>
      </c>
      <c r="G144" s="405" t="s">
        <v>135</v>
      </c>
      <c r="H144" s="355" t="str">
        <f>IFERROR(VLOOKUP(L128,'Statement of Marks'!$B$7:'Statement of Marks'!$IC$206,188,0),"")</f>
        <v>A</v>
      </c>
      <c r="I144" s="1662" t="str">
        <f>IF('School Profile'!$D$12="Hindi","परीक्षा परिणाम घोषित दिनांक :-","Date of Result declaration :-")</f>
        <v>परीक्षा परिणाम घोषित दिनांक :-</v>
      </c>
      <c r="J144" s="1663"/>
      <c r="K144" s="1663"/>
      <c r="L144" s="1664"/>
      <c r="M144" s="1625">
        <f>IF(AND(L128=""),"",IF('School Profile'!$D$11="","",'School Profile'!$D$11))</f>
        <v>45793</v>
      </c>
      <c r="N144" s="1626"/>
      <c r="O144" s="690" t="str">
        <f>IF('School Profile'!$D$12="Hindi","श्रेणी","Division")</f>
        <v>श्रेणी</v>
      </c>
      <c r="P144" s="407" t="str">
        <f>IFERROR(VLOOKUP(L128,'Statement of Marks'!$B$7:'Statement of Marks'!$IC$206,229,0),"")</f>
        <v>1st</v>
      </c>
      <c r="Q144" s="1680"/>
      <c r="R144" s="1658" t="str">
        <f>'Statement of Marks'!$FU$208</f>
        <v>कला शिक्षा</v>
      </c>
      <c r="S144" s="1659"/>
      <c r="T144" s="1660" t="s">
        <v>149</v>
      </c>
      <c r="U144" s="1661"/>
      <c r="V144" s="404">
        <f>IFERROR(VLOOKUP(AB128,'Statement of Marks'!$B$7:'Statement of Marks'!$IC$206,187,0),"")</f>
        <v>80</v>
      </c>
      <c r="W144" s="405" t="s">
        <v>135</v>
      </c>
      <c r="X144" s="355" t="str">
        <f>IFERROR(VLOOKUP(AB128,'Statement of Marks'!$B$7:'Statement of Marks'!$IC$206,188,0),"")</f>
        <v>B</v>
      </c>
      <c r="Y144" s="1662" t="str">
        <f>IF('School Profile'!$D$12="Hindi","परीक्षा परिणाम घोषित दिनांक :-","Date of Result declaration :-")</f>
        <v>परीक्षा परिणाम घोषित दिनांक :-</v>
      </c>
      <c r="Z144" s="1663"/>
      <c r="AA144" s="1663"/>
      <c r="AB144" s="1664"/>
      <c r="AC144" s="1625">
        <f>IF(AND(AB128=""),"",IF('School Profile'!$D$11="","",'School Profile'!$D$11))</f>
        <v>45793</v>
      </c>
      <c r="AD144" s="1626"/>
      <c r="AE144" s="690" t="str">
        <f>IF('School Profile'!$D$12="Hindi","श्रेणी","Division")</f>
        <v>श्रेणी</v>
      </c>
      <c r="AF144" s="407" t="str">
        <f>IFERROR(VLOOKUP(AB128,'Statement of Marks'!$B$7:'Statement of Marks'!$IC$206,229,0),"")</f>
        <v>2nd</v>
      </c>
      <c r="AV144"/>
      <c r="AW144"/>
      <c r="AX144"/>
      <c r="BA144"/>
      <c r="BB144"/>
      <c r="BC144"/>
    </row>
    <row r="145" spans="1:55" s="351" customFormat="1" ht="29.25" customHeight="1">
      <c r="A145" s="33">
        <f>IF(L128="","",A144+1)</f>
        <v>25</v>
      </c>
      <c r="B145" s="1627" t="s">
        <v>144</v>
      </c>
      <c r="C145" s="1628"/>
      <c r="D145" s="1629" t="str">
        <f>IFERROR(VLOOKUP(L128,'Statement of Marks'!$B$7:'Statement of Marks'!$IC$206,192,0),"")</f>
        <v/>
      </c>
      <c r="E145" s="1630"/>
      <c r="F145" s="1631" t="s">
        <v>76</v>
      </c>
      <c r="G145" s="1632"/>
      <c r="H145" s="406" t="str">
        <f>IFERROR(VLOOKUP(L128,'Statement of Marks'!$B$7:'Statement of Marks'!$IC$206,193,0),"")</f>
        <v/>
      </c>
      <c r="I145" s="1633" t="s">
        <v>136</v>
      </c>
      <c r="J145" s="1634"/>
      <c r="K145" s="1635">
        <f>IFERROR(IF(OR(O141="",L128=""),"",VLOOKUP(L128,'Statement of Marks'!$B$7:'Statement of Marks'!$IC$206,230,0)),"")</f>
        <v>60.333333333333336</v>
      </c>
      <c r="L145" s="1636"/>
      <c r="M145" s="1637" t="s">
        <v>145</v>
      </c>
      <c r="N145" s="1638"/>
      <c r="O145" s="1638"/>
      <c r="P145" s="408">
        <f>IFERROR(VLOOKUP(L128,'Statement of Marks'!$B$7:'Statement of Marks'!$IC$206,231,0),"")</f>
        <v>12.00000000000008</v>
      </c>
      <c r="Q145" s="1680"/>
      <c r="R145" s="1627" t="s">
        <v>144</v>
      </c>
      <c r="S145" s="1628"/>
      <c r="T145" s="1629" t="str">
        <f>IFERROR(VLOOKUP(AB128,'Statement of Marks'!$B$7:'Statement of Marks'!$IC$206,192,0),"")</f>
        <v/>
      </c>
      <c r="U145" s="1630"/>
      <c r="V145" s="1631" t="s">
        <v>76</v>
      </c>
      <c r="W145" s="1632"/>
      <c r="X145" s="406" t="str">
        <f>IFERROR(VLOOKUP(AB128,'Statement of Marks'!$B$7:'Statement of Marks'!$IC$206,193,0),"")</f>
        <v/>
      </c>
      <c r="Y145" s="1633" t="s">
        <v>136</v>
      </c>
      <c r="Z145" s="1634"/>
      <c r="AA145" s="1635">
        <f>IFERROR(IF(OR(AE141="",AB128=""),"",VLOOKUP(AB128,'Statement of Marks'!$B$7:'Statement of Marks'!$IC$206,230,0)),"")</f>
        <v>52.75</v>
      </c>
      <c r="AB145" s="1636"/>
      <c r="AC145" s="1637" t="s">
        <v>145</v>
      </c>
      <c r="AD145" s="1638"/>
      <c r="AE145" s="1638"/>
      <c r="AF145" s="408">
        <f>IFERROR(VLOOKUP(AB128,'Statement of Marks'!$B$7:'Statement of Marks'!$IC$206,231,0),"")</f>
        <v>17.999999999999773</v>
      </c>
      <c r="AV145"/>
      <c r="AW145"/>
      <c r="AX145"/>
      <c r="BA145"/>
      <c r="BB145"/>
      <c r="BC145"/>
    </row>
    <row r="146" spans="1:55" s="351" customFormat="1" ht="27.75" customHeight="1">
      <c r="A146" s="33">
        <f>IF(L128="","",A145+1)</f>
        <v>26</v>
      </c>
      <c r="B146" s="1639" t="str">
        <f>IF('School Profile'!$D$12="Hindi","मुख्य परीक्षा परिणाम ","Main Exam Result")</f>
        <v xml:space="preserve">मुख्य परीक्षा परिणाम </v>
      </c>
      <c r="C146" s="1639"/>
      <c r="D146" s="1640"/>
      <c r="E146" s="1640"/>
      <c r="F146" s="1640"/>
      <c r="G146" s="1640" t="str">
        <f>IF('School Profile'!$D$12="Hindi","विशेष योग्यता प्राप्त विषय","Subjects Of Dictation Marks")</f>
        <v>विशेष योग्यता प्राप्त विषय</v>
      </c>
      <c r="H146" s="1640"/>
      <c r="I146" s="1640"/>
      <c r="J146" s="1640"/>
      <c r="K146" s="1640"/>
      <c r="L146" s="1641" t="str">
        <f>IF('School Profile'!$D$12="Hindi","पूरक विषय","Supplementary Subject")</f>
        <v>पूरक विषय</v>
      </c>
      <c r="M146" s="1642"/>
      <c r="N146" s="1642"/>
      <c r="O146" s="1642"/>
      <c r="P146" s="1643"/>
      <c r="Q146" s="1680"/>
      <c r="R146" s="1639" t="str">
        <f>IF('School Profile'!$D$12="Hindi","मुख्य परीक्षा परिणाम ","Main Exam Result")</f>
        <v xml:space="preserve">मुख्य परीक्षा परिणाम </v>
      </c>
      <c r="S146" s="1639"/>
      <c r="T146" s="1640"/>
      <c r="U146" s="1640"/>
      <c r="V146" s="1640"/>
      <c r="W146" s="1640" t="str">
        <f>IF('School Profile'!$D$12="Hindi","विशेष योग्यता प्राप्त विषय","Subjects Of Dictation Marks")</f>
        <v>विशेष योग्यता प्राप्त विषय</v>
      </c>
      <c r="X146" s="1640"/>
      <c r="Y146" s="1640"/>
      <c r="Z146" s="1640"/>
      <c r="AA146" s="1640"/>
      <c r="AB146" s="1641" t="str">
        <f>IF('School Profile'!$D$12="Hindi","पूरक विषय","Supplementary Subject")</f>
        <v>पूरक विषय</v>
      </c>
      <c r="AC146" s="1642"/>
      <c r="AD146" s="1642"/>
      <c r="AE146" s="1642"/>
      <c r="AF146" s="1643"/>
      <c r="AV146"/>
      <c r="AW146"/>
      <c r="AX146"/>
      <c r="BA146"/>
      <c r="BB146"/>
      <c r="BC146"/>
    </row>
    <row r="147" spans="1:55" s="351" customFormat="1" ht="42.75" customHeight="1">
      <c r="A147" s="33">
        <f>IF(L128="","",A146+1)</f>
        <v>27</v>
      </c>
      <c r="B147" s="1612"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12"/>
      <c r="D147" s="1612"/>
      <c r="E147" s="1612"/>
      <c r="F147" s="1612"/>
      <c r="G147" s="1613" t="str">
        <f>IFERROR(VLOOKUP(L128,'Statement of Marks'!$B$7:'Statement of Marks'!$IC$206,225,0),"")</f>
        <v xml:space="preserve"> अंग्रेजी     </v>
      </c>
      <c r="H147" s="1613"/>
      <c r="I147" s="1613"/>
      <c r="J147" s="1613"/>
      <c r="K147" s="1613"/>
      <c r="L147" s="1614" t="str">
        <f>IFERROR(VLOOKUP(L128,'Statement of Marks'!$B$7:'Statement of Marks'!$IC$206,222,0),"")</f>
        <v xml:space="preserve">      </v>
      </c>
      <c r="M147" s="1615"/>
      <c r="N147" s="1615"/>
      <c r="O147" s="1615"/>
      <c r="P147" s="1616"/>
      <c r="Q147" s="1680"/>
      <c r="R147" s="1612"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12"/>
      <c r="T147" s="1612"/>
      <c r="U147" s="1612"/>
      <c r="V147" s="1612"/>
      <c r="W147" s="1613" t="str">
        <f>IFERROR(VLOOKUP(AB128,'Statement of Marks'!$B$7:'Statement of Marks'!$IC$206,225,0),"")</f>
        <v xml:space="preserve">      </v>
      </c>
      <c r="X147" s="1613"/>
      <c r="Y147" s="1613"/>
      <c r="Z147" s="1613"/>
      <c r="AA147" s="1613"/>
      <c r="AB147" s="1614" t="str">
        <f>IFERROR(VLOOKUP(AB128,'Statement of Marks'!$B$7:'Statement of Marks'!$IC$206,222,0),"")</f>
        <v xml:space="preserve">      </v>
      </c>
      <c r="AC147" s="1615"/>
      <c r="AD147" s="1615"/>
      <c r="AE147" s="1615"/>
      <c r="AF147" s="1616"/>
      <c r="AV147"/>
      <c r="AW147"/>
      <c r="AX147"/>
      <c r="BA147"/>
      <c r="BB147"/>
      <c r="BC147"/>
    </row>
    <row r="148" spans="1:55" s="351" customFormat="1" ht="52.5" customHeight="1">
      <c r="A148" s="33">
        <f>IF(L128="","",A147+1)</f>
        <v>28</v>
      </c>
      <c r="B148" s="1621" t="str">
        <f>IF(AND(L128=""),"",CONCATENATE("(",'School Profile'!$D$18," )"))</f>
        <v>(Yogesh )</v>
      </c>
      <c r="C148" s="1621"/>
      <c r="D148" s="1621"/>
      <c r="E148" s="1621"/>
      <c r="F148" s="1621"/>
      <c r="G148" s="1622" t="str">
        <f>IF(AND(L128=""),"",CONCATENATE("( ",'School Profile'!$D$15," )"))</f>
        <v>( Heeralal Jat )</v>
      </c>
      <c r="H148" s="1622"/>
      <c r="I148" s="1622"/>
      <c r="J148" s="1622"/>
      <c r="K148" s="1623" t="str">
        <f>IF(AND(L128=""),"",CONCATENATE("( ",'School Profile'!$D$14," )"))</f>
        <v>( USHA PALIYA )</v>
      </c>
      <c r="L148" s="1623"/>
      <c r="M148" s="1623"/>
      <c r="N148" s="1623"/>
      <c r="O148" s="1623"/>
      <c r="P148" s="1623"/>
      <c r="Q148" s="1680"/>
      <c r="R148" s="1621" t="str">
        <f>IF(AND(AB128=""),"",CONCATENATE("(",'School Profile'!$D$18," )"))</f>
        <v>(Yogesh )</v>
      </c>
      <c r="S148" s="1621"/>
      <c r="T148" s="1621"/>
      <c r="U148" s="1621"/>
      <c r="V148" s="1621"/>
      <c r="W148" s="1622" t="str">
        <f>IF(AND(AB128=""),"",CONCATENATE("( ",'School Profile'!$D$15," )"))</f>
        <v>( Heeralal Jat )</v>
      </c>
      <c r="X148" s="1622"/>
      <c r="Y148" s="1622"/>
      <c r="Z148" s="1622"/>
      <c r="AA148" s="1623" t="str">
        <f>IF(AND(AB128=""),"",CONCATENATE("( ",'School Profile'!$D$14," )"))</f>
        <v>( USHA PALIYA )</v>
      </c>
      <c r="AB148" s="1623"/>
      <c r="AC148" s="1623"/>
      <c r="AD148" s="1623"/>
      <c r="AE148" s="1623"/>
      <c r="AF148" s="1623"/>
      <c r="AV148"/>
      <c r="AW148"/>
      <c r="AX148"/>
      <c r="BA148"/>
      <c r="BB148"/>
      <c r="BC148"/>
    </row>
    <row r="149" spans="1:55" s="351" customFormat="1" ht="24.75" customHeight="1">
      <c r="A149" s="33">
        <f>IF(L128="","",A148+1)</f>
        <v>29</v>
      </c>
      <c r="B149" s="1624" t="str">
        <f>IF('School Profile'!$D$12="Hindi","हस्ताक्षर कक्षाध्यापक","Signature of the class teacher")</f>
        <v>हस्ताक्षर कक्षाध्यापक</v>
      </c>
      <c r="C149" s="1624"/>
      <c r="D149" s="1624"/>
      <c r="E149" s="1624"/>
      <c r="F149" s="1624"/>
      <c r="G149" s="1624" t="str">
        <f>IF('School Profile'!$D$12="Hindi","हस्ताक्षर परीक्षा प्रभारी","Signature of the exam. Incharge")</f>
        <v>हस्ताक्षर परीक्षा प्रभारी</v>
      </c>
      <c r="H149" s="1624"/>
      <c r="I149" s="1624"/>
      <c r="J149" s="1624"/>
      <c r="K149" s="1624" t="str">
        <f>IF('School Profile'!$D$12="Hindi","हस्ताक्षर मय सील मोहर संस्था प्रधान","Signature &amp; Seal of the Head of the Institution")</f>
        <v>हस्ताक्षर मय सील मोहर संस्था प्रधान</v>
      </c>
      <c r="L149" s="1624"/>
      <c r="M149" s="1624"/>
      <c r="N149" s="1624"/>
      <c r="O149" s="1624"/>
      <c r="P149" s="1624"/>
      <c r="Q149" s="1680"/>
      <c r="R149" s="1624" t="str">
        <f>IF('School Profile'!$D$12="Hindi","हस्ताक्षर कक्षाध्यापक","Signature of the class teacher")</f>
        <v>हस्ताक्षर कक्षाध्यापक</v>
      </c>
      <c r="S149" s="1624"/>
      <c r="T149" s="1624"/>
      <c r="U149" s="1624"/>
      <c r="V149" s="1624"/>
      <c r="W149" s="1624" t="str">
        <f>IF('School Profile'!$D$12="Hindi","हस्ताक्षर परीक्षा प्रभारी","Signature of the exam. Incharge")</f>
        <v>हस्ताक्षर परीक्षा प्रभारी</v>
      </c>
      <c r="X149" s="1624"/>
      <c r="Y149" s="1624"/>
      <c r="Z149" s="1624"/>
      <c r="AA149" s="1624" t="str">
        <f>IF('School Profile'!$D$12="Hindi","हस्ताक्षर मय सील मोहर संस्था प्रधान","Signature &amp; Seal of the Head of the Institution")</f>
        <v>हस्ताक्षर मय सील मोहर संस्था प्रधान</v>
      </c>
      <c r="AB149" s="1624"/>
      <c r="AC149" s="1624"/>
      <c r="AD149" s="1624"/>
      <c r="AE149" s="1624"/>
      <c r="AF149" s="1624"/>
      <c r="AV149"/>
      <c r="AW149"/>
      <c r="AX149"/>
      <c r="BA149"/>
      <c r="BB149"/>
      <c r="BC149"/>
    </row>
    <row r="151" spans="1:55" s="6" customFormat="1" ht="22.5" customHeight="1">
      <c r="A151" s="33">
        <f>IF(L158="","",1)</f>
        <v>1</v>
      </c>
      <c r="B151" s="28"/>
      <c r="C151" s="28"/>
      <c r="D151" s="1553" t="str">
        <f>IF('School Profile'!$D$12="Hindi","वार्षिक रिपोर्ट कार्ड ","Report Card")</f>
        <v xml:space="preserve">वार्षिक रिपोर्ट कार्ड </v>
      </c>
      <c r="E151" s="1553"/>
      <c r="F151" s="1553"/>
      <c r="G151" s="1553"/>
      <c r="H151" s="1553"/>
      <c r="I151" s="1553"/>
      <c r="J151" s="1553"/>
      <c r="K151" s="1553"/>
      <c r="L151" s="1553"/>
      <c r="M151" s="1553"/>
      <c r="N151" s="1553"/>
      <c r="O151" s="349"/>
      <c r="P151" s="349"/>
      <c r="Q151" s="1680" t="s">
        <v>77</v>
      </c>
      <c r="R151" s="28"/>
      <c r="S151" s="28"/>
      <c r="T151" s="1553" t="str">
        <f>IF('School Profile'!$D$12="Hindi","वार्षिक रिपोर्ट कार्ड ","Report Card")</f>
        <v xml:space="preserve">वार्षिक रिपोर्ट कार्ड </v>
      </c>
      <c r="U151" s="1553"/>
      <c r="V151" s="1553"/>
      <c r="W151" s="1553"/>
      <c r="X151" s="1553"/>
      <c r="Y151" s="1553"/>
      <c r="Z151" s="1553"/>
      <c r="AA151" s="1553"/>
      <c r="AB151" s="1553"/>
      <c r="AC151" s="1553"/>
      <c r="AD151" s="1553"/>
      <c r="AE151" s="349"/>
      <c r="AF151" s="349"/>
      <c r="AV151"/>
      <c r="AW151"/>
      <c r="AX151"/>
      <c r="BA151"/>
      <c r="BB151"/>
      <c r="BC151"/>
    </row>
    <row r="152" spans="1:55" s="6" customFormat="1" ht="22.5" customHeight="1">
      <c r="A152" s="33">
        <f>IF(L158="","",A151+1)</f>
        <v>2</v>
      </c>
      <c r="B152" s="28"/>
      <c r="C152" s="28"/>
      <c r="D152" s="1681" t="str">
        <f>IF('School Profile'!$D$12="Hindi","शिक्षा विभाग, राजस्थान सरकार","Education Department, Rajasthan Government")</f>
        <v>शिक्षा विभाग, राजस्थान सरकार</v>
      </c>
      <c r="E152" s="1681"/>
      <c r="F152" s="1681"/>
      <c r="G152" s="1681"/>
      <c r="H152" s="1681"/>
      <c r="I152" s="1681"/>
      <c r="J152" s="1681"/>
      <c r="K152" s="1681"/>
      <c r="L152" s="1681"/>
      <c r="M152" s="1681"/>
      <c r="N152" s="1681"/>
      <c r="O152" s="349"/>
      <c r="P152" s="349"/>
      <c r="Q152" s="1680"/>
      <c r="R152" s="28"/>
      <c r="S152" s="28"/>
      <c r="T152" s="1681" t="str">
        <f>IF('School Profile'!$D$12="Hindi","शिक्षा विभाग, राजस्थान सरकार","Education Department, Rajasthan Government")</f>
        <v>शिक्षा विभाग, राजस्थान सरकार</v>
      </c>
      <c r="U152" s="1681"/>
      <c r="V152" s="1681"/>
      <c r="W152" s="1681"/>
      <c r="X152" s="1681"/>
      <c r="Y152" s="1681"/>
      <c r="Z152" s="1681"/>
      <c r="AA152" s="1681"/>
      <c r="AB152" s="1681"/>
      <c r="AC152" s="1681"/>
      <c r="AD152" s="1681"/>
      <c r="AE152" s="349"/>
      <c r="AF152" s="349"/>
      <c r="AV152"/>
      <c r="AW152"/>
      <c r="AX152"/>
      <c r="BA152"/>
      <c r="BB152"/>
      <c r="BC152"/>
    </row>
    <row r="153" spans="1:55" s="32" customFormat="1" ht="24.95" customHeight="1">
      <c r="A153" s="34">
        <f>IF(L158="","",A152+1)</f>
        <v>3</v>
      </c>
      <c r="B153" s="1555" t="str">
        <f>IF('School Profile'!$D$12="Hindi",CONCATENATE("विद्यालय का नाम :-","  ",'School Profile'!$D$9),CONCATENATE("School Name :-","  ",'School Profile'!$D$8))</f>
        <v xml:space="preserve">विद्यालय का नाम :-  महात्मा गाँधी राजकीय विद्यालय (अंग्रेजी माध्यम) बर, पाली </v>
      </c>
      <c r="C153" s="1555"/>
      <c r="D153" s="1555"/>
      <c r="E153" s="1555"/>
      <c r="F153" s="1555"/>
      <c r="G153" s="1555"/>
      <c r="H153" s="1555"/>
      <c r="I153" s="1555"/>
      <c r="J153" s="1555"/>
      <c r="K153" s="1555"/>
      <c r="L153" s="1555"/>
      <c r="M153" s="1555"/>
      <c r="N153" s="1555"/>
      <c r="O153" s="1555"/>
      <c r="P153" s="1555"/>
      <c r="Q153" s="1680"/>
      <c r="R153" s="1555" t="str">
        <f>IF('School Profile'!$D$12="Hindi",CONCATENATE("विद्यालय का नाम :-","  ",'School Profile'!$D$9),CONCATENATE("School Name :-","  ",'School Profile'!$D$8))</f>
        <v xml:space="preserve">विद्यालय का नाम :-  महात्मा गाँधी राजकीय विद्यालय (अंग्रेजी माध्यम) बर, पाली </v>
      </c>
      <c r="S153" s="1555"/>
      <c r="T153" s="1555"/>
      <c r="U153" s="1555"/>
      <c r="V153" s="1555"/>
      <c r="W153" s="1555"/>
      <c r="X153" s="1555"/>
      <c r="Y153" s="1555"/>
      <c r="Z153" s="1555"/>
      <c r="AA153" s="1555"/>
      <c r="AB153" s="1555"/>
      <c r="AC153" s="1555"/>
      <c r="AD153" s="1555"/>
      <c r="AE153" s="1555"/>
      <c r="AF153" s="1555"/>
      <c r="AV153"/>
      <c r="AW153"/>
      <c r="AX153"/>
      <c r="BA153"/>
      <c r="BB153"/>
      <c r="BC153"/>
    </row>
    <row r="154" spans="1:55" s="32" customFormat="1" ht="24.95" customHeight="1">
      <c r="A154" s="34">
        <f>IF(L158="","",A153+1)</f>
        <v>4</v>
      </c>
      <c r="B154" s="668"/>
      <c r="C154" s="668"/>
      <c r="D154" s="668"/>
      <c r="E154" s="668"/>
      <c r="F154" s="1682"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82"/>
      <c r="H154" s="1682"/>
      <c r="I154" s="1682"/>
      <c r="J154" s="1682"/>
      <c r="K154" s="1682"/>
      <c r="L154" s="1682"/>
      <c r="M154" s="1682"/>
      <c r="N154" s="1682"/>
      <c r="O154" s="1682"/>
      <c r="P154" s="668"/>
      <c r="Q154" s="1680"/>
      <c r="R154" s="668"/>
      <c r="S154" s="668"/>
      <c r="T154" s="668"/>
      <c r="U154" s="668"/>
      <c r="V154" s="1682"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82"/>
      <c r="X154" s="1682"/>
      <c r="Y154" s="1682"/>
      <c r="Z154" s="1682"/>
      <c r="AA154" s="1682"/>
      <c r="AB154" s="1682"/>
      <c r="AC154" s="1682"/>
      <c r="AD154" s="1682"/>
      <c r="AE154" s="1682"/>
      <c r="AF154" s="668"/>
      <c r="AV154"/>
      <c r="AW154"/>
      <c r="AX154"/>
      <c r="AY154" s="6"/>
      <c r="AZ154" s="6"/>
      <c r="BA154"/>
      <c r="BB154"/>
      <c r="BC154"/>
    </row>
    <row r="155" spans="1:55" s="351" customFormat="1" ht="21" customHeight="1">
      <c r="A155" s="33">
        <f>IF(L158="","",A154+1)</f>
        <v>5</v>
      </c>
      <c r="B155" s="681" t="str">
        <f>IF('School Profile'!$D$12="Hindi","कक्षा  :-","CLASS :- ")</f>
        <v>कक्षा  :-</v>
      </c>
      <c r="C155" s="1611" t="str">
        <f>IF('Statement of Marks'!$E$3="","",'Statement of Marks'!$E$3)</f>
        <v>9th</v>
      </c>
      <c r="D155" s="1611"/>
      <c r="E155" s="820" t="str">
        <f>IFERROR(VLOOKUP(L158,'Statement of Marks'!$B$7:'Statement of Marks'!$IC$206,2,0),"")</f>
        <v>A</v>
      </c>
      <c r="F155" s="820"/>
      <c r="G155" s="820"/>
      <c r="H155" s="820"/>
      <c r="I155" s="1683" t="str">
        <f>IF('School Profile'!$D$12="Hindi","प्रवेशांक :","SR. NO. :")</f>
        <v>प्रवेशांक :</v>
      </c>
      <c r="J155" s="1683"/>
      <c r="K155" s="1683"/>
      <c r="L155" s="1684" t="str">
        <f>IFERROR(VLOOKUP(L158,'Statement of Marks'!$B$7:'Statement of Marks'!$IC$206,3,0),"")</f>
        <v/>
      </c>
      <c r="M155" s="1684"/>
      <c r="N155" s="1684"/>
      <c r="O155" s="1684"/>
      <c r="P155" s="414"/>
      <c r="Q155" s="1680"/>
      <c r="R155" s="681" t="str">
        <f>IF('School Profile'!$D$12="Hindi","कक्षा  :-","CLASS :- ")</f>
        <v>कक्षा  :-</v>
      </c>
      <c r="S155" s="1611" t="str">
        <f>IF('Statement of Marks'!$E$3="","",'Statement of Marks'!$E$3)</f>
        <v>9th</v>
      </c>
      <c r="T155" s="1611"/>
      <c r="U155" s="820" t="str">
        <f>IFERROR(VLOOKUP(AB158,'Statement of Marks'!$B$7:'Statement of Marks'!$IC$206,2,0),"")</f>
        <v>A</v>
      </c>
      <c r="V155" s="820"/>
      <c r="W155" s="820"/>
      <c r="X155" s="820"/>
      <c r="Y155" s="1683" t="str">
        <f>IF('School Profile'!$D$12="Hindi","प्रवेशांक :","SR. NO. :")</f>
        <v>प्रवेशांक :</v>
      </c>
      <c r="Z155" s="1683"/>
      <c r="AA155" s="1683"/>
      <c r="AB155" s="1684" t="str">
        <f>IFERROR(VLOOKUP(AB158,'Statement of Marks'!$B$7:'Statement of Marks'!$IC$206,3,0),"")</f>
        <v/>
      </c>
      <c r="AC155" s="1684"/>
      <c r="AD155" s="1684"/>
      <c r="AE155" s="1684"/>
      <c r="AF155" s="414"/>
      <c r="AV155"/>
      <c r="AW155" s="777">
        <f>L156</f>
        <v>41878</v>
      </c>
      <c r="AX155"/>
      <c r="BA155"/>
      <c r="BB155" s="777" t="str">
        <f>AB156</f>
        <v/>
      </c>
      <c r="BC155"/>
    </row>
    <row r="156" spans="1:55" s="351" customFormat="1" ht="21" customHeight="1">
      <c r="A156" s="33">
        <f>IF(L158="","",A155+1)</f>
        <v>6</v>
      </c>
      <c r="B156" s="683" t="str">
        <f>IF('School Profile'!$D$12="Hindi","विद्यार्थी का नाम :-","Student's Name :-")</f>
        <v>विद्यार्थी का नाम :-</v>
      </c>
      <c r="C156" s="1685" t="str">
        <f>IFERROR(VLOOKUP(L158,'Statement of Marks'!$B$7:'Statement of Marks'!$IC$206,5,0),"")</f>
        <v>MONU</v>
      </c>
      <c r="D156" s="1685"/>
      <c r="E156" s="1685"/>
      <c r="F156" s="1685"/>
      <c r="G156" s="1685"/>
      <c r="H156" s="1685"/>
      <c r="I156" s="1683" t="str">
        <f>IF('School Profile'!$D$12="Hindi","जन्म तिथि :","Date of Birth :")</f>
        <v>जन्म तिथि :</v>
      </c>
      <c r="J156" s="1683"/>
      <c r="K156" s="1683"/>
      <c r="L156" s="1686">
        <f>IFERROR(VLOOKUP(L158,'Statement of Marks'!$B$7:'Statement of Marks'!$IC$206,4,0),"")</f>
        <v>41878</v>
      </c>
      <c r="M156" s="1686"/>
      <c r="N156" s="1686"/>
      <c r="O156" s="1686"/>
      <c r="P156" s="670"/>
      <c r="Q156" s="1680"/>
      <c r="R156" s="683" t="str">
        <f>IF('School Profile'!$D$12="Hindi","विद्यार्थी का नाम :-","Student's Name :-")</f>
        <v>विद्यार्थी का नाम :-</v>
      </c>
      <c r="S156" s="1685" t="str">
        <f>IFERROR(VLOOKUP(AB158,'Statement of Marks'!$B$7:'Statement of Marks'!$IC$206,5,0),"")</f>
        <v>JAY</v>
      </c>
      <c r="T156" s="1685"/>
      <c r="U156" s="1685"/>
      <c r="V156" s="1685"/>
      <c r="W156" s="1685"/>
      <c r="X156" s="1685"/>
      <c r="Y156" s="1683" t="str">
        <f>IF('School Profile'!$D$12="Hindi","जन्म तिथि :","Date of Birth :")</f>
        <v>जन्म तिथि :</v>
      </c>
      <c r="Z156" s="1683"/>
      <c r="AA156" s="1683"/>
      <c r="AB156" s="1686" t="str">
        <f>IFERROR(VLOOKUP(AB158,'Statement of Marks'!$B$7:'Statement of Marks'!$IC$206,4,0),"")</f>
        <v/>
      </c>
      <c r="AC156" s="1686"/>
      <c r="AD156" s="1686"/>
      <c r="AE156" s="1686"/>
      <c r="AF156" s="670"/>
      <c r="AV156">
        <f>YEAR(AW155)</f>
        <v>2014</v>
      </c>
      <c r="AW156">
        <f>MONTH(AW155)</f>
        <v>8</v>
      </c>
      <c r="AX156">
        <f>DAY(AW155)</f>
        <v>27</v>
      </c>
      <c r="BA156" t="e">
        <f>YEAR(BB155)</f>
        <v>#VALUE!</v>
      </c>
      <c r="BB156" t="e">
        <f>MONTH(BB155)</f>
        <v>#VALUE!</v>
      </c>
      <c r="BC156" t="e">
        <f>DAY(BB155)</f>
        <v>#VALUE!</v>
      </c>
    </row>
    <row r="157" spans="1:55" s="351" customFormat="1" ht="21" customHeight="1">
      <c r="A157" s="33">
        <f>IF(L158="","",A156+1)</f>
        <v>7</v>
      </c>
      <c r="B157" s="683" t="str">
        <f>IF('School Profile'!$D$12="Hindi","पिता का नाम :-","Father's Name :-")</f>
        <v>पिता का नाम :-</v>
      </c>
      <c r="C157" s="1685" t="str">
        <f>IFERROR(VLOOKUP(L158,'Statement of Marks'!$B$7:'Statement of Marks'!$IC$206,6,0),"")</f>
        <v/>
      </c>
      <c r="D157" s="1685"/>
      <c r="E157" s="1685"/>
      <c r="F157" s="1685"/>
      <c r="G157" s="1685"/>
      <c r="H157" s="1685"/>
      <c r="I157" s="1683" t="str">
        <f>IF('School Profile'!$D$12="Hindi","जन्मतिथि शब्दों में :-","Date of Birth in Words :-")</f>
        <v>जन्मतिथि शब्दों में :-</v>
      </c>
      <c r="J157" s="1683"/>
      <c r="K157" s="1683"/>
      <c r="L157" s="1685" t="str">
        <f>IFERROR(IF('School Profile'!$D$12="Hindi",'Simple Marksheet'!AW158,'Simple Marksheet'!AW160),"")</f>
        <v>सताईस अगस्त दो हजार चौदह</v>
      </c>
      <c r="M157" s="1685"/>
      <c r="N157" s="1685"/>
      <c r="O157" s="1685"/>
      <c r="P157" s="670"/>
      <c r="Q157" s="1680"/>
      <c r="R157" s="683" t="str">
        <f>IF('School Profile'!$D$12="Hindi","पिता का नाम :-","Father's Name :-")</f>
        <v>पिता का नाम :-</v>
      </c>
      <c r="S157" s="1685" t="str">
        <f>IFERROR(VLOOKUP(AB158,'Statement of Marks'!$B$7:'Statement of Marks'!$IC$206,6,0),"")</f>
        <v/>
      </c>
      <c r="T157" s="1685"/>
      <c r="U157" s="1685"/>
      <c r="V157" s="1685"/>
      <c r="W157" s="1685"/>
      <c r="X157" s="1685"/>
      <c r="Y157" s="1683" t="str">
        <f>IF('School Profile'!$D$12="Hindi","जन्मतिथि शब्दों में :-","Date of Birth in Words :-")</f>
        <v>जन्मतिथि शब्दों में :-</v>
      </c>
      <c r="Z157" s="1683"/>
      <c r="AA157" s="1683"/>
      <c r="AB157" s="1685" t="str">
        <f>IFERROR(IF('School Profile'!$D$12="Hindi",BB158,BB160),"")</f>
        <v/>
      </c>
      <c r="AC157" s="1685"/>
      <c r="AD157" s="1685"/>
      <c r="AE157" s="1685"/>
      <c r="AF157" s="670"/>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इग्यारह",IF(AV156=2012,"दो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इ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इग्यारह",IF(BA156=2012,"दो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इ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51" customFormat="1" ht="21" customHeight="1">
      <c r="A158" s="33">
        <f>IF(L158="","",A157+1)</f>
        <v>8</v>
      </c>
      <c r="B158" s="681" t="str">
        <f>IF('School Profile'!$D$12="Hindi","माता का नाम :-","Mother's Name :-")</f>
        <v>माता का नाम :-</v>
      </c>
      <c r="C158" s="1685" t="str">
        <f>IFERROR(VLOOKUP(L158,'Statement of Marks'!$B$7:'Statement of Marks'!$IC$206,7,0),"")</f>
        <v/>
      </c>
      <c r="D158" s="1685"/>
      <c r="E158" s="1685"/>
      <c r="F158" s="1685"/>
      <c r="G158" s="1685"/>
      <c r="H158" s="1685"/>
      <c r="I158" s="1683" t="str">
        <f>IF('School Profile'!$D$12="Hindi","रोल नंबर :-","Roll No. :")</f>
        <v>रोल नंबर :-</v>
      </c>
      <c r="J158" s="1683"/>
      <c r="K158" s="1683"/>
      <c r="L158" s="1672">
        <f>IF(AB128="","",IF(AND(AB128+1&gt;$AN$11),"",AB128+1))</f>
        <v>911</v>
      </c>
      <c r="M158" s="1672"/>
      <c r="N158" s="1672"/>
      <c r="Q158" s="1680"/>
      <c r="R158" s="681" t="str">
        <f>IF('School Profile'!$D$12="Hindi","माता का नाम :-","Mother's Name :-")</f>
        <v>माता का नाम :-</v>
      </c>
      <c r="S158" s="1685" t="str">
        <f>IFERROR(VLOOKUP(AB158,'Statement of Marks'!$B$7:'Statement of Marks'!$IC$206,7,0),"")</f>
        <v/>
      </c>
      <c r="T158" s="1685"/>
      <c r="U158" s="1685"/>
      <c r="V158" s="1685"/>
      <c r="W158" s="1685"/>
      <c r="X158" s="1685"/>
      <c r="Y158" s="1683" t="str">
        <f>IF('School Profile'!$D$12="Hindi","रोल नंबर :-","Roll No. :")</f>
        <v>रोल नंबर :-</v>
      </c>
      <c r="Z158" s="1683"/>
      <c r="AA158" s="1683"/>
      <c r="AB158" s="1672">
        <f>IF(L158="","",IF(AND(L158+1&gt;$AN$11),"",L158+1))</f>
        <v>912</v>
      </c>
      <c r="AC158" s="1672"/>
      <c r="AD158" s="1672"/>
      <c r="AV158"/>
      <c r="AW158" t="str">
        <f>CONCATENATE(AX157," ",AW157," ",AV157)</f>
        <v>सताईस अगस्त दो हजार चौदह</v>
      </c>
      <c r="AX158"/>
      <c r="BA158"/>
      <c r="BB158" t="e">
        <f>CONCATENATE(BC157," ",BB157," ",BA157)</f>
        <v>#VALUE!</v>
      </c>
      <c r="BC158"/>
    </row>
    <row r="159" spans="1:55" s="351" customFormat="1" ht="9.75" customHeight="1">
      <c r="A159" s="33">
        <f>IF(L158="","",A158+1)</f>
        <v>9</v>
      </c>
      <c r="B159" s="1673"/>
      <c r="C159" s="1673"/>
      <c r="D159" s="1673"/>
      <c r="E159" s="1673"/>
      <c r="F159" s="1673"/>
      <c r="G159" s="1673"/>
      <c r="H159" s="1673"/>
      <c r="I159" s="1673"/>
      <c r="J159" s="1673"/>
      <c r="K159" s="1673"/>
      <c r="L159" s="1673"/>
      <c r="M159" s="1673"/>
      <c r="N159" s="1673"/>
      <c r="O159" s="1673"/>
      <c r="P159" s="401"/>
      <c r="Q159" s="1680"/>
      <c r="R159" s="1673"/>
      <c r="S159" s="1673"/>
      <c r="T159" s="1673"/>
      <c r="U159" s="1673"/>
      <c r="V159" s="1673"/>
      <c r="W159" s="1673"/>
      <c r="X159" s="1673"/>
      <c r="Y159" s="1673"/>
      <c r="Z159" s="1673"/>
      <c r="AA159" s="1673"/>
      <c r="AB159" s="1673"/>
      <c r="AC159" s="1673"/>
      <c r="AD159" s="1673"/>
      <c r="AE159" s="1673"/>
      <c r="AF159" s="401"/>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51" customFormat="1" ht="26.25" customHeight="1">
      <c r="A160" s="33">
        <f>IF(L158="","",A159+1)</f>
        <v>10</v>
      </c>
      <c r="B160" s="1619" t="str">
        <f>IF('School Profile'!$D$12="Hindi","विषय का नाम","Subject Name")</f>
        <v>विषय का नाम</v>
      </c>
      <c r="C160" s="1620"/>
      <c r="D160" s="1678" t="str">
        <f>IF('School Profile'!$D$12="Hindi","सामयिक परख","Seasonal Exam")</f>
        <v>सामयिक परख</v>
      </c>
      <c r="E160" s="1678"/>
      <c r="F160" s="1678"/>
      <c r="G160" s="1678"/>
      <c r="H160" s="1678" t="str">
        <f>IF('School Profile'!$D$12="Hindi","अर्द्धवार्षिक","Half Yearly")</f>
        <v>अर्द्धवार्षिक</v>
      </c>
      <c r="I160" s="1678"/>
      <c r="J160" s="1678"/>
      <c r="K160" s="1582" t="str">
        <f>IF('School Profile'!$D$12="Hindi","अर्द्ध वा. तक योग","Total Till H.Y.")</f>
        <v>अर्द्ध वा. तक योग</v>
      </c>
      <c r="L160" s="1678" t="str">
        <f>IF('School Profile'!$D$12="Hindi","वार्षिक","Yearly")</f>
        <v>वार्षिक</v>
      </c>
      <c r="M160" s="1678"/>
      <c r="N160" s="1678"/>
      <c r="O160" s="1577" t="str">
        <f>IF('School Profile'!$D$12="Hindi","विषय कुल योग ","Subject Total")</f>
        <v xml:space="preserve">विषय कुल योग </v>
      </c>
      <c r="P160" s="1679" t="str">
        <f>IF('School Profile'!$D$12="Hindi","विषय परिणाम / विषय श्रेणी","Sub. Result /  Sub. Div.")</f>
        <v>विषय परिणाम / विषय श्रेणी</v>
      </c>
      <c r="Q160" s="1680"/>
      <c r="R160" s="1619" t="str">
        <f>IF('School Profile'!$D$12="Hindi","विषय का नाम","Subject Name")</f>
        <v>विषय का नाम</v>
      </c>
      <c r="S160" s="1620"/>
      <c r="T160" s="1678" t="str">
        <f>IF('School Profile'!$D$12="Hindi","सामयिक परख","Seasonal Exam")</f>
        <v>सामयिक परख</v>
      </c>
      <c r="U160" s="1678"/>
      <c r="V160" s="1678"/>
      <c r="W160" s="1678"/>
      <c r="X160" s="1678" t="str">
        <f>IF('School Profile'!$D$12="Hindi","अर्द्धवार्षिक","Half Yearly")</f>
        <v>अर्द्धवार्षिक</v>
      </c>
      <c r="Y160" s="1678"/>
      <c r="Z160" s="1678"/>
      <c r="AA160" s="1582" t="str">
        <f>IF('School Profile'!$D$12="Hindi","अर्द्ध वा. तक योग","Total Till H.Y.")</f>
        <v>अर्द्ध वा. तक योग</v>
      </c>
      <c r="AB160" s="1678" t="str">
        <f>IF('School Profile'!$D$12="Hindi","वार्षिक","Yearly")</f>
        <v>वार्षिक</v>
      </c>
      <c r="AC160" s="1678"/>
      <c r="AD160" s="1678"/>
      <c r="AE160" s="1577" t="str">
        <f>IF('School Profile'!$D$12="Hindi","विषय कुल योग ","Subject Total")</f>
        <v xml:space="preserve">विषय कुल योग </v>
      </c>
      <c r="AF160" s="1679"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51" customFormat="1" ht="78.75" customHeight="1">
      <c r="A161" s="33">
        <f>IF(L158="","",A160+1)</f>
        <v>11</v>
      </c>
      <c r="B161" s="1674"/>
      <c r="C161" s="1675"/>
      <c r="D161" s="656" t="str">
        <f>IF('School Profile'!$D$12="Hindi","प्रथम परख ","First Test")</f>
        <v xml:space="preserve">प्रथम परख </v>
      </c>
      <c r="E161" s="656" t="str">
        <f>IF('School Profile'!$D$12="Hindi","द्वितीय परख","Second Test")</f>
        <v>द्वितीय परख</v>
      </c>
      <c r="F161" s="656" t="str">
        <f>IF('School Profile'!$D$12="Hindi","तृतीय परख","Third Test")</f>
        <v>तृतीय परख</v>
      </c>
      <c r="G161" s="657" t="str">
        <f>IF('School Profile'!$D$12="Hindi","सा. परख योग","Test Total")</f>
        <v>सा. परख योग</v>
      </c>
      <c r="H161" s="658" t="str">
        <f>IF('School Profile'!$D$12="Hindi","सैद्धान्तिक","Theoretical")</f>
        <v>सैद्धान्तिक</v>
      </c>
      <c r="I161" s="658" t="str">
        <f>IF('School Profile'!$D$12="Hindi","प्रायोगिक","Practical")</f>
        <v>प्रायोगिक</v>
      </c>
      <c r="J161" s="659" t="str">
        <f>IF('School Profile'!$D$12="Hindi","अर्द्धवार्षिक योग","H.Y.  Total")</f>
        <v>अर्द्धवार्षिक योग</v>
      </c>
      <c r="K161" s="1582"/>
      <c r="L161" s="658" t="str">
        <f>IF('School Profile'!$D$12="Hindi","सैद्धान्तिक","Theoretical")</f>
        <v>सैद्धान्तिक</v>
      </c>
      <c r="M161" s="658" t="str">
        <f>IF('School Profile'!$D$12="Hindi","प्रायोगिक","Practical")</f>
        <v>प्रायोगिक</v>
      </c>
      <c r="N161" s="659" t="str">
        <f>IF('School Profile'!$D$12="Hindi","वार्षिक योग","Yearly  Total")</f>
        <v>वार्षिक योग</v>
      </c>
      <c r="O161" s="1577"/>
      <c r="P161" s="1579"/>
      <c r="Q161" s="1680"/>
      <c r="R161" s="1674"/>
      <c r="S161" s="1675"/>
      <c r="T161" s="656" t="str">
        <f>IF('School Profile'!$D$12="Hindi","प्रथम परख ","First Test")</f>
        <v xml:space="preserve">प्रथम परख </v>
      </c>
      <c r="U161" s="656" t="str">
        <f>IF('School Profile'!$D$12="Hindi","द्वितीय परख","Second Test")</f>
        <v>द्वितीय परख</v>
      </c>
      <c r="V161" s="656" t="str">
        <f>IF('School Profile'!$D$12="Hindi","तृतीय परख","Third Test")</f>
        <v>तृतीय परख</v>
      </c>
      <c r="W161" s="657" t="str">
        <f>IF('School Profile'!$D$12="Hindi","सा. परख योग","Test Total")</f>
        <v>सा. परख योग</v>
      </c>
      <c r="X161" s="658" t="str">
        <f>IF('School Profile'!$D$12="Hindi","सैद्धान्तिक","Theoretical")</f>
        <v>सैद्धान्तिक</v>
      </c>
      <c r="Y161" s="658" t="str">
        <f>IF('School Profile'!$D$12="Hindi","प्रायोगिक","Practical")</f>
        <v>प्रायोगिक</v>
      </c>
      <c r="Z161" s="659" t="str">
        <f>IF('School Profile'!$D$12="Hindi","अर्द्धवार्षिक योग","H.Y.  Total")</f>
        <v>अर्द्धवार्षिक योग</v>
      </c>
      <c r="AA161" s="1582"/>
      <c r="AB161" s="658" t="str">
        <f>IF('School Profile'!$D$12="Hindi","सैद्धान्तिक","Theoretical")</f>
        <v>सैद्धान्तिक</v>
      </c>
      <c r="AC161" s="658" t="str">
        <f>IF('School Profile'!$D$12="Hindi","प्रायोगिक","Practical")</f>
        <v>प्रायोगिक</v>
      </c>
      <c r="AD161" s="659" t="str">
        <f>IF('School Profile'!$D$12="Hindi","वार्षिक योग","Yearly  Total")</f>
        <v>वार्षिक योग</v>
      </c>
      <c r="AE161" s="1577"/>
      <c r="AF161" s="1579"/>
      <c r="AV161"/>
      <c r="AW161"/>
      <c r="AX161"/>
      <c r="BA161"/>
      <c r="BB161"/>
      <c r="BC161"/>
    </row>
    <row r="162" spans="1:55" s="353" customFormat="1" ht="21" customHeight="1">
      <c r="A162" s="33">
        <f>IF(L158="","",A161+1)</f>
        <v>12</v>
      </c>
      <c r="B162" s="1676"/>
      <c r="C162" s="1677"/>
      <c r="D162" s="663">
        <v>10</v>
      </c>
      <c r="E162" s="663">
        <v>10</v>
      </c>
      <c r="F162" s="663">
        <v>10</v>
      </c>
      <c r="G162" s="663">
        <v>30</v>
      </c>
      <c r="H162" s="665" t="s">
        <v>252</v>
      </c>
      <c r="I162" s="661">
        <v>35</v>
      </c>
      <c r="J162" s="660">
        <v>70</v>
      </c>
      <c r="K162" s="661">
        <v>100</v>
      </c>
      <c r="L162" s="664" t="s">
        <v>253</v>
      </c>
      <c r="M162" s="663">
        <v>50</v>
      </c>
      <c r="N162" s="660">
        <v>100</v>
      </c>
      <c r="O162" s="662">
        <v>200</v>
      </c>
      <c r="P162" s="1580"/>
      <c r="Q162" s="1680"/>
      <c r="R162" s="1676"/>
      <c r="S162" s="1677"/>
      <c r="T162" s="663">
        <v>10</v>
      </c>
      <c r="U162" s="663">
        <v>10</v>
      </c>
      <c r="V162" s="663">
        <v>10</v>
      </c>
      <c r="W162" s="663">
        <v>30</v>
      </c>
      <c r="X162" s="665" t="s">
        <v>252</v>
      </c>
      <c r="Y162" s="661">
        <v>35</v>
      </c>
      <c r="Z162" s="660">
        <v>70</v>
      </c>
      <c r="AA162" s="661">
        <v>100</v>
      </c>
      <c r="AB162" s="664" t="s">
        <v>253</v>
      </c>
      <c r="AC162" s="663">
        <v>50</v>
      </c>
      <c r="AD162" s="660">
        <v>100</v>
      </c>
      <c r="AE162" s="662">
        <v>200</v>
      </c>
      <c r="AF162" s="1580"/>
      <c r="AV162"/>
      <c r="AW162"/>
      <c r="AX162"/>
      <c r="BA162"/>
      <c r="BB162"/>
      <c r="BC162"/>
    </row>
    <row r="163" spans="1:55" s="351" customFormat="1" ht="22.5" customHeight="1">
      <c r="A163" s="33">
        <f>IF(L158="","",A162+1)</f>
        <v>13</v>
      </c>
      <c r="B163" s="1617" t="str">
        <f>'Statement of Marks'!$K$3</f>
        <v>हिंदी</v>
      </c>
      <c r="C163" s="1618"/>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7">
        <f>IF(L158="","",IF(AND(H163="",I163=""),"",SUM(H163,I163)))</f>
        <v>46</v>
      </c>
      <c r="K163" s="679">
        <f>IFERROR(IF(L158="","",IF(AND(G163="",J163=""),"",SUM(G163,J163))),"")</f>
        <v>46</v>
      </c>
      <c r="L163" s="26">
        <f>IFERROR(VLOOKUP(L158,'Statement of Marks'!$B$7:'Statement of Marks'!$IC$206,16,0),"")</f>
        <v>65</v>
      </c>
      <c r="M163" s="26"/>
      <c r="N163" s="347">
        <f>IF(L158="","",IF(AND(L163="",M163=""),"",SUM(L163,M163)))</f>
        <v>65</v>
      </c>
      <c r="O163" s="674">
        <f>IFERROR(VLOOKUP(L158,'Statement of Marks'!$B$7:'Statement of Marks'!$IC$206,17,0),"")</f>
        <v>111</v>
      </c>
      <c r="P163" s="680"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80"/>
      <c r="R163" s="1617" t="str">
        <f>'Statement of Marks'!$K$3</f>
        <v>हिंदी</v>
      </c>
      <c r="S163" s="1618"/>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7">
        <f>IF(AB158="","",IF(AND(X163="",Y163=""),"",SUM(X163,Y163)))</f>
        <v>47</v>
      </c>
      <c r="AA163" s="679">
        <f>IFERROR(IF(AB158="","",IF(AND(W163="",Z163=""),"",SUM(W163,Z163))),"")</f>
        <v>69</v>
      </c>
      <c r="AB163" s="26">
        <f>IFERROR(VLOOKUP(AB158,'Statement of Marks'!$B$7:'Statement of Marks'!$IC$206,16,0),"")</f>
        <v>65</v>
      </c>
      <c r="AC163" s="26"/>
      <c r="AD163" s="347">
        <f>IF(AB158="","",IF(AND(AB163="",AC163=""),"",SUM(AB163,AC163)))</f>
        <v>65</v>
      </c>
      <c r="AE163" s="674">
        <f>IFERROR(VLOOKUP(AB158,'Statement of Marks'!$B$7:'Statement of Marks'!$IC$206,17,0),"")</f>
        <v>134</v>
      </c>
      <c r="AF163" s="680"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51" customFormat="1" ht="22.5" customHeight="1">
      <c r="A164" s="33">
        <f>IF(L158="","",A163+1)</f>
        <v>14</v>
      </c>
      <c r="B164" s="1617" t="str">
        <f>'Statement of Marks'!$Y$3</f>
        <v>अंग्रेजी</v>
      </c>
      <c r="C164" s="1618"/>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7">
        <f>IF(L158="","",IF(AND(H164="",I164=""),"",SUM(H164,I164)))</f>
        <v>60</v>
      </c>
      <c r="K164" s="679">
        <f>IFERROR(IF(L158="","",IF(AND(G164="",J164=""),"",SUM(G164,J164))),"")</f>
        <v>86</v>
      </c>
      <c r="L164" s="26">
        <f>IFERROR(VLOOKUP(L158,'Statement of Marks'!$B$7:'Statement of Marks'!$IC$206,30,0),"")</f>
        <v>85</v>
      </c>
      <c r="M164" s="26"/>
      <c r="N164" s="347">
        <f>IF(L158="","",IF(AND(L164="",M164=""),"",SUM(L164,M164)))</f>
        <v>85</v>
      </c>
      <c r="O164" s="674">
        <f>IFERROR(VLOOKUP(L158,'Statement of Marks'!$B$7:'Statement of Marks'!$IC$206,31,0),"")</f>
        <v>171</v>
      </c>
      <c r="P164" s="680"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80"/>
      <c r="R164" s="1617" t="str">
        <f>'Statement of Marks'!$Y$3</f>
        <v>अंग्रेजी</v>
      </c>
      <c r="S164" s="1618"/>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7">
        <f>IF(AB158="","",IF(AND(X164="",Y164=""),"",SUM(X164,Y164)))</f>
        <v>60</v>
      </c>
      <c r="AA164" s="679">
        <f>IFERROR(IF(AB158="","",IF(AND(W164="",Z164=""),"",SUM(W164,Z164))),"")</f>
        <v>86</v>
      </c>
      <c r="AB164" s="26">
        <f>IFERROR(VLOOKUP(AB158,'Statement of Marks'!$B$7:'Statement of Marks'!$IC$206,30,0),"")</f>
        <v>85</v>
      </c>
      <c r="AC164" s="26"/>
      <c r="AD164" s="347">
        <f>IF(AB158="","",IF(AND(AB164="",AC164=""),"",SUM(AB164,AC164)))</f>
        <v>85</v>
      </c>
      <c r="AE164" s="674">
        <f>IFERROR(VLOOKUP(AB158,'Statement of Marks'!$B$7:'Statement of Marks'!$IC$206,31,0),"")</f>
        <v>171</v>
      </c>
      <c r="AF164" s="680"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51" customFormat="1" ht="22.5" customHeight="1">
      <c r="A165" s="33">
        <f>IF(L158="","",A164+1)</f>
        <v>15</v>
      </c>
      <c r="B165" s="1617" t="str">
        <f>IFERROR(VLOOKUP(L158,'Statement of Marks'!$B$7:'Statement of Marks'!$IC$206,38,0),"")</f>
        <v>संस्कृत (71)</v>
      </c>
      <c r="C165" s="1618"/>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7">
        <f>IF(L158="","",IF(AND(H165="",I165=""),"",SUM(H165,I165)))</f>
        <v>46</v>
      </c>
      <c r="K165" s="679">
        <f>IFERROR(IF(L158="","",IF(AND(G165="",J165=""),"",SUM(G165,J165))),"")</f>
        <v>70</v>
      </c>
      <c r="L165" s="26">
        <f>IFERROR(VLOOKUP(L158,'Statement of Marks'!$B$7:'Statement of Marks'!$IC$206,45,0),"")</f>
        <v>45</v>
      </c>
      <c r="M165" s="26"/>
      <c r="N165" s="347">
        <f>IF(L158="","",IF(AND(L165="",M165=""),"",SUM(L165,M165)))</f>
        <v>45</v>
      </c>
      <c r="O165" s="674">
        <f>IFERROR(VLOOKUP(L158,'Statement of Marks'!$B$7:'Statement of Marks'!$IC$206,46,0),"")</f>
        <v>115</v>
      </c>
      <c r="P165" s="680"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80"/>
      <c r="R165" s="1617" t="str">
        <f>IFERROR(VLOOKUP(AB158,'Statement of Marks'!$B$7:'Statement of Marks'!$IC$206,38,0),"")</f>
        <v>संस्कृत (71)</v>
      </c>
      <c r="S165" s="1618"/>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7">
        <f>IF(AB158="","",IF(AND(X165="",Y165=""),"",SUM(X165,Y165)))</f>
        <v>46</v>
      </c>
      <c r="AA165" s="679">
        <f>IFERROR(IF(AB158="","",IF(AND(W165="",Z165=""),"",SUM(W165,Z165))),"")</f>
        <v>70</v>
      </c>
      <c r="AB165" s="26">
        <f>IFERROR(VLOOKUP(AB158,'Statement of Marks'!$B$7:'Statement of Marks'!$IC$206,45,0),"")</f>
        <v>45</v>
      </c>
      <c r="AC165" s="26"/>
      <c r="AD165" s="347">
        <f>IF(AB158="","",IF(AND(AB165="",AC165=""),"",SUM(AB165,AC165)))</f>
        <v>45</v>
      </c>
      <c r="AE165" s="674">
        <f>IFERROR(VLOOKUP(AB158,'Statement of Marks'!$B$7:'Statement of Marks'!$IC$206,46,0),"")</f>
        <v>115</v>
      </c>
      <c r="AF165" s="680"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51" customFormat="1" ht="22.5" customHeight="1">
      <c r="A166" s="33">
        <f>IF(L158="","",A165+1)</f>
        <v>16</v>
      </c>
      <c r="B166" s="1617" t="str">
        <f>'Statement of Marks'!$BB$3</f>
        <v>गणित</v>
      </c>
      <c r="C166" s="1618"/>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7">
        <f>IF(L158="","",IF(AND(H166="",I166=""),"",SUM(H166,I166)))</f>
        <v>46</v>
      </c>
      <c r="K166" s="679">
        <f>IFERROR(IF(L158="","",IF(AND(G166="",J166=""),"",SUM(G166,J166))),"")</f>
        <v>73</v>
      </c>
      <c r="L166" s="26">
        <f>IFERROR(VLOOKUP(L158,'Statement of Marks'!$B$7:'Statement of Marks'!$IC$206,59,0),"")</f>
        <v>45</v>
      </c>
      <c r="M166" s="26"/>
      <c r="N166" s="347">
        <f>IF(L158="","",IF(AND(L166="",M166=""),"",SUM(L166,M166)))</f>
        <v>45</v>
      </c>
      <c r="O166" s="674">
        <f>IFERROR(VLOOKUP(L158,'Statement of Marks'!$B$7:'Statement of Marks'!$IC$206,60,0),"")</f>
        <v>118</v>
      </c>
      <c r="P166" s="680"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80"/>
      <c r="R166" s="1617" t="str">
        <f>'Statement of Marks'!$BB$3</f>
        <v>गणित</v>
      </c>
      <c r="S166" s="1618"/>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7">
        <f>IF(AB158="","",IF(AND(X166="",Y166=""),"",SUM(X166,Y166)))</f>
        <v>20</v>
      </c>
      <c r="AA166" s="679">
        <f>IFERROR(IF(AB158="","",IF(AND(W166="",Z166=""),"",SUM(W166,Z166))),"")</f>
        <v>47</v>
      </c>
      <c r="AB166" s="26">
        <f>IFERROR(VLOOKUP(AB158,'Statement of Marks'!$B$7:'Statement of Marks'!$IC$206,59,0),"")</f>
        <v>21</v>
      </c>
      <c r="AC166" s="26"/>
      <c r="AD166" s="347">
        <f>IF(AB158="","",IF(AND(AB166="",AC166=""),"",SUM(AB166,AC166)))</f>
        <v>21</v>
      </c>
      <c r="AE166" s="674">
        <f>IFERROR(VLOOKUP(AB158,'Statement of Marks'!$B$7:'Statement of Marks'!$IC$206,60,0),"")</f>
        <v>68</v>
      </c>
      <c r="AF166" s="680"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51" customFormat="1" ht="22.5" customHeight="1">
      <c r="A167" s="33">
        <f>IF(L158="","",A166+1)</f>
        <v>17</v>
      </c>
      <c r="B167" s="1619" t="str">
        <f>'Statement of Marks'!$BP$3</f>
        <v>विज्ञान</v>
      </c>
      <c r="C167" s="1620"/>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7">
        <f>IF(L158="","",IF(AND(H167="",I167=""),"",SUM(H167,I167)))</f>
        <v>46</v>
      </c>
      <c r="K167" s="679">
        <f>IFERROR(IF(L158="","",IF(AND(G167="",J167=""),"",SUM(G167,J167))),"")</f>
        <v>70</v>
      </c>
      <c r="L167" s="26">
        <f>IFERROR(VLOOKUP(L158,'Statement of Marks'!$B$7:'Statement of Marks'!$IC$206,73,0),"")</f>
        <v>45</v>
      </c>
      <c r="M167" s="26"/>
      <c r="N167" s="347">
        <f>IF(L158="","",IF(AND(L167="",M167=""),"",SUM(L167,M167)))</f>
        <v>45</v>
      </c>
      <c r="O167" s="674">
        <f>IFERROR(VLOOKUP(L158,'Statement of Marks'!$B$7:'Statement of Marks'!$IC$206,74,0),"")</f>
        <v>115</v>
      </c>
      <c r="P167" s="680"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80"/>
      <c r="R167" s="1619" t="str">
        <f>'Statement of Marks'!$BP$3</f>
        <v>विज्ञान</v>
      </c>
      <c r="S167" s="1620"/>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7">
        <f>IF(AB158="","",IF(AND(X167="",Y167=""),"",SUM(X167,Y167)))</f>
        <v>46</v>
      </c>
      <c r="AA167" s="679">
        <f>IFERROR(IF(AB158="","",IF(AND(W167="",Z167=""),"",SUM(W167,Z167))),"")</f>
        <v>70</v>
      </c>
      <c r="AB167" s="26">
        <f>IFERROR(VLOOKUP(AB158,'Statement of Marks'!$B$7:'Statement of Marks'!$IC$206,73,0),"")</f>
        <v>45</v>
      </c>
      <c r="AC167" s="26"/>
      <c r="AD167" s="347">
        <f>IF(AB158="","",IF(AND(AB167="",AC167=""),"",SUM(AB167,AC167)))</f>
        <v>45</v>
      </c>
      <c r="AE167" s="674">
        <f>IFERROR(VLOOKUP(AB158,'Statement of Marks'!$B$7:'Statement of Marks'!$IC$206,74,0),"")</f>
        <v>115</v>
      </c>
      <c r="AF167" s="680"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51" customFormat="1" ht="22.5" customHeight="1">
      <c r="A168" s="33">
        <f>IF(L158="","",A167+1)</f>
        <v>18</v>
      </c>
      <c r="B168" s="409" t="str">
        <f>'Statement of Marks'!$CE$3</f>
        <v>सामाजिक विज्ञान</v>
      </c>
      <c r="C168" s="412"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7">
        <f>IF(L158="","",IF(AND(H168="",I168=""),"",SUM(H168,I168)))</f>
        <v>46</v>
      </c>
      <c r="K168" s="679">
        <f>IFERROR(IF(L158="","",IF(AND(G168="",J168=""),"",SUM(G168,J168))),"")</f>
        <v>70</v>
      </c>
      <c r="L168" s="26">
        <f>IFERROR(VLOOKUP(L158,'Statement of Marks'!$B$7:'Statement of Marks'!$IC$206,88,0),"")</f>
        <v>45</v>
      </c>
      <c r="M168" s="26"/>
      <c r="N168" s="347">
        <f>IF(L158="","",IF(AND(L168="",M168=""),"",SUM(L168,M168)))</f>
        <v>45</v>
      </c>
      <c r="O168" s="674">
        <f>IFERROR(VLOOKUP(L158,'Statement of Marks'!$B$7:'Statement of Marks'!$IC$206,89,0),"")</f>
        <v>115</v>
      </c>
      <c r="P168" s="680"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80"/>
      <c r="R168" s="409" t="str">
        <f>'Statement of Marks'!$CE$3</f>
        <v>सामाजिक विज्ञान</v>
      </c>
      <c r="S168" s="412"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7">
        <f>IF(AB158="","",IF(AND(X168="",Y168=""),"",SUM(X168,Y168)))</f>
        <v>46</v>
      </c>
      <c r="AA168" s="679">
        <f>IFERROR(IF(AB158="","",IF(AND(W168="",Z168=""),"",SUM(W168,Z168))),"")</f>
        <v>70</v>
      </c>
      <c r="AB168" s="26">
        <f>IFERROR(VLOOKUP(AB158,'Statement of Marks'!$B$7:'Statement of Marks'!$IC$206,88,0),"")</f>
        <v>45</v>
      </c>
      <c r="AC168" s="26"/>
      <c r="AD168" s="347">
        <f>IF(AB158="","",IF(AND(AB168="",AC168=""),"",SUM(AB168,AC168)))</f>
        <v>45</v>
      </c>
      <c r="AE168" s="674">
        <f>IFERROR(VLOOKUP(AB158,'Statement of Marks'!$B$7:'Statement of Marks'!$IC$206,89,0),"")</f>
        <v>115</v>
      </c>
      <c r="AF168" s="680"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51" customFormat="1">
      <c r="A169" s="33">
        <f>IF(L158="","",A168+1)</f>
        <v>19</v>
      </c>
      <c r="B169" s="1687" t="str">
        <f>IF('School Profile'!$D$12="Hindi","व्यावसायिक शिक्षा","Vocational Education")</f>
        <v>व्यावसायिक शिक्षा</v>
      </c>
      <c r="C169" s="1688"/>
      <c r="D169" s="1689"/>
      <c r="E169" s="1689"/>
      <c r="F169" s="1689"/>
      <c r="G169" s="1689"/>
      <c r="H169" s="1689"/>
      <c r="I169" s="1689"/>
      <c r="J169" s="1689"/>
      <c r="K169" s="1689"/>
      <c r="L169" s="1689"/>
      <c r="M169" s="1689"/>
      <c r="N169" s="1689"/>
      <c r="O169" s="1689"/>
      <c r="P169" s="1690"/>
      <c r="Q169" s="1680"/>
      <c r="R169" s="1687" t="str">
        <f>IF('School Profile'!$D$12="Hindi","व्यावसायिक शिक्षा","Vocational Education")</f>
        <v>व्यावसायिक शिक्षा</v>
      </c>
      <c r="S169" s="1688"/>
      <c r="T169" s="1689"/>
      <c r="U169" s="1689"/>
      <c r="V169" s="1689"/>
      <c r="W169" s="1689"/>
      <c r="X169" s="1689"/>
      <c r="Y169" s="1689"/>
      <c r="Z169" s="1689"/>
      <c r="AA169" s="1689"/>
      <c r="AB169" s="1689"/>
      <c r="AC169" s="1689"/>
      <c r="AD169" s="1689"/>
      <c r="AE169" s="1689"/>
      <c r="AF169" s="1690"/>
      <c r="AV169"/>
      <c r="AW169"/>
      <c r="AX169"/>
      <c r="BA169"/>
      <c r="BB169"/>
      <c r="BC169"/>
    </row>
    <row r="170" spans="1:55" s="351" customFormat="1" ht="22.5" customHeight="1">
      <c r="A170" s="33">
        <f>IF(L158="","",A169+1)</f>
        <v>20</v>
      </c>
      <c r="B170" s="411" t="str">
        <f>IFERROR(VLOOKUP(L158,'Statement of Marks'!$B$7:'Statement of Marks'!$IC$206,96,0),"")</f>
        <v/>
      </c>
      <c r="C170" s="410" t="str">
        <f>IF(OR(L158="",O168="",O170="",B170=""),"",IF(AND(O170&gt;=O168),"*",""))</f>
        <v/>
      </c>
      <c r="D170" s="397"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7" t="str">
        <f>IFERROR(VLOOKUP(L158,'Statement of Marks'!$B$7:'Statement of Marks'!$IC$206,103,0),"")</f>
        <v/>
      </c>
      <c r="K170" s="679" t="str">
        <f>IFERROR(IF(L158="","",IF(AND(G170="",J170=""),"",SUM(G170,J170))),"")</f>
        <v/>
      </c>
      <c r="L170" s="26" t="str">
        <f>IFERROR(VLOOKUP(L158,'Statement of Marks'!$B$7:'Statement of Marks'!$IC$206,105,0),"")</f>
        <v/>
      </c>
      <c r="M170" s="26" t="str">
        <f>IFERROR(VLOOKUP(L158,'Statement of Marks'!$B$7:'Statement of Marks'!$IC$206,106,0),"")</f>
        <v/>
      </c>
      <c r="N170" s="347" t="str">
        <f>IF(L158="","",IF(AND(L170="",M170=""),"",SUM(L170,M170)))</f>
        <v/>
      </c>
      <c r="O170" s="672" t="str">
        <f>IFERROR(VLOOKUP(L158,'Statement of Marks'!$B$7:'Statement of Marks'!$IC$206,108,0),"")</f>
        <v/>
      </c>
      <c r="P170" s="680"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80"/>
      <c r="R170" s="411" t="str">
        <f>IFERROR(VLOOKUP(AB158,'Statement of Marks'!$B$7:'Statement of Marks'!$IC$206,96,0),"")</f>
        <v/>
      </c>
      <c r="S170" s="410" t="str">
        <f>IF(OR(AB158="",AE168="",AE170="",R170=""),"",IF(AND(AE170&gt;=AE168),"*",""))</f>
        <v/>
      </c>
      <c r="T170" s="397"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7" t="str">
        <f>IFERROR(VLOOKUP(AB158,'Statement of Marks'!$B$7:'Statement of Marks'!$IC$206,103,0),"")</f>
        <v/>
      </c>
      <c r="AA170" s="679" t="str">
        <f>IFERROR(IF(AB158="","",IF(AND(W170="",Z170=""),"",SUM(W170,Z170))),"")</f>
        <v/>
      </c>
      <c r="AB170" s="26" t="str">
        <f>IFERROR(VLOOKUP(AB158,'Statement of Marks'!$B$7:'Statement of Marks'!$IC$206,105,0),"")</f>
        <v/>
      </c>
      <c r="AC170" s="26" t="str">
        <f>IFERROR(VLOOKUP(AB158,'Statement of Marks'!$B$7:'Statement of Marks'!$IC$206,106,0),"")</f>
        <v/>
      </c>
      <c r="AD170" s="347" t="str">
        <f>IF(AB158="","",IF(AND(AB170="",AC170=""),"",SUM(AB170,AC170)))</f>
        <v/>
      </c>
      <c r="AE170" s="672" t="str">
        <f>IFERROR(VLOOKUP(AB158,'Statement of Marks'!$B$7:'Statement of Marks'!$IC$206,108,0),"")</f>
        <v/>
      </c>
      <c r="AF170" s="680"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51" customFormat="1" ht="25.5" customHeight="1">
      <c r="A171" s="33">
        <f>IF(L158="","",A170+1)</f>
        <v>21</v>
      </c>
      <c r="B171" s="1665"/>
      <c r="C171" s="1666"/>
      <c r="D171" s="1667"/>
      <c r="E171" s="1667"/>
      <c r="F171" s="1667"/>
      <c r="G171" s="1667"/>
      <c r="H171" s="1667"/>
      <c r="I171" s="1667"/>
      <c r="J171" s="1667"/>
      <c r="K171" s="1667"/>
      <c r="L171" s="1668" t="str">
        <f>IF('School Profile'!$D$12="Hindi","महायोग :","Grand Total :")</f>
        <v>महायोग :</v>
      </c>
      <c r="M171" s="1669"/>
      <c r="N171" s="1669"/>
      <c r="O171" s="1670">
        <f>IF(OR(L158="",C156=""),"",IF(OR(B170="",O170=""),SUM(O163,O164,O165,O166,O167,O168),IF((O168/O162*100)&gt;=(O170/O162*100),SUM(O163:O168),SUM(O163,O164,O165,O166,O167,O170))))</f>
        <v>745</v>
      </c>
      <c r="P171" s="1671"/>
      <c r="Q171" s="1680"/>
      <c r="R171" s="1665"/>
      <c r="S171" s="1666"/>
      <c r="T171" s="1667"/>
      <c r="U171" s="1667"/>
      <c r="V171" s="1667"/>
      <c r="W171" s="1667"/>
      <c r="X171" s="1667"/>
      <c r="Y171" s="1667"/>
      <c r="Z171" s="1667"/>
      <c r="AA171" s="1667"/>
      <c r="AB171" s="1668" t="str">
        <f>IF('School Profile'!$D$12="Hindi","महायोग :","Grand Total :")</f>
        <v>महायोग :</v>
      </c>
      <c r="AC171" s="1669"/>
      <c r="AD171" s="1669"/>
      <c r="AE171" s="1670">
        <f>IF(OR(AB158="",S156=""),"",IF(OR(R170="",AE170=""),SUM(AE163,AE164,AE165,AE166,AE167,AE168),IF((AE168/AE162*100)&gt;=(AE170/AE162*100),SUM(AE163:AE168),SUM(AE163,AE164,AE165,AE166,AE167,AE170))))</f>
        <v>718</v>
      </c>
      <c r="AF171" s="1671"/>
      <c r="AV171"/>
      <c r="AW171"/>
      <c r="AX171"/>
      <c r="BA171"/>
      <c r="BB171"/>
      <c r="BC171"/>
    </row>
    <row r="172" spans="1:55" s="351" customFormat="1" ht="25.5" customHeight="1">
      <c r="A172" s="33">
        <f>IF(L158="","",A171+1)</f>
        <v>22</v>
      </c>
      <c r="B172" s="1644" t="str">
        <f>'Statement of Marks'!$DZ$208</f>
        <v>राजस्थान का स्वंत्रता आन्दोलन व शोर्य परम्परा</v>
      </c>
      <c r="C172" s="1645"/>
      <c r="D172" s="1646" t="s">
        <v>149</v>
      </c>
      <c r="E172" s="1647"/>
      <c r="F172" s="355">
        <f>IFERROR(VLOOKUP(L158,'Statement of Marks'!$B$7:'Statement of Marks'!$IC$206,136,0),"")</f>
        <v>184</v>
      </c>
      <c r="G172" s="356" t="s">
        <v>135</v>
      </c>
      <c r="H172" s="355" t="str">
        <f>IFERROR(VLOOKUP(L158,'Statement of Marks'!$B$7:'Statement of Marks'!$IC$206,137,0),"")</f>
        <v>A</v>
      </c>
      <c r="I172" s="1648" t="str">
        <f>'Statement of Marks'!$EL$208</f>
        <v>सूचना प्रोद्योगिकी की अवधारणा - I</v>
      </c>
      <c r="J172" s="1649"/>
      <c r="K172" s="1649"/>
      <c r="L172" s="1650"/>
      <c r="M172" s="354" t="s">
        <v>149</v>
      </c>
      <c r="N172" s="355">
        <f>IFERROR(VLOOKUP(L158,'Statement of Marks'!$B$7:'Statement of Marks'!$IC$206,152,0),"")</f>
        <v>169</v>
      </c>
      <c r="O172" s="356" t="s">
        <v>135</v>
      </c>
      <c r="P172" s="355" t="str">
        <f>IFERROR(VLOOKUP(L158,'Statement of Marks'!$B$7:'Statement of Marks'!$IC$206,153,0),"")</f>
        <v>A</v>
      </c>
      <c r="Q172" s="1680"/>
      <c r="R172" s="1644" t="str">
        <f>'Statement of Marks'!$DZ$208</f>
        <v>राजस्थान का स्वंत्रता आन्दोलन व शोर्य परम्परा</v>
      </c>
      <c r="S172" s="1645"/>
      <c r="T172" s="1646" t="s">
        <v>149</v>
      </c>
      <c r="U172" s="1647"/>
      <c r="V172" s="355">
        <f>IFERROR(VLOOKUP(AB158,'Statement of Marks'!$B$7:'Statement of Marks'!$IC$206,136,0),"")</f>
        <v>184</v>
      </c>
      <c r="W172" s="356" t="s">
        <v>135</v>
      </c>
      <c r="X172" s="355" t="str">
        <f>IFERROR(VLOOKUP(AB158,'Statement of Marks'!$B$7:'Statement of Marks'!$IC$206,137,0),"")</f>
        <v>A</v>
      </c>
      <c r="Y172" s="1648" t="str">
        <f>'Statement of Marks'!$EL$208</f>
        <v>सूचना प्रोद्योगिकी की अवधारणा - I</v>
      </c>
      <c r="Z172" s="1649"/>
      <c r="AA172" s="1649"/>
      <c r="AB172" s="1650"/>
      <c r="AC172" s="354" t="s">
        <v>149</v>
      </c>
      <c r="AD172" s="355">
        <f>IFERROR(VLOOKUP(AB158,'Statement of Marks'!$B$7:'Statement of Marks'!$IC$206,152,0),"")</f>
        <v>140</v>
      </c>
      <c r="AE172" s="356" t="s">
        <v>135</v>
      </c>
      <c r="AF172" s="355" t="str">
        <f>IFERROR(VLOOKUP(AB158,'Statement of Marks'!$B$7:'Statement of Marks'!$IC$206,153,0),"")</f>
        <v>B</v>
      </c>
      <c r="AV172"/>
      <c r="AW172"/>
      <c r="AX172"/>
      <c r="BA172"/>
      <c r="BB172"/>
      <c r="BC172"/>
    </row>
    <row r="173" spans="1:55" s="351" customFormat="1" ht="25.5" customHeight="1">
      <c r="A173" s="33">
        <f>IF(L158="","",A172+1)</f>
        <v>23</v>
      </c>
      <c r="B173" s="1651" t="str">
        <f>'Statement of Marks'!$FB$208</f>
        <v>स्वा. एवं शा. शिक्षा</v>
      </c>
      <c r="C173" s="1652"/>
      <c r="D173" s="1653" t="s">
        <v>149</v>
      </c>
      <c r="E173" s="1654"/>
      <c r="F173" s="355">
        <f>IFERROR(VLOOKUP(L158,'Statement of Marks'!$B$7:'Statement of Marks'!$IC$206,171,0),"")</f>
        <v>175</v>
      </c>
      <c r="G173" s="356" t="s">
        <v>135</v>
      </c>
      <c r="H173" s="355" t="str">
        <f>IFERROR(VLOOKUP(L158,'Statement of Marks'!$B$7:'Statement of Marks'!$IC$206,172,0),"")</f>
        <v>A</v>
      </c>
      <c r="I173" s="1655" t="str">
        <f>'Statement of Marks'!$FJ$208</f>
        <v>समाजोपयोगी उत्पादन कार्य एवं समाज सेवा</v>
      </c>
      <c r="J173" s="1656"/>
      <c r="K173" s="1656"/>
      <c r="L173" s="1657"/>
      <c r="M173" s="403" t="s">
        <v>149</v>
      </c>
      <c r="N173" s="404">
        <f>IFERROR(VLOOKUP(L158,'Statement of Marks'!$B$7:'Statement of Marks'!$IC$206,179,0),"")</f>
        <v>80</v>
      </c>
      <c r="O173" s="405" t="s">
        <v>135</v>
      </c>
      <c r="P173" s="404" t="str">
        <f>IFERROR(VLOOKUP(L158,'Statement of Marks'!$B$7:'Statement of Marks'!$IC$206,180,0),"")</f>
        <v>B</v>
      </c>
      <c r="Q173" s="1680"/>
      <c r="R173" s="1651" t="str">
        <f>'Statement of Marks'!$FB$208</f>
        <v>स्वा. एवं शा. शिक्षा</v>
      </c>
      <c r="S173" s="1652"/>
      <c r="T173" s="1653" t="s">
        <v>149</v>
      </c>
      <c r="U173" s="1654"/>
      <c r="V173" s="355">
        <f>IFERROR(VLOOKUP(AB158,'Statement of Marks'!$B$7:'Statement of Marks'!$IC$206,171,0),"")</f>
        <v>175</v>
      </c>
      <c r="W173" s="356" t="s">
        <v>135</v>
      </c>
      <c r="X173" s="355" t="str">
        <f>IFERROR(VLOOKUP(AB158,'Statement of Marks'!$B$7:'Statement of Marks'!$IC$206,172,0),"")</f>
        <v>A</v>
      </c>
      <c r="Y173" s="1655" t="str">
        <f>'Statement of Marks'!$FJ$208</f>
        <v>समाजोपयोगी उत्पादन कार्य एवं समाज सेवा</v>
      </c>
      <c r="Z173" s="1656"/>
      <c r="AA173" s="1656"/>
      <c r="AB173" s="1657"/>
      <c r="AC173" s="403" t="s">
        <v>149</v>
      </c>
      <c r="AD173" s="404">
        <f>IFERROR(VLOOKUP(AB158,'Statement of Marks'!$B$7:'Statement of Marks'!$IC$206,179,0),"")</f>
        <v>80</v>
      </c>
      <c r="AE173" s="405" t="s">
        <v>135</v>
      </c>
      <c r="AF173" s="404" t="str">
        <f>IFERROR(VLOOKUP(AB158,'Statement of Marks'!$B$7:'Statement of Marks'!$IC$206,180,0),"")</f>
        <v>B</v>
      </c>
      <c r="AV173"/>
      <c r="AW173"/>
      <c r="AX173"/>
      <c r="BA173"/>
      <c r="BB173"/>
      <c r="BC173"/>
    </row>
    <row r="174" spans="1:55" s="351" customFormat="1" ht="30" customHeight="1">
      <c r="A174" s="33">
        <f>IF(L158="","",A173+1)</f>
        <v>24</v>
      </c>
      <c r="B174" s="1658" t="str">
        <f>'Statement of Marks'!$FU$208</f>
        <v>कला शिक्षा</v>
      </c>
      <c r="C174" s="1659"/>
      <c r="D174" s="1660" t="s">
        <v>149</v>
      </c>
      <c r="E174" s="1661"/>
      <c r="F174" s="404">
        <f>IFERROR(VLOOKUP(L158,'Statement of Marks'!$B$7:'Statement of Marks'!$IC$206,187,0),"")</f>
        <v>79</v>
      </c>
      <c r="G174" s="405" t="s">
        <v>135</v>
      </c>
      <c r="H174" s="355" t="str">
        <f>IFERROR(VLOOKUP(L158,'Statement of Marks'!$B$7:'Statement of Marks'!$IC$206,188,0),"")</f>
        <v>B</v>
      </c>
      <c r="I174" s="1662" t="str">
        <f>IF('School Profile'!$D$12="Hindi","परीक्षा परिणाम घोषित दिनांक :-","Date of Result declaration :-")</f>
        <v>परीक्षा परिणाम घोषित दिनांक :-</v>
      </c>
      <c r="J174" s="1663"/>
      <c r="K174" s="1663"/>
      <c r="L174" s="1664"/>
      <c r="M174" s="1625">
        <f>IF(AND(L158=""),"",IF('School Profile'!$D$11="","",'School Profile'!$D$11))</f>
        <v>45793</v>
      </c>
      <c r="N174" s="1626"/>
      <c r="O174" s="690" t="str">
        <f>IF('School Profile'!$D$12="Hindi","श्रेणी","Division")</f>
        <v>श्रेणी</v>
      </c>
      <c r="P174" s="407" t="str">
        <f>IFERROR(VLOOKUP(L158,'Statement of Marks'!$B$7:'Statement of Marks'!$IC$206,229,0),"")</f>
        <v/>
      </c>
      <c r="Q174" s="1680"/>
      <c r="R174" s="1658" t="str">
        <f>'Statement of Marks'!$FU$208</f>
        <v>कला शिक्षा</v>
      </c>
      <c r="S174" s="1659"/>
      <c r="T174" s="1660" t="s">
        <v>149</v>
      </c>
      <c r="U174" s="1661"/>
      <c r="V174" s="404">
        <f>IFERROR(VLOOKUP(AB158,'Statement of Marks'!$B$7:'Statement of Marks'!$IC$206,187,0),"")</f>
        <v>65</v>
      </c>
      <c r="W174" s="405" t="s">
        <v>135</v>
      </c>
      <c r="X174" s="355" t="str">
        <f>IFERROR(VLOOKUP(AB158,'Statement of Marks'!$B$7:'Statement of Marks'!$IC$206,188,0),"")</f>
        <v>B</v>
      </c>
      <c r="Y174" s="1662" t="str">
        <f>IF('School Profile'!$D$12="Hindi","परीक्षा परिणाम घोषित दिनांक :-","Date of Result declaration :-")</f>
        <v>परीक्षा परिणाम घोषित दिनांक :-</v>
      </c>
      <c r="Z174" s="1663"/>
      <c r="AA174" s="1663"/>
      <c r="AB174" s="1664"/>
      <c r="AC174" s="1625">
        <f>IF(AND(AB158=""),"",IF('School Profile'!$D$11="","",'School Profile'!$D$11))</f>
        <v>45793</v>
      </c>
      <c r="AD174" s="1626"/>
      <c r="AE174" s="690" t="str">
        <f>IF('School Profile'!$D$12="Hindi","श्रेणी","Division")</f>
        <v>श्रेणी</v>
      </c>
      <c r="AF174" s="407" t="str">
        <f>IFERROR(VLOOKUP(AB158,'Statement of Marks'!$B$7:'Statement of Marks'!$IC$206,229,0),"")</f>
        <v>2nd</v>
      </c>
      <c r="AV174"/>
      <c r="AW174"/>
      <c r="AX174"/>
      <c r="BA174"/>
      <c r="BB174"/>
      <c r="BC174"/>
    </row>
    <row r="175" spans="1:55" s="351" customFormat="1" ht="29.25" customHeight="1">
      <c r="A175" s="33">
        <f>IF(L158="","",A174+1)</f>
        <v>25</v>
      </c>
      <c r="B175" s="1627" t="s">
        <v>144</v>
      </c>
      <c r="C175" s="1628"/>
      <c r="D175" s="1629" t="str">
        <f>IFERROR(VLOOKUP(L158,'Statement of Marks'!$B$7:'Statement of Marks'!$IC$206,192,0),"")</f>
        <v/>
      </c>
      <c r="E175" s="1630"/>
      <c r="F175" s="1631" t="s">
        <v>76</v>
      </c>
      <c r="G175" s="1632"/>
      <c r="H175" s="406" t="str">
        <f>IFERROR(VLOOKUP(L158,'Statement of Marks'!$B$7:'Statement of Marks'!$IC$206,193,0),"")</f>
        <v/>
      </c>
      <c r="I175" s="1633" t="s">
        <v>136</v>
      </c>
      <c r="J175" s="1634"/>
      <c r="K175" s="1635" t="str">
        <f>IFERROR(IF(OR(O171="",L158=""),"",VLOOKUP(L158,'Statement of Marks'!$B$7:'Statement of Marks'!$IC$206,230,0)),"")</f>
        <v/>
      </c>
      <c r="L175" s="1636"/>
      <c r="M175" s="1637" t="s">
        <v>145</v>
      </c>
      <c r="N175" s="1638"/>
      <c r="O175" s="1638"/>
      <c r="P175" s="408" t="str">
        <f>IFERROR(VLOOKUP(L158,'Statement of Marks'!$B$7:'Statement of Marks'!$IC$206,231,0),"")</f>
        <v/>
      </c>
      <c r="Q175" s="1680"/>
      <c r="R175" s="1627" t="s">
        <v>144</v>
      </c>
      <c r="S175" s="1628"/>
      <c r="T175" s="1629" t="str">
        <f>IFERROR(VLOOKUP(AB158,'Statement of Marks'!$B$7:'Statement of Marks'!$IC$206,192,0),"")</f>
        <v/>
      </c>
      <c r="U175" s="1630"/>
      <c r="V175" s="1631" t="s">
        <v>76</v>
      </c>
      <c r="W175" s="1632"/>
      <c r="X175" s="406" t="str">
        <f>IFERROR(VLOOKUP(AB158,'Statement of Marks'!$B$7:'Statement of Marks'!$IC$206,193,0),"")</f>
        <v/>
      </c>
      <c r="Y175" s="1633" t="s">
        <v>136</v>
      </c>
      <c r="Z175" s="1634"/>
      <c r="AA175" s="1635">
        <f>IFERROR(IF(OR(AE171="",AB158=""),"",VLOOKUP(AB158,'Statement of Marks'!$B$7:'Statement of Marks'!$IC$206,230,0)),"")</f>
        <v>59.833333333333336</v>
      </c>
      <c r="AB175" s="1636"/>
      <c r="AC175" s="1637" t="s">
        <v>145</v>
      </c>
      <c r="AD175" s="1638"/>
      <c r="AE175" s="1638"/>
      <c r="AF175" s="408">
        <f>IFERROR(VLOOKUP(AB158,'Statement of Marks'!$B$7:'Statement of Marks'!$IC$206,231,0),"")</f>
        <v>14.000000000000078</v>
      </c>
      <c r="AV175"/>
      <c r="AW175"/>
      <c r="AX175"/>
      <c r="BA175"/>
      <c r="BB175"/>
      <c r="BC175"/>
    </row>
    <row r="176" spans="1:55" s="351" customFormat="1" ht="27.75" customHeight="1">
      <c r="A176" s="33">
        <f>IF(L158="","",A175+1)</f>
        <v>26</v>
      </c>
      <c r="B176" s="1639" t="str">
        <f>IF('School Profile'!$D$12="Hindi","मुख्य परीक्षा परिणाम ","Main Exam Result")</f>
        <v xml:space="preserve">मुख्य परीक्षा परिणाम </v>
      </c>
      <c r="C176" s="1639"/>
      <c r="D176" s="1640"/>
      <c r="E176" s="1640"/>
      <c r="F176" s="1640"/>
      <c r="G176" s="1640" t="str">
        <f>IF('School Profile'!$D$12="Hindi","विशेष योग्यता प्राप्त विषय","Subjects Of Dictation Marks")</f>
        <v>विशेष योग्यता प्राप्त विषय</v>
      </c>
      <c r="H176" s="1640"/>
      <c r="I176" s="1640"/>
      <c r="J176" s="1640"/>
      <c r="K176" s="1640"/>
      <c r="L176" s="1641" t="str">
        <f>IF('School Profile'!$D$12="Hindi","पूरक विषय","Supplementary Subject")</f>
        <v>पूरक विषय</v>
      </c>
      <c r="M176" s="1642"/>
      <c r="N176" s="1642"/>
      <c r="O176" s="1642"/>
      <c r="P176" s="1643"/>
      <c r="Q176" s="1680"/>
      <c r="R176" s="1639" t="str">
        <f>IF('School Profile'!$D$12="Hindi","मुख्य परीक्षा परिणाम ","Main Exam Result")</f>
        <v xml:space="preserve">मुख्य परीक्षा परिणाम </v>
      </c>
      <c r="S176" s="1639"/>
      <c r="T176" s="1640"/>
      <c r="U176" s="1640"/>
      <c r="V176" s="1640"/>
      <c r="W176" s="1640" t="str">
        <f>IF('School Profile'!$D$12="Hindi","विशेष योग्यता प्राप्त विषय","Subjects Of Dictation Marks")</f>
        <v>विशेष योग्यता प्राप्त विषय</v>
      </c>
      <c r="X176" s="1640"/>
      <c r="Y176" s="1640"/>
      <c r="Z176" s="1640"/>
      <c r="AA176" s="1640"/>
      <c r="AB176" s="1641" t="str">
        <f>IF('School Profile'!$D$12="Hindi","पूरक विषय","Supplementary Subject")</f>
        <v>पूरक विषय</v>
      </c>
      <c r="AC176" s="1642"/>
      <c r="AD176" s="1642"/>
      <c r="AE176" s="1642"/>
      <c r="AF176" s="1643"/>
      <c r="AV176"/>
      <c r="AW176"/>
      <c r="AX176"/>
      <c r="BA176"/>
      <c r="BB176"/>
      <c r="BC176"/>
    </row>
    <row r="177" spans="1:55" s="351" customFormat="1" ht="42.75" customHeight="1">
      <c r="A177" s="33">
        <f>IF(L158="","",A176+1)</f>
        <v>27</v>
      </c>
      <c r="B177" s="1612"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12"/>
      <c r="D177" s="1612"/>
      <c r="E177" s="1612"/>
      <c r="F177" s="1612"/>
      <c r="G177" s="1613" t="str">
        <f>IFERROR(VLOOKUP(L158,'Statement of Marks'!$B$7:'Statement of Marks'!$IC$206,225,0),"")</f>
        <v xml:space="preserve"> अंग्रेजी     </v>
      </c>
      <c r="H177" s="1613"/>
      <c r="I177" s="1613"/>
      <c r="J177" s="1613"/>
      <c r="K177" s="1613"/>
      <c r="L177" s="1614" t="str">
        <f>IFERROR(VLOOKUP(L158,'Statement of Marks'!$B$7:'Statement of Marks'!$IC$206,222,0),"")</f>
        <v xml:space="preserve">      </v>
      </c>
      <c r="M177" s="1615"/>
      <c r="N177" s="1615"/>
      <c r="O177" s="1615"/>
      <c r="P177" s="1616"/>
      <c r="Q177" s="1680"/>
      <c r="R177" s="1612"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12"/>
      <c r="T177" s="1612"/>
      <c r="U177" s="1612"/>
      <c r="V177" s="1612"/>
      <c r="W177" s="1613" t="str">
        <f>IFERROR(VLOOKUP(AB158,'Statement of Marks'!$B$7:'Statement of Marks'!$IC$206,225,0),"")</f>
        <v xml:space="preserve"> अंग्रेजी     </v>
      </c>
      <c r="X177" s="1613"/>
      <c r="Y177" s="1613"/>
      <c r="Z177" s="1613"/>
      <c r="AA177" s="1613"/>
      <c r="AB177" s="1614" t="str">
        <f>IFERROR(VLOOKUP(AB158,'Statement of Marks'!$B$7:'Statement of Marks'!$IC$206,222,0),"")</f>
        <v xml:space="preserve">      </v>
      </c>
      <c r="AC177" s="1615"/>
      <c r="AD177" s="1615"/>
      <c r="AE177" s="1615"/>
      <c r="AF177" s="1616"/>
      <c r="AV177"/>
      <c r="AW177"/>
      <c r="AX177"/>
      <c r="BA177"/>
      <c r="BB177"/>
      <c r="BC177"/>
    </row>
    <row r="178" spans="1:55" s="351" customFormat="1" ht="52.5" customHeight="1">
      <c r="A178" s="33">
        <f>IF(L158="","",A177+1)</f>
        <v>28</v>
      </c>
      <c r="B178" s="1621" t="str">
        <f>IF(AND(L158=""),"",CONCATENATE("(",'School Profile'!$D$18," )"))</f>
        <v>(Yogesh )</v>
      </c>
      <c r="C178" s="1621"/>
      <c r="D178" s="1621"/>
      <c r="E178" s="1621"/>
      <c r="F178" s="1621"/>
      <c r="G178" s="1622" t="str">
        <f>IF(AND(L158=""),"",CONCATENATE("( ",'School Profile'!$D$15," )"))</f>
        <v>( Heeralal Jat )</v>
      </c>
      <c r="H178" s="1622"/>
      <c r="I178" s="1622"/>
      <c r="J178" s="1622"/>
      <c r="K178" s="1623" t="str">
        <f>IF(AND(L158=""),"",CONCATENATE("( ",'School Profile'!$D$14," )"))</f>
        <v>( USHA PALIYA )</v>
      </c>
      <c r="L178" s="1623"/>
      <c r="M178" s="1623"/>
      <c r="N178" s="1623"/>
      <c r="O178" s="1623"/>
      <c r="P178" s="1623"/>
      <c r="Q178" s="1680"/>
      <c r="R178" s="1621" t="str">
        <f>IF(AND(AB158=""),"",CONCATENATE("(",'School Profile'!$D$18," )"))</f>
        <v>(Yogesh )</v>
      </c>
      <c r="S178" s="1621"/>
      <c r="T178" s="1621"/>
      <c r="U178" s="1621"/>
      <c r="V178" s="1621"/>
      <c r="W178" s="1622" t="str">
        <f>IF(AND(AB158=""),"",CONCATENATE("( ",'School Profile'!$D$15," )"))</f>
        <v>( Heeralal Jat )</v>
      </c>
      <c r="X178" s="1622"/>
      <c r="Y178" s="1622"/>
      <c r="Z178" s="1622"/>
      <c r="AA178" s="1623" t="str">
        <f>IF(AND(AB158=""),"",CONCATENATE("( ",'School Profile'!$D$14," )"))</f>
        <v>( USHA PALIYA )</v>
      </c>
      <c r="AB178" s="1623"/>
      <c r="AC178" s="1623"/>
      <c r="AD178" s="1623"/>
      <c r="AE178" s="1623"/>
      <c r="AF178" s="1623"/>
      <c r="AV178"/>
      <c r="AW178"/>
      <c r="AX178"/>
      <c r="BA178"/>
      <c r="BB178"/>
      <c r="BC178"/>
    </row>
    <row r="179" spans="1:55" s="351" customFormat="1" ht="24.75" customHeight="1">
      <c r="A179" s="33">
        <f>IF(L158="","",A178+1)</f>
        <v>29</v>
      </c>
      <c r="B179" s="1624" t="str">
        <f>IF('School Profile'!$D$12="Hindi","हस्ताक्षर कक्षाध्यापक","Signature of the class teacher")</f>
        <v>हस्ताक्षर कक्षाध्यापक</v>
      </c>
      <c r="C179" s="1624"/>
      <c r="D179" s="1624"/>
      <c r="E179" s="1624"/>
      <c r="F179" s="1624"/>
      <c r="G179" s="1624" t="str">
        <f>IF('School Profile'!$D$12="Hindi","हस्ताक्षर परीक्षा प्रभारी","Signature of the exam. Incharge")</f>
        <v>हस्ताक्षर परीक्षा प्रभारी</v>
      </c>
      <c r="H179" s="1624"/>
      <c r="I179" s="1624"/>
      <c r="J179" s="1624"/>
      <c r="K179" s="1624" t="str">
        <f>IF('School Profile'!$D$12="Hindi","हस्ताक्षर मय सील मोहर संस्था प्रधान","Signature &amp; Seal of the Head of the Institution")</f>
        <v>हस्ताक्षर मय सील मोहर संस्था प्रधान</v>
      </c>
      <c r="L179" s="1624"/>
      <c r="M179" s="1624"/>
      <c r="N179" s="1624"/>
      <c r="O179" s="1624"/>
      <c r="P179" s="1624"/>
      <c r="Q179" s="1680"/>
      <c r="R179" s="1624" t="str">
        <f>IF('School Profile'!$D$12="Hindi","हस्ताक्षर कक्षाध्यापक","Signature of the class teacher")</f>
        <v>हस्ताक्षर कक्षाध्यापक</v>
      </c>
      <c r="S179" s="1624"/>
      <c r="T179" s="1624"/>
      <c r="U179" s="1624"/>
      <c r="V179" s="1624"/>
      <c r="W179" s="1624" t="str">
        <f>IF('School Profile'!$D$12="Hindi","हस्ताक्षर परीक्षा प्रभारी","Signature of the exam. Incharge")</f>
        <v>हस्ताक्षर परीक्षा प्रभारी</v>
      </c>
      <c r="X179" s="1624"/>
      <c r="Y179" s="1624"/>
      <c r="Z179" s="1624"/>
      <c r="AA179" s="1624" t="str">
        <f>IF('School Profile'!$D$12="Hindi","हस्ताक्षर मय सील मोहर संस्था प्रधान","Signature &amp; Seal of the Head of the Institution")</f>
        <v>हस्ताक्षर मय सील मोहर संस्था प्रधान</v>
      </c>
      <c r="AB179" s="1624"/>
      <c r="AC179" s="1624"/>
      <c r="AD179" s="1624"/>
      <c r="AE179" s="1624"/>
      <c r="AF179" s="1624"/>
      <c r="AV179"/>
      <c r="AW179"/>
      <c r="AX179"/>
      <c r="BA179"/>
      <c r="BB179"/>
      <c r="BC179"/>
    </row>
    <row r="181" spans="1:55" s="6" customFormat="1" ht="22.5" customHeight="1">
      <c r="A181" s="33">
        <f>IF(L188="","",1)</f>
        <v>1</v>
      </c>
      <c r="B181" s="28"/>
      <c r="C181" s="28"/>
      <c r="D181" s="1553" t="str">
        <f>IF('School Profile'!$D$12="Hindi","वार्षिक रिपोर्ट कार्ड ","Report Card")</f>
        <v xml:space="preserve">वार्षिक रिपोर्ट कार्ड </v>
      </c>
      <c r="E181" s="1553"/>
      <c r="F181" s="1553"/>
      <c r="G181" s="1553"/>
      <c r="H181" s="1553"/>
      <c r="I181" s="1553"/>
      <c r="J181" s="1553"/>
      <c r="K181" s="1553"/>
      <c r="L181" s="1553"/>
      <c r="M181" s="1553"/>
      <c r="N181" s="1553"/>
      <c r="O181" s="349"/>
      <c r="P181" s="349"/>
      <c r="Q181" s="1680" t="s">
        <v>77</v>
      </c>
      <c r="R181" s="28"/>
      <c r="S181" s="28"/>
      <c r="T181" s="1553" t="str">
        <f>IF('School Profile'!$D$12="Hindi","वार्षिक रिपोर्ट कार्ड ","Report Card")</f>
        <v xml:space="preserve">वार्षिक रिपोर्ट कार्ड </v>
      </c>
      <c r="U181" s="1553"/>
      <c r="V181" s="1553"/>
      <c r="W181" s="1553"/>
      <c r="X181" s="1553"/>
      <c r="Y181" s="1553"/>
      <c r="Z181" s="1553"/>
      <c r="AA181" s="1553"/>
      <c r="AB181" s="1553"/>
      <c r="AC181" s="1553"/>
      <c r="AD181" s="1553"/>
      <c r="AE181" s="349"/>
      <c r="AF181" s="349"/>
      <c r="AV181"/>
      <c r="AW181"/>
      <c r="AX181"/>
      <c r="BA181"/>
      <c r="BB181"/>
      <c r="BC181"/>
    </row>
    <row r="182" spans="1:55" s="6" customFormat="1" ht="22.5" customHeight="1">
      <c r="A182" s="33">
        <f>IF(L188="","",A181+1)</f>
        <v>2</v>
      </c>
      <c r="B182" s="28"/>
      <c r="C182" s="28"/>
      <c r="D182" s="1681" t="str">
        <f>IF('School Profile'!$D$12="Hindi","शिक्षा विभाग, राजस्थान सरकार","Education Department, Rajasthan Government")</f>
        <v>शिक्षा विभाग, राजस्थान सरकार</v>
      </c>
      <c r="E182" s="1681"/>
      <c r="F182" s="1681"/>
      <c r="G182" s="1681"/>
      <c r="H182" s="1681"/>
      <c r="I182" s="1681"/>
      <c r="J182" s="1681"/>
      <c r="K182" s="1681"/>
      <c r="L182" s="1681"/>
      <c r="M182" s="1681"/>
      <c r="N182" s="1681"/>
      <c r="O182" s="349"/>
      <c r="P182" s="349"/>
      <c r="Q182" s="1680"/>
      <c r="R182" s="28"/>
      <c r="S182" s="28"/>
      <c r="T182" s="1681" t="str">
        <f>IF('School Profile'!$D$12="Hindi","शिक्षा विभाग, राजस्थान सरकार","Education Department, Rajasthan Government")</f>
        <v>शिक्षा विभाग, राजस्थान सरकार</v>
      </c>
      <c r="U182" s="1681"/>
      <c r="V182" s="1681"/>
      <c r="W182" s="1681"/>
      <c r="X182" s="1681"/>
      <c r="Y182" s="1681"/>
      <c r="Z182" s="1681"/>
      <c r="AA182" s="1681"/>
      <c r="AB182" s="1681"/>
      <c r="AC182" s="1681"/>
      <c r="AD182" s="1681"/>
      <c r="AE182" s="349"/>
      <c r="AF182" s="349"/>
      <c r="AV182"/>
      <c r="AW182"/>
      <c r="AX182"/>
      <c r="BA182"/>
      <c r="BB182"/>
      <c r="BC182"/>
    </row>
    <row r="183" spans="1:55" s="32" customFormat="1" ht="24.95" customHeight="1">
      <c r="A183" s="34">
        <f>IF(L188="","",A182+1)</f>
        <v>3</v>
      </c>
      <c r="B183" s="1555" t="str">
        <f>IF('School Profile'!$D$12="Hindi",CONCATENATE("विद्यालय का नाम :-","  ",'School Profile'!$D$9),CONCATENATE("School Name :-","  ",'School Profile'!$D$8))</f>
        <v xml:space="preserve">विद्यालय का नाम :-  महात्मा गाँधी राजकीय विद्यालय (अंग्रेजी माध्यम) बर, पाली </v>
      </c>
      <c r="C183" s="1555"/>
      <c r="D183" s="1555"/>
      <c r="E183" s="1555"/>
      <c r="F183" s="1555"/>
      <c r="G183" s="1555"/>
      <c r="H183" s="1555"/>
      <c r="I183" s="1555"/>
      <c r="J183" s="1555"/>
      <c r="K183" s="1555"/>
      <c r="L183" s="1555"/>
      <c r="M183" s="1555"/>
      <c r="N183" s="1555"/>
      <c r="O183" s="1555"/>
      <c r="P183" s="1555"/>
      <c r="Q183" s="1680"/>
      <c r="R183" s="1555" t="str">
        <f>IF('School Profile'!$D$12="Hindi",CONCATENATE("विद्यालय का नाम :-","  ",'School Profile'!$D$9),CONCATENATE("School Name :-","  ",'School Profile'!$D$8))</f>
        <v xml:space="preserve">विद्यालय का नाम :-  महात्मा गाँधी राजकीय विद्यालय (अंग्रेजी माध्यम) बर, पाली </v>
      </c>
      <c r="S183" s="1555"/>
      <c r="T183" s="1555"/>
      <c r="U183" s="1555"/>
      <c r="V183" s="1555"/>
      <c r="W183" s="1555"/>
      <c r="X183" s="1555"/>
      <c r="Y183" s="1555"/>
      <c r="Z183" s="1555"/>
      <c r="AA183" s="1555"/>
      <c r="AB183" s="1555"/>
      <c r="AC183" s="1555"/>
      <c r="AD183" s="1555"/>
      <c r="AE183" s="1555"/>
      <c r="AF183" s="1555"/>
      <c r="AV183"/>
      <c r="AW183"/>
      <c r="AX183"/>
      <c r="BA183"/>
      <c r="BB183"/>
      <c r="BC183"/>
    </row>
    <row r="184" spans="1:55" s="32" customFormat="1" ht="24.95" customHeight="1">
      <c r="A184" s="34">
        <f>IF(L188="","",A183+1)</f>
        <v>4</v>
      </c>
      <c r="B184" s="668"/>
      <c r="C184" s="668"/>
      <c r="D184" s="668"/>
      <c r="E184" s="668"/>
      <c r="F184" s="1682"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82"/>
      <c r="H184" s="1682"/>
      <c r="I184" s="1682"/>
      <c r="J184" s="1682"/>
      <c r="K184" s="1682"/>
      <c r="L184" s="1682"/>
      <c r="M184" s="1682"/>
      <c r="N184" s="1682"/>
      <c r="O184" s="1682"/>
      <c r="P184" s="668"/>
      <c r="Q184" s="1680"/>
      <c r="R184" s="668"/>
      <c r="S184" s="668"/>
      <c r="T184" s="668"/>
      <c r="U184" s="668"/>
      <c r="V184" s="1682"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82"/>
      <c r="X184" s="1682"/>
      <c r="Y184" s="1682"/>
      <c r="Z184" s="1682"/>
      <c r="AA184" s="1682"/>
      <c r="AB184" s="1682"/>
      <c r="AC184" s="1682"/>
      <c r="AD184" s="1682"/>
      <c r="AE184" s="1682"/>
      <c r="AF184" s="668"/>
      <c r="AV184"/>
      <c r="AW184"/>
      <c r="AX184"/>
      <c r="AY184" s="6"/>
      <c r="AZ184" s="6"/>
      <c r="BA184"/>
      <c r="BB184"/>
      <c r="BC184"/>
    </row>
    <row r="185" spans="1:55" s="351" customFormat="1" ht="21" customHeight="1">
      <c r="A185" s="33">
        <f>IF(L188="","",A184+1)</f>
        <v>5</v>
      </c>
      <c r="B185" s="681" t="str">
        <f>IF('School Profile'!$D$12="Hindi","कक्षा  :-","CLASS :- ")</f>
        <v>कक्षा  :-</v>
      </c>
      <c r="C185" s="1611" t="str">
        <f>IF('Statement of Marks'!$E$3="","",'Statement of Marks'!$E$3)</f>
        <v>9th</v>
      </c>
      <c r="D185" s="1611"/>
      <c r="E185" s="820" t="str">
        <f>IFERROR(VLOOKUP(L188,'Statement of Marks'!$B$7:'Statement of Marks'!$IC$206,2,0),"")</f>
        <v>A</v>
      </c>
      <c r="F185" s="820"/>
      <c r="G185" s="820"/>
      <c r="H185" s="820"/>
      <c r="I185" s="1683" t="str">
        <f>IF('School Profile'!$D$12="Hindi","प्रवेशांक :","SR. NO. :")</f>
        <v>प्रवेशांक :</v>
      </c>
      <c r="J185" s="1683"/>
      <c r="K185" s="1683"/>
      <c r="L185" s="1684" t="str">
        <f>IFERROR(VLOOKUP(L188,'Statement of Marks'!$B$7:'Statement of Marks'!$IC$206,3,0),"")</f>
        <v/>
      </c>
      <c r="M185" s="1684"/>
      <c r="N185" s="1684"/>
      <c r="O185" s="1684"/>
      <c r="P185" s="414"/>
      <c r="Q185" s="1680"/>
      <c r="R185" s="681" t="str">
        <f>IF('School Profile'!$D$12="Hindi","कक्षा  :-","CLASS :- ")</f>
        <v>कक्षा  :-</v>
      </c>
      <c r="S185" s="1611" t="str">
        <f>IF('Statement of Marks'!$E$3="","",'Statement of Marks'!$E$3)</f>
        <v>9th</v>
      </c>
      <c r="T185" s="1611"/>
      <c r="U185" s="820" t="str">
        <f>IFERROR(VLOOKUP(AB188,'Statement of Marks'!$B$7:'Statement of Marks'!$IC$206,2,0),"")</f>
        <v>A</v>
      </c>
      <c r="V185" s="820"/>
      <c r="W185" s="820"/>
      <c r="X185" s="820"/>
      <c r="Y185" s="1683" t="str">
        <f>IF('School Profile'!$D$12="Hindi","प्रवेशांक :","SR. NO. :")</f>
        <v>प्रवेशांक :</v>
      </c>
      <c r="Z185" s="1683"/>
      <c r="AA185" s="1683"/>
      <c r="AB185" s="1684" t="str">
        <f>IFERROR(VLOOKUP(AB188,'Statement of Marks'!$B$7:'Statement of Marks'!$IC$206,3,0),"")</f>
        <v/>
      </c>
      <c r="AC185" s="1684"/>
      <c r="AD185" s="1684"/>
      <c r="AE185" s="1684"/>
      <c r="AF185" s="414"/>
      <c r="AV185"/>
      <c r="AW185" s="777" t="str">
        <f>L186</f>
        <v/>
      </c>
      <c r="AX185"/>
      <c r="BA185"/>
      <c r="BB185" s="777" t="str">
        <f>AB186</f>
        <v/>
      </c>
      <c r="BC185"/>
    </row>
    <row r="186" spans="1:55" s="351" customFormat="1" ht="21" customHeight="1">
      <c r="A186" s="33">
        <f>IF(L188="","",A185+1)</f>
        <v>6</v>
      </c>
      <c r="B186" s="683" t="str">
        <f>IF('School Profile'!$D$12="Hindi","विद्यार्थी का नाम :-","Student's Name :-")</f>
        <v>विद्यार्थी का नाम :-</v>
      </c>
      <c r="C186" s="1685" t="str">
        <f>IFERROR(VLOOKUP(L188,'Statement of Marks'!$B$7:'Statement of Marks'!$IC$206,5,0),"")</f>
        <v>VIRU</v>
      </c>
      <c r="D186" s="1685"/>
      <c r="E186" s="1685"/>
      <c r="F186" s="1685"/>
      <c r="G186" s="1685"/>
      <c r="H186" s="1685"/>
      <c r="I186" s="1683" t="str">
        <f>IF('School Profile'!$D$12="Hindi","जन्म तिथि :","Date of Birth :")</f>
        <v>जन्म तिथि :</v>
      </c>
      <c r="J186" s="1683"/>
      <c r="K186" s="1683"/>
      <c r="L186" s="1686" t="str">
        <f>IFERROR(VLOOKUP(L188,'Statement of Marks'!$B$7:'Statement of Marks'!$IC$206,4,0),"")</f>
        <v/>
      </c>
      <c r="M186" s="1686"/>
      <c r="N186" s="1686"/>
      <c r="O186" s="1686"/>
      <c r="P186" s="670"/>
      <c r="Q186" s="1680"/>
      <c r="R186" s="683" t="str">
        <f>IF('School Profile'!$D$12="Hindi","विद्यार्थी का नाम :-","Student's Name :-")</f>
        <v>विद्यार्थी का नाम :-</v>
      </c>
      <c r="S186" s="1685" t="str">
        <f>IFERROR(VLOOKUP(AB188,'Statement of Marks'!$B$7:'Statement of Marks'!$IC$206,5,0),"")</f>
        <v>ANIL</v>
      </c>
      <c r="T186" s="1685"/>
      <c r="U186" s="1685"/>
      <c r="V186" s="1685"/>
      <c r="W186" s="1685"/>
      <c r="X186" s="1685"/>
      <c r="Y186" s="1683" t="str">
        <f>IF('School Profile'!$D$12="Hindi","जन्म तिथि :","Date of Birth :")</f>
        <v>जन्म तिथि :</v>
      </c>
      <c r="Z186" s="1683"/>
      <c r="AA186" s="1683"/>
      <c r="AB186" s="1686" t="str">
        <f>IFERROR(VLOOKUP(AB188,'Statement of Marks'!$B$7:'Statement of Marks'!$IC$206,4,0),"")</f>
        <v/>
      </c>
      <c r="AC186" s="1686"/>
      <c r="AD186" s="1686"/>
      <c r="AE186" s="1686"/>
      <c r="AF186" s="670"/>
      <c r="AV186" t="e">
        <f>YEAR(AW185)</f>
        <v>#VALUE!</v>
      </c>
      <c r="AW186" t="e">
        <f>MONTH(AW185)</f>
        <v>#VALUE!</v>
      </c>
      <c r="AX186" t="e">
        <f>DAY(AW185)</f>
        <v>#VALUE!</v>
      </c>
      <c r="BA186" t="e">
        <f>YEAR(BB185)</f>
        <v>#VALUE!</v>
      </c>
      <c r="BB186" t="e">
        <f>MONTH(BB185)</f>
        <v>#VALUE!</v>
      </c>
      <c r="BC186" t="e">
        <f>DAY(BB185)</f>
        <v>#VALUE!</v>
      </c>
    </row>
    <row r="187" spans="1:55" s="351" customFormat="1" ht="21" customHeight="1">
      <c r="A187" s="33">
        <f>IF(L188="","",A186+1)</f>
        <v>7</v>
      </c>
      <c r="B187" s="683" t="str">
        <f>IF('School Profile'!$D$12="Hindi","पिता का नाम :-","Father's Name :-")</f>
        <v>पिता का नाम :-</v>
      </c>
      <c r="C187" s="1685" t="str">
        <f>IFERROR(VLOOKUP(L188,'Statement of Marks'!$B$7:'Statement of Marks'!$IC$206,6,0),"")</f>
        <v/>
      </c>
      <c r="D187" s="1685"/>
      <c r="E187" s="1685"/>
      <c r="F187" s="1685"/>
      <c r="G187" s="1685"/>
      <c r="H187" s="1685"/>
      <c r="I187" s="1683" t="str">
        <f>IF('School Profile'!$D$12="Hindi","जन्मतिथि शब्दों में :-","Date of Birth in Words :-")</f>
        <v>जन्मतिथि शब्दों में :-</v>
      </c>
      <c r="J187" s="1683"/>
      <c r="K187" s="1683"/>
      <c r="L187" s="1685" t="str">
        <f>IFERROR(IF('School Profile'!$D$12="Hindi",AW188,AW190),"")</f>
        <v/>
      </c>
      <c r="M187" s="1685"/>
      <c r="N187" s="1685"/>
      <c r="O187" s="1685"/>
      <c r="P187" s="670"/>
      <c r="Q187" s="1680"/>
      <c r="R187" s="683" t="str">
        <f>IF('School Profile'!$D$12="Hindi","पिता का नाम :-","Father's Name :-")</f>
        <v>पिता का नाम :-</v>
      </c>
      <c r="S187" s="1685" t="str">
        <f>IFERROR(VLOOKUP(AB188,'Statement of Marks'!$B$7:'Statement of Marks'!$IC$206,6,0),"")</f>
        <v/>
      </c>
      <c r="T187" s="1685"/>
      <c r="U187" s="1685"/>
      <c r="V187" s="1685"/>
      <c r="W187" s="1685"/>
      <c r="X187" s="1685"/>
      <c r="Y187" s="1683" t="str">
        <f>IF('School Profile'!$D$12="Hindi","जन्मतिथि शब्दों में :-","Date of Birth in Words :-")</f>
        <v>जन्मतिथि शब्दों में :-</v>
      </c>
      <c r="Z187" s="1683"/>
      <c r="AA187" s="1683"/>
      <c r="AB187" s="1685" t="str">
        <f>IFERROR(IF('School Profile'!$D$12="Hindi",BB188,BB190),"")</f>
        <v/>
      </c>
      <c r="AC187" s="1685"/>
      <c r="AD187" s="1685"/>
      <c r="AE187" s="1685"/>
      <c r="AF187" s="670"/>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इग्यारह",IF(AV186=2012,"दो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इ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इग्यारह",IF(BA186=2012,"दो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इ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51" customFormat="1" ht="21" customHeight="1">
      <c r="A188" s="33">
        <f>IF(L188="","",A187+1)</f>
        <v>8</v>
      </c>
      <c r="B188" s="681" t="str">
        <f>IF('School Profile'!$D$12="Hindi","माता का नाम :-","Mother's Name :-")</f>
        <v>माता का नाम :-</v>
      </c>
      <c r="C188" s="1685" t="str">
        <f>IFERROR(VLOOKUP(L188,'Statement of Marks'!$B$7:'Statement of Marks'!$IC$206,7,0),"")</f>
        <v/>
      </c>
      <c r="D188" s="1685"/>
      <c r="E188" s="1685"/>
      <c r="F188" s="1685"/>
      <c r="G188" s="1685"/>
      <c r="H188" s="1685"/>
      <c r="I188" s="1683" t="str">
        <f>IF('School Profile'!$D$12="Hindi","रोल नंबर :-","Roll No. :")</f>
        <v>रोल नंबर :-</v>
      </c>
      <c r="J188" s="1683"/>
      <c r="K188" s="1683"/>
      <c r="L188" s="1672">
        <f>IF(AB158="","",IF(AND(AB158+1&gt;$AN$11),"",AB158+1))</f>
        <v>913</v>
      </c>
      <c r="M188" s="1672"/>
      <c r="N188" s="1672"/>
      <c r="Q188" s="1680"/>
      <c r="R188" s="681" t="str">
        <f>IF('School Profile'!$D$12="Hindi","माता का नाम :-","Mother's Name :-")</f>
        <v>माता का नाम :-</v>
      </c>
      <c r="S188" s="1685" t="str">
        <f>IFERROR(VLOOKUP(AB188,'Statement of Marks'!$B$7:'Statement of Marks'!$IC$206,7,0),"")</f>
        <v/>
      </c>
      <c r="T188" s="1685"/>
      <c r="U188" s="1685"/>
      <c r="V188" s="1685"/>
      <c r="W188" s="1685"/>
      <c r="X188" s="1685"/>
      <c r="Y188" s="1683" t="str">
        <f>IF('School Profile'!$D$12="Hindi","रोल नंबर :-","Roll No. :")</f>
        <v>रोल नंबर :-</v>
      </c>
      <c r="Z188" s="1683"/>
      <c r="AA188" s="1683"/>
      <c r="AB188" s="1672">
        <f>IF(L188="","",IF(AND(L188+1&gt;$AN$11),"",L188+1))</f>
        <v>914</v>
      </c>
      <c r="AC188" s="1672"/>
      <c r="AD188" s="1672"/>
      <c r="AV188"/>
      <c r="AW188" t="e">
        <f>CONCATENATE(AX187," ",AW187," ",AV187)</f>
        <v>#VALUE!</v>
      </c>
      <c r="AX188"/>
      <c r="BA188"/>
      <c r="BB188" t="e">
        <f>CONCATENATE(BC187," ",BB187," ",BA187)</f>
        <v>#VALUE!</v>
      </c>
      <c r="BC188"/>
    </row>
    <row r="189" spans="1:55" s="351" customFormat="1" ht="9.75" customHeight="1">
      <c r="A189" s="33">
        <f>IF(L188="","",A188+1)</f>
        <v>9</v>
      </c>
      <c r="B189" s="1673"/>
      <c r="C189" s="1673"/>
      <c r="D189" s="1673"/>
      <c r="E189" s="1673"/>
      <c r="F189" s="1673"/>
      <c r="G189" s="1673"/>
      <c r="H189" s="1673"/>
      <c r="I189" s="1673"/>
      <c r="J189" s="1673"/>
      <c r="K189" s="1673"/>
      <c r="L189" s="1673"/>
      <c r="M189" s="1673"/>
      <c r="N189" s="1673"/>
      <c r="O189" s="1673"/>
      <c r="P189" s="401"/>
      <c r="Q189" s="1680"/>
      <c r="R189" s="1673"/>
      <c r="S189" s="1673"/>
      <c r="T189" s="1673"/>
      <c r="U189" s="1673"/>
      <c r="V189" s="1673"/>
      <c r="W189" s="1673"/>
      <c r="X189" s="1673"/>
      <c r="Y189" s="1673"/>
      <c r="Z189" s="1673"/>
      <c r="AA189" s="1673"/>
      <c r="AB189" s="1673"/>
      <c r="AC189" s="1673"/>
      <c r="AD189" s="1673"/>
      <c r="AE189" s="1673"/>
      <c r="AF189" s="401"/>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51" customFormat="1" ht="26.25" customHeight="1">
      <c r="A190" s="33">
        <f>IF(L188="","",A189+1)</f>
        <v>10</v>
      </c>
      <c r="B190" s="1619" t="str">
        <f>IF('School Profile'!$D$12="Hindi","विषय का नाम","Subject Name")</f>
        <v>विषय का नाम</v>
      </c>
      <c r="C190" s="1620"/>
      <c r="D190" s="1678" t="str">
        <f>IF('School Profile'!$D$12="Hindi","सामयिक परख","Seasonal Exam")</f>
        <v>सामयिक परख</v>
      </c>
      <c r="E190" s="1678"/>
      <c r="F190" s="1678"/>
      <c r="G190" s="1678"/>
      <c r="H190" s="1678" t="str">
        <f>IF('School Profile'!$D$12="Hindi","अर्द्धवार्षिक","Half Yearly")</f>
        <v>अर्द्धवार्षिक</v>
      </c>
      <c r="I190" s="1678"/>
      <c r="J190" s="1678"/>
      <c r="K190" s="1582" t="str">
        <f>IF('School Profile'!$D$12="Hindi","अर्द्ध वा. तक योग","Total Till H.Y.")</f>
        <v>अर्द्ध वा. तक योग</v>
      </c>
      <c r="L190" s="1678" t="str">
        <f>IF('School Profile'!$D$12="Hindi","वार्षिक","Yearly")</f>
        <v>वार्षिक</v>
      </c>
      <c r="M190" s="1678"/>
      <c r="N190" s="1678"/>
      <c r="O190" s="1577" t="str">
        <f>IF('School Profile'!$D$12="Hindi","विषय कुल योग ","Subject Total")</f>
        <v xml:space="preserve">विषय कुल योग </v>
      </c>
      <c r="P190" s="1679" t="str">
        <f>IF('School Profile'!$D$12="Hindi","विषय परिणाम / विषय श्रेणी","Sub. Result /  Sub. Div.")</f>
        <v>विषय परिणाम / विषय श्रेणी</v>
      </c>
      <c r="Q190" s="1680"/>
      <c r="R190" s="1619" t="str">
        <f>IF('School Profile'!$D$12="Hindi","विषय का नाम","Subject Name")</f>
        <v>विषय का नाम</v>
      </c>
      <c r="S190" s="1620"/>
      <c r="T190" s="1678" t="str">
        <f>IF('School Profile'!$D$12="Hindi","सामयिक परख","Seasonal Exam")</f>
        <v>सामयिक परख</v>
      </c>
      <c r="U190" s="1678"/>
      <c r="V190" s="1678"/>
      <c r="W190" s="1678"/>
      <c r="X190" s="1678" t="str">
        <f>IF('School Profile'!$D$12="Hindi","अर्द्धवार्षिक","Half Yearly")</f>
        <v>अर्द्धवार्षिक</v>
      </c>
      <c r="Y190" s="1678"/>
      <c r="Z190" s="1678"/>
      <c r="AA190" s="1582" t="str">
        <f>IF('School Profile'!$D$12="Hindi","अर्द्ध वा. तक योग","Total Till H.Y.")</f>
        <v>अर्द्ध वा. तक योग</v>
      </c>
      <c r="AB190" s="1678" t="str">
        <f>IF('School Profile'!$D$12="Hindi","वार्षिक","Yearly")</f>
        <v>वार्षिक</v>
      </c>
      <c r="AC190" s="1678"/>
      <c r="AD190" s="1678"/>
      <c r="AE190" s="1577" t="str">
        <f>IF('School Profile'!$D$12="Hindi","विषय कुल योग ","Subject Total")</f>
        <v xml:space="preserve">विषय कुल योग </v>
      </c>
      <c r="AF190" s="1679"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51" customFormat="1" ht="78.75" customHeight="1">
      <c r="A191" s="33">
        <f>IF(L188="","",A190+1)</f>
        <v>11</v>
      </c>
      <c r="B191" s="1674"/>
      <c r="C191" s="1675"/>
      <c r="D191" s="656" t="str">
        <f>IF('School Profile'!$D$12="Hindi","प्रथम परख ","First Test")</f>
        <v xml:space="preserve">प्रथम परख </v>
      </c>
      <c r="E191" s="656" t="str">
        <f>IF('School Profile'!$D$12="Hindi","द्वितीय परख","Second Test")</f>
        <v>द्वितीय परख</v>
      </c>
      <c r="F191" s="656" t="str">
        <f>IF('School Profile'!$D$12="Hindi","तृतीय परख","Third Test")</f>
        <v>तृतीय परख</v>
      </c>
      <c r="G191" s="657" t="str">
        <f>IF('School Profile'!$D$12="Hindi","सा. परख योग","Test Total")</f>
        <v>सा. परख योग</v>
      </c>
      <c r="H191" s="658" t="str">
        <f>IF('School Profile'!$D$12="Hindi","सैद्धान्तिक","Theoretical")</f>
        <v>सैद्धान्तिक</v>
      </c>
      <c r="I191" s="658" t="str">
        <f>IF('School Profile'!$D$12="Hindi","प्रायोगिक","Practical")</f>
        <v>प्रायोगिक</v>
      </c>
      <c r="J191" s="659" t="str">
        <f>IF('School Profile'!$D$12="Hindi","अर्द्धवार्षिक योग","H.Y.  Total")</f>
        <v>अर्द्धवार्षिक योग</v>
      </c>
      <c r="K191" s="1582"/>
      <c r="L191" s="658" t="str">
        <f>IF('School Profile'!$D$12="Hindi","सैद्धान्तिक","Theoretical")</f>
        <v>सैद्धान्तिक</v>
      </c>
      <c r="M191" s="658" t="str">
        <f>IF('School Profile'!$D$12="Hindi","प्रायोगिक","Practical")</f>
        <v>प्रायोगिक</v>
      </c>
      <c r="N191" s="659" t="str">
        <f>IF('School Profile'!$D$12="Hindi","वार्षिक योग","Yearly  Total")</f>
        <v>वार्षिक योग</v>
      </c>
      <c r="O191" s="1577"/>
      <c r="P191" s="1579"/>
      <c r="Q191" s="1680"/>
      <c r="R191" s="1674"/>
      <c r="S191" s="1675"/>
      <c r="T191" s="656" t="str">
        <f>IF('School Profile'!$D$12="Hindi","प्रथम परख ","First Test")</f>
        <v xml:space="preserve">प्रथम परख </v>
      </c>
      <c r="U191" s="656" t="str">
        <f>IF('School Profile'!$D$12="Hindi","द्वितीय परख","Second Test")</f>
        <v>द्वितीय परख</v>
      </c>
      <c r="V191" s="656" t="str">
        <f>IF('School Profile'!$D$12="Hindi","तृतीय परख","Third Test")</f>
        <v>तृतीय परख</v>
      </c>
      <c r="W191" s="657" t="str">
        <f>IF('School Profile'!$D$12="Hindi","सा. परख योग","Test Total")</f>
        <v>सा. परख योग</v>
      </c>
      <c r="X191" s="658" t="str">
        <f>IF('School Profile'!$D$12="Hindi","सैद्धान्तिक","Theoretical")</f>
        <v>सैद्धान्तिक</v>
      </c>
      <c r="Y191" s="658" t="str">
        <f>IF('School Profile'!$D$12="Hindi","प्रायोगिक","Practical")</f>
        <v>प्रायोगिक</v>
      </c>
      <c r="Z191" s="659" t="str">
        <f>IF('School Profile'!$D$12="Hindi","अर्द्धवार्षिक योग","H.Y.  Total")</f>
        <v>अर्द्धवार्षिक योग</v>
      </c>
      <c r="AA191" s="1582"/>
      <c r="AB191" s="658" t="str">
        <f>IF('School Profile'!$D$12="Hindi","सैद्धान्तिक","Theoretical")</f>
        <v>सैद्धान्तिक</v>
      </c>
      <c r="AC191" s="658" t="str">
        <f>IF('School Profile'!$D$12="Hindi","प्रायोगिक","Practical")</f>
        <v>प्रायोगिक</v>
      </c>
      <c r="AD191" s="659" t="str">
        <f>IF('School Profile'!$D$12="Hindi","वार्षिक योग","Yearly  Total")</f>
        <v>वार्षिक योग</v>
      </c>
      <c r="AE191" s="1577"/>
      <c r="AF191" s="1579"/>
      <c r="AV191"/>
      <c r="AW191"/>
      <c r="AX191"/>
      <c r="BA191"/>
      <c r="BB191"/>
      <c r="BC191"/>
    </row>
    <row r="192" spans="1:55" s="353" customFormat="1" ht="21" customHeight="1">
      <c r="A192" s="33">
        <f>IF(L188="","",A191+1)</f>
        <v>12</v>
      </c>
      <c r="B192" s="1676"/>
      <c r="C192" s="1677"/>
      <c r="D192" s="663">
        <v>10</v>
      </c>
      <c r="E192" s="663">
        <v>10</v>
      </c>
      <c r="F192" s="663">
        <v>10</v>
      </c>
      <c r="G192" s="663">
        <v>30</v>
      </c>
      <c r="H192" s="665" t="s">
        <v>252</v>
      </c>
      <c r="I192" s="661">
        <v>35</v>
      </c>
      <c r="J192" s="660">
        <v>70</v>
      </c>
      <c r="K192" s="661">
        <v>100</v>
      </c>
      <c r="L192" s="664" t="s">
        <v>253</v>
      </c>
      <c r="M192" s="663">
        <v>50</v>
      </c>
      <c r="N192" s="660">
        <v>100</v>
      </c>
      <c r="O192" s="662">
        <v>200</v>
      </c>
      <c r="P192" s="1580"/>
      <c r="Q192" s="1680"/>
      <c r="R192" s="1676"/>
      <c r="S192" s="1677"/>
      <c r="T192" s="663">
        <v>10</v>
      </c>
      <c r="U192" s="663">
        <v>10</v>
      </c>
      <c r="V192" s="663">
        <v>10</v>
      </c>
      <c r="W192" s="663">
        <v>30</v>
      </c>
      <c r="X192" s="665" t="s">
        <v>252</v>
      </c>
      <c r="Y192" s="661">
        <v>35</v>
      </c>
      <c r="Z192" s="660">
        <v>70</v>
      </c>
      <c r="AA192" s="661">
        <v>100</v>
      </c>
      <c r="AB192" s="664" t="s">
        <v>253</v>
      </c>
      <c r="AC192" s="663">
        <v>50</v>
      </c>
      <c r="AD192" s="660">
        <v>100</v>
      </c>
      <c r="AE192" s="662">
        <v>200</v>
      </c>
      <c r="AF192" s="1580"/>
      <c r="AV192"/>
      <c r="AW192"/>
      <c r="AX192"/>
      <c r="BA192"/>
      <c r="BB192"/>
      <c r="BC192"/>
    </row>
    <row r="193" spans="1:55" s="351" customFormat="1" ht="22.5" customHeight="1">
      <c r="A193" s="33">
        <f>IF(L188="","",A192+1)</f>
        <v>13</v>
      </c>
      <c r="B193" s="1617" t="str">
        <f>'Statement of Marks'!$K$3</f>
        <v>हिंदी</v>
      </c>
      <c r="C193" s="1618"/>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7" t="str">
        <f>IF(L188="","",IF(AND(H193="",I193=""),"",SUM(H193,I193)))</f>
        <v/>
      </c>
      <c r="K193" s="679">
        <f>IFERROR(IF(L188="","",IF(AND(G193="",J193=""),"",SUM(G193,J193))),"")</f>
        <v>22</v>
      </c>
      <c r="L193" s="26">
        <f>IFERROR(VLOOKUP(L188,'Statement of Marks'!$B$7:'Statement of Marks'!$IC$206,16,0),"")</f>
        <v>65</v>
      </c>
      <c r="M193" s="26"/>
      <c r="N193" s="347">
        <f>IF(L188="","",IF(AND(L193="",M193=""),"",SUM(L193,M193)))</f>
        <v>65</v>
      </c>
      <c r="O193" s="674">
        <f>IFERROR(VLOOKUP(L188,'Statement of Marks'!$B$7:'Statement of Marks'!$IC$206,17,0),"")</f>
        <v>87</v>
      </c>
      <c r="P193" s="680"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80"/>
      <c r="R193" s="1617" t="str">
        <f>'Statement of Marks'!$K$3</f>
        <v>हिंदी</v>
      </c>
      <c r="S193" s="1618"/>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7">
        <f>IF(AB188="","",IF(AND(X193="",Y193=""),"",SUM(X193,Y193)))</f>
        <v>46</v>
      </c>
      <c r="AA193" s="679">
        <f>IFERROR(IF(AB188="","",IF(AND(W193="",Z193=""),"",SUM(W193,Z193))),"")</f>
        <v>70</v>
      </c>
      <c r="AB193" s="26">
        <f>IFERROR(VLOOKUP(AB188,'Statement of Marks'!$B$7:'Statement of Marks'!$IC$206,16,0),"")</f>
        <v>65</v>
      </c>
      <c r="AC193" s="26"/>
      <c r="AD193" s="347">
        <f>IF(AB188="","",IF(AND(AB193="",AC193=""),"",SUM(AB193,AC193)))</f>
        <v>65</v>
      </c>
      <c r="AE193" s="674">
        <f>IFERROR(VLOOKUP(AB188,'Statement of Marks'!$B$7:'Statement of Marks'!$IC$206,17,0),"")</f>
        <v>135</v>
      </c>
      <c r="AF193" s="680"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51" customFormat="1" ht="22.5" customHeight="1">
      <c r="A194" s="33">
        <f>IF(L188="","",A193+1)</f>
        <v>14</v>
      </c>
      <c r="B194" s="1617" t="str">
        <f>'Statement of Marks'!$Y$3</f>
        <v>अंग्रेजी</v>
      </c>
      <c r="C194" s="1618"/>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7">
        <f>IF(L188="","",IF(AND(H194="",I194=""),"",SUM(H194,I194)))</f>
        <v>60</v>
      </c>
      <c r="K194" s="679">
        <f>IFERROR(IF(L188="","",IF(AND(G194="",J194=""),"",SUM(G194,J194))),"")</f>
        <v>86</v>
      </c>
      <c r="L194" s="26">
        <f>IFERROR(VLOOKUP(L188,'Statement of Marks'!$B$7:'Statement of Marks'!$IC$206,30,0),"")</f>
        <v>85</v>
      </c>
      <c r="M194" s="26"/>
      <c r="N194" s="347">
        <f>IF(L188="","",IF(AND(L194="",M194=""),"",SUM(L194,M194)))</f>
        <v>85</v>
      </c>
      <c r="O194" s="674">
        <f>IFERROR(VLOOKUP(L188,'Statement of Marks'!$B$7:'Statement of Marks'!$IC$206,31,0),"")</f>
        <v>171</v>
      </c>
      <c r="P194" s="680"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80"/>
      <c r="R194" s="1617" t="str">
        <f>'Statement of Marks'!$Y$3</f>
        <v>अंग्रेजी</v>
      </c>
      <c r="S194" s="1618"/>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7">
        <f>IF(AB188="","",IF(AND(X194="",Y194=""),"",SUM(X194,Y194)))</f>
        <v>60</v>
      </c>
      <c r="AA194" s="679">
        <f>IFERROR(IF(AB188="","",IF(AND(W194="",Z194=""),"",SUM(W194,Z194))),"")</f>
        <v>85</v>
      </c>
      <c r="AB194" s="26">
        <f>IFERROR(VLOOKUP(AB188,'Statement of Marks'!$B$7:'Statement of Marks'!$IC$206,30,0),"")</f>
        <v>85</v>
      </c>
      <c r="AC194" s="26"/>
      <c r="AD194" s="347">
        <f>IF(AB188="","",IF(AND(AB194="",AC194=""),"",SUM(AB194,AC194)))</f>
        <v>85</v>
      </c>
      <c r="AE194" s="674">
        <f>IFERROR(VLOOKUP(AB188,'Statement of Marks'!$B$7:'Statement of Marks'!$IC$206,31,0),"")</f>
        <v>170</v>
      </c>
      <c r="AF194" s="680"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51" customFormat="1" ht="22.5" customHeight="1">
      <c r="A195" s="33">
        <f>IF(L188="","",A194+1)</f>
        <v>15</v>
      </c>
      <c r="B195" s="1617" t="str">
        <f>IFERROR(VLOOKUP(L188,'Statement of Marks'!$B$7:'Statement of Marks'!$IC$206,38,0),"")</f>
        <v xml:space="preserve">उर्दू (72) </v>
      </c>
      <c r="C195" s="1618"/>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7">
        <f>IF(L188="","",IF(AND(H195="",I195=""),"",SUM(H195,I195)))</f>
        <v>46</v>
      </c>
      <c r="K195" s="679">
        <f>IFERROR(IF(L188="","",IF(AND(G195="",J195=""),"",SUM(G195,J195))),"")</f>
        <v>70</v>
      </c>
      <c r="L195" s="26">
        <f>IFERROR(VLOOKUP(L188,'Statement of Marks'!$B$7:'Statement of Marks'!$IC$206,45,0),"")</f>
        <v>45</v>
      </c>
      <c r="M195" s="26"/>
      <c r="N195" s="347">
        <f>IF(L188="","",IF(AND(L195="",M195=""),"",SUM(L195,M195)))</f>
        <v>45</v>
      </c>
      <c r="O195" s="674">
        <f>IFERROR(VLOOKUP(L188,'Statement of Marks'!$B$7:'Statement of Marks'!$IC$206,46,0),"")</f>
        <v>115</v>
      </c>
      <c r="P195" s="680"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80"/>
      <c r="R195" s="1617" t="str">
        <f>IFERROR(VLOOKUP(AB188,'Statement of Marks'!$B$7:'Statement of Marks'!$IC$206,38,0),"")</f>
        <v xml:space="preserve">सिंधी (74) </v>
      </c>
      <c r="S195" s="1618"/>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7">
        <f>IF(AB188="","",IF(AND(X195="",Y195=""),"",SUM(X195,Y195)))</f>
        <v>46</v>
      </c>
      <c r="AA195" s="679">
        <f>IFERROR(IF(AB188="","",IF(AND(W195="",Z195=""),"",SUM(W195,Z195))),"")</f>
        <v>71</v>
      </c>
      <c r="AB195" s="26">
        <f>IFERROR(VLOOKUP(AB188,'Statement of Marks'!$B$7:'Statement of Marks'!$IC$206,45,0),"")</f>
        <v>45</v>
      </c>
      <c r="AC195" s="26"/>
      <c r="AD195" s="347">
        <f>IF(AB188="","",IF(AND(AB195="",AC195=""),"",SUM(AB195,AC195)))</f>
        <v>45</v>
      </c>
      <c r="AE195" s="674">
        <f>IFERROR(VLOOKUP(AB188,'Statement of Marks'!$B$7:'Statement of Marks'!$IC$206,46,0),"")</f>
        <v>116</v>
      </c>
      <c r="AF195" s="680"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51" customFormat="1" ht="22.5" customHeight="1">
      <c r="A196" s="33">
        <f>IF(L188="","",A195+1)</f>
        <v>16</v>
      </c>
      <c r="B196" s="1617" t="str">
        <f>'Statement of Marks'!$BB$3</f>
        <v>गणित</v>
      </c>
      <c r="C196" s="1618"/>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7">
        <f>IF(L188="","",IF(AND(H196="",I196=""),"",SUM(H196,I196)))</f>
        <v>46</v>
      </c>
      <c r="K196" s="679">
        <f>IFERROR(IF(L188="","",IF(AND(G196="",J196=""),"",SUM(G196,J196))),"")</f>
        <v>73</v>
      </c>
      <c r="L196" s="26">
        <f>IFERROR(VLOOKUP(L188,'Statement of Marks'!$B$7:'Statement of Marks'!$IC$206,59,0),"")</f>
        <v>45</v>
      </c>
      <c r="M196" s="26"/>
      <c r="N196" s="347">
        <f>IF(L188="","",IF(AND(L196="",M196=""),"",SUM(L196,M196)))</f>
        <v>45</v>
      </c>
      <c r="O196" s="674">
        <f>IFERROR(VLOOKUP(L188,'Statement of Marks'!$B$7:'Statement of Marks'!$IC$206,60,0),"")</f>
        <v>118</v>
      </c>
      <c r="P196" s="680"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80"/>
      <c r="R196" s="1617" t="str">
        <f>'Statement of Marks'!$BB$3</f>
        <v>गणित</v>
      </c>
      <c r="S196" s="1618"/>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7">
        <f>IF(AB188="","",IF(AND(X196="",Y196=""),"",SUM(X196,Y196)))</f>
        <v>20</v>
      </c>
      <c r="AA196" s="679">
        <f>IFERROR(IF(AB188="","",IF(AND(W196="",Z196=""),"",SUM(W196,Z196))),"")</f>
        <v>45</v>
      </c>
      <c r="AB196" s="26">
        <f>IFERROR(VLOOKUP(AB188,'Statement of Marks'!$B$7:'Statement of Marks'!$IC$206,59,0),"")</f>
        <v>26</v>
      </c>
      <c r="AC196" s="26"/>
      <c r="AD196" s="347">
        <f>IF(AB188="","",IF(AND(AB196="",AC196=""),"",SUM(AB196,AC196)))</f>
        <v>26</v>
      </c>
      <c r="AE196" s="674">
        <f>IFERROR(VLOOKUP(AB188,'Statement of Marks'!$B$7:'Statement of Marks'!$IC$206,60,0),"")</f>
        <v>71</v>
      </c>
      <c r="AF196" s="680"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51" customFormat="1" ht="22.5" customHeight="1">
      <c r="A197" s="33">
        <f>IF(L188="","",A196+1)</f>
        <v>17</v>
      </c>
      <c r="B197" s="1619" t="str">
        <f>'Statement of Marks'!$BP$3</f>
        <v>विज्ञान</v>
      </c>
      <c r="C197" s="1620"/>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7">
        <f>IF(L188="","",IF(AND(H197="",I197=""),"",SUM(H197,I197)))</f>
        <v>46</v>
      </c>
      <c r="K197" s="679">
        <f>IFERROR(IF(L188="","",IF(AND(G197="",J197=""),"",SUM(G197,J197))),"")</f>
        <v>70</v>
      </c>
      <c r="L197" s="26">
        <f>IFERROR(VLOOKUP(L188,'Statement of Marks'!$B$7:'Statement of Marks'!$IC$206,73,0),"")</f>
        <v>45</v>
      </c>
      <c r="M197" s="26"/>
      <c r="N197" s="347">
        <f>IF(L188="","",IF(AND(L197="",M197=""),"",SUM(L197,M197)))</f>
        <v>45</v>
      </c>
      <c r="O197" s="674">
        <f>IFERROR(VLOOKUP(L188,'Statement of Marks'!$B$7:'Statement of Marks'!$IC$206,74,0),"")</f>
        <v>115</v>
      </c>
      <c r="P197" s="680"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80"/>
      <c r="R197" s="1619" t="str">
        <f>'Statement of Marks'!$BP$3</f>
        <v>विज्ञान</v>
      </c>
      <c r="S197" s="1620"/>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7">
        <f>IF(AB188="","",IF(AND(X197="",Y197=""),"",SUM(X197,Y197)))</f>
        <v>20</v>
      </c>
      <c r="AA197" s="679">
        <f>IFERROR(IF(AB188="","",IF(AND(W197="",Z197=""),"",SUM(W197,Z197))),"")</f>
        <v>44</v>
      </c>
      <c r="AB197" s="26">
        <f>IFERROR(VLOOKUP(AB188,'Statement of Marks'!$B$7:'Statement of Marks'!$IC$206,73,0),"")</f>
        <v>27</v>
      </c>
      <c r="AC197" s="26"/>
      <c r="AD197" s="347">
        <f>IF(AB188="","",IF(AND(AB197="",AC197=""),"",SUM(AB197,AC197)))</f>
        <v>27</v>
      </c>
      <c r="AE197" s="674">
        <f>IFERROR(VLOOKUP(AB188,'Statement of Marks'!$B$7:'Statement of Marks'!$IC$206,74,0),"")</f>
        <v>71</v>
      </c>
      <c r="AF197" s="680"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51" customFormat="1" ht="22.5" customHeight="1">
      <c r="A198" s="33">
        <f>IF(L188="","",A197+1)</f>
        <v>18</v>
      </c>
      <c r="B198" s="409" t="str">
        <f>'Statement of Marks'!$CE$3</f>
        <v>सामाजिक विज्ञान</v>
      </c>
      <c r="C198" s="412"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7">
        <f>IF(L188="","",IF(AND(H198="",I198=""),"",SUM(H198,I198)))</f>
        <v>46</v>
      </c>
      <c r="K198" s="679">
        <f>IFERROR(IF(L188="","",IF(AND(G198="",J198=""),"",SUM(G198,J198))),"")</f>
        <v>70</v>
      </c>
      <c r="L198" s="26">
        <f>IFERROR(VLOOKUP(L188,'Statement of Marks'!$B$7:'Statement of Marks'!$IC$206,88,0),"")</f>
        <v>45</v>
      </c>
      <c r="M198" s="26"/>
      <c r="N198" s="347">
        <f>IF(L188="","",IF(AND(L198="",M198=""),"",SUM(L198,M198)))</f>
        <v>45</v>
      </c>
      <c r="O198" s="674">
        <f>IFERROR(VLOOKUP(L188,'Statement of Marks'!$B$7:'Statement of Marks'!$IC$206,89,0),"")</f>
        <v>115</v>
      </c>
      <c r="P198" s="680"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80"/>
      <c r="R198" s="409" t="str">
        <f>'Statement of Marks'!$CE$3</f>
        <v>सामाजिक विज्ञान</v>
      </c>
      <c r="S198" s="412"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7">
        <f>IF(AB188="","",IF(AND(X198="",Y198=""),"",SUM(X198,Y198)))</f>
        <v>46</v>
      </c>
      <c r="AA198" s="679">
        <f>IFERROR(IF(AB188="","",IF(AND(W198="",Z198=""),"",SUM(W198,Z198))),"")</f>
        <v>70</v>
      </c>
      <c r="AB198" s="26">
        <f>IFERROR(VLOOKUP(AB188,'Statement of Marks'!$B$7:'Statement of Marks'!$IC$206,88,0),"")</f>
        <v>45</v>
      </c>
      <c r="AC198" s="26"/>
      <c r="AD198" s="347">
        <f>IF(AB188="","",IF(AND(AB198="",AC198=""),"",SUM(AB198,AC198)))</f>
        <v>45</v>
      </c>
      <c r="AE198" s="674">
        <f>IFERROR(VLOOKUP(AB188,'Statement of Marks'!$B$7:'Statement of Marks'!$IC$206,89,0),"")</f>
        <v>115</v>
      </c>
      <c r="AF198" s="680"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51" customFormat="1">
      <c r="A199" s="33">
        <f>IF(L188="","",A198+1)</f>
        <v>19</v>
      </c>
      <c r="B199" s="1687" t="str">
        <f>IF('School Profile'!$D$12="Hindi","व्यावसायिक शिक्षा","Vocational Education")</f>
        <v>व्यावसायिक शिक्षा</v>
      </c>
      <c r="C199" s="1688"/>
      <c r="D199" s="1689"/>
      <c r="E199" s="1689"/>
      <c r="F199" s="1689"/>
      <c r="G199" s="1689"/>
      <c r="H199" s="1689"/>
      <c r="I199" s="1689"/>
      <c r="J199" s="1689"/>
      <c r="K199" s="1689"/>
      <c r="L199" s="1689"/>
      <c r="M199" s="1689"/>
      <c r="N199" s="1689"/>
      <c r="O199" s="1689"/>
      <c r="P199" s="1690"/>
      <c r="Q199" s="1680"/>
      <c r="R199" s="1687" t="str">
        <f>IF('School Profile'!$D$12="Hindi","व्यावसायिक शिक्षा","Vocational Education")</f>
        <v>व्यावसायिक शिक्षा</v>
      </c>
      <c r="S199" s="1688"/>
      <c r="T199" s="1689"/>
      <c r="U199" s="1689"/>
      <c r="V199" s="1689"/>
      <c r="W199" s="1689"/>
      <c r="X199" s="1689"/>
      <c r="Y199" s="1689"/>
      <c r="Z199" s="1689"/>
      <c r="AA199" s="1689"/>
      <c r="AB199" s="1689"/>
      <c r="AC199" s="1689"/>
      <c r="AD199" s="1689"/>
      <c r="AE199" s="1689"/>
      <c r="AF199" s="1690"/>
      <c r="AV199"/>
      <c r="AW199"/>
      <c r="AX199"/>
      <c r="BA199"/>
      <c r="BB199"/>
      <c r="BC199"/>
    </row>
    <row r="200" spans="1:55" s="351" customFormat="1" ht="22.5" customHeight="1">
      <c r="A200" s="33">
        <f>IF(L188="","",A199+1)</f>
        <v>20</v>
      </c>
      <c r="B200" s="411" t="str">
        <f>IFERROR(VLOOKUP(L188,'Statement of Marks'!$B$7:'Statement of Marks'!$IC$206,96,0),"")</f>
        <v/>
      </c>
      <c r="C200" s="410" t="str">
        <f>IF(OR(L188="",O198="",O200="",B200=""),"",IF(AND(O200&gt;=O198),"*",""))</f>
        <v/>
      </c>
      <c r="D200" s="397"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7" t="str">
        <f>IFERROR(VLOOKUP(L188,'Statement of Marks'!$B$7:'Statement of Marks'!$IC$206,103,0),"")</f>
        <v/>
      </c>
      <c r="K200" s="679" t="str">
        <f>IFERROR(IF(L188="","",IF(AND(G200="",J200=""),"",SUM(G200,J200))),"")</f>
        <v/>
      </c>
      <c r="L200" s="26" t="str">
        <f>IFERROR(VLOOKUP(L188,'Statement of Marks'!$B$7:'Statement of Marks'!$IC$206,105,0),"")</f>
        <v/>
      </c>
      <c r="M200" s="26" t="str">
        <f>IFERROR(VLOOKUP(L188,'Statement of Marks'!$B$7:'Statement of Marks'!$IC$206,106,0),"")</f>
        <v/>
      </c>
      <c r="N200" s="347" t="str">
        <f>IF(L188="","",IF(AND(L200="",M200=""),"",SUM(L200,M200)))</f>
        <v/>
      </c>
      <c r="O200" s="672" t="str">
        <f>IFERROR(VLOOKUP(L188,'Statement of Marks'!$B$7:'Statement of Marks'!$IC$206,108,0),"")</f>
        <v/>
      </c>
      <c r="P200" s="680"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80"/>
      <c r="R200" s="411" t="str">
        <f>IFERROR(VLOOKUP(AB188,'Statement of Marks'!$B$7:'Statement of Marks'!$IC$206,96,0),"")</f>
        <v/>
      </c>
      <c r="S200" s="410" t="str">
        <f>IF(OR(AB188="",AE198="",AE200="",R200=""),"",IF(AND(AE200&gt;=AE198),"*",""))</f>
        <v/>
      </c>
      <c r="T200" s="397"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7" t="str">
        <f>IFERROR(VLOOKUP(AB188,'Statement of Marks'!$B$7:'Statement of Marks'!$IC$206,103,0),"")</f>
        <v/>
      </c>
      <c r="AA200" s="679" t="str">
        <f>IFERROR(IF(AB188="","",IF(AND(W200="",Z200=""),"",SUM(W200,Z200))),"")</f>
        <v/>
      </c>
      <c r="AB200" s="26" t="str">
        <f>IFERROR(VLOOKUP(AB188,'Statement of Marks'!$B$7:'Statement of Marks'!$IC$206,105,0),"")</f>
        <v/>
      </c>
      <c r="AC200" s="26" t="str">
        <f>IFERROR(VLOOKUP(AB188,'Statement of Marks'!$B$7:'Statement of Marks'!$IC$206,106,0),"")</f>
        <v/>
      </c>
      <c r="AD200" s="347" t="str">
        <f>IF(AB188="","",IF(AND(AB200="",AC200=""),"",SUM(AB200,AC200)))</f>
        <v/>
      </c>
      <c r="AE200" s="672" t="str">
        <f>IFERROR(VLOOKUP(AB188,'Statement of Marks'!$B$7:'Statement of Marks'!$IC$206,108,0),"")</f>
        <v/>
      </c>
      <c r="AF200" s="680"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51" customFormat="1" ht="25.5" customHeight="1">
      <c r="A201" s="33">
        <f>IF(L188="","",A200+1)</f>
        <v>21</v>
      </c>
      <c r="B201" s="1665"/>
      <c r="C201" s="1666"/>
      <c r="D201" s="1667"/>
      <c r="E201" s="1667"/>
      <c r="F201" s="1667"/>
      <c r="G201" s="1667"/>
      <c r="H201" s="1667"/>
      <c r="I201" s="1667"/>
      <c r="J201" s="1667"/>
      <c r="K201" s="1667"/>
      <c r="L201" s="1668" t="str">
        <f>IF('School Profile'!$D$12="Hindi","महायोग :","Grand Total :")</f>
        <v>महायोग :</v>
      </c>
      <c r="M201" s="1669"/>
      <c r="N201" s="1669"/>
      <c r="O201" s="1670">
        <f>IF(OR(L188="",C186=""),"",IF(OR(B200="",O200=""),SUM(O193,O194,O195,O196,O197,O198),IF((O198/O192*100)&gt;=(O200/O192*100),SUM(O193:O198),SUM(O193,O194,O195,O196,O197,O200))))</f>
        <v>721</v>
      </c>
      <c r="P201" s="1671"/>
      <c r="Q201" s="1680"/>
      <c r="R201" s="1665"/>
      <c r="S201" s="1666"/>
      <c r="T201" s="1667"/>
      <c r="U201" s="1667"/>
      <c r="V201" s="1667"/>
      <c r="W201" s="1667"/>
      <c r="X201" s="1667"/>
      <c r="Y201" s="1667"/>
      <c r="Z201" s="1667"/>
      <c r="AA201" s="1667"/>
      <c r="AB201" s="1668" t="str">
        <f>IF('School Profile'!$D$12="Hindi","महायोग :","Grand Total :")</f>
        <v>महायोग :</v>
      </c>
      <c r="AC201" s="1669"/>
      <c r="AD201" s="1669"/>
      <c r="AE201" s="1670">
        <f>IF(OR(AB188="",S186=""),"",IF(OR(R200="",AE200=""),SUM(AE193,AE194,AE195,AE196,AE197,AE198),IF((AE198/AE192*100)&gt;=(AE200/AE192*100),SUM(AE193:AE198),SUM(AE193,AE194,AE195,AE196,AE197,AE200))))</f>
        <v>678</v>
      </c>
      <c r="AF201" s="1671"/>
      <c r="AV201"/>
      <c r="AW201"/>
      <c r="AX201"/>
      <c r="BA201"/>
      <c r="BB201"/>
      <c r="BC201"/>
    </row>
    <row r="202" spans="1:55" s="351" customFormat="1" ht="25.5" customHeight="1">
      <c r="A202" s="33">
        <f>IF(L188="","",A201+1)</f>
        <v>22</v>
      </c>
      <c r="B202" s="1644" t="str">
        <f>'Statement of Marks'!$DZ$208</f>
        <v>राजस्थान का स्वंत्रता आन्दोलन व शोर्य परम्परा</v>
      </c>
      <c r="C202" s="1645"/>
      <c r="D202" s="1646" t="s">
        <v>149</v>
      </c>
      <c r="E202" s="1647"/>
      <c r="F202" s="355">
        <f>IFERROR(VLOOKUP(L188,'Statement of Marks'!$B$7:'Statement of Marks'!$IC$206,136,0),"")</f>
        <v>184</v>
      </c>
      <c r="G202" s="356" t="s">
        <v>135</v>
      </c>
      <c r="H202" s="355" t="str">
        <f>IFERROR(VLOOKUP(L188,'Statement of Marks'!$B$7:'Statement of Marks'!$IC$206,137,0),"")</f>
        <v>A</v>
      </c>
      <c r="I202" s="1648" t="str">
        <f>'Statement of Marks'!$EL$208</f>
        <v>सूचना प्रोद्योगिकी की अवधारणा - I</v>
      </c>
      <c r="J202" s="1649"/>
      <c r="K202" s="1649"/>
      <c r="L202" s="1650"/>
      <c r="M202" s="354" t="s">
        <v>149</v>
      </c>
      <c r="N202" s="355">
        <f>IFERROR(VLOOKUP(L188,'Statement of Marks'!$B$7:'Statement of Marks'!$IC$206,152,0),"")</f>
        <v>150</v>
      </c>
      <c r="O202" s="356" t="s">
        <v>135</v>
      </c>
      <c r="P202" s="355" t="str">
        <f>IFERROR(VLOOKUP(L188,'Statement of Marks'!$B$7:'Statement of Marks'!$IC$206,153,0),"")</f>
        <v>B</v>
      </c>
      <c r="Q202" s="1680"/>
      <c r="R202" s="1644" t="str">
        <f>'Statement of Marks'!$DZ$208</f>
        <v>राजस्थान का स्वंत्रता आन्दोलन व शोर्य परम्परा</v>
      </c>
      <c r="S202" s="1645"/>
      <c r="T202" s="1646" t="s">
        <v>149</v>
      </c>
      <c r="U202" s="1647"/>
      <c r="V202" s="355">
        <f>IFERROR(VLOOKUP(AB188,'Statement of Marks'!$B$7:'Statement of Marks'!$IC$206,136,0),"")</f>
        <v>184</v>
      </c>
      <c r="W202" s="356" t="s">
        <v>135</v>
      </c>
      <c r="X202" s="355" t="str">
        <f>IFERROR(VLOOKUP(AB188,'Statement of Marks'!$B$7:'Statement of Marks'!$IC$206,137,0),"")</f>
        <v>A</v>
      </c>
      <c r="Y202" s="1648" t="str">
        <f>'Statement of Marks'!$EL$208</f>
        <v>सूचना प्रोद्योगिकी की अवधारणा - I</v>
      </c>
      <c r="Z202" s="1649"/>
      <c r="AA202" s="1649"/>
      <c r="AB202" s="1650"/>
      <c r="AC202" s="354" t="s">
        <v>149</v>
      </c>
      <c r="AD202" s="355">
        <f>IFERROR(VLOOKUP(AB188,'Statement of Marks'!$B$7:'Statement of Marks'!$IC$206,152,0),"")</f>
        <v>173</v>
      </c>
      <c r="AE202" s="356" t="s">
        <v>135</v>
      </c>
      <c r="AF202" s="355" t="str">
        <f>IFERROR(VLOOKUP(AB188,'Statement of Marks'!$B$7:'Statement of Marks'!$IC$206,153,0),"")</f>
        <v>A</v>
      </c>
      <c r="AV202"/>
      <c r="AW202"/>
      <c r="AX202"/>
      <c r="BA202"/>
      <c r="BB202"/>
      <c r="BC202"/>
    </row>
    <row r="203" spans="1:55" s="351" customFormat="1" ht="25.5" customHeight="1">
      <c r="A203" s="33">
        <f>IF(L188="","",A202+1)</f>
        <v>23</v>
      </c>
      <c r="B203" s="1651" t="str">
        <f>'Statement of Marks'!$FB$208</f>
        <v>स्वा. एवं शा. शिक्षा</v>
      </c>
      <c r="C203" s="1652"/>
      <c r="D203" s="1653" t="s">
        <v>149</v>
      </c>
      <c r="E203" s="1654"/>
      <c r="F203" s="355">
        <f>IFERROR(VLOOKUP(L188,'Statement of Marks'!$B$7:'Statement of Marks'!$IC$206,171,0),"")</f>
        <v>177</v>
      </c>
      <c r="G203" s="356" t="s">
        <v>135</v>
      </c>
      <c r="H203" s="355" t="str">
        <f>IFERROR(VLOOKUP(L188,'Statement of Marks'!$B$7:'Statement of Marks'!$IC$206,172,0),"")</f>
        <v>A</v>
      </c>
      <c r="I203" s="1655" t="str">
        <f>'Statement of Marks'!$FJ$208</f>
        <v>समाजोपयोगी उत्पादन कार्य एवं समाज सेवा</v>
      </c>
      <c r="J203" s="1656"/>
      <c r="K203" s="1656"/>
      <c r="L203" s="1657"/>
      <c r="M203" s="403" t="s">
        <v>149</v>
      </c>
      <c r="N203" s="404">
        <f>IFERROR(VLOOKUP(L188,'Statement of Marks'!$B$7:'Statement of Marks'!$IC$206,179,0),"")</f>
        <v>80</v>
      </c>
      <c r="O203" s="405" t="s">
        <v>135</v>
      </c>
      <c r="P203" s="404" t="str">
        <f>IFERROR(VLOOKUP(L188,'Statement of Marks'!$B$7:'Statement of Marks'!$IC$206,180,0),"")</f>
        <v>B</v>
      </c>
      <c r="Q203" s="1680"/>
      <c r="R203" s="1651" t="str">
        <f>'Statement of Marks'!$FB$208</f>
        <v>स्वा. एवं शा. शिक्षा</v>
      </c>
      <c r="S203" s="1652"/>
      <c r="T203" s="1653" t="s">
        <v>149</v>
      </c>
      <c r="U203" s="1654"/>
      <c r="V203" s="355">
        <f>IFERROR(VLOOKUP(AB188,'Statement of Marks'!$B$7:'Statement of Marks'!$IC$206,171,0),"")</f>
        <v>174</v>
      </c>
      <c r="W203" s="356" t="s">
        <v>135</v>
      </c>
      <c r="X203" s="355" t="str">
        <f>IFERROR(VLOOKUP(AB188,'Statement of Marks'!$B$7:'Statement of Marks'!$IC$206,172,0),"")</f>
        <v>A</v>
      </c>
      <c r="Y203" s="1655" t="str">
        <f>'Statement of Marks'!$FJ$208</f>
        <v>समाजोपयोगी उत्पादन कार्य एवं समाज सेवा</v>
      </c>
      <c r="Z203" s="1656"/>
      <c r="AA203" s="1656"/>
      <c r="AB203" s="1657"/>
      <c r="AC203" s="403" t="s">
        <v>149</v>
      </c>
      <c r="AD203" s="404">
        <f>IFERROR(VLOOKUP(AB188,'Statement of Marks'!$B$7:'Statement of Marks'!$IC$206,179,0),"")</f>
        <v>80</v>
      </c>
      <c r="AE203" s="405" t="s">
        <v>135</v>
      </c>
      <c r="AF203" s="404" t="str">
        <f>IFERROR(VLOOKUP(AB188,'Statement of Marks'!$B$7:'Statement of Marks'!$IC$206,180,0),"")</f>
        <v>B</v>
      </c>
      <c r="AV203"/>
      <c r="AW203"/>
      <c r="AX203"/>
      <c r="BA203"/>
      <c r="BB203"/>
      <c r="BC203"/>
    </row>
    <row r="204" spans="1:55" s="351" customFormat="1" ht="30" customHeight="1">
      <c r="A204" s="33">
        <f>IF(L188="","",A203+1)</f>
        <v>24</v>
      </c>
      <c r="B204" s="1658" t="str">
        <f>'Statement of Marks'!$FU$208</f>
        <v>कला शिक्षा</v>
      </c>
      <c r="C204" s="1659"/>
      <c r="D204" s="1660" t="s">
        <v>149</v>
      </c>
      <c r="E204" s="1661"/>
      <c r="F204" s="404">
        <f>IFERROR(VLOOKUP(L188,'Statement of Marks'!$B$7:'Statement of Marks'!$IC$206,187,0),"")</f>
        <v>66</v>
      </c>
      <c r="G204" s="405" t="s">
        <v>135</v>
      </c>
      <c r="H204" s="355" t="str">
        <f>IFERROR(VLOOKUP(L188,'Statement of Marks'!$B$7:'Statement of Marks'!$IC$206,188,0),"")</f>
        <v>B</v>
      </c>
      <c r="I204" s="1662" t="str">
        <f>IF('School Profile'!$D$12="Hindi","परीक्षा परिणाम घोषित दिनांक :-","Date of Result declaration :-")</f>
        <v>परीक्षा परिणाम घोषित दिनांक :-</v>
      </c>
      <c r="J204" s="1663"/>
      <c r="K204" s="1663"/>
      <c r="L204" s="1664"/>
      <c r="M204" s="1625">
        <f>IF(AND(L188=""),"",IF('School Profile'!$D$11="","",'School Profile'!$D$11))</f>
        <v>45793</v>
      </c>
      <c r="N204" s="1626"/>
      <c r="O204" s="690" t="str">
        <f>IF('School Profile'!$D$12="Hindi","श्रेणी","Division")</f>
        <v>श्रेणी</v>
      </c>
      <c r="P204" s="407" t="str">
        <f>IFERROR(VLOOKUP(L188,'Statement of Marks'!$B$7:'Statement of Marks'!$IC$206,229,0),"")</f>
        <v>1st</v>
      </c>
      <c r="Q204" s="1680"/>
      <c r="R204" s="1658" t="str">
        <f>'Statement of Marks'!$FU$208</f>
        <v>कला शिक्षा</v>
      </c>
      <c r="S204" s="1659"/>
      <c r="T204" s="1660" t="s">
        <v>149</v>
      </c>
      <c r="U204" s="1661"/>
      <c r="V204" s="404">
        <f>IFERROR(VLOOKUP(AB188,'Statement of Marks'!$B$7:'Statement of Marks'!$IC$206,187,0),"")</f>
        <v>69</v>
      </c>
      <c r="W204" s="405" t="s">
        <v>135</v>
      </c>
      <c r="X204" s="355" t="str">
        <f>IFERROR(VLOOKUP(AB188,'Statement of Marks'!$B$7:'Statement of Marks'!$IC$206,188,0),"")</f>
        <v>B</v>
      </c>
      <c r="Y204" s="1662" t="str">
        <f>IF('School Profile'!$D$12="Hindi","परीक्षा परिणाम घोषित दिनांक :-","Date of Result declaration :-")</f>
        <v>परीक्षा परिणाम घोषित दिनांक :-</v>
      </c>
      <c r="Z204" s="1663"/>
      <c r="AA204" s="1663"/>
      <c r="AB204" s="1664"/>
      <c r="AC204" s="1625">
        <f>IF(AND(AB188=""),"",IF('School Profile'!$D$11="","",'School Profile'!$D$11))</f>
        <v>45793</v>
      </c>
      <c r="AD204" s="1626"/>
      <c r="AE204" s="690" t="str">
        <f>IF('School Profile'!$D$12="Hindi","श्रेणी","Division")</f>
        <v>श्रेणी</v>
      </c>
      <c r="AF204" s="407" t="str">
        <f>IFERROR(VLOOKUP(AB188,'Statement of Marks'!$B$7:'Statement of Marks'!$IC$206,229,0),"")</f>
        <v>2nd</v>
      </c>
      <c r="AV204"/>
      <c r="AW204"/>
      <c r="AX204"/>
      <c r="BA204"/>
      <c r="BB204"/>
      <c r="BC204"/>
    </row>
    <row r="205" spans="1:55" s="351" customFormat="1" ht="29.25" customHeight="1">
      <c r="A205" s="33">
        <f>IF(L188="","",A204+1)</f>
        <v>25</v>
      </c>
      <c r="B205" s="1627" t="s">
        <v>144</v>
      </c>
      <c r="C205" s="1628"/>
      <c r="D205" s="1629" t="str">
        <f>IFERROR(VLOOKUP(L188,'Statement of Marks'!$B$7:'Statement of Marks'!$IC$206,192,0),"")</f>
        <v/>
      </c>
      <c r="E205" s="1630"/>
      <c r="F205" s="1631" t="s">
        <v>76</v>
      </c>
      <c r="G205" s="1632"/>
      <c r="H205" s="406" t="str">
        <f>IFERROR(VLOOKUP(L188,'Statement of Marks'!$B$7:'Statement of Marks'!$IC$206,193,0),"")</f>
        <v/>
      </c>
      <c r="I205" s="1633" t="s">
        <v>136</v>
      </c>
      <c r="J205" s="1634"/>
      <c r="K205" s="1635">
        <f>IFERROR(IF(OR(O201="",L188=""),"",VLOOKUP(L188,'Statement of Marks'!$B$7:'Statement of Marks'!$IC$206,230,0)),"")</f>
        <v>60.083333333333336</v>
      </c>
      <c r="L205" s="1636"/>
      <c r="M205" s="1637" t="s">
        <v>145</v>
      </c>
      <c r="N205" s="1638"/>
      <c r="O205" s="1638"/>
      <c r="P205" s="408">
        <f>IFERROR(VLOOKUP(L188,'Statement of Marks'!$B$7:'Statement of Marks'!$IC$206,231,0),"")</f>
        <v>13.000000000000078</v>
      </c>
      <c r="Q205" s="1680"/>
      <c r="R205" s="1627" t="s">
        <v>144</v>
      </c>
      <c r="S205" s="1628"/>
      <c r="T205" s="1629" t="str">
        <f>IFERROR(VLOOKUP(AB188,'Statement of Marks'!$B$7:'Statement of Marks'!$IC$206,192,0),"")</f>
        <v/>
      </c>
      <c r="U205" s="1630"/>
      <c r="V205" s="1631" t="s">
        <v>76</v>
      </c>
      <c r="W205" s="1632"/>
      <c r="X205" s="406" t="str">
        <f>IFERROR(VLOOKUP(AB188,'Statement of Marks'!$B$7:'Statement of Marks'!$IC$206,193,0),"")</f>
        <v/>
      </c>
      <c r="Y205" s="1633" t="s">
        <v>136</v>
      </c>
      <c r="Z205" s="1634"/>
      <c r="AA205" s="1635">
        <f>IFERROR(IF(OR(AE201="",AB188=""),"",VLOOKUP(AB188,'Statement of Marks'!$B$7:'Statement of Marks'!$IC$206,230,0)),"")</f>
        <v>56.5</v>
      </c>
      <c r="AB205" s="1636"/>
      <c r="AC205" s="1637" t="s">
        <v>145</v>
      </c>
      <c r="AD205" s="1638"/>
      <c r="AE205" s="1638"/>
      <c r="AF205" s="408">
        <f>IFERROR(VLOOKUP(AB188,'Statement of Marks'!$B$7:'Statement of Marks'!$IC$206,231,0),"")</f>
        <v>16.999999999999773</v>
      </c>
      <c r="AV205"/>
      <c r="AW205"/>
      <c r="AX205"/>
      <c r="BA205"/>
      <c r="BB205"/>
      <c r="BC205"/>
    </row>
    <row r="206" spans="1:55" s="351" customFormat="1" ht="27.75" customHeight="1">
      <c r="A206" s="33">
        <f>IF(L188="","",A205+1)</f>
        <v>26</v>
      </c>
      <c r="B206" s="1639" t="str">
        <f>IF('School Profile'!$D$12="Hindi","मुख्य परीक्षा परिणाम ","Main Exam Result")</f>
        <v xml:space="preserve">मुख्य परीक्षा परिणाम </v>
      </c>
      <c r="C206" s="1639"/>
      <c r="D206" s="1640"/>
      <c r="E206" s="1640"/>
      <c r="F206" s="1640"/>
      <c r="G206" s="1640" t="str">
        <f>IF('School Profile'!$D$12="Hindi","विशेष योग्यता प्राप्त विषय","Subjects Of Dictation Marks")</f>
        <v>विशेष योग्यता प्राप्त विषय</v>
      </c>
      <c r="H206" s="1640"/>
      <c r="I206" s="1640"/>
      <c r="J206" s="1640"/>
      <c r="K206" s="1640"/>
      <c r="L206" s="1641" t="str">
        <f>IF('School Profile'!$D$12="Hindi","पूरक विषय","Supplementary Subject")</f>
        <v>पूरक विषय</v>
      </c>
      <c r="M206" s="1642"/>
      <c r="N206" s="1642"/>
      <c r="O206" s="1642"/>
      <c r="P206" s="1643"/>
      <c r="Q206" s="1680"/>
      <c r="R206" s="1639" t="str">
        <f>IF('School Profile'!$D$12="Hindi","मुख्य परीक्षा परिणाम ","Main Exam Result")</f>
        <v xml:space="preserve">मुख्य परीक्षा परिणाम </v>
      </c>
      <c r="S206" s="1639"/>
      <c r="T206" s="1640"/>
      <c r="U206" s="1640"/>
      <c r="V206" s="1640"/>
      <c r="W206" s="1640" t="str">
        <f>IF('School Profile'!$D$12="Hindi","विशेष योग्यता प्राप्त विषय","Subjects Of Dictation Marks")</f>
        <v>विशेष योग्यता प्राप्त विषय</v>
      </c>
      <c r="X206" s="1640"/>
      <c r="Y206" s="1640"/>
      <c r="Z206" s="1640"/>
      <c r="AA206" s="1640"/>
      <c r="AB206" s="1641" t="str">
        <f>IF('School Profile'!$D$12="Hindi","पूरक विषय","Supplementary Subject")</f>
        <v>पूरक विषय</v>
      </c>
      <c r="AC206" s="1642"/>
      <c r="AD206" s="1642"/>
      <c r="AE206" s="1642"/>
      <c r="AF206" s="1643"/>
      <c r="AV206"/>
      <c r="AW206"/>
      <c r="AX206"/>
      <c r="BA206"/>
      <c r="BB206"/>
      <c r="BC206"/>
    </row>
    <row r="207" spans="1:55" s="351" customFormat="1" ht="42.75" customHeight="1">
      <c r="A207" s="33">
        <f>IF(L188="","",A206+1)</f>
        <v>27</v>
      </c>
      <c r="B207" s="1612"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12"/>
      <c r="D207" s="1612"/>
      <c r="E207" s="1612"/>
      <c r="F207" s="1612"/>
      <c r="G207" s="1613" t="str">
        <f>IFERROR(VLOOKUP(L188,'Statement of Marks'!$B$7:'Statement of Marks'!$IC$206,225,0),"")</f>
        <v xml:space="preserve"> अंग्रेजी     </v>
      </c>
      <c r="H207" s="1613"/>
      <c r="I207" s="1613"/>
      <c r="J207" s="1613"/>
      <c r="K207" s="1613"/>
      <c r="L207" s="1614" t="str">
        <f>IFERROR(VLOOKUP(L188,'Statement of Marks'!$B$7:'Statement of Marks'!$IC$206,222,0),"")</f>
        <v xml:space="preserve">      </v>
      </c>
      <c r="M207" s="1615"/>
      <c r="N207" s="1615"/>
      <c r="O207" s="1615"/>
      <c r="P207" s="1616"/>
      <c r="Q207" s="1680"/>
      <c r="R207" s="1612"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12"/>
      <c r="T207" s="1612"/>
      <c r="U207" s="1612"/>
      <c r="V207" s="1612"/>
      <c r="W207" s="1613" t="str">
        <f>IFERROR(VLOOKUP(AB188,'Statement of Marks'!$B$7:'Statement of Marks'!$IC$206,225,0),"")</f>
        <v xml:space="preserve"> अंग्रेजी     </v>
      </c>
      <c r="X207" s="1613"/>
      <c r="Y207" s="1613"/>
      <c r="Z207" s="1613"/>
      <c r="AA207" s="1613"/>
      <c r="AB207" s="1614" t="str">
        <f>IFERROR(VLOOKUP(AB188,'Statement of Marks'!$B$7:'Statement of Marks'!$IC$206,222,0),"")</f>
        <v xml:space="preserve">      </v>
      </c>
      <c r="AC207" s="1615"/>
      <c r="AD207" s="1615"/>
      <c r="AE207" s="1615"/>
      <c r="AF207" s="1616"/>
      <c r="AV207"/>
      <c r="AW207"/>
      <c r="AX207"/>
      <c r="BA207"/>
      <c r="BB207"/>
      <c r="BC207"/>
    </row>
    <row r="208" spans="1:55" s="351" customFormat="1" ht="52.5" customHeight="1">
      <c r="A208" s="33">
        <f>IF(L188="","",A207+1)</f>
        <v>28</v>
      </c>
      <c r="B208" s="1621" t="str">
        <f>IF(AND(L188=""),"",CONCATENATE("(",'School Profile'!$D$18," )"))</f>
        <v>(Yogesh )</v>
      </c>
      <c r="C208" s="1621"/>
      <c r="D208" s="1621"/>
      <c r="E208" s="1621"/>
      <c r="F208" s="1621"/>
      <c r="G208" s="1622" t="str">
        <f>IF(AND(L188=""),"",CONCATENATE("( ",'School Profile'!$D$15," )"))</f>
        <v>( Heeralal Jat )</v>
      </c>
      <c r="H208" s="1622"/>
      <c r="I208" s="1622"/>
      <c r="J208" s="1622"/>
      <c r="K208" s="1623" t="str">
        <f>IF(AND(L188=""),"",CONCATENATE("( ",'School Profile'!$D$14," )"))</f>
        <v>( USHA PALIYA )</v>
      </c>
      <c r="L208" s="1623"/>
      <c r="M208" s="1623"/>
      <c r="N208" s="1623"/>
      <c r="O208" s="1623"/>
      <c r="P208" s="1623"/>
      <c r="Q208" s="1680"/>
      <c r="R208" s="1621" t="str">
        <f>IF(AND(AB188=""),"",CONCATENATE("(",'School Profile'!$D$18," )"))</f>
        <v>(Yogesh )</v>
      </c>
      <c r="S208" s="1621"/>
      <c r="T208" s="1621"/>
      <c r="U208" s="1621"/>
      <c r="V208" s="1621"/>
      <c r="W208" s="1622" t="str">
        <f>IF(AND(AB188=""),"",CONCATENATE("( ",'School Profile'!$D$15," )"))</f>
        <v>( Heeralal Jat )</v>
      </c>
      <c r="X208" s="1622"/>
      <c r="Y208" s="1622"/>
      <c r="Z208" s="1622"/>
      <c r="AA208" s="1623" t="str">
        <f>IF(AND(AB188=""),"",CONCATENATE("( ",'School Profile'!$D$14," )"))</f>
        <v>( USHA PALIYA )</v>
      </c>
      <c r="AB208" s="1623"/>
      <c r="AC208" s="1623"/>
      <c r="AD208" s="1623"/>
      <c r="AE208" s="1623"/>
      <c r="AF208" s="1623"/>
      <c r="AV208"/>
      <c r="AW208"/>
      <c r="AX208"/>
      <c r="BA208"/>
      <c r="BB208"/>
      <c r="BC208"/>
    </row>
    <row r="209" spans="1:55" s="351" customFormat="1" ht="24.75" customHeight="1">
      <c r="A209" s="33">
        <f>IF(L188="","",A208+1)</f>
        <v>29</v>
      </c>
      <c r="B209" s="1624" t="str">
        <f>IF('School Profile'!$D$12="Hindi","हस्ताक्षर कक्षाध्यापक","Signature of the class teacher")</f>
        <v>हस्ताक्षर कक्षाध्यापक</v>
      </c>
      <c r="C209" s="1624"/>
      <c r="D209" s="1624"/>
      <c r="E209" s="1624"/>
      <c r="F209" s="1624"/>
      <c r="G209" s="1624" t="str">
        <f>IF('School Profile'!$D$12="Hindi","हस्ताक्षर परीक्षा प्रभारी","Signature of the exam. Incharge")</f>
        <v>हस्ताक्षर परीक्षा प्रभारी</v>
      </c>
      <c r="H209" s="1624"/>
      <c r="I209" s="1624"/>
      <c r="J209" s="1624"/>
      <c r="K209" s="1624" t="str">
        <f>IF('School Profile'!$D$12="Hindi","हस्ताक्षर मय सील मोहर संस्था प्रधान","Signature &amp; Seal of the Head of the Institution")</f>
        <v>हस्ताक्षर मय सील मोहर संस्था प्रधान</v>
      </c>
      <c r="L209" s="1624"/>
      <c r="M209" s="1624"/>
      <c r="N209" s="1624"/>
      <c r="O209" s="1624"/>
      <c r="P209" s="1624"/>
      <c r="Q209" s="1680"/>
      <c r="R209" s="1624" t="str">
        <f>IF('School Profile'!$D$12="Hindi","हस्ताक्षर कक्षाध्यापक","Signature of the class teacher")</f>
        <v>हस्ताक्षर कक्षाध्यापक</v>
      </c>
      <c r="S209" s="1624"/>
      <c r="T209" s="1624"/>
      <c r="U209" s="1624"/>
      <c r="V209" s="1624"/>
      <c r="W209" s="1624" t="str">
        <f>IF('School Profile'!$D$12="Hindi","हस्ताक्षर परीक्षा प्रभारी","Signature of the exam. Incharge")</f>
        <v>हस्ताक्षर परीक्षा प्रभारी</v>
      </c>
      <c r="X209" s="1624"/>
      <c r="Y209" s="1624"/>
      <c r="Z209" s="1624"/>
      <c r="AA209" s="1624" t="str">
        <f>IF('School Profile'!$D$12="Hindi","हस्ताक्षर मय सील मोहर संस्था प्रधान","Signature &amp; Seal of the Head of the Institution")</f>
        <v>हस्ताक्षर मय सील मोहर संस्था प्रधान</v>
      </c>
      <c r="AB209" s="1624"/>
      <c r="AC209" s="1624"/>
      <c r="AD209" s="1624"/>
      <c r="AE209" s="1624"/>
      <c r="AF209" s="1624"/>
      <c r="AV209"/>
      <c r="AW209"/>
      <c r="AX209"/>
      <c r="BA209"/>
      <c r="BB209"/>
      <c r="BC209"/>
    </row>
    <row r="211" spans="1:55" s="6" customFormat="1" ht="22.5" customHeight="1">
      <c r="A211" s="33">
        <f>IF(L218="","",1)</f>
        <v>1</v>
      </c>
      <c r="B211" s="28"/>
      <c r="C211" s="28"/>
      <c r="D211" s="1553" t="str">
        <f>IF('School Profile'!$D$12="Hindi","वार्षिक रिपोर्ट कार्ड ","Report Card")</f>
        <v xml:space="preserve">वार्षिक रिपोर्ट कार्ड </v>
      </c>
      <c r="E211" s="1553"/>
      <c r="F211" s="1553"/>
      <c r="G211" s="1553"/>
      <c r="H211" s="1553"/>
      <c r="I211" s="1553"/>
      <c r="J211" s="1553"/>
      <c r="K211" s="1553"/>
      <c r="L211" s="1553"/>
      <c r="M211" s="1553"/>
      <c r="N211" s="1553"/>
      <c r="O211" s="349"/>
      <c r="P211" s="349"/>
      <c r="Q211" s="1680" t="s">
        <v>77</v>
      </c>
      <c r="R211" s="28"/>
      <c r="S211" s="28"/>
      <c r="T211" s="1553" t="str">
        <f>IF('School Profile'!$D$12="Hindi","वार्षिक रिपोर्ट कार्ड ","Report Card")</f>
        <v xml:space="preserve">वार्षिक रिपोर्ट कार्ड </v>
      </c>
      <c r="U211" s="1553"/>
      <c r="V211" s="1553"/>
      <c r="W211" s="1553"/>
      <c r="X211" s="1553"/>
      <c r="Y211" s="1553"/>
      <c r="Z211" s="1553"/>
      <c r="AA211" s="1553"/>
      <c r="AB211" s="1553"/>
      <c r="AC211" s="1553"/>
      <c r="AD211" s="1553"/>
      <c r="AE211" s="349"/>
      <c r="AF211" s="349"/>
      <c r="AV211"/>
      <c r="AW211"/>
      <c r="AX211"/>
      <c r="BA211"/>
      <c r="BB211"/>
      <c r="BC211"/>
    </row>
    <row r="212" spans="1:55" s="6" customFormat="1" ht="22.5" customHeight="1">
      <c r="A212" s="33">
        <f>IF(L218="","",A211+1)</f>
        <v>2</v>
      </c>
      <c r="B212" s="28"/>
      <c r="C212" s="28"/>
      <c r="D212" s="1681" t="str">
        <f>IF('School Profile'!$D$12="Hindi","शिक्षा विभाग, राजस्थान सरकार","Education Department, Rajasthan Government")</f>
        <v>शिक्षा विभाग, राजस्थान सरकार</v>
      </c>
      <c r="E212" s="1681"/>
      <c r="F212" s="1681"/>
      <c r="G212" s="1681"/>
      <c r="H212" s="1681"/>
      <c r="I212" s="1681"/>
      <c r="J212" s="1681"/>
      <c r="K212" s="1681"/>
      <c r="L212" s="1681"/>
      <c r="M212" s="1681"/>
      <c r="N212" s="1681"/>
      <c r="O212" s="349"/>
      <c r="P212" s="349"/>
      <c r="Q212" s="1680"/>
      <c r="R212" s="28"/>
      <c r="S212" s="28"/>
      <c r="T212" s="1681" t="str">
        <f>IF('School Profile'!$D$12="Hindi","शिक्षा विभाग, राजस्थान सरकार","Education Department, Rajasthan Government")</f>
        <v>शिक्षा विभाग, राजस्थान सरकार</v>
      </c>
      <c r="U212" s="1681"/>
      <c r="V212" s="1681"/>
      <c r="W212" s="1681"/>
      <c r="X212" s="1681"/>
      <c r="Y212" s="1681"/>
      <c r="Z212" s="1681"/>
      <c r="AA212" s="1681"/>
      <c r="AB212" s="1681"/>
      <c r="AC212" s="1681"/>
      <c r="AD212" s="1681"/>
      <c r="AE212" s="349"/>
      <c r="AF212" s="349"/>
      <c r="AV212"/>
      <c r="AW212"/>
      <c r="AX212"/>
      <c r="BA212"/>
      <c r="BB212"/>
      <c r="BC212"/>
    </row>
    <row r="213" spans="1:55" s="32" customFormat="1" ht="24.95" customHeight="1">
      <c r="A213" s="34">
        <f>IF(L218="","",A212+1)</f>
        <v>3</v>
      </c>
      <c r="B213" s="1555" t="str">
        <f>IF('School Profile'!$D$12="Hindi",CONCATENATE("विद्यालय का नाम :-","  ",'School Profile'!$D$9),CONCATENATE("School Name :-","  ",'School Profile'!$D$8))</f>
        <v xml:space="preserve">विद्यालय का नाम :-  महात्मा गाँधी राजकीय विद्यालय (अंग्रेजी माध्यम) बर, पाली </v>
      </c>
      <c r="C213" s="1555"/>
      <c r="D213" s="1555"/>
      <c r="E213" s="1555"/>
      <c r="F213" s="1555"/>
      <c r="G213" s="1555"/>
      <c r="H213" s="1555"/>
      <c r="I213" s="1555"/>
      <c r="J213" s="1555"/>
      <c r="K213" s="1555"/>
      <c r="L213" s="1555"/>
      <c r="M213" s="1555"/>
      <c r="N213" s="1555"/>
      <c r="O213" s="1555"/>
      <c r="P213" s="1555"/>
      <c r="Q213" s="1680"/>
      <c r="R213" s="1555" t="str">
        <f>IF('School Profile'!$D$12="Hindi",CONCATENATE("विद्यालय का नाम :-","  ",'School Profile'!$D$9),CONCATENATE("School Name :-","  ",'School Profile'!$D$8))</f>
        <v xml:space="preserve">विद्यालय का नाम :-  महात्मा गाँधी राजकीय विद्यालय (अंग्रेजी माध्यम) बर, पाली </v>
      </c>
      <c r="S213" s="1555"/>
      <c r="T213" s="1555"/>
      <c r="U213" s="1555"/>
      <c r="V213" s="1555"/>
      <c r="W213" s="1555"/>
      <c r="X213" s="1555"/>
      <c r="Y213" s="1555"/>
      <c r="Z213" s="1555"/>
      <c r="AA213" s="1555"/>
      <c r="AB213" s="1555"/>
      <c r="AC213" s="1555"/>
      <c r="AD213" s="1555"/>
      <c r="AE213" s="1555"/>
      <c r="AF213" s="1555"/>
      <c r="AV213"/>
      <c r="AW213"/>
      <c r="AX213"/>
      <c r="BA213"/>
      <c r="BB213"/>
      <c r="BC213"/>
    </row>
    <row r="214" spans="1:55" s="32" customFormat="1" ht="24.95" customHeight="1">
      <c r="A214" s="34">
        <f>IF(L218="","",A213+1)</f>
        <v>4</v>
      </c>
      <c r="B214" s="686"/>
      <c r="C214" s="686"/>
      <c r="D214" s="686"/>
      <c r="E214" s="686"/>
      <c r="F214" s="1682"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82"/>
      <c r="H214" s="1682"/>
      <c r="I214" s="1682"/>
      <c r="J214" s="1682"/>
      <c r="K214" s="1682"/>
      <c r="L214" s="1682"/>
      <c r="M214" s="1682"/>
      <c r="N214" s="1682"/>
      <c r="O214" s="1682"/>
      <c r="P214" s="686"/>
      <c r="Q214" s="1680"/>
      <c r="R214" s="686"/>
      <c r="S214" s="686"/>
      <c r="T214" s="686"/>
      <c r="U214" s="686"/>
      <c r="V214" s="1682"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82"/>
      <c r="X214" s="1682"/>
      <c r="Y214" s="1682"/>
      <c r="Z214" s="1682"/>
      <c r="AA214" s="1682"/>
      <c r="AB214" s="1682"/>
      <c r="AC214" s="1682"/>
      <c r="AD214" s="1682"/>
      <c r="AE214" s="1682"/>
      <c r="AF214" s="686"/>
      <c r="AV214"/>
      <c r="AW214"/>
      <c r="AX214"/>
      <c r="AY214" s="6"/>
      <c r="AZ214" s="6"/>
      <c r="BA214"/>
      <c r="BB214"/>
      <c r="BC214"/>
    </row>
    <row r="215" spans="1:55" s="351" customFormat="1" ht="21" customHeight="1">
      <c r="A215" s="33">
        <f>IF(L218="","",A214+1)</f>
        <v>5</v>
      </c>
      <c r="B215" s="681" t="str">
        <f>IF('School Profile'!$D$12="Hindi","कक्षा  :-","CLASS :- ")</f>
        <v>कक्षा  :-</v>
      </c>
      <c r="C215" s="1611" t="str">
        <f>IF('Statement of Marks'!$E$3="","",'Statement of Marks'!$E$3)</f>
        <v>9th</v>
      </c>
      <c r="D215" s="1611"/>
      <c r="E215" s="820" t="str">
        <f>IFERROR(VLOOKUP(L218,'Statement of Marks'!$B$7:'Statement of Marks'!$IC$206,2,0),"")</f>
        <v>A</v>
      </c>
      <c r="F215" s="820"/>
      <c r="G215" s="820"/>
      <c r="H215" s="820"/>
      <c r="I215" s="1683" t="str">
        <f>IF('School Profile'!$D$12="Hindi","प्रवेशांक :","SR. NO. :")</f>
        <v>प्रवेशांक :</v>
      </c>
      <c r="J215" s="1683"/>
      <c r="K215" s="1683"/>
      <c r="L215" s="1684" t="str">
        <f>IFERROR(VLOOKUP(L218,'Statement of Marks'!$B$7:'Statement of Marks'!$IC$206,3,0),"")</f>
        <v/>
      </c>
      <c r="M215" s="1684"/>
      <c r="N215" s="1684"/>
      <c r="O215" s="1684"/>
      <c r="P215" s="414"/>
      <c r="Q215" s="1680"/>
      <c r="R215" s="681" t="str">
        <f>IF('School Profile'!$D$12="Hindi","कक्षा  :-","CLASS :- ")</f>
        <v>कक्षा  :-</v>
      </c>
      <c r="S215" s="1611" t="str">
        <f>IF('Statement of Marks'!$E$3="","",'Statement of Marks'!$E$3)</f>
        <v>9th</v>
      </c>
      <c r="T215" s="1611"/>
      <c r="U215" s="820" t="str">
        <f>IFERROR(VLOOKUP(AB218,'Statement of Marks'!$B$7:'Statement of Marks'!$IC$206,2,0),"")</f>
        <v>A</v>
      </c>
      <c r="V215" s="820"/>
      <c r="W215" s="820"/>
      <c r="X215" s="820"/>
      <c r="Y215" s="1683" t="str">
        <f>IF('School Profile'!$D$12="Hindi","प्रवेशांक :","SR. NO. :")</f>
        <v>प्रवेशांक :</v>
      </c>
      <c r="Z215" s="1683"/>
      <c r="AA215" s="1683"/>
      <c r="AB215" s="1684" t="str">
        <f>IFERROR(VLOOKUP(AB218,'Statement of Marks'!$B$7:'Statement of Marks'!$IC$206,3,0),"")</f>
        <v/>
      </c>
      <c r="AC215" s="1684"/>
      <c r="AD215" s="1684"/>
      <c r="AE215" s="1684"/>
      <c r="AF215" s="414"/>
      <c r="AV215"/>
      <c r="AW215" s="777" t="str">
        <f>L216</f>
        <v/>
      </c>
      <c r="AX215"/>
      <c r="BA215"/>
      <c r="BB215" s="777" t="str">
        <f>AB216</f>
        <v/>
      </c>
      <c r="BC215"/>
    </row>
    <row r="216" spans="1:55" s="351" customFormat="1" ht="21" customHeight="1">
      <c r="A216" s="33">
        <f>IF(L218="","",A215+1)</f>
        <v>6</v>
      </c>
      <c r="B216" s="687" t="str">
        <f>IF('School Profile'!$D$12="Hindi","विद्यार्थी का नाम :-","Student's Name :-")</f>
        <v>विद्यार्थी का नाम :-</v>
      </c>
      <c r="C216" s="1685" t="str">
        <f>IFERROR(VLOOKUP(L218,'Statement of Marks'!$B$7:'Statement of Marks'!$IC$206,5,0),"")</f>
        <v>RAHIM</v>
      </c>
      <c r="D216" s="1685"/>
      <c r="E216" s="1685"/>
      <c r="F216" s="1685"/>
      <c r="G216" s="1685"/>
      <c r="H216" s="1685"/>
      <c r="I216" s="1683" t="str">
        <f>IF('School Profile'!$D$12="Hindi","जन्म तिथि :","Date of Birth :")</f>
        <v>जन्म तिथि :</v>
      </c>
      <c r="J216" s="1683"/>
      <c r="K216" s="1683"/>
      <c r="L216" s="1686" t="str">
        <f>IFERROR(VLOOKUP(L218,'Statement of Marks'!$B$7:'Statement of Marks'!$IC$206,4,0),"")</f>
        <v/>
      </c>
      <c r="M216" s="1686"/>
      <c r="N216" s="1686"/>
      <c r="O216" s="1686"/>
      <c r="P216" s="688"/>
      <c r="Q216" s="1680"/>
      <c r="R216" s="687" t="str">
        <f>IF('School Profile'!$D$12="Hindi","विद्यार्थी का नाम :-","Student's Name :-")</f>
        <v>विद्यार्थी का नाम :-</v>
      </c>
      <c r="S216" s="1685" t="str">
        <f>IFERROR(VLOOKUP(AB218,'Statement of Marks'!$B$7:'Statement of Marks'!$IC$206,5,0),"")</f>
        <v>KARIM</v>
      </c>
      <c r="T216" s="1685"/>
      <c r="U216" s="1685"/>
      <c r="V216" s="1685"/>
      <c r="W216" s="1685"/>
      <c r="X216" s="1685"/>
      <c r="Y216" s="1683" t="str">
        <f>IF('School Profile'!$D$12="Hindi","जन्म तिथि :","Date of Birth :")</f>
        <v>जन्म तिथि :</v>
      </c>
      <c r="Z216" s="1683"/>
      <c r="AA216" s="1683"/>
      <c r="AB216" s="1686" t="str">
        <f>IFERROR(VLOOKUP(AB218,'Statement of Marks'!$B$7:'Statement of Marks'!$IC$206,4,0),"")</f>
        <v/>
      </c>
      <c r="AC216" s="1686"/>
      <c r="AD216" s="1686"/>
      <c r="AE216" s="1686"/>
      <c r="AF216" s="688"/>
      <c r="AV216" t="e">
        <f>YEAR(AW215)</f>
        <v>#VALUE!</v>
      </c>
      <c r="AW216" t="e">
        <f>MONTH(AW215)</f>
        <v>#VALUE!</v>
      </c>
      <c r="AX216" t="e">
        <f>DAY(AW215)</f>
        <v>#VALUE!</v>
      </c>
      <c r="BA216" t="e">
        <f>YEAR(BB215)</f>
        <v>#VALUE!</v>
      </c>
      <c r="BB216" t="e">
        <f>MONTH(BB215)</f>
        <v>#VALUE!</v>
      </c>
      <c r="BC216" t="e">
        <f>DAY(BB215)</f>
        <v>#VALUE!</v>
      </c>
    </row>
    <row r="217" spans="1:55" s="351" customFormat="1" ht="21" customHeight="1">
      <c r="A217" s="33">
        <f>IF(L218="","",A216+1)</f>
        <v>7</v>
      </c>
      <c r="B217" s="687" t="str">
        <f>IF('School Profile'!$D$12="Hindi","पिता का नाम :-","Father's Name :-")</f>
        <v>पिता का नाम :-</v>
      </c>
      <c r="C217" s="1685" t="str">
        <f>IFERROR(VLOOKUP(L218,'Statement of Marks'!$B$7:'Statement of Marks'!$IC$206,6,0),"")</f>
        <v/>
      </c>
      <c r="D217" s="1685"/>
      <c r="E217" s="1685"/>
      <c r="F217" s="1685"/>
      <c r="G217" s="1685"/>
      <c r="H217" s="1685"/>
      <c r="I217" s="1683" t="str">
        <f>IF('School Profile'!$D$12="Hindi","जन्मतिथि शब्दों में :-","Date of Birth in Words :-")</f>
        <v>जन्मतिथि शब्दों में :-</v>
      </c>
      <c r="J217" s="1683"/>
      <c r="K217" s="1683"/>
      <c r="L217" s="1685" t="str">
        <f>IFERROR(IF('School Profile'!$D$12="Hindi",AW218,AW220),"")</f>
        <v/>
      </c>
      <c r="M217" s="1685"/>
      <c r="N217" s="1685"/>
      <c r="O217" s="1685"/>
      <c r="P217" s="688"/>
      <c r="Q217" s="1680"/>
      <c r="R217" s="687" t="str">
        <f>IF('School Profile'!$D$12="Hindi","पिता का नाम :-","Father's Name :-")</f>
        <v>पिता का नाम :-</v>
      </c>
      <c r="S217" s="1685" t="str">
        <f>IFERROR(VLOOKUP(AB218,'Statement of Marks'!$B$7:'Statement of Marks'!$IC$206,6,0),"")</f>
        <v/>
      </c>
      <c r="T217" s="1685"/>
      <c r="U217" s="1685"/>
      <c r="V217" s="1685"/>
      <c r="W217" s="1685"/>
      <c r="X217" s="1685"/>
      <c r="Y217" s="1683" t="str">
        <f>IF('School Profile'!$D$12="Hindi","जन्मतिथि शब्दों में :-","Date of Birth in Words :-")</f>
        <v>जन्मतिथि शब्दों में :-</v>
      </c>
      <c r="Z217" s="1683"/>
      <c r="AA217" s="1683"/>
      <c r="AB217" s="1685" t="str">
        <f>IFERROR(IF('School Profile'!$D$12="Hindi",BB218,BB220),"")</f>
        <v/>
      </c>
      <c r="AC217" s="1685"/>
      <c r="AD217" s="1685"/>
      <c r="AE217" s="1685"/>
      <c r="AF217" s="688"/>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इग्यारह",IF(AV216=2012,"दो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इ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इग्यारह",IF(BA216=2012,"दो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इ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51" customFormat="1" ht="21" customHeight="1">
      <c r="A218" s="33">
        <f>IF(L218="","",A217+1)</f>
        <v>8</v>
      </c>
      <c r="B218" s="681" t="str">
        <f>IF('School Profile'!$D$12="Hindi","माता का नाम :-","Mother's Name :-")</f>
        <v>माता का नाम :-</v>
      </c>
      <c r="C218" s="1685" t="str">
        <f>IFERROR(VLOOKUP(L218,'Statement of Marks'!$B$7:'Statement of Marks'!$IC$206,7,0),"")</f>
        <v/>
      </c>
      <c r="D218" s="1685"/>
      <c r="E218" s="1685"/>
      <c r="F218" s="1685"/>
      <c r="G218" s="1685"/>
      <c r="H218" s="1685"/>
      <c r="I218" s="1683" t="str">
        <f>IF('School Profile'!$D$12="Hindi","रोल नंबर :-","Roll No. :")</f>
        <v>रोल नंबर :-</v>
      </c>
      <c r="J218" s="1683"/>
      <c r="K218" s="1683"/>
      <c r="L218" s="1672">
        <f>IF(AB188="","",IF(AND(AB188+1&gt;$AN$11),"",AB188+1))</f>
        <v>915</v>
      </c>
      <c r="M218" s="1672"/>
      <c r="N218" s="1672"/>
      <c r="Q218" s="1680"/>
      <c r="R218" s="681" t="str">
        <f>IF('School Profile'!$D$12="Hindi","माता का नाम :-","Mother's Name :-")</f>
        <v>माता का नाम :-</v>
      </c>
      <c r="S218" s="1685" t="str">
        <f>IFERROR(VLOOKUP(AB218,'Statement of Marks'!$B$7:'Statement of Marks'!$IC$206,7,0),"")</f>
        <v/>
      </c>
      <c r="T218" s="1685"/>
      <c r="U218" s="1685"/>
      <c r="V218" s="1685"/>
      <c r="W218" s="1685"/>
      <c r="X218" s="1685"/>
      <c r="Y218" s="1683" t="str">
        <f>IF('School Profile'!$D$12="Hindi","रोल नंबर :-","Roll No. :")</f>
        <v>रोल नंबर :-</v>
      </c>
      <c r="Z218" s="1683"/>
      <c r="AA218" s="1683"/>
      <c r="AB218" s="1672">
        <f>IF(L218="","",IF(AND(L218+1&gt;$AN$11),"",L218+1))</f>
        <v>916</v>
      </c>
      <c r="AC218" s="1672"/>
      <c r="AD218" s="1672"/>
      <c r="AV218"/>
      <c r="AW218" t="e">
        <f>CONCATENATE(AX217," ",AW217," ",AV217)</f>
        <v>#VALUE!</v>
      </c>
      <c r="AX218"/>
      <c r="BA218"/>
      <c r="BB218" t="e">
        <f>CONCATENATE(BC217," ",BB217," ",BA217)</f>
        <v>#VALUE!</v>
      </c>
      <c r="BC218"/>
    </row>
    <row r="219" spans="1:55" s="351" customFormat="1" ht="9.75" customHeight="1">
      <c r="A219" s="33">
        <f>IF(L218="","",A218+1)</f>
        <v>9</v>
      </c>
      <c r="B219" s="1673"/>
      <c r="C219" s="1673"/>
      <c r="D219" s="1673"/>
      <c r="E219" s="1673"/>
      <c r="F219" s="1673"/>
      <c r="G219" s="1673"/>
      <c r="H219" s="1673"/>
      <c r="I219" s="1673"/>
      <c r="J219" s="1673"/>
      <c r="K219" s="1673"/>
      <c r="L219" s="1673"/>
      <c r="M219" s="1673"/>
      <c r="N219" s="1673"/>
      <c r="O219" s="1673"/>
      <c r="P219" s="401"/>
      <c r="Q219" s="1680"/>
      <c r="R219" s="1673"/>
      <c r="S219" s="1673"/>
      <c r="T219" s="1673"/>
      <c r="U219" s="1673"/>
      <c r="V219" s="1673"/>
      <c r="W219" s="1673"/>
      <c r="X219" s="1673"/>
      <c r="Y219" s="1673"/>
      <c r="Z219" s="1673"/>
      <c r="AA219" s="1673"/>
      <c r="AB219" s="1673"/>
      <c r="AC219" s="1673"/>
      <c r="AD219" s="1673"/>
      <c r="AE219" s="1673"/>
      <c r="AF219" s="401"/>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51" customFormat="1" ht="26.25" customHeight="1">
      <c r="A220" s="33">
        <f>IF(L218="","",A219+1)</f>
        <v>10</v>
      </c>
      <c r="B220" s="1619" t="str">
        <f>IF('School Profile'!$D$12="Hindi","विषय का नाम","Subject Name")</f>
        <v>विषय का नाम</v>
      </c>
      <c r="C220" s="1620"/>
      <c r="D220" s="1678" t="str">
        <f>IF('School Profile'!$D$12="Hindi","सामयिक परख","Seasonal Exam")</f>
        <v>सामयिक परख</v>
      </c>
      <c r="E220" s="1678"/>
      <c r="F220" s="1678"/>
      <c r="G220" s="1678"/>
      <c r="H220" s="1678" t="str">
        <f>IF('School Profile'!$D$12="Hindi","अर्द्धवार्षिक","Half Yearly")</f>
        <v>अर्द्धवार्षिक</v>
      </c>
      <c r="I220" s="1678"/>
      <c r="J220" s="1678"/>
      <c r="K220" s="1582" t="str">
        <f>IF('School Profile'!$D$12="Hindi","अर्द्ध वा. तक योग","Total Till H.Y.")</f>
        <v>अर्द्ध वा. तक योग</v>
      </c>
      <c r="L220" s="1678" t="str">
        <f>IF('School Profile'!$D$12="Hindi","वार्षिक","Yearly")</f>
        <v>वार्षिक</v>
      </c>
      <c r="M220" s="1678"/>
      <c r="N220" s="1678"/>
      <c r="O220" s="1577" t="str">
        <f>IF('School Profile'!$D$12="Hindi","विषय कुल योग ","Subject Total")</f>
        <v xml:space="preserve">विषय कुल योग </v>
      </c>
      <c r="P220" s="1679" t="str">
        <f>IF('School Profile'!$D$12="Hindi","विषय परिणाम / विषय श्रेणी","Sub. Result /  Sub. Div.")</f>
        <v>विषय परिणाम / विषय श्रेणी</v>
      </c>
      <c r="Q220" s="1680"/>
      <c r="R220" s="1619" t="str">
        <f>IF('School Profile'!$D$12="Hindi","विषय का नाम","Subject Name")</f>
        <v>विषय का नाम</v>
      </c>
      <c r="S220" s="1620"/>
      <c r="T220" s="1678" t="str">
        <f>IF('School Profile'!$D$12="Hindi","सामयिक परख","Seasonal Exam")</f>
        <v>सामयिक परख</v>
      </c>
      <c r="U220" s="1678"/>
      <c r="V220" s="1678"/>
      <c r="W220" s="1678"/>
      <c r="X220" s="1678" t="str">
        <f>IF('School Profile'!$D$12="Hindi","अर्द्धवार्षिक","Half Yearly")</f>
        <v>अर्द्धवार्षिक</v>
      </c>
      <c r="Y220" s="1678"/>
      <c r="Z220" s="1678"/>
      <c r="AA220" s="1582" t="str">
        <f>IF('School Profile'!$D$12="Hindi","अर्द्ध वा. तक योग","Total Till H.Y.")</f>
        <v>अर्द्ध वा. तक योग</v>
      </c>
      <c r="AB220" s="1678" t="str">
        <f>IF('School Profile'!$D$12="Hindi","वार्षिक","Yearly")</f>
        <v>वार्षिक</v>
      </c>
      <c r="AC220" s="1678"/>
      <c r="AD220" s="1678"/>
      <c r="AE220" s="1577" t="str">
        <f>IF('School Profile'!$D$12="Hindi","विषय कुल योग ","Subject Total")</f>
        <v xml:space="preserve">विषय कुल योग </v>
      </c>
      <c r="AF220" s="1679"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51" customFormat="1" ht="78.75" customHeight="1">
      <c r="A221" s="33">
        <f>IF(L218="","",A220+1)</f>
        <v>11</v>
      </c>
      <c r="B221" s="1674"/>
      <c r="C221" s="1675"/>
      <c r="D221" s="656" t="str">
        <f>IF('School Profile'!$D$12="Hindi","प्रथम परख ","First Test")</f>
        <v xml:space="preserve">प्रथम परख </v>
      </c>
      <c r="E221" s="656" t="str">
        <f>IF('School Profile'!$D$12="Hindi","द्वितीय परख","Second Test")</f>
        <v>द्वितीय परख</v>
      </c>
      <c r="F221" s="656" t="str">
        <f>IF('School Profile'!$D$12="Hindi","तृतीय परख","Third Test")</f>
        <v>तृतीय परख</v>
      </c>
      <c r="G221" s="657" t="str">
        <f>IF('School Profile'!$D$12="Hindi","सा. परख योग","Test Total")</f>
        <v>सा. परख योग</v>
      </c>
      <c r="H221" s="658" t="str">
        <f>IF('School Profile'!$D$12="Hindi","सैद्धान्तिक","Theoretical")</f>
        <v>सैद्धान्तिक</v>
      </c>
      <c r="I221" s="658" t="str">
        <f>IF('School Profile'!$D$12="Hindi","प्रायोगिक","Practical")</f>
        <v>प्रायोगिक</v>
      </c>
      <c r="J221" s="659" t="str">
        <f>IF('School Profile'!$D$12="Hindi","अर्द्धवार्षिक योग","H.Y.  Total")</f>
        <v>अर्द्धवार्षिक योग</v>
      </c>
      <c r="K221" s="1582"/>
      <c r="L221" s="658" t="str">
        <f>IF('School Profile'!$D$12="Hindi","सैद्धान्तिक","Theoretical")</f>
        <v>सैद्धान्तिक</v>
      </c>
      <c r="M221" s="658" t="str">
        <f>IF('School Profile'!$D$12="Hindi","प्रायोगिक","Practical")</f>
        <v>प्रायोगिक</v>
      </c>
      <c r="N221" s="659" t="str">
        <f>IF('School Profile'!$D$12="Hindi","वार्षिक योग","Yearly  Total")</f>
        <v>वार्षिक योग</v>
      </c>
      <c r="O221" s="1577"/>
      <c r="P221" s="1579"/>
      <c r="Q221" s="1680"/>
      <c r="R221" s="1674"/>
      <c r="S221" s="1675"/>
      <c r="T221" s="656" t="str">
        <f>IF('School Profile'!$D$12="Hindi","प्रथम परख ","First Test")</f>
        <v xml:space="preserve">प्रथम परख </v>
      </c>
      <c r="U221" s="656" t="str">
        <f>IF('School Profile'!$D$12="Hindi","द्वितीय परख","Second Test")</f>
        <v>द्वितीय परख</v>
      </c>
      <c r="V221" s="656" t="str">
        <f>IF('School Profile'!$D$12="Hindi","तृतीय परख","Third Test")</f>
        <v>तृतीय परख</v>
      </c>
      <c r="W221" s="657" t="str">
        <f>IF('School Profile'!$D$12="Hindi","सा. परख योग","Test Total")</f>
        <v>सा. परख योग</v>
      </c>
      <c r="X221" s="658" t="str">
        <f>IF('School Profile'!$D$12="Hindi","सैद्धान्तिक","Theoretical")</f>
        <v>सैद्धान्तिक</v>
      </c>
      <c r="Y221" s="658" t="str">
        <f>IF('School Profile'!$D$12="Hindi","प्रायोगिक","Practical")</f>
        <v>प्रायोगिक</v>
      </c>
      <c r="Z221" s="659" t="str">
        <f>IF('School Profile'!$D$12="Hindi","अर्द्धवार्षिक योग","H.Y.  Total")</f>
        <v>अर्द्धवार्षिक योग</v>
      </c>
      <c r="AA221" s="1582"/>
      <c r="AB221" s="658" t="str">
        <f>IF('School Profile'!$D$12="Hindi","सैद्धान्तिक","Theoretical")</f>
        <v>सैद्धान्तिक</v>
      </c>
      <c r="AC221" s="658" t="str">
        <f>IF('School Profile'!$D$12="Hindi","प्रायोगिक","Practical")</f>
        <v>प्रायोगिक</v>
      </c>
      <c r="AD221" s="659" t="str">
        <f>IF('School Profile'!$D$12="Hindi","वार्षिक योग","Yearly  Total")</f>
        <v>वार्षिक योग</v>
      </c>
      <c r="AE221" s="1577"/>
      <c r="AF221" s="1579"/>
      <c r="AV221"/>
      <c r="AW221"/>
      <c r="AX221"/>
      <c r="BA221"/>
      <c r="BB221"/>
      <c r="BC221"/>
    </row>
    <row r="222" spans="1:55" s="353" customFormat="1" ht="21" customHeight="1">
      <c r="A222" s="33">
        <f>IF(L218="","",A221+1)</f>
        <v>12</v>
      </c>
      <c r="B222" s="1676"/>
      <c r="C222" s="1677"/>
      <c r="D222" s="663">
        <v>10</v>
      </c>
      <c r="E222" s="663">
        <v>10</v>
      </c>
      <c r="F222" s="663">
        <v>10</v>
      </c>
      <c r="G222" s="663">
        <v>30</v>
      </c>
      <c r="H222" s="665" t="s">
        <v>252</v>
      </c>
      <c r="I222" s="661">
        <v>35</v>
      </c>
      <c r="J222" s="660">
        <v>70</v>
      </c>
      <c r="K222" s="661">
        <v>100</v>
      </c>
      <c r="L222" s="664" t="s">
        <v>253</v>
      </c>
      <c r="M222" s="663">
        <v>50</v>
      </c>
      <c r="N222" s="660">
        <v>100</v>
      </c>
      <c r="O222" s="662">
        <v>200</v>
      </c>
      <c r="P222" s="1580"/>
      <c r="Q222" s="1680"/>
      <c r="R222" s="1676"/>
      <c r="S222" s="1677"/>
      <c r="T222" s="663">
        <v>10</v>
      </c>
      <c r="U222" s="663">
        <v>10</v>
      </c>
      <c r="V222" s="663">
        <v>10</v>
      </c>
      <c r="W222" s="663">
        <v>30</v>
      </c>
      <c r="X222" s="665" t="s">
        <v>252</v>
      </c>
      <c r="Y222" s="661">
        <v>35</v>
      </c>
      <c r="Z222" s="660">
        <v>70</v>
      </c>
      <c r="AA222" s="661">
        <v>100</v>
      </c>
      <c r="AB222" s="664" t="s">
        <v>253</v>
      </c>
      <c r="AC222" s="663">
        <v>50</v>
      </c>
      <c r="AD222" s="660">
        <v>100</v>
      </c>
      <c r="AE222" s="662">
        <v>200</v>
      </c>
      <c r="AF222" s="1580"/>
      <c r="AV222"/>
      <c r="AW222"/>
      <c r="AX222"/>
      <c r="BA222"/>
      <c r="BB222"/>
      <c r="BC222"/>
    </row>
    <row r="223" spans="1:55" s="351" customFormat="1" ht="22.5" customHeight="1">
      <c r="A223" s="33">
        <f>IF(L218="","",A222+1)</f>
        <v>13</v>
      </c>
      <c r="B223" s="1617" t="str">
        <f>'Statement of Marks'!$K$3</f>
        <v>हिंदी</v>
      </c>
      <c r="C223" s="1618"/>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7">
        <f>IF(L218="","",IF(AND(H223="",I223=""),"",SUM(H223,I223)))</f>
        <v>46</v>
      </c>
      <c r="K223" s="679">
        <f>IFERROR(IF(L218="","",IF(AND(G223="",J223=""),"",SUM(G223,J223))),"")</f>
        <v>71</v>
      </c>
      <c r="L223" s="26">
        <f>IFERROR(VLOOKUP(L218,'Statement of Marks'!$B$7:'Statement of Marks'!$IC$206,16,0),"")</f>
        <v>25</v>
      </c>
      <c r="M223" s="26"/>
      <c r="N223" s="347">
        <f>IF(L218="","",IF(AND(L223="",M223=""),"",SUM(L223,M223)))</f>
        <v>25</v>
      </c>
      <c r="O223" s="674">
        <f>IFERROR(VLOOKUP(L218,'Statement of Marks'!$B$7:'Statement of Marks'!$IC$206,17,0),"")</f>
        <v>96</v>
      </c>
      <c r="P223" s="680"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80"/>
      <c r="R223" s="1617" t="str">
        <f>'Statement of Marks'!$K$3</f>
        <v>हिंदी</v>
      </c>
      <c r="S223" s="1618"/>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7">
        <f>IF(AB218="","",IF(AND(X223="",Y223=""),"",SUM(X223,Y223)))</f>
        <v>46</v>
      </c>
      <c r="AA223" s="679">
        <f>IFERROR(IF(AB218="","",IF(AND(W223="",Z223=""),"",SUM(W223,Z223))),"")</f>
        <v>71</v>
      </c>
      <c r="AB223" s="26">
        <f>IFERROR(VLOOKUP(AB218,'Statement of Marks'!$B$7:'Statement of Marks'!$IC$206,16,0),"")</f>
        <v>65</v>
      </c>
      <c r="AC223" s="26"/>
      <c r="AD223" s="347">
        <f>IF(AB218="","",IF(AND(AB223="",AC223=""),"",SUM(AB223,AC223)))</f>
        <v>65</v>
      </c>
      <c r="AE223" s="674">
        <f>IFERROR(VLOOKUP(AB218,'Statement of Marks'!$B$7:'Statement of Marks'!$IC$206,17,0),"")</f>
        <v>136</v>
      </c>
      <c r="AF223" s="680"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51" customFormat="1" ht="22.5" customHeight="1">
      <c r="A224" s="33">
        <f>IF(L218="","",A223+1)</f>
        <v>14</v>
      </c>
      <c r="B224" s="1617" t="str">
        <f>'Statement of Marks'!$Y$3</f>
        <v>अंग्रेजी</v>
      </c>
      <c r="C224" s="1618"/>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7">
        <f>IF(L218="","",IF(AND(H224="",I224=""),"",SUM(H224,I224)))</f>
        <v>60</v>
      </c>
      <c r="K224" s="679">
        <f>IFERROR(IF(L218="","",IF(AND(G224="",J224=""),"",SUM(G224,J224))),"")</f>
        <v>85</v>
      </c>
      <c r="L224" s="26">
        <f>IFERROR(VLOOKUP(L218,'Statement of Marks'!$B$7:'Statement of Marks'!$IC$206,30,0),"")</f>
        <v>85</v>
      </c>
      <c r="M224" s="26"/>
      <c r="N224" s="347">
        <f>IF(L218="","",IF(AND(L224="",M224=""),"",SUM(L224,M224)))</f>
        <v>85</v>
      </c>
      <c r="O224" s="674">
        <f>IFERROR(VLOOKUP(L218,'Statement of Marks'!$B$7:'Statement of Marks'!$IC$206,31,0),"")</f>
        <v>170</v>
      </c>
      <c r="P224" s="680"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80"/>
      <c r="R224" s="1617" t="str">
        <f>'Statement of Marks'!$Y$3</f>
        <v>अंग्रेजी</v>
      </c>
      <c r="S224" s="1618"/>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7">
        <f>IF(AB218="","",IF(AND(X224="",Y224=""),"",SUM(X224,Y224)))</f>
        <v>60</v>
      </c>
      <c r="AA224" s="679">
        <f>IFERROR(IF(AB218="","",IF(AND(W224="",Z224=""),"",SUM(W224,Z224))),"")</f>
        <v>85</v>
      </c>
      <c r="AB224" s="26">
        <f>IFERROR(VLOOKUP(AB218,'Statement of Marks'!$B$7:'Statement of Marks'!$IC$206,30,0),"")</f>
        <v>85</v>
      </c>
      <c r="AC224" s="26"/>
      <c r="AD224" s="347">
        <f>IF(AB218="","",IF(AND(AB224="",AC224=""),"",SUM(AB224,AC224)))</f>
        <v>85</v>
      </c>
      <c r="AE224" s="674">
        <f>IFERROR(VLOOKUP(AB218,'Statement of Marks'!$B$7:'Statement of Marks'!$IC$206,31,0),"")</f>
        <v>170</v>
      </c>
      <c r="AF224" s="680"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51" customFormat="1" ht="22.5" customHeight="1">
      <c r="A225" s="33">
        <f>IF(L218="","",A224+1)</f>
        <v>15</v>
      </c>
      <c r="B225" s="1617" t="str">
        <f>IFERROR(VLOOKUP(L218,'Statement of Marks'!$B$7:'Statement of Marks'!$IC$206,38,0),"")</f>
        <v xml:space="preserve">सिंधी (74) </v>
      </c>
      <c r="C225" s="1618"/>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7">
        <f>IF(L218="","",IF(AND(H225="",I225=""),"",SUM(H225,I225)))</f>
        <v>46</v>
      </c>
      <c r="K225" s="679">
        <f>IFERROR(IF(L218="","",IF(AND(G225="",J225=""),"",SUM(G225,J225))),"")</f>
        <v>71</v>
      </c>
      <c r="L225" s="26">
        <f>IFERROR(VLOOKUP(L218,'Statement of Marks'!$B$7:'Statement of Marks'!$IC$206,45,0),"")</f>
        <v>45</v>
      </c>
      <c r="M225" s="26"/>
      <c r="N225" s="347">
        <f>IF(L218="","",IF(AND(L225="",M225=""),"",SUM(L225,M225)))</f>
        <v>45</v>
      </c>
      <c r="O225" s="674">
        <f>IFERROR(VLOOKUP(L218,'Statement of Marks'!$B$7:'Statement of Marks'!$IC$206,46,0),"")</f>
        <v>116</v>
      </c>
      <c r="P225" s="680"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80"/>
      <c r="R225" s="1617" t="str">
        <f>IFERROR(VLOOKUP(AB218,'Statement of Marks'!$B$7:'Statement of Marks'!$IC$206,38,0),"")</f>
        <v>पंजाबी (75)</v>
      </c>
      <c r="S225" s="1618"/>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7">
        <f>IF(AB218="","",IF(AND(X225="",Y225=""),"",SUM(X225,Y225)))</f>
        <v>46</v>
      </c>
      <c r="AA225" s="679">
        <f>IFERROR(IF(AB218="","",IF(AND(W225="",Z225=""),"",SUM(W225,Z225))),"")</f>
        <v>71</v>
      </c>
      <c r="AB225" s="26">
        <f>IFERROR(VLOOKUP(AB218,'Statement of Marks'!$B$7:'Statement of Marks'!$IC$206,45,0),"")</f>
        <v>45</v>
      </c>
      <c r="AC225" s="26"/>
      <c r="AD225" s="347">
        <f>IF(AB218="","",IF(AND(AB225="",AC225=""),"",SUM(AB225,AC225)))</f>
        <v>45</v>
      </c>
      <c r="AE225" s="674">
        <f>IFERROR(VLOOKUP(AB218,'Statement of Marks'!$B$7:'Statement of Marks'!$IC$206,46,0),"")</f>
        <v>116</v>
      </c>
      <c r="AF225" s="680"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51" customFormat="1" ht="22.5" customHeight="1">
      <c r="A226" s="33">
        <f>IF(L218="","",A225+1)</f>
        <v>16</v>
      </c>
      <c r="B226" s="1617" t="str">
        <f>'Statement of Marks'!$BB$3</f>
        <v>गणित</v>
      </c>
      <c r="C226" s="1618"/>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7">
        <f>IF(L218="","",IF(AND(H226="",I226=""),"",SUM(H226,I226)))</f>
        <v>20</v>
      </c>
      <c r="K226" s="679">
        <f>IFERROR(IF(L218="","",IF(AND(G226="",J226=""),"",SUM(G226,J226))),"")</f>
        <v>45</v>
      </c>
      <c r="L226" s="26">
        <f>IFERROR(VLOOKUP(L218,'Statement of Marks'!$B$7:'Statement of Marks'!$IC$206,59,0),"")</f>
        <v>30</v>
      </c>
      <c r="M226" s="26"/>
      <c r="N226" s="347">
        <f>IF(L218="","",IF(AND(L226="",M226=""),"",SUM(L226,M226)))</f>
        <v>30</v>
      </c>
      <c r="O226" s="674">
        <f>IFERROR(VLOOKUP(L218,'Statement of Marks'!$B$7:'Statement of Marks'!$IC$206,60,0),"")</f>
        <v>75</v>
      </c>
      <c r="P226" s="680"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80"/>
      <c r="R226" s="1617" t="str">
        <f>'Statement of Marks'!$BB$3</f>
        <v>गणित</v>
      </c>
      <c r="S226" s="1618"/>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7">
        <f>IF(AB218="","",IF(AND(X226="",Y226=""),"",SUM(X226,Y226)))</f>
        <v>46</v>
      </c>
      <c r="AA226" s="679">
        <f>IFERROR(IF(AB218="","",IF(AND(W226="",Z226=""),"",SUM(W226,Z226))),"")</f>
        <v>71</v>
      </c>
      <c r="AB226" s="26">
        <f>IFERROR(VLOOKUP(AB218,'Statement of Marks'!$B$7:'Statement of Marks'!$IC$206,59,0),"")</f>
        <v>45</v>
      </c>
      <c r="AC226" s="26"/>
      <c r="AD226" s="347">
        <f>IF(AB218="","",IF(AND(AB226="",AC226=""),"",SUM(AB226,AC226)))</f>
        <v>45</v>
      </c>
      <c r="AE226" s="674">
        <f>IFERROR(VLOOKUP(AB218,'Statement of Marks'!$B$7:'Statement of Marks'!$IC$206,60,0),"")</f>
        <v>116</v>
      </c>
      <c r="AF226" s="680"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51" customFormat="1" ht="22.5" customHeight="1">
      <c r="A227" s="33">
        <f>IF(L218="","",A226+1)</f>
        <v>17</v>
      </c>
      <c r="B227" s="1619" t="str">
        <f>'Statement of Marks'!$BP$3</f>
        <v>विज्ञान</v>
      </c>
      <c r="C227" s="1620"/>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7">
        <f>IF(L218="","",IF(AND(H227="",I227=""),"",SUM(H227,I227)))</f>
        <v>46</v>
      </c>
      <c r="K227" s="679">
        <f>IFERROR(IF(L218="","",IF(AND(G227="",J227=""),"",SUM(G227,J227))),"")</f>
        <v>70</v>
      </c>
      <c r="L227" s="26">
        <f>IFERROR(VLOOKUP(L218,'Statement of Marks'!$B$7:'Statement of Marks'!$IC$206,73,0),"")</f>
        <v>45</v>
      </c>
      <c r="M227" s="26"/>
      <c r="N227" s="347">
        <f>IF(L218="","",IF(AND(L227="",M227=""),"",SUM(L227,M227)))</f>
        <v>45</v>
      </c>
      <c r="O227" s="674">
        <f>IFERROR(VLOOKUP(L218,'Statement of Marks'!$B$7:'Statement of Marks'!$IC$206,74,0),"")</f>
        <v>115</v>
      </c>
      <c r="P227" s="680"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80"/>
      <c r="R227" s="1619" t="str">
        <f>'Statement of Marks'!$BP$3</f>
        <v>विज्ञान</v>
      </c>
      <c r="S227" s="1620"/>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7">
        <f>IF(AB218="","",IF(AND(X227="",Y227=""),"",SUM(X227,Y227)))</f>
        <v>46</v>
      </c>
      <c r="AA227" s="679">
        <f>IFERROR(IF(AB218="","",IF(AND(W227="",Z227=""),"",SUM(W227,Z227))),"")</f>
        <v>70</v>
      </c>
      <c r="AB227" s="26">
        <f>IFERROR(VLOOKUP(AB218,'Statement of Marks'!$B$7:'Statement of Marks'!$IC$206,73,0),"")</f>
        <v>45</v>
      </c>
      <c r="AC227" s="26"/>
      <c r="AD227" s="347">
        <f>IF(AB218="","",IF(AND(AB227="",AC227=""),"",SUM(AB227,AC227)))</f>
        <v>45</v>
      </c>
      <c r="AE227" s="674">
        <f>IFERROR(VLOOKUP(AB218,'Statement of Marks'!$B$7:'Statement of Marks'!$IC$206,74,0),"")</f>
        <v>115</v>
      </c>
      <c r="AF227" s="680"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51" customFormat="1" ht="22.5" customHeight="1">
      <c r="A228" s="33">
        <f>IF(L218="","",A227+1)</f>
        <v>18</v>
      </c>
      <c r="B228" s="409" t="str">
        <f>'Statement of Marks'!$CE$3</f>
        <v>सामाजिक विज्ञान</v>
      </c>
      <c r="C228" s="412"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7">
        <f>IF(L218="","",IF(AND(H228="",I228=""),"",SUM(H228,I228)))</f>
        <v>46</v>
      </c>
      <c r="K228" s="679">
        <f>IFERROR(IF(L218="","",IF(AND(G228="",J228=""),"",SUM(G228,J228))),"")</f>
        <v>70</v>
      </c>
      <c r="L228" s="26">
        <f>IFERROR(VLOOKUP(L218,'Statement of Marks'!$B$7:'Statement of Marks'!$IC$206,88,0),"")</f>
        <v>45</v>
      </c>
      <c r="M228" s="26"/>
      <c r="N228" s="347">
        <f>IF(L218="","",IF(AND(L228="",M228=""),"",SUM(L228,M228)))</f>
        <v>45</v>
      </c>
      <c r="O228" s="674">
        <f>IFERROR(VLOOKUP(L218,'Statement of Marks'!$B$7:'Statement of Marks'!$IC$206,89,0),"")</f>
        <v>115</v>
      </c>
      <c r="P228" s="680"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80"/>
      <c r="R228" s="409" t="str">
        <f>'Statement of Marks'!$CE$3</f>
        <v>सामाजिक विज्ञान</v>
      </c>
      <c r="S228" s="412"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7">
        <f>IF(AB218="","",IF(AND(X228="",Y228=""),"",SUM(X228,Y228)))</f>
        <v>46</v>
      </c>
      <c r="AA228" s="679">
        <f>IFERROR(IF(AB218="","",IF(AND(W228="",Z228=""),"",SUM(W228,Z228))),"")</f>
        <v>70</v>
      </c>
      <c r="AB228" s="26">
        <f>IFERROR(VLOOKUP(AB218,'Statement of Marks'!$B$7:'Statement of Marks'!$IC$206,88,0),"")</f>
        <v>45</v>
      </c>
      <c r="AC228" s="26"/>
      <c r="AD228" s="347">
        <f>IF(AB218="","",IF(AND(AB228="",AC228=""),"",SUM(AB228,AC228)))</f>
        <v>45</v>
      </c>
      <c r="AE228" s="674">
        <f>IFERROR(VLOOKUP(AB218,'Statement of Marks'!$B$7:'Statement of Marks'!$IC$206,89,0),"")</f>
        <v>115</v>
      </c>
      <c r="AF228" s="680"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51" customFormat="1">
      <c r="A229" s="33">
        <f>IF(L218="","",A228+1)</f>
        <v>19</v>
      </c>
      <c r="B229" s="1687" t="str">
        <f>IF('School Profile'!$D$12="Hindi","व्यावसायिक शिक्षा","Vocational Education")</f>
        <v>व्यावसायिक शिक्षा</v>
      </c>
      <c r="C229" s="1688"/>
      <c r="D229" s="1689"/>
      <c r="E229" s="1689"/>
      <c r="F229" s="1689"/>
      <c r="G229" s="1689"/>
      <c r="H229" s="1689"/>
      <c r="I229" s="1689"/>
      <c r="J229" s="1689"/>
      <c r="K229" s="1689"/>
      <c r="L229" s="1689"/>
      <c r="M229" s="1689"/>
      <c r="N229" s="1689"/>
      <c r="O229" s="1689"/>
      <c r="P229" s="1690"/>
      <c r="Q229" s="1680"/>
      <c r="R229" s="1687" t="str">
        <f>IF('School Profile'!$D$12="Hindi","व्यावसायिक शिक्षा","Vocational Education")</f>
        <v>व्यावसायिक शिक्षा</v>
      </c>
      <c r="S229" s="1688"/>
      <c r="T229" s="1689"/>
      <c r="U229" s="1689"/>
      <c r="V229" s="1689"/>
      <c r="W229" s="1689"/>
      <c r="X229" s="1689"/>
      <c r="Y229" s="1689"/>
      <c r="Z229" s="1689"/>
      <c r="AA229" s="1689"/>
      <c r="AB229" s="1689"/>
      <c r="AC229" s="1689"/>
      <c r="AD229" s="1689"/>
      <c r="AE229" s="1689"/>
      <c r="AF229" s="1690"/>
      <c r="AV229"/>
      <c r="AW229"/>
      <c r="AX229"/>
      <c r="BA229"/>
      <c r="BB229"/>
      <c r="BC229"/>
    </row>
    <row r="230" spans="1:55" s="351" customFormat="1" ht="22.5" customHeight="1">
      <c r="A230" s="33">
        <f>IF(L218="","",A229+1)</f>
        <v>20</v>
      </c>
      <c r="B230" s="411" t="str">
        <f>IFERROR(VLOOKUP(L218,'Statement of Marks'!$B$7:'Statement of Marks'!$IC$206,96,0),"")</f>
        <v/>
      </c>
      <c r="C230" s="410" t="str">
        <f>IF(OR(L218="",O228="",O230="",B230=""),"",IF(AND(O230&gt;=O228),"*",""))</f>
        <v/>
      </c>
      <c r="D230" s="397"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7" t="str">
        <f>IFERROR(VLOOKUP(L218,'Statement of Marks'!$B$7:'Statement of Marks'!$IC$206,103,0),"")</f>
        <v/>
      </c>
      <c r="K230" s="679" t="str">
        <f>IFERROR(IF(L218="","",IF(AND(G230="",J230=""),"",SUM(G230,J230))),"")</f>
        <v/>
      </c>
      <c r="L230" s="26" t="str">
        <f>IFERROR(VLOOKUP(L218,'Statement of Marks'!$B$7:'Statement of Marks'!$IC$206,105,0),"")</f>
        <v/>
      </c>
      <c r="M230" s="26" t="str">
        <f>IFERROR(VLOOKUP(L218,'Statement of Marks'!$B$7:'Statement of Marks'!$IC$206,106,0),"")</f>
        <v/>
      </c>
      <c r="N230" s="347" t="str">
        <f>IF(L218="","",IF(AND(L230="",M230=""),"",SUM(L230,M230)))</f>
        <v/>
      </c>
      <c r="O230" s="672" t="str">
        <f>IFERROR(VLOOKUP(L218,'Statement of Marks'!$B$7:'Statement of Marks'!$IC$206,108,0),"")</f>
        <v/>
      </c>
      <c r="P230" s="680"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80"/>
      <c r="R230" s="411" t="str">
        <f>IFERROR(VLOOKUP(AB218,'Statement of Marks'!$B$7:'Statement of Marks'!$IC$206,96,0),"")</f>
        <v/>
      </c>
      <c r="S230" s="410" t="str">
        <f>IF(OR(AB218="",AE228="",AE230="",R230=""),"",IF(AND(AE230&gt;=AE228),"*",""))</f>
        <v/>
      </c>
      <c r="T230" s="397"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7" t="str">
        <f>IFERROR(VLOOKUP(AB218,'Statement of Marks'!$B$7:'Statement of Marks'!$IC$206,103,0),"")</f>
        <v/>
      </c>
      <c r="AA230" s="679" t="str">
        <f>IFERROR(IF(AB218="","",IF(AND(W230="",Z230=""),"",SUM(W230,Z230))),"")</f>
        <v/>
      </c>
      <c r="AB230" s="26" t="str">
        <f>IFERROR(VLOOKUP(AB218,'Statement of Marks'!$B$7:'Statement of Marks'!$IC$206,105,0),"")</f>
        <v/>
      </c>
      <c r="AC230" s="26" t="str">
        <f>IFERROR(VLOOKUP(AB218,'Statement of Marks'!$B$7:'Statement of Marks'!$IC$206,106,0),"")</f>
        <v/>
      </c>
      <c r="AD230" s="347" t="str">
        <f>IF(AB218="","",IF(AND(AB230="",AC230=""),"",SUM(AB230,AC230)))</f>
        <v/>
      </c>
      <c r="AE230" s="672" t="str">
        <f>IFERROR(VLOOKUP(AB218,'Statement of Marks'!$B$7:'Statement of Marks'!$IC$206,108,0),"")</f>
        <v/>
      </c>
      <c r="AF230" s="680"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51" customFormat="1" ht="25.5" customHeight="1">
      <c r="A231" s="33">
        <f>IF(L218="","",A230+1)</f>
        <v>21</v>
      </c>
      <c r="B231" s="1665"/>
      <c r="C231" s="1666"/>
      <c r="D231" s="1667"/>
      <c r="E231" s="1667"/>
      <c r="F231" s="1667"/>
      <c r="G231" s="1667"/>
      <c r="H231" s="1667"/>
      <c r="I231" s="1667"/>
      <c r="J231" s="1667"/>
      <c r="K231" s="1667"/>
      <c r="L231" s="1668" t="str">
        <f>IF('School Profile'!$D$12="Hindi","महायोग :","Grand Total :")</f>
        <v>महायोग :</v>
      </c>
      <c r="M231" s="1669"/>
      <c r="N231" s="1669"/>
      <c r="O231" s="1670">
        <f>IF(OR(L218="",C216=""),"",IF(OR(B230="",O230=""),SUM(O223,O224,O225,O226,O227,O228),IF((O228/O222*100)&gt;=(O230/O222*100),SUM(O223:O228),SUM(O223,O224,O225,O226,O227,O230))))</f>
        <v>687</v>
      </c>
      <c r="P231" s="1671"/>
      <c r="Q231" s="1680"/>
      <c r="R231" s="1665"/>
      <c r="S231" s="1666"/>
      <c r="T231" s="1667"/>
      <c r="U231" s="1667"/>
      <c r="V231" s="1667"/>
      <c r="W231" s="1667"/>
      <c r="X231" s="1667"/>
      <c r="Y231" s="1667"/>
      <c r="Z231" s="1667"/>
      <c r="AA231" s="1667"/>
      <c r="AB231" s="1668" t="str">
        <f>IF('School Profile'!$D$12="Hindi","महायोग :","Grand Total :")</f>
        <v>महायोग :</v>
      </c>
      <c r="AC231" s="1669"/>
      <c r="AD231" s="1669"/>
      <c r="AE231" s="1670">
        <f>IF(OR(AB218="",S216=""),"",IF(OR(R230="",AE230=""),SUM(AE223,AE224,AE225,AE226,AE227,AE228),IF((AE228/AE222*100)&gt;=(AE230/AE222*100),SUM(AE223:AE228),SUM(AE223,AE224,AE225,AE226,AE227,AE230))))</f>
        <v>768</v>
      </c>
      <c r="AF231" s="1671"/>
      <c r="AV231"/>
      <c r="AW231"/>
      <c r="AX231"/>
      <c r="BA231"/>
      <c r="BB231"/>
      <c r="BC231"/>
    </row>
    <row r="232" spans="1:55" s="351" customFormat="1" ht="25.5" customHeight="1">
      <c r="A232" s="33">
        <f>IF(L218="","",A231+1)</f>
        <v>22</v>
      </c>
      <c r="B232" s="1644" t="str">
        <f>'Statement of Marks'!$DZ$208</f>
        <v>राजस्थान का स्वंत्रता आन्दोलन व शोर्य परम्परा</v>
      </c>
      <c r="C232" s="1645"/>
      <c r="D232" s="1646" t="s">
        <v>149</v>
      </c>
      <c r="E232" s="1647"/>
      <c r="F232" s="355">
        <f>IFERROR(VLOOKUP(L218,'Statement of Marks'!$B$7:'Statement of Marks'!$IC$206,136,0),"")</f>
        <v>184</v>
      </c>
      <c r="G232" s="356" t="s">
        <v>135</v>
      </c>
      <c r="H232" s="355" t="str">
        <f>IFERROR(VLOOKUP(L218,'Statement of Marks'!$B$7:'Statement of Marks'!$IC$206,137,0),"")</f>
        <v>A</v>
      </c>
      <c r="I232" s="1648" t="str">
        <f>'Statement of Marks'!$EL$208</f>
        <v>सूचना प्रोद्योगिकी की अवधारणा - I</v>
      </c>
      <c r="J232" s="1649"/>
      <c r="K232" s="1649"/>
      <c r="L232" s="1650"/>
      <c r="M232" s="354" t="s">
        <v>149</v>
      </c>
      <c r="N232" s="355">
        <f>IFERROR(VLOOKUP(L218,'Statement of Marks'!$B$7:'Statement of Marks'!$IC$206,152,0),"")</f>
        <v>164</v>
      </c>
      <c r="O232" s="356" t="s">
        <v>135</v>
      </c>
      <c r="P232" s="355" t="str">
        <f>IFERROR(VLOOKUP(L218,'Statement of Marks'!$B$7:'Statement of Marks'!$IC$206,153,0),"")</f>
        <v>A</v>
      </c>
      <c r="Q232" s="1680"/>
      <c r="R232" s="1644" t="str">
        <f>'Statement of Marks'!$DZ$208</f>
        <v>राजस्थान का स्वंत्रता आन्दोलन व शोर्य परम्परा</v>
      </c>
      <c r="S232" s="1645"/>
      <c r="T232" s="1646" t="s">
        <v>149</v>
      </c>
      <c r="U232" s="1647"/>
      <c r="V232" s="355" t="str">
        <f>IFERROR(VLOOKUP(AB218,'Statement of Marks'!$B$7:'Statement of Marks'!$IC$206,136,0),"")</f>
        <v/>
      </c>
      <c r="W232" s="356" t="s">
        <v>135</v>
      </c>
      <c r="X232" s="355" t="str">
        <f>IFERROR(VLOOKUP(AB218,'Statement of Marks'!$B$7:'Statement of Marks'!$IC$206,137,0),"")</f>
        <v/>
      </c>
      <c r="Y232" s="1648" t="str">
        <f>'Statement of Marks'!$EL$208</f>
        <v>सूचना प्रोद्योगिकी की अवधारणा - I</v>
      </c>
      <c r="Z232" s="1649"/>
      <c r="AA232" s="1649"/>
      <c r="AB232" s="1650"/>
      <c r="AC232" s="354" t="s">
        <v>149</v>
      </c>
      <c r="AD232" s="355" t="str">
        <f>IFERROR(VLOOKUP(AB218,'Statement of Marks'!$B$7:'Statement of Marks'!$IC$206,152,0),"")</f>
        <v/>
      </c>
      <c r="AE232" s="356" t="s">
        <v>135</v>
      </c>
      <c r="AF232" s="355" t="str">
        <f>IFERROR(VLOOKUP(AB218,'Statement of Marks'!$B$7:'Statement of Marks'!$IC$206,153,0),"")</f>
        <v/>
      </c>
      <c r="AV232"/>
      <c r="AW232"/>
      <c r="AX232"/>
      <c r="BA232"/>
      <c r="BB232"/>
      <c r="BC232"/>
    </row>
    <row r="233" spans="1:55" s="351" customFormat="1" ht="25.5" customHeight="1">
      <c r="A233" s="33">
        <f>IF(L218="","",A232+1)</f>
        <v>23</v>
      </c>
      <c r="B233" s="1651" t="str">
        <f>'Statement of Marks'!$FB$208</f>
        <v>स्वा. एवं शा. शिक्षा</v>
      </c>
      <c r="C233" s="1652"/>
      <c r="D233" s="1653" t="s">
        <v>149</v>
      </c>
      <c r="E233" s="1654"/>
      <c r="F233" s="355">
        <f>IFERROR(VLOOKUP(L218,'Statement of Marks'!$B$7:'Statement of Marks'!$IC$206,171,0),"")</f>
        <v>138</v>
      </c>
      <c r="G233" s="356" t="s">
        <v>135</v>
      </c>
      <c r="H233" s="355" t="str">
        <f>IFERROR(VLOOKUP(L218,'Statement of Marks'!$B$7:'Statement of Marks'!$IC$206,172,0),"")</f>
        <v>B</v>
      </c>
      <c r="I233" s="1655" t="str">
        <f>'Statement of Marks'!$FJ$208</f>
        <v>समाजोपयोगी उत्पादन कार्य एवं समाज सेवा</v>
      </c>
      <c r="J233" s="1656"/>
      <c r="K233" s="1656"/>
      <c r="L233" s="1657"/>
      <c r="M233" s="403" t="s">
        <v>149</v>
      </c>
      <c r="N233" s="404">
        <f>IFERROR(VLOOKUP(L218,'Statement of Marks'!$B$7:'Statement of Marks'!$IC$206,179,0),"")</f>
        <v>80</v>
      </c>
      <c r="O233" s="405" t="s">
        <v>135</v>
      </c>
      <c r="P233" s="404" t="str">
        <f>IFERROR(VLOOKUP(L218,'Statement of Marks'!$B$7:'Statement of Marks'!$IC$206,180,0),"")</f>
        <v>B</v>
      </c>
      <c r="Q233" s="1680"/>
      <c r="R233" s="1651" t="str">
        <f>'Statement of Marks'!$FB$208</f>
        <v>स्वा. एवं शा. शिक्षा</v>
      </c>
      <c r="S233" s="1652"/>
      <c r="T233" s="1653" t="s">
        <v>149</v>
      </c>
      <c r="U233" s="1654"/>
      <c r="V233" s="355" t="str">
        <f>IFERROR(VLOOKUP(AB218,'Statement of Marks'!$B$7:'Statement of Marks'!$IC$206,171,0),"")</f>
        <v/>
      </c>
      <c r="W233" s="356" t="s">
        <v>135</v>
      </c>
      <c r="X233" s="355" t="str">
        <f>IFERROR(VLOOKUP(AB218,'Statement of Marks'!$B$7:'Statement of Marks'!$IC$206,172,0),"")</f>
        <v/>
      </c>
      <c r="Y233" s="1655" t="str">
        <f>'Statement of Marks'!$FJ$208</f>
        <v>समाजोपयोगी उत्पादन कार्य एवं समाज सेवा</v>
      </c>
      <c r="Z233" s="1656"/>
      <c r="AA233" s="1656"/>
      <c r="AB233" s="1657"/>
      <c r="AC233" s="403" t="s">
        <v>149</v>
      </c>
      <c r="AD233" s="404" t="str">
        <f>IFERROR(VLOOKUP(AB218,'Statement of Marks'!$B$7:'Statement of Marks'!$IC$206,179,0),"")</f>
        <v/>
      </c>
      <c r="AE233" s="405" t="s">
        <v>135</v>
      </c>
      <c r="AF233" s="404" t="str">
        <f>IFERROR(VLOOKUP(AB218,'Statement of Marks'!$B$7:'Statement of Marks'!$IC$206,180,0),"")</f>
        <v/>
      </c>
      <c r="AV233"/>
      <c r="AW233"/>
      <c r="AX233"/>
      <c r="BA233"/>
      <c r="BB233"/>
      <c r="BC233"/>
    </row>
    <row r="234" spans="1:55" s="351" customFormat="1" ht="30" customHeight="1">
      <c r="A234" s="33">
        <f>IF(L218="","",A233+1)</f>
        <v>24</v>
      </c>
      <c r="B234" s="1658" t="str">
        <f>'Statement of Marks'!$FU$208</f>
        <v>कला शिक्षा</v>
      </c>
      <c r="C234" s="1659"/>
      <c r="D234" s="1660" t="s">
        <v>149</v>
      </c>
      <c r="E234" s="1661"/>
      <c r="F234" s="404">
        <f>IFERROR(VLOOKUP(L218,'Statement of Marks'!$B$7:'Statement of Marks'!$IC$206,187,0),"")</f>
        <v>68</v>
      </c>
      <c r="G234" s="405" t="s">
        <v>135</v>
      </c>
      <c r="H234" s="355" t="str">
        <f>IFERROR(VLOOKUP(L218,'Statement of Marks'!$B$7:'Statement of Marks'!$IC$206,188,0),"")</f>
        <v>B</v>
      </c>
      <c r="I234" s="1662" t="str">
        <f>IF('School Profile'!$D$12="Hindi","परीक्षा परिणाम घोषित दिनांक :-","Date of Result declaration :-")</f>
        <v>परीक्षा परिणाम घोषित दिनांक :-</v>
      </c>
      <c r="J234" s="1663"/>
      <c r="K234" s="1663"/>
      <c r="L234" s="1664"/>
      <c r="M234" s="1625">
        <f>IF(AND(L218=""),"",IF('School Profile'!$D$11="","",'School Profile'!$D$11))</f>
        <v>45793</v>
      </c>
      <c r="N234" s="1626"/>
      <c r="O234" s="690" t="str">
        <f>IF('School Profile'!$D$12="Hindi","श्रेणी","Division")</f>
        <v>श्रेणी</v>
      </c>
      <c r="P234" s="407" t="str">
        <f>IFERROR(VLOOKUP(L218,'Statement of Marks'!$B$7:'Statement of Marks'!$IC$206,229,0),"")</f>
        <v>2nd</v>
      </c>
      <c r="Q234" s="1680"/>
      <c r="R234" s="1658" t="str">
        <f>'Statement of Marks'!$FU$208</f>
        <v>कला शिक्षा</v>
      </c>
      <c r="S234" s="1659"/>
      <c r="T234" s="1660" t="s">
        <v>149</v>
      </c>
      <c r="U234" s="1661"/>
      <c r="V234" s="404" t="str">
        <f>IFERROR(VLOOKUP(AB218,'Statement of Marks'!$B$7:'Statement of Marks'!$IC$206,187,0),"")</f>
        <v/>
      </c>
      <c r="W234" s="405" t="s">
        <v>135</v>
      </c>
      <c r="X234" s="355" t="str">
        <f>IFERROR(VLOOKUP(AB218,'Statement of Marks'!$B$7:'Statement of Marks'!$IC$206,188,0),"")</f>
        <v/>
      </c>
      <c r="Y234" s="1662" t="str">
        <f>IF('School Profile'!$D$12="Hindi","परीक्षा परिणाम घोषित दिनांक :-","Date of Result declaration :-")</f>
        <v>परीक्षा परिणाम घोषित दिनांक :-</v>
      </c>
      <c r="Z234" s="1663"/>
      <c r="AA234" s="1663"/>
      <c r="AB234" s="1664"/>
      <c r="AC234" s="1625">
        <f>IF(AND(AB218=""),"",IF('School Profile'!$D$11="","",'School Profile'!$D$11))</f>
        <v>45793</v>
      </c>
      <c r="AD234" s="1626"/>
      <c r="AE234" s="690" t="str">
        <f>IF('School Profile'!$D$12="Hindi","श्रेणी","Division")</f>
        <v>श्रेणी</v>
      </c>
      <c r="AF234" s="407" t="str">
        <f>IFERROR(VLOOKUP(AB218,'Statement of Marks'!$B$7:'Statement of Marks'!$IC$206,229,0),"")</f>
        <v>1st</v>
      </c>
      <c r="AV234"/>
      <c r="AW234"/>
      <c r="AX234"/>
      <c r="BA234"/>
      <c r="BB234"/>
      <c r="BC234"/>
    </row>
    <row r="235" spans="1:55" s="351" customFormat="1" ht="29.25" customHeight="1">
      <c r="A235" s="33">
        <f>IF(L218="","",A234+1)</f>
        <v>25</v>
      </c>
      <c r="B235" s="1627" t="s">
        <v>144</v>
      </c>
      <c r="C235" s="1628"/>
      <c r="D235" s="1629" t="str">
        <f>IFERROR(VLOOKUP(L218,'Statement of Marks'!$B$7:'Statement of Marks'!$IC$206,192,0),"")</f>
        <v/>
      </c>
      <c r="E235" s="1630"/>
      <c r="F235" s="1631" t="s">
        <v>76</v>
      </c>
      <c r="G235" s="1632"/>
      <c r="H235" s="406" t="str">
        <f>IFERROR(VLOOKUP(L218,'Statement of Marks'!$B$7:'Statement of Marks'!$IC$206,193,0),"")</f>
        <v/>
      </c>
      <c r="I235" s="1633" t="s">
        <v>136</v>
      </c>
      <c r="J235" s="1634"/>
      <c r="K235" s="1635">
        <f>IFERROR(IF(OR(O231="",L218=""),"",VLOOKUP(L218,'Statement of Marks'!$B$7:'Statement of Marks'!$IC$206,230,0)),"")</f>
        <v>57.25</v>
      </c>
      <c r="L235" s="1636"/>
      <c r="M235" s="1637" t="s">
        <v>145</v>
      </c>
      <c r="N235" s="1638"/>
      <c r="O235" s="1638"/>
      <c r="P235" s="408">
        <f>IFERROR(VLOOKUP(L218,'Statement of Marks'!$B$7:'Statement of Marks'!$IC$206,231,0),"")</f>
        <v>16.000000000000075</v>
      </c>
      <c r="Q235" s="1680"/>
      <c r="R235" s="1627" t="s">
        <v>144</v>
      </c>
      <c r="S235" s="1628"/>
      <c r="T235" s="1629" t="str">
        <f>IFERROR(VLOOKUP(AB218,'Statement of Marks'!$B$7:'Statement of Marks'!$IC$206,192,0),"")</f>
        <v/>
      </c>
      <c r="U235" s="1630"/>
      <c r="V235" s="1631" t="s">
        <v>76</v>
      </c>
      <c r="W235" s="1632"/>
      <c r="X235" s="406" t="str">
        <f>IFERROR(VLOOKUP(AB218,'Statement of Marks'!$B$7:'Statement of Marks'!$IC$206,193,0),"")</f>
        <v/>
      </c>
      <c r="Y235" s="1633" t="s">
        <v>136</v>
      </c>
      <c r="Z235" s="1634"/>
      <c r="AA235" s="1635">
        <f>IFERROR(IF(OR(AE231="",AB218=""),"",VLOOKUP(AB218,'Statement of Marks'!$B$7:'Statement of Marks'!$IC$206,230,0)),"")</f>
        <v>64</v>
      </c>
      <c r="AB235" s="1636"/>
      <c r="AC235" s="1637" t="s">
        <v>145</v>
      </c>
      <c r="AD235" s="1638"/>
      <c r="AE235" s="1638"/>
      <c r="AF235" s="408">
        <f>IFERROR(VLOOKUP(AB218,'Statement of Marks'!$B$7:'Statement of Marks'!$IC$206,231,0),"")</f>
        <v>6.9999999999999263</v>
      </c>
      <c r="AV235"/>
      <c r="AW235"/>
      <c r="AX235"/>
      <c r="BA235"/>
      <c r="BB235"/>
      <c r="BC235"/>
    </row>
    <row r="236" spans="1:55" s="351" customFormat="1" ht="27.75" customHeight="1">
      <c r="A236" s="33">
        <f>IF(L218="","",A235+1)</f>
        <v>26</v>
      </c>
      <c r="B236" s="1639" t="str">
        <f>IF('School Profile'!$D$12="Hindi","मुख्य परीक्षा परिणाम ","Main Exam Result")</f>
        <v xml:space="preserve">मुख्य परीक्षा परिणाम </v>
      </c>
      <c r="C236" s="1639"/>
      <c r="D236" s="1640"/>
      <c r="E236" s="1640"/>
      <c r="F236" s="1640"/>
      <c r="G236" s="1640" t="str">
        <f>IF('School Profile'!$D$12="Hindi","विशेष योग्यता प्राप्त विषय","Subjects Of Dictation Marks")</f>
        <v>विशेष योग्यता प्राप्त विषय</v>
      </c>
      <c r="H236" s="1640"/>
      <c r="I236" s="1640"/>
      <c r="J236" s="1640"/>
      <c r="K236" s="1640"/>
      <c r="L236" s="1641" t="str">
        <f>IF('School Profile'!$D$12="Hindi","पूरक विषय","Supplementary Subject")</f>
        <v>पूरक विषय</v>
      </c>
      <c r="M236" s="1642"/>
      <c r="N236" s="1642"/>
      <c r="O236" s="1642"/>
      <c r="P236" s="1643"/>
      <c r="Q236" s="1680"/>
      <c r="R236" s="1639" t="str">
        <f>IF('School Profile'!$D$12="Hindi","मुख्य परीक्षा परिणाम ","Main Exam Result")</f>
        <v xml:space="preserve">मुख्य परीक्षा परिणाम </v>
      </c>
      <c r="S236" s="1639"/>
      <c r="T236" s="1640"/>
      <c r="U236" s="1640"/>
      <c r="V236" s="1640"/>
      <c r="W236" s="1640" t="str">
        <f>IF('School Profile'!$D$12="Hindi","विशेष योग्यता प्राप्त विषय","Subjects Of Dictation Marks")</f>
        <v>विशेष योग्यता प्राप्त विषय</v>
      </c>
      <c r="X236" s="1640"/>
      <c r="Y236" s="1640"/>
      <c r="Z236" s="1640"/>
      <c r="AA236" s="1640"/>
      <c r="AB236" s="1641" t="str">
        <f>IF('School Profile'!$D$12="Hindi","पूरक विषय","Supplementary Subject")</f>
        <v>पूरक विषय</v>
      </c>
      <c r="AC236" s="1642"/>
      <c r="AD236" s="1642"/>
      <c r="AE236" s="1642"/>
      <c r="AF236" s="1643"/>
      <c r="AV236"/>
      <c r="AW236"/>
      <c r="AX236"/>
      <c r="BA236"/>
      <c r="BB236"/>
      <c r="BC236"/>
    </row>
    <row r="237" spans="1:55" s="351" customFormat="1" ht="42.75" customHeight="1">
      <c r="A237" s="33">
        <f>IF(L218="","",A236+1)</f>
        <v>27</v>
      </c>
      <c r="B237" s="1612"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12"/>
      <c r="D237" s="1612"/>
      <c r="E237" s="1612"/>
      <c r="F237" s="1612"/>
      <c r="G237" s="1613" t="str">
        <f>IFERROR(VLOOKUP(L218,'Statement of Marks'!$B$7:'Statement of Marks'!$IC$206,225,0),"")</f>
        <v xml:space="preserve"> अंग्रेजी     </v>
      </c>
      <c r="H237" s="1613"/>
      <c r="I237" s="1613"/>
      <c r="J237" s="1613"/>
      <c r="K237" s="1613"/>
      <c r="L237" s="1614" t="str">
        <f>IFERROR(VLOOKUP(L218,'Statement of Marks'!$B$7:'Statement of Marks'!$IC$206,222,0),"")</f>
        <v xml:space="preserve">      </v>
      </c>
      <c r="M237" s="1615"/>
      <c r="N237" s="1615"/>
      <c r="O237" s="1615"/>
      <c r="P237" s="1616"/>
      <c r="Q237" s="1680"/>
      <c r="R237" s="1612"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12"/>
      <c r="T237" s="1612"/>
      <c r="U237" s="1612"/>
      <c r="V237" s="1612"/>
      <c r="W237" s="1613" t="str">
        <f>IFERROR(VLOOKUP(AB218,'Statement of Marks'!$B$7:'Statement of Marks'!$IC$206,225,0),"")</f>
        <v xml:space="preserve"> अंग्रेजी     </v>
      </c>
      <c r="X237" s="1613"/>
      <c r="Y237" s="1613"/>
      <c r="Z237" s="1613"/>
      <c r="AA237" s="1613"/>
      <c r="AB237" s="1614" t="str">
        <f>IFERROR(VLOOKUP(AB218,'Statement of Marks'!$B$7:'Statement of Marks'!$IC$206,222,0),"")</f>
        <v xml:space="preserve">      </v>
      </c>
      <c r="AC237" s="1615"/>
      <c r="AD237" s="1615"/>
      <c r="AE237" s="1615"/>
      <c r="AF237" s="1616"/>
      <c r="AV237"/>
      <c r="AW237"/>
      <c r="AX237"/>
      <c r="BA237"/>
      <c r="BB237"/>
      <c r="BC237"/>
    </row>
    <row r="238" spans="1:55" s="351" customFormat="1" ht="52.5" customHeight="1">
      <c r="A238" s="33">
        <f>IF(L218="","",A237+1)</f>
        <v>28</v>
      </c>
      <c r="B238" s="1621" t="str">
        <f>IF(AND(L218=""),"",CONCATENATE("(",'School Profile'!$D$18," )"))</f>
        <v>(Yogesh )</v>
      </c>
      <c r="C238" s="1621"/>
      <c r="D238" s="1621"/>
      <c r="E238" s="1621"/>
      <c r="F238" s="1621"/>
      <c r="G238" s="1622" t="str">
        <f>IF(AND(L218=""),"",CONCATENATE("( ",'School Profile'!$D$15," )"))</f>
        <v>( Heeralal Jat )</v>
      </c>
      <c r="H238" s="1622"/>
      <c r="I238" s="1622"/>
      <c r="J238" s="1622"/>
      <c r="K238" s="1623" t="str">
        <f>IF(AND(L218=""),"",CONCATENATE("( ",'School Profile'!$D$14," )"))</f>
        <v>( USHA PALIYA )</v>
      </c>
      <c r="L238" s="1623"/>
      <c r="M238" s="1623"/>
      <c r="N238" s="1623"/>
      <c r="O238" s="1623"/>
      <c r="P238" s="1623"/>
      <c r="Q238" s="1680"/>
      <c r="R238" s="1621" t="str">
        <f>IF(AND(AB218=""),"",CONCATENATE("(",'School Profile'!$D$18," )"))</f>
        <v>(Yogesh )</v>
      </c>
      <c r="S238" s="1621"/>
      <c r="T238" s="1621"/>
      <c r="U238" s="1621"/>
      <c r="V238" s="1621"/>
      <c r="W238" s="1622" t="str">
        <f>IF(AND(AB218=""),"",CONCATENATE("( ",'School Profile'!$D$15," )"))</f>
        <v>( Heeralal Jat )</v>
      </c>
      <c r="X238" s="1622"/>
      <c r="Y238" s="1622"/>
      <c r="Z238" s="1622"/>
      <c r="AA238" s="1623" t="str">
        <f>IF(AND(AB218=""),"",CONCATENATE("( ",'School Profile'!$D$14," )"))</f>
        <v>( USHA PALIYA )</v>
      </c>
      <c r="AB238" s="1623"/>
      <c r="AC238" s="1623"/>
      <c r="AD238" s="1623"/>
      <c r="AE238" s="1623"/>
      <c r="AF238" s="1623"/>
      <c r="AV238"/>
      <c r="AW238"/>
      <c r="AX238"/>
      <c r="BA238"/>
      <c r="BB238"/>
      <c r="BC238"/>
    </row>
    <row r="239" spans="1:55" s="351" customFormat="1" ht="24.75" customHeight="1">
      <c r="A239" s="33">
        <f>IF(L218="","",A238+1)</f>
        <v>29</v>
      </c>
      <c r="B239" s="1624" t="str">
        <f>IF('School Profile'!$D$12="Hindi","हस्ताक्षर कक्षाध्यापक","Signature of the class teacher")</f>
        <v>हस्ताक्षर कक्षाध्यापक</v>
      </c>
      <c r="C239" s="1624"/>
      <c r="D239" s="1624"/>
      <c r="E239" s="1624"/>
      <c r="F239" s="1624"/>
      <c r="G239" s="1624" t="str">
        <f>IF('School Profile'!$D$12="Hindi","हस्ताक्षर परीक्षा प्रभारी","Signature of the exam. Incharge")</f>
        <v>हस्ताक्षर परीक्षा प्रभारी</v>
      </c>
      <c r="H239" s="1624"/>
      <c r="I239" s="1624"/>
      <c r="J239" s="1624"/>
      <c r="K239" s="1624" t="str">
        <f>IF('School Profile'!$D$12="Hindi","हस्ताक्षर मय सील मोहर संस्था प्रधान","Signature &amp; Seal of the Head of the Institution")</f>
        <v>हस्ताक्षर मय सील मोहर संस्था प्रधान</v>
      </c>
      <c r="L239" s="1624"/>
      <c r="M239" s="1624"/>
      <c r="N239" s="1624"/>
      <c r="O239" s="1624"/>
      <c r="P239" s="1624"/>
      <c r="Q239" s="1680"/>
      <c r="R239" s="1624" t="str">
        <f>IF('School Profile'!$D$12="Hindi","हस्ताक्षर कक्षाध्यापक","Signature of the class teacher")</f>
        <v>हस्ताक्षर कक्षाध्यापक</v>
      </c>
      <c r="S239" s="1624"/>
      <c r="T239" s="1624"/>
      <c r="U239" s="1624"/>
      <c r="V239" s="1624"/>
      <c r="W239" s="1624" t="str">
        <f>IF('School Profile'!$D$12="Hindi","हस्ताक्षर परीक्षा प्रभारी","Signature of the exam. Incharge")</f>
        <v>हस्ताक्षर परीक्षा प्रभारी</v>
      </c>
      <c r="X239" s="1624"/>
      <c r="Y239" s="1624"/>
      <c r="Z239" s="1624"/>
      <c r="AA239" s="1624" t="str">
        <f>IF('School Profile'!$D$12="Hindi","हस्ताक्षर मय सील मोहर संस्था प्रधान","Signature &amp; Seal of the Head of the Institution")</f>
        <v>हस्ताक्षर मय सील मोहर संस्था प्रधान</v>
      </c>
      <c r="AB239" s="1624"/>
      <c r="AC239" s="1624"/>
      <c r="AD239" s="1624"/>
      <c r="AE239" s="1624"/>
      <c r="AF239" s="1624"/>
      <c r="AV239"/>
      <c r="AW239"/>
      <c r="AX239"/>
      <c r="BA239"/>
      <c r="BB239"/>
      <c r="BC239"/>
    </row>
    <row r="241" spans="1:55" s="6" customFormat="1" ht="22.5" customHeight="1">
      <c r="A241" s="33">
        <f>IF(L248="","",1)</f>
        <v>1</v>
      </c>
      <c r="B241" s="28"/>
      <c r="C241" s="28"/>
      <c r="D241" s="1553" t="str">
        <f>IF('School Profile'!$D$12="Hindi","वार्षिक रिपोर्ट कार्ड ","Report Card")</f>
        <v xml:space="preserve">वार्षिक रिपोर्ट कार्ड </v>
      </c>
      <c r="E241" s="1553"/>
      <c r="F241" s="1553"/>
      <c r="G241" s="1553"/>
      <c r="H241" s="1553"/>
      <c r="I241" s="1553"/>
      <c r="J241" s="1553"/>
      <c r="K241" s="1553"/>
      <c r="L241" s="1553"/>
      <c r="M241" s="1553"/>
      <c r="N241" s="1553"/>
      <c r="O241" s="349"/>
      <c r="P241" s="349"/>
      <c r="Q241" s="1680" t="s">
        <v>77</v>
      </c>
      <c r="R241" s="28"/>
      <c r="S241" s="28"/>
      <c r="T241" s="1553" t="str">
        <f>IF('School Profile'!$D$12="Hindi","वार्षिक रिपोर्ट कार्ड ","Report Card")</f>
        <v xml:space="preserve">वार्षिक रिपोर्ट कार्ड </v>
      </c>
      <c r="U241" s="1553"/>
      <c r="V241" s="1553"/>
      <c r="W241" s="1553"/>
      <c r="X241" s="1553"/>
      <c r="Y241" s="1553"/>
      <c r="Z241" s="1553"/>
      <c r="AA241" s="1553"/>
      <c r="AB241" s="1553"/>
      <c r="AC241" s="1553"/>
      <c r="AD241" s="1553"/>
      <c r="AE241" s="349"/>
      <c r="AF241" s="349"/>
      <c r="AV241"/>
      <c r="AW241"/>
      <c r="AX241"/>
      <c r="BA241"/>
      <c r="BB241"/>
      <c r="BC241"/>
    </row>
    <row r="242" spans="1:55" s="6" customFormat="1" ht="22.5" customHeight="1">
      <c r="A242" s="33">
        <f>IF(L248="","",A241+1)</f>
        <v>2</v>
      </c>
      <c r="B242" s="28"/>
      <c r="C242" s="28"/>
      <c r="D242" s="1681" t="str">
        <f>IF('School Profile'!$D$12="Hindi","शिक्षा विभाग, राजस्थान सरकार","Education Department, Rajasthan Government")</f>
        <v>शिक्षा विभाग, राजस्थान सरकार</v>
      </c>
      <c r="E242" s="1681"/>
      <c r="F242" s="1681"/>
      <c r="G242" s="1681"/>
      <c r="H242" s="1681"/>
      <c r="I242" s="1681"/>
      <c r="J242" s="1681"/>
      <c r="K242" s="1681"/>
      <c r="L242" s="1681"/>
      <c r="M242" s="1681"/>
      <c r="N242" s="1681"/>
      <c r="O242" s="349"/>
      <c r="P242" s="349"/>
      <c r="Q242" s="1680"/>
      <c r="R242" s="28"/>
      <c r="S242" s="28"/>
      <c r="T242" s="1681" t="str">
        <f>IF('School Profile'!$D$12="Hindi","शिक्षा विभाग, राजस्थान सरकार","Education Department, Rajasthan Government")</f>
        <v>शिक्षा विभाग, राजस्थान सरकार</v>
      </c>
      <c r="U242" s="1681"/>
      <c r="V242" s="1681"/>
      <c r="W242" s="1681"/>
      <c r="X242" s="1681"/>
      <c r="Y242" s="1681"/>
      <c r="Z242" s="1681"/>
      <c r="AA242" s="1681"/>
      <c r="AB242" s="1681"/>
      <c r="AC242" s="1681"/>
      <c r="AD242" s="1681"/>
      <c r="AE242" s="349"/>
      <c r="AF242" s="349"/>
      <c r="AV242"/>
      <c r="AW242"/>
      <c r="AX242"/>
      <c r="BA242"/>
      <c r="BB242"/>
      <c r="BC242"/>
    </row>
    <row r="243" spans="1:55" s="32" customFormat="1" ht="24.95" customHeight="1">
      <c r="A243" s="34">
        <f>IF(L248="","",A242+1)</f>
        <v>3</v>
      </c>
      <c r="B243" s="1555" t="str">
        <f>IF('School Profile'!$D$12="Hindi",CONCATENATE("विद्यालय का नाम :-","  ",'School Profile'!$D$9),CONCATENATE("School Name :-","  ",'School Profile'!$D$8))</f>
        <v xml:space="preserve">विद्यालय का नाम :-  महात्मा गाँधी राजकीय विद्यालय (अंग्रेजी माध्यम) बर, पाली </v>
      </c>
      <c r="C243" s="1555"/>
      <c r="D243" s="1555"/>
      <c r="E243" s="1555"/>
      <c r="F243" s="1555"/>
      <c r="G243" s="1555"/>
      <c r="H243" s="1555"/>
      <c r="I243" s="1555"/>
      <c r="J243" s="1555"/>
      <c r="K243" s="1555"/>
      <c r="L243" s="1555"/>
      <c r="M243" s="1555"/>
      <c r="N243" s="1555"/>
      <c r="O243" s="1555"/>
      <c r="P243" s="1555"/>
      <c r="Q243" s="1680"/>
      <c r="R243" s="1555" t="str">
        <f>IF('School Profile'!$D$12="Hindi",CONCATENATE("विद्यालय का नाम :-","  ",'School Profile'!$D$9),CONCATENATE("School Name :-","  ",'School Profile'!$D$8))</f>
        <v xml:space="preserve">विद्यालय का नाम :-  महात्मा गाँधी राजकीय विद्यालय (अंग्रेजी माध्यम) बर, पाली </v>
      </c>
      <c r="S243" s="1555"/>
      <c r="T243" s="1555"/>
      <c r="U243" s="1555"/>
      <c r="V243" s="1555"/>
      <c r="W243" s="1555"/>
      <c r="X243" s="1555"/>
      <c r="Y243" s="1555"/>
      <c r="Z243" s="1555"/>
      <c r="AA243" s="1555"/>
      <c r="AB243" s="1555"/>
      <c r="AC243" s="1555"/>
      <c r="AD243" s="1555"/>
      <c r="AE243" s="1555"/>
      <c r="AF243" s="1555"/>
      <c r="AV243"/>
      <c r="AW243"/>
      <c r="AX243"/>
      <c r="BA243"/>
      <c r="BB243"/>
      <c r="BC243"/>
    </row>
    <row r="244" spans="1:55" s="32" customFormat="1" ht="24.95" customHeight="1">
      <c r="A244" s="34">
        <f>IF(L248="","",A243+1)</f>
        <v>4</v>
      </c>
      <c r="B244" s="686"/>
      <c r="C244" s="686"/>
      <c r="D244" s="686"/>
      <c r="E244" s="686"/>
      <c r="F244" s="1682"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82"/>
      <c r="H244" s="1682"/>
      <c r="I244" s="1682"/>
      <c r="J244" s="1682"/>
      <c r="K244" s="1682"/>
      <c r="L244" s="1682"/>
      <c r="M244" s="1682"/>
      <c r="N244" s="1682"/>
      <c r="O244" s="1682"/>
      <c r="P244" s="686"/>
      <c r="Q244" s="1680"/>
      <c r="R244" s="686"/>
      <c r="S244" s="686"/>
      <c r="T244" s="686"/>
      <c r="U244" s="686"/>
      <c r="V244" s="1682"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82"/>
      <c r="X244" s="1682"/>
      <c r="Y244" s="1682"/>
      <c r="Z244" s="1682"/>
      <c r="AA244" s="1682"/>
      <c r="AB244" s="1682"/>
      <c r="AC244" s="1682"/>
      <c r="AD244" s="1682"/>
      <c r="AE244" s="1682"/>
      <c r="AF244" s="686"/>
      <c r="AV244"/>
      <c r="AW244"/>
      <c r="AX244"/>
      <c r="AY244" s="6"/>
      <c r="AZ244" s="6"/>
      <c r="BA244"/>
      <c r="BB244"/>
      <c r="BC244"/>
    </row>
    <row r="245" spans="1:55" s="351" customFormat="1" ht="21" customHeight="1">
      <c r="A245" s="33">
        <f>IF(L248="","",A244+1)</f>
        <v>5</v>
      </c>
      <c r="B245" s="681" t="str">
        <f>IF('School Profile'!$D$12="Hindi","कक्षा  :-","CLASS :- ")</f>
        <v>कक्षा  :-</v>
      </c>
      <c r="C245" s="1611" t="str">
        <f>IF('Statement of Marks'!$E$3="","",'Statement of Marks'!$E$3)</f>
        <v>9th</v>
      </c>
      <c r="D245" s="1611"/>
      <c r="E245" s="820" t="str">
        <f>IFERROR(VLOOKUP(L248,'Statement of Marks'!$B$7:'Statement of Marks'!$IC$206,2,0),"")</f>
        <v>A</v>
      </c>
      <c r="F245" s="820"/>
      <c r="G245" s="820"/>
      <c r="H245" s="820"/>
      <c r="I245" s="1683" t="str">
        <f>IF('School Profile'!$D$12="Hindi","प्रवेशांक :","SR. NO. :")</f>
        <v>प्रवेशांक :</v>
      </c>
      <c r="J245" s="1683"/>
      <c r="K245" s="1683"/>
      <c r="L245" s="1684" t="str">
        <f>IFERROR(VLOOKUP(L248,'Statement of Marks'!$B$7:'Statement of Marks'!$IC$206,3,0),"")</f>
        <v/>
      </c>
      <c r="M245" s="1684"/>
      <c r="N245" s="1684"/>
      <c r="O245" s="1684"/>
      <c r="P245" s="414"/>
      <c r="Q245" s="1680"/>
      <c r="R245" s="681" t="str">
        <f>IF('School Profile'!$D$12="Hindi","कक्षा  :-","CLASS :- ")</f>
        <v>कक्षा  :-</v>
      </c>
      <c r="S245" s="1611" t="str">
        <f>IF('Statement of Marks'!$E$3="","",'Statement of Marks'!$E$3)</f>
        <v>9th</v>
      </c>
      <c r="T245" s="1611"/>
      <c r="U245" s="820" t="str">
        <f>IFERROR(VLOOKUP(AB248,'Statement of Marks'!$B$7:'Statement of Marks'!$IC$206,2,0),"")</f>
        <v>A</v>
      </c>
      <c r="V245" s="820"/>
      <c r="W245" s="820"/>
      <c r="X245" s="820"/>
      <c r="Y245" s="1683" t="str">
        <f>IF('School Profile'!$D$12="Hindi","प्रवेशांक :","SR. NO. :")</f>
        <v>प्रवेशांक :</v>
      </c>
      <c r="Z245" s="1683"/>
      <c r="AA245" s="1683"/>
      <c r="AB245" s="1684" t="str">
        <f>IFERROR(VLOOKUP(AB248,'Statement of Marks'!$B$7:'Statement of Marks'!$IC$206,3,0),"")</f>
        <v/>
      </c>
      <c r="AC245" s="1684"/>
      <c r="AD245" s="1684"/>
      <c r="AE245" s="1684"/>
      <c r="AF245" s="414"/>
      <c r="AV245"/>
      <c r="AW245" s="777" t="str">
        <f>L246</f>
        <v/>
      </c>
      <c r="AX245"/>
      <c r="BA245"/>
      <c r="BB245" s="777" t="str">
        <f>AB246</f>
        <v/>
      </c>
      <c r="BC245"/>
    </row>
    <row r="246" spans="1:55" s="351" customFormat="1" ht="21" customHeight="1">
      <c r="A246" s="33">
        <f>IF(L248="","",A245+1)</f>
        <v>6</v>
      </c>
      <c r="B246" s="687" t="str">
        <f>IF('School Profile'!$D$12="Hindi","विद्यार्थी का नाम :-","Student's Name :-")</f>
        <v>विद्यार्थी का नाम :-</v>
      </c>
      <c r="C246" s="1685" t="str">
        <f>IFERROR(VLOOKUP(L248,'Statement of Marks'!$B$7:'Statement of Marks'!$IC$206,5,0),"")</f>
        <v>FATIMA</v>
      </c>
      <c r="D246" s="1685"/>
      <c r="E246" s="1685"/>
      <c r="F246" s="1685"/>
      <c r="G246" s="1685"/>
      <c r="H246" s="1685"/>
      <c r="I246" s="1683" t="str">
        <f>IF('School Profile'!$D$12="Hindi","जन्म तिथि :","Date of Birth :")</f>
        <v>जन्म तिथि :</v>
      </c>
      <c r="J246" s="1683"/>
      <c r="K246" s="1683"/>
      <c r="L246" s="1686" t="str">
        <f>IFERROR(VLOOKUP(L248,'Statement of Marks'!$B$7:'Statement of Marks'!$IC$206,4,0),"")</f>
        <v/>
      </c>
      <c r="M246" s="1686"/>
      <c r="N246" s="1686"/>
      <c r="O246" s="1686"/>
      <c r="P246" s="688"/>
      <c r="Q246" s="1680"/>
      <c r="R246" s="687" t="str">
        <f>IF('School Profile'!$D$12="Hindi","विद्यार्थी का नाम :-","Student's Name :-")</f>
        <v>विद्यार्थी का नाम :-</v>
      </c>
      <c r="S246" s="1685" t="str">
        <f>IFERROR(VLOOKUP(AB248,'Statement of Marks'!$B$7:'Statement of Marks'!$IC$206,5,0),"")</f>
        <v>LAXMI</v>
      </c>
      <c r="T246" s="1685"/>
      <c r="U246" s="1685"/>
      <c r="V246" s="1685"/>
      <c r="W246" s="1685"/>
      <c r="X246" s="1685"/>
      <c r="Y246" s="1683" t="str">
        <f>IF('School Profile'!$D$12="Hindi","जन्म तिथि :","Date of Birth :")</f>
        <v>जन्म तिथि :</v>
      </c>
      <c r="Z246" s="1683"/>
      <c r="AA246" s="1683"/>
      <c r="AB246" s="1686" t="str">
        <f>IFERROR(VLOOKUP(AB248,'Statement of Marks'!$B$7:'Statement of Marks'!$IC$206,4,0),"")</f>
        <v/>
      </c>
      <c r="AC246" s="1686"/>
      <c r="AD246" s="1686"/>
      <c r="AE246" s="1686"/>
      <c r="AF246" s="688"/>
      <c r="AV246" t="e">
        <f>YEAR(AW245)</f>
        <v>#VALUE!</v>
      </c>
      <c r="AW246" t="e">
        <f>MONTH(AW245)</f>
        <v>#VALUE!</v>
      </c>
      <c r="AX246" t="e">
        <f>DAY(AW245)</f>
        <v>#VALUE!</v>
      </c>
      <c r="BA246" t="e">
        <f>YEAR(BB245)</f>
        <v>#VALUE!</v>
      </c>
      <c r="BB246" t="e">
        <f>MONTH(BB245)</f>
        <v>#VALUE!</v>
      </c>
      <c r="BC246" t="e">
        <f>DAY(BB245)</f>
        <v>#VALUE!</v>
      </c>
    </row>
    <row r="247" spans="1:55" s="351" customFormat="1" ht="21" customHeight="1">
      <c r="A247" s="33">
        <f>IF(L248="","",A246+1)</f>
        <v>7</v>
      </c>
      <c r="B247" s="687" t="str">
        <f>IF('School Profile'!$D$12="Hindi","पिता का नाम :-","Father's Name :-")</f>
        <v>पिता का नाम :-</v>
      </c>
      <c r="C247" s="1685" t="str">
        <f>IFERROR(VLOOKUP(L248,'Statement of Marks'!$B$7:'Statement of Marks'!$IC$206,6,0),"")</f>
        <v/>
      </c>
      <c r="D247" s="1685"/>
      <c r="E247" s="1685"/>
      <c r="F247" s="1685"/>
      <c r="G247" s="1685"/>
      <c r="H247" s="1685"/>
      <c r="I247" s="1683" t="str">
        <f>IF('School Profile'!$D$12="Hindi","जन्मतिथि शब्दों में :-","Date of Birth in Words :-")</f>
        <v>जन्मतिथि शब्दों में :-</v>
      </c>
      <c r="J247" s="1683"/>
      <c r="K247" s="1683"/>
      <c r="L247" s="1685" t="str">
        <f>IFERROR(IF('School Profile'!$D$12="Hindi",AW248,AW250),"")</f>
        <v/>
      </c>
      <c r="M247" s="1685"/>
      <c r="N247" s="1685"/>
      <c r="O247" s="1685"/>
      <c r="P247" s="688"/>
      <c r="Q247" s="1680"/>
      <c r="R247" s="687" t="str">
        <f>IF('School Profile'!$D$12="Hindi","पिता का नाम :-","Father's Name :-")</f>
        <v>पिता का नाम :-</v>
      </c>
      <c r="S247" s="1685" t="str">
        <f>IFERROR(VLOOKUP(AB248,'Statement of Marks'!$B$7:'Statement of Marks'!$IC$206,6,0),"")</f>
        <v/>
      </c>
      <c r="T247" s="1685"/>
      <c r="U247" s="1685"/>
      <c r="V247" s="1685"/>
      <c r="W247" s="1685"/>
      <c r="X247" s="1685"/>
      <c r="Y247" s="1683" t="str">
        <f>IF('School Profile'!$D$12="Hindi","जन्मतिथि शब्दों में :-","Date of Birth in Words :-")</f>
        <v>जन्मतिथि शब्दों में :-</v>
      </c>
      <c r="Z247" s="1683"/>
      <c r="AA247" s="1683"/>
      <c r="AB247" s="1685" t="str">
        <f>IFERROR(IF('School Profile'!$D$12="Hindi",BB248,BB250),"")</f>
        <v/>
      </c>
      <c r="AC247" s="1685"/>
      <c r="AD247" s="1685"/>
      <c r="AE247" s="1685"/>
      <c r="AF247" s="688"/>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इग्यारह",IF(AV246=2012,"दो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इ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इग्यारह",IF(BA246=2012,"दो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इ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51" customFormat="1" ht="21" customHeight="1">
      <c r="A248" s="33">
        <f>IF(L248="","",A247+1)</f>
        <v>8</v>
      </c>
      <c r="B248" s="681" t="str">
        <f>IF('School Profile'!$D$12="Hindi","माता का नाम :-","Mother's Name :-")</f>
        <v>माता का नाम :-</v>
      </c>
      <c r="C248" s="1685" t="str">
        <f>IFERROR(VLOOKUP(L248,'Statement of Marks'!$B$7:'Statement of Marks'!$IC$206,7,0),"")</f>
        <v/>
      </c>
      <c r="D248" s="1685"/>
      <c r="E248" s="1685"/>
      <c r="F248" s="1685"/>
      <c r="G248" s="1685"/>
      <c r="H248" s="1685"/>
      <c r="I248" s="1683" t="str">
        <f>IF('School Profile'!$D$12="Hindi","रोल नंबर :-","Roll No. :")</f>
        <v>रोल नंबर :-</v>
      </c>
      <c r="J248" s="1683"/>
      <c r="K248" s="1683"/>
      <c r="L248" s="1672">
        <f>IF(AB218="","",IF(AND(AB218+1&gt;$AN$11),"",AB218+1))</f>
        <v>917</v>
      </c>
      <c r="M248" s="1672"/>
      <c r="N248" s="1672"/>
      <c r="Q248" s="1680"/>
      <c r="R248" s="681" t="str">
        <f>IF('School Profile'!$D$12="Hindi","माता का नाम :-","Mother's Name :-")</f>
        <v>माता का नाम :-</v>
      </c>
      <c r="S248" s="1685" t="str">
        <f>IFERROR(VLOOKUP(AB248,'Statement of Marks'!$B$7:'Statement of Marks'!$IC$206,7,0),"")</f>
        <v/>
      </c>
      <c r="T248" s="1685"/>
      <c r="U248" s="1685"/>
      <c r="V248" s="1685"/>
      <c r="W248" s="1685"/>
      <c r="X248" s="1685"/>
      <c r="Y248" s="1683" t="str">
        <f>IF('School Profile'!$D$12="Hindi","रोल नंबर :-","Roll No. :")</f>
        <v>रोल नंबर :-</v>
      </c>
      <c r="Z248" s="1683"/>
      <c r="AA248" s="1683"/>
      <c r="AB248" s="1672">
        <f>IF(L248="","",IF(AND(L248+1&gt;$AN$11),"",L248+1))</f>
        <v>918</v>
      </c>
      <c r="AC248" s="1672"/>
      <c r="AD248" s="1672"/>
      <c r="AV248"/>
      <c r="AW248" t="e">
        <f>CONCATENATE(AX247," ",AW247," ",AV247)</f>
        <v>#VALUE!</v>
      </c>
      <c r="AX248"/>
      <c r="BA248"/>
      <c r="BB248" t="e">
        <f>CONCATENATE(BC247," ",BB247," ",BA247)</f>
        <v>#VALUE!</v>
      </c>
      <c r="BC248"/>
    </row>
    <row r="249" spans="1:55" s="351" customFormat="1" ht="9.75" customHeight="1">
      <c r="A249" s="33">
        <f>IF(L248="","",A248+1)</f>
        <v>9</v>
      </c>
      <c r="B249" s="1673"/>
      <c r="C249" s="1673"/>
      <c r="D249" s="1673"/>
      <c r="E249" s="1673"/>
      <c r="F249" s="1673"/>
      <c r="G249" s="1673"/>
      <c r="H249" s="1673"/>
      <c r="I249" s="1673"/>
      <c r="J249" s="1673"/>
      <c r="K249" s="1673"/>
      <c r="L249" s="1673"/>
      <c r="M249" s="1673"/>
      <c r="N249" s="1673"/>
      <c r="O249" s="1673"/>
      <c r="P249" s="401"/>
      <c r="Q249" s="1680"/>
      <c r="R249" s="1673"/>
      <c r="S249" s="1673"/>
      <c r="T249" s="1673"/>
      <c r="U249" s="1673"/>
      <c r="V249" s="1673"/>
      <c r="W249" s="1673"/>
      <c r="X249" s="1673"/>
      <c r="Y249" s="1673"/>
      <c r="Z249" s="1673"/>
      <c r="AA249" s="1673"/>
      <c r="AB249" s="1673"/>
      <c r="AC249" s="1673"/>
      <c r="AD249" s="1673"/>
      <c r="AE249" s="1673"/>
      <c r="AF249" s="401"/>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51" customFormat="1" ht="26.25" customHeight="1">
      <c r="A250" s="33">
        <f>IF(L248="","",A249+1)</f>
        <v>10</v>
      </c>
      <c r="B250" s="1619" t="str">
        <f>IF('School Profile'!$D$12="Hindi","विषय का नाम","Subject Name")</f>
        <v>विषय का नाम</v>
      </c>
      <c r="C250" s="1620"/>
      <c r="D250" s="1678" t="str">
        <f>IF('School Profile'!$D$12="Hindi","सामयिक परख","Seasonal Exam")</f>
        <v>सामयिक परख</v>
      </c>
      <c r="E250" s="1678"/>
      <c r="F250" s="1678"/>
      <c r="G250" s="1678"/>
      <c r="H250" s="1678" t="str">
        <f>IF('School Profile'!$D$12="Hindi","अर्द्धवार्षिक","Half Yearly")</f>
        <v>अर्द्धवार्षिक</v>
      </c>
      <c r="I250" s="1678"/>
      <c r="J250" s="1678"/>
      <c r="K250" s="1582" t="str">
        <f>IF('School Profile'!$D$12="Hindi","अर्द्ध वा. तक योग","Total Till H.Y.")</f>
        <v>अर्द्ध वा. तक योग</v>
      </c>
      <c r="L250" s="1678" t="str">
        <f>IF('School Profile'!$D$12="Hindi","वार्षिक","Yearly")</f>
        <v>वार्षिक</v>
      </c>
      <c r="M250" s="1678"/>
      <c r="N250" s="1678"/>
      <c r="O250" s="1577" t="str">
        <f>IF('School Profile'!$D$12="Hindi","विषय कुल योग ","Subject Total")</f>
        <v xml:space="preserve">विषय कुल योग </v>
      </c>
      <c r="P250" s="1679" t="str">
        <f>IF('School Profile'!$D$12="Hindi","विषय परिणाम / विषय श्रेणी","Sub. Result /  Sub. Div.")</f>
        <v>विषय परिणाम / विषय श्रेणी</v>
      </c>
      <c r="Q250" s="1680"/>
      <c r="R250" s="1619" t="str">
        <f>IF('School Profile'!$D$12="Hindi","विषय का नाम","Subject Name")</f>
        <v>विषय का नाम</v>
      </c>
      <c r="S250" s="1620"/>
      <c r="T250" s="1678" t="str">
        <f>IF('School Profile'!$D$12="Hindi","सामयिक परख","Seasonal Exam")</f>
        <v>सामयिक परख</v>
      </c>
      <c r="U250" s="1678"/>
      <c r="V250" s="1678"/>
      <c r="W250" s="1678"/>
      <c r="X250" s="1678" t="str">
        <f>IF('School Profile'!$D$12="Hindi","अर्द्धवार्षिक","Half Yearly")</f>
        <v>अर्द्धवार्षिक</v>
      </c>
      <c r="Y250" s="1678"/>
      <c r="Z250" s="1678"/>
      <c r="AA250" s="1582" t="str">
        <f>IF('School Profile'!$D$12="Hindi","अर्द्ध वा. तक योग","Total Till H.Y.")</f>
        <v>अर्द्ध वा. तक योग</v>
      </c>
      <c r="AB250" s="1678" t="str">
        <f>IF('School Profile'!$D$12="Hindi","वार्षिक","Yearly")</f>
        <v>वार्षिक</v>
      </c>
      <c r="AC250" s="1678"/>
      <c r="AD250" s="1678"/>
      <c r="AE250" s="1577" t="str">
        <f>IF('School Profile'!$D$12="Hindi","विषय कुल योग ","Subject Total")</f>
        <v xml:space="preserve">विषय कुल योग </v>
      </c>
      <c r="AF250" s="1679"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51" customFormat="1" ht="78.75" customHeight="1">
      <c r="A251" s="33">
        <f>IF(L248="","",A250+1)</f>
        <v>11</v>
      </c>
      <c r="B251" s="1674"/>
      <c r="C251" s="1675"/>
      <c r="D251" s="656" t="str">
        <f>IF('School Profile'!$D$12="Hindi","प्रथम परख ","First Test")</f>
        <v xml:space="preserve">प्रथम परख </v>
      </c>
      <c r="E251" s="656" t="str">
        <f>IF('School Profile'!$D$12="Hindi","द्वितीय परख","Second Test")</f>
        <v>द्वितीय परख</v>
      </c>
      <c r="F251" s="656" t="str">
        <f>IF('School Profile'!$D$12="Hindi","तृतीय परख","Third Test")</f>
        <v>तृतीय परख</v>
      </c>
      <c r="G251" s="657" t="str">
        <f>IF('School Profile'!$D$12="Hindi","सा. परख योग","Test Total")</f>
        <v>सा. परख योग</v>
      </c>
      <c r="H251" s="658" t="str">
        <f>IF('School Profile'!$D$12="Hindi","सैद्धान्तिक","Theoretical")</f>
        <v>सैद्धान्तिक</v>
      </c>
      <c r="I251" s="658" t="str">
        <f>IF('School Profile'!$D$12="Hindi","प्रायोगिक","Practical")</f>
        <v>प्रायोगिक</v>
      </c>
      <c r="J251" s="659" t="str">
        <f>IF('School Profile'!$D$12="Hindi","अर्द्धवार्षिक योग","H.Y.  Total")</f>
        <v>अर्द्धवार्षिक योग</v>
      </c>
      <c r="K251" s="1582"/>
      <c r="L251" s="658" t="str">
        <f>IF('School Profile'!$D$12="Hindi","सैद्धान्तिक","Theoretical")</f>
        <v>सैद्धान्तिक</v>
      </c>
      <c r="M251" s="658" t="str">
        <f>IF('School Profile'!$D$12="Hindi","प्रायोगिक","Practical")</f>
        <v>प्रायोगिक</v>
      </c>
      <c r="N251" s="659" t="str">
        <f>IF('School Profile'!$D$12="Hindi","वार्षिक योग","Yearly  Total")</f>
        <v>वार्षिक योग</v>
      </c>
      <c r="O251" s="1577"/>
      <c r="P251" s="1579"/>
      <c r="Q251" s="1680"/>
      <c r="R251" s="1674"/>
      <c r="S251" s="1675"/>
      <c r="T251" s="656" t="str">
        <f>IF('School Profile'!$D$12="Hindi","प्रथम परख ","First Test")</f>
        <v xml:space="preserve">प्रथम परख </v>
      </c>
      <c r="U251" s="656" t="str">
        <f>IF('School Profile'!$D$12="Hindi","द्वितीय परख","Second Test")</f>
        <v>द्वितीय परख</v>
      </c>
      <c r="V251" s="656" t="str">
        <f>IF('School Profile'!$D$12="Hindi","तृतीय परख","Third Test")</f>
        <v>तृतीय परख</v>
      </c>
      <c r="W251" s="657" t="str">
        <f>IF('School Profile'!$D$12="Hindi","सा. परख योग","Test Total")</f>
        <v>सा. परख योग</v>
      </c>
      <c r="X251" s="658" t="str">
        <f>IF('School Profile'!$D$12="Hindi","सैद्धान्तिक","Theoretical")</f>
        <v>सैद्धान्तिक</v>
      </c>
      <c r="Y251" s="658" t="str">
        <f>IF('School Profile'!$D$12="Hindi","प्रायोगिक","Practical")</f>
        <v>प्रायोगिक</v>
      </c>
      <c r="Z251" s="659" t="str">
        <f>IF('School Profile'!$D$12="Hindi","अर्द्धवार्षिक योग","H.Y.  Total")</f>
        <v>अर्द्धवार्षिक योग</v>
      </c>
      <c r="AA251" s="1582"/>
      <c r="AB251" s="658" t="str">
        <f>IF('School Profile'!$D$12="Hindi","सैद्धान्तिक","Theoretical")</f>
        <v>सैद्धान्तिक</v>
      </c>
      <c r="AC251" s="658" t="str">
        <f>IF('School Profile'!$D$12="Hindi","प्रायोगिक","Practical")</f>
        <v>प्रायोगिक</v>
      </c>
      <c r="AD251" s="659" t="str">
        <f>IF('School Profile'!$D$12="Hindi","वार्षिक योग","Yearly  Total")</f>
        <v>वार्षिक योग</v>
      </c>
      <c r="AE251" s="1577"/>
      <c r="AF251" s="1579"/>
      <c r="AV251"/>
      <c r="AW251"/>
      <c r="AX251"/>
      <c r="BA251"/>
      <c r="BB251"/>
      <c r="BC251"/>
    </row>
    <row r="252" spans="1:55" s="353" customFormat="1" ht="21" customHeight="1">
      <c r="A252" s="33">
        <f>IF(L248="","",A251+1)</f>
        <v>12</v>
      </c>
      <c r="B252" s="1676"/>
      <c r="C252" s="1677"/>
      <c r="D252" s="663">
        <v>10</v>
      </c>
      <c r="E252" s="663">
        <v>10</v>
      </c>
      <c r="F252" s="663">
        <v>10</v>
      </c>
      <c r="G252" s="663">
        <v>30</v>
      </c>
      <c r="H252" s="665" t="s">
        <v>252</v>
      </c>
      <c r="I252" s="661">
        <v>35</v>
      </c>
      <c r="J252" s="660">
        <v>70</v>
      </c>
      <c r="K252" s="661">
        <v>100</v>
      </c>
      <c r="L252" s="664" t="s">
        <v>253</v>
      </c>
      <c r="M252" s="663">
        <v>50</v>
      </c>
      <c r="N252" s="660">
        <v>100</v>
      </c>
      <c r="O252" s="662">
        <v>200</v>
      </c>
      <c r="P252" s="1580"/>
      <c r="Q252" s="1680"/>
      <c r="R252" s="1676"/>
      <c r="S252" s="1677"/>
      <c r="T252" s="663">
        <v>10</v>
      </c>
      <c r="U252" s="663">
        <v>10</v>
      </c>
      <c r="V252" s="663">
        <v>10</v>
      </c>
      <c r="W252" s="663">
        <v>30</v>
      </c>
      <c r="X252" s="665" t="s">
        <v>252</v>
      </c>
      <c r="Y252" s="661">
        <v>35</v>
      </c>
      <c r="Z252" s="660">
        <v>70</v>
      </c>
      <c r="AA252" s="661">
        <v>100</v>
      </c>
      <c r="AB252" s="664" t="s">
        <v>253</v>
      </c>
      <c r="AC252" s="663">
        <v>50</v>
      </c>
      <c r="AD252" s="660">
        <v>100</v>
      </c>
      <c r="AE252" s="662">
        <v>200</v>
      </c>
      <c r="AF252" s="1580"/>
      <c r="AV252"/>
      <c r="AW252"/>
      <c r="AX252"/>
      <c r="BA252"/>
      <c r="BB252"/>
      <c r="BC252"/>
    </row>
    <row r="253" spans="1:55" s="351" customFormat="1" ht="22.5" customHeight="1">
      <c r="A253" s="33">
        <f>IF(L248="","",A252+1)</f>
        <v>13</v>
      </c>
      <c r="B253" s="1617" t="str">
        <f>'Statement of Marks'!$K$3</f>
        <v>हिंदी</v>
      </c>
      <c r="C253" s="1618"/>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7">
        <f>IF(L248="","",IF(AND(H253="",I253=""),"",SUM(H253,I253)))</f>
        <v>46</v>
      </c>
      <c r="K253" s="679">
        <f>IFERROR(IF(L248="","",IF(AND(G253="",J253=""),"",SUM(G253,J253))),"")</f>
        <v>71</v>
      </c>
      <c r="L253" s="26">
        <f>IFERROR(VLOOKUP(L248,'Statement of Marks'!$B$7:'Statement of Marks'!$IC$206,16,0),"")</f>
        <v>65</v>
      </c>
      <c r="M253" s="26"/>
      <c r="N253" s="347">
        <f>IF(L248="","",IF(AND(L253="",M253=""),"",SUM(L253,M253)))</f>
        <v>65</v>
      </c>
      <c r="O253" s="674">
        <f>IFERROR(VLOOKUP(L248,'Statement of Marks'!$B$7:'Statement of Marks'!$IC$206,17,0),"")</f>
        <v>136</v>
      </c>
      <c r="P253" s="680"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80"/>
      <c r="R253" s="1617" t="str">
        <f>'Statement of Marks'!$K$3</f>
        <v>हिंदी</v>
      </c>
      <c r="S253" s="1618"/>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7">
        <f>IF(AB248="","",IF(AND(X253="",Y253=""),"",SUM(X253,Y253)))</f>
        <v>46</v>
      </c>
      <c r="AA253" s="679">
        <f>IFERROR(IF(AB248="","",IF(AND(W253="",Z253=""),"",SUM(W253,Z253))),"")</f>
        <v>71</v>
      </c>
      <c r="AB253" s="26">
        <f>IFERROR(VLOOKUP(AB248,'Statement of Marks'!$B$7:'Statement of Marks'!$IC$206,16,0),"")</f>
        <v>65</v>
      </c>
      <c r="AC253" s="26"/>
      <c r="AD253" s="347">
        <f>IF(AB248="","",IF(AND(AB253="",AC253=""),"",SUM(AB253,AC253)))</f>
        <v>65</v>
      </c>
      <c r="AE253" s="674">
        <f>IFERROR(VLOOKUP(AB248,'Statement of Marks'!$B$7:'Statement of Marks'!$IC$206,17,0),"")</f>
        <v>136</v>
      </c>
      <c r="AF253" s="680"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51" customFormat="1" ht="22.5" customHeight="1">
      <c r="A254" s="33">
        <f>IF(L248="","",A253+1)</f>
        <v>14</v>
      </c>
      <c r="B254" s="1617" t="str">
        <f>'Statement of Marks'!$Y$3</f>
        <v>अंग्रेजी</v>
      </c>
      <c r="C254" s="1618"/>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7">
        <f>IF(L248="","",IF(AND(H254="",I254=""),"",SUM(H254,I254)))</f>
        <v>60</v>
      </c>
      <c r="K254" s="679">
        <f>IFERROR(IF(L248="","",IF(AND(G254="",J254=""),"",SUM(G254,J254))),"")</f>
        <v>85</v>
      </c>
      <c r="L254" s="26">
        <f>IFERROR(VLOOKUP(L248,'Statement of Marks'!$B$7:'Statement of Marks'!$IC$206,30,0),"")</f>
        <v>85</v>
      </c>
      <c r="M254" s="26"/>
      <c r="N254" s="347">
        <f>IF(L248="","",IF(AND(L254="",M254=""),"",SUM(L254,M254)))</f>
        <v>85</v>
      </c>
      <c r="O254" s="674">
        <f>IFERROR(VLOOKUP(L248,'Statement of Marks'!$B$7:'Statement of Marks'!$IC$206,31,0),"")</f>
        <v>170</v>
      </c>
      <c r="P254" s="680"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80"/>
      <c r="R254" s="1617" t="str">
        <f>'Statement of Marks'!$Y$3</f>
        <v>अंग्रेजी</v>
      </c>
      <c r="S254" s="1618"/>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7">
        <f>IF(AB248="","",IF(AND(X254="",Y254=""),"",SUM(X254,Y254)))</f>
        <v>60</v>
      </c>
      <c r="AA254" s="679">
        <f>IFERROR(IF(AB248="","",IF(AND(W254="",Z254=""),"",SUM(W254,Z254))),"")</f>
        <v>85</v>
      </c>
      <c r="AB254" s="26">
        <f>IFERROR(VLOOKUP(AB248,'Statement of Marks'!$B$7:'Statement of Marks'!$IC$206,30,0),"")</f>
        <v>85</v>
      </c>
      <c r="AC254" s="26"/>
      <c r="AD254" s="347">
        <f>IF(AB248="","",IF(AND(AB254="",AC254=""),"",SUM(AB254,AC254)))</f>
        <v>85</v>
      </c>
      <c r="AE254" s="674">
        <f>IFERROR(VLOOKUP(AB248,'Statement of Marks'!$B$7:'Statement of Marks'!$IC$206,31,0),"")</f>
        <v>170</v>
      </c>
      <c r="AF254" s="680"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51" customFormat="1" ht="22.5" customHeight="1">
      <c r="A255" s="33">
        <f>IF(L248="","",A254+1)</f>
        <v>15</v>
      </c>
      <c r="B255" s="1617" t="str">
        <f>IFERROR(VLOOKUP(L248,'Statement of Marks'!$B$7:'Statement of Marks'!$IC$206,38,0),"")</f>
        <v>पंजाबी (75)</v>
      </c>
      <c r="C255" s="1618"/>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7">
        <f>IF(L248="","",IF(AND(H255="",I255=""),"",SUM(H255,I255)))</f>
        <v>46</v>
      </c>
      <c r="K255" s="679">
        <f>IFERROR(IF(L248="","",IF(AND(G255="",J255=""),"",SUM(G255,J255))),"")</f>
        <v>72</v>
      </c>
      <c r="L255" s="26">
        <f>IFERROR(VLOOKUP(L248,'Statement of Marks'!$B$7:'Statement of Marks'!$IC$206,45,0),"")</f>
        <v>45</v>
      </c>
      <c r="M255" s="26"/>
      <c r="N255" s="347">
        <f>IF(L248="","",IF(AND(L255="",M255=""),"",SUM(L255,M255)))</f>
        <v>45</v>
      </c>
      <c r="O255" s="674">
        <f>IFERROR(VLOOKUP(L248,'Statement of Marks'!$B$7:'Statement of Marks'!$IC$206,46,0),"")</f>
        <v>117</v>
      </c>
      <c r="P255" s="680"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80"/>
      <c r="R255" s="1617" t="str">
        <f>IFERROR(VLOOKUP(AB248,'Statement of Marks'!$B$7:'Statement of Marks'!$IC$206,38,0),"")</f>
        <v xml:space="preserve">उर्दू (72) </v>
      </c>
      <c r="S255" s="1618"/>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7">
        <f>IF(AB248="","",IF(AND(X255="",Y255=""),"",SUM(X255,Y255)))</f>
        <v>46</v>
      </c>
      <c r="AA255" s="679">
        <f>IFERROR(IF(AB248="","",IF(AND(W255="",Z255=""),"",SUM(W255,Z255))),"")</f>
        <v>72</v>
      </c>
      <c r="AB255" s="26">
        <f>IFERROR(VLOOKUP(AB248,'Statement of Marks'!$B$7:'Statement of Marks'!$IC$206,45,0),"")</f>
        <v>45</v>
      </c>
      <c r="AC255" s="26"/>
      <c r="AD255" s="347">
        <f>IF(AB248="","",IF(AND(AB255="",AC255=""),"",SUM(AB255,AC255)))</f>
        <v>45</v>
      </c>
      <c r="AE255" s="674">
        <f>IFERROR(VLOOKUP(AB248,'Statement of Marks'!$B$7:'Statement of Marks'!$IC$206,46,0),"")</f>
        <v>117</v>
      </c>
      <c r="AF255" s="680"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51" customFormat="1" ht="22.5" customHeight="1">
      <c r="A256" s="33">
        <f>IF(L248="","",A255+1)</f>
        <v>16</v>
      </c>
      <c r="B256" s="1617" t="str">
        <f>'Statement of Marks'!$BB$3</f>
        <v>गणित</v>
      </c>
      <c r="C256" s="1618"/>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7">
        <f>IF(L248="","",IF(AND(H256="",I256=""),"",SUM(H256,I256)))</f>
        <v>46</v>
      </c>
      <c r="K256" s="679">
        <f>IFERROR(IF(L248="","",IF(AND(G256="",J256=""),"",SUM(G256,J256))),"")</f>
        <v>71</v>
      </c>
      <c r="L256" s="26">
        <f>IFERROR(VLOOKUP(L248,'Statement of Marks'!$B$7:'Statement of Marks'!$IC$206,59,0),"")</f>
        <v>45</v>
      </c>
      <c r="M256" s="26"/>
      <c r="N256" s="347">
        <f>IF(L248="","",IF(AND(L256="",M256=""),"",SUM(L256,M256)))</f>
        <v>45</v>
      </c>
      <c r="O256" s="674">
        <f>IFERROR(VLOOKUP(L248,'Statement of Marks'!$B$7:'Statement of Marks'!$IC$206,60,0),"")</f>
        <v>116</v>
      </c>
      <c r="P256" s="680"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80"/>
      <c r="R256" s="1617" t="str">
        <f>'Statement of Marks'!$BB$3</f>
        <v>गणित</v>
      </c>
      <c r="S256" s="1618"/>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7">
        <f>IF(AB248="","",IF(AND(X256="",Y256=""),"",SUM(X256,Y256)))</f>
        <v>46</v>
      </c>
      <c r="AA256" s="679">
        <f>IFERROR(IF(AB248="","",IF(AND(W256="",Z256=""),"",SUM(W256,Z256))),"")</f>
        <v>70</v>
      </c>
      <c r="AB256" s="26">
        <f>IFERROR(VLOOKUP(AB248,'Statement of Marks'!$B$7:'Statement of Marks'!$IC$206,59,0),"")</f>
        <v>45</v>
      </c>
      <c r="AC256" s="26"/>
      <c r="AD256" s="347">
        <f>IF(AB248="","",IF(AND(AB256="",AC256=""),"",SUM(AB256,AC256)))</f>
        <v>45</v>
      </c>
      <c r="AE256" s="674">
        <f>IFERROR(VLOOKUP(AB248,'Statement of Marks'!$B$7:'Statement of Marks'!$IC$206,60,0),"")</f>
        <v>115</v>
      </c>
      <c r="AF256" s="680"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51" customFormat="1" ht="22.5" customHeight="1">
      <c r="A257" s="33">
        <f>IF(L248="","",A256+1)</f>
        <v>17</v>
      </c>
      <c r="B257" s="1619" t="str">
        <f>'Statement of Marks'!$BP$3</f>
        <v>विज्ञान</v>
      </c>
      <c r="C257" s="1620"/>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7">
        <f>IF(L248="","",IF(AND(H257="",I257=""),"",SUM(H257,I257)))</f>
        <v>46</v>
      </c>
      <c r="K257" s="679">
        <f>IFERROR(IF(L248="","",IF(AND(G257="",J257=""),"",SUM(G257,J257))),"")</f>
        <v>70</v>
      </c>
      <c r="L257" s="26">
        <f>IFERROR(VLOOKUP(L248,'Statement of Marks'!$B$7:'Statement of Marks'!$IC$206,73,0),"")</f>
        <v>45</v>
      </c>
      <c r="M257" s="26"/>
      <c r="N257" s="347">
        <f>IF(L248="","",IF(AND(L257="",M257=""),"",SUM(L257,M257)))</f>
        <v>45</v>
      </c>
      <c r="O257" s="674">
        <f>IFERROR(VLOOKUP(L248,'Statement of Marks'!$B$7:'Statement of Marks'!$IC$206,74,0),"")</f>
        <v>115</v>
      </c>
      <c r="P257" s="680"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80"/>
      <c r="R257" s="1619" t="str">
        <f>'Statement of Marks'!$BP$3</f>
        <v>विज्ञान</v>
      </c>
      <c r="S257" s="1620"/>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7">
        <f>IF(AB248="","",IF(AND(X257="",Y257=""),"",SUM(X257,Y257)))</f>
        <v>46</v>
      </c>
      <c r="AA257" s="679">
        <f>IFERROR(IF(AB248="","",IF(AND(W257="",Z257=""),"",SUM(W257,Z257))),"")</f>
        <v>70</v>
      </c>
      <c r="AB257" s="26">
        <f>IFERROR(VLOOKUP(AB248,'Statement of Marks'!$B$7:'Statement of Marks'!$IC$206,73,0),"")</f>
        <v>45</v>
      </c>
      <c r="AC257" s="26"/>
      <c r="AD257" s="347">
        <f>IF(AB248="","",IF(AND(AB257="",AC257=""),"",SUM(AB257,AC257)))</f>
        <v>45</v>
      </c>
      <c r="AE257" s="674">
        <f>IFERROR(VLOOKUP(AB248,'Statement of Marks'!$B$7:'Statement of Marks'!$IC$206,74,0),"")</f>
        <v>115</v>
      </c>
      <c r="AF257" s="680"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51" customFormat="1" ht="22.5" customHeight="1">
      <c r="A258" s="33">
        <f>IF(L248="","",A257+1)</f>
        <v>18</v>
      </c>
      <c r="B258" s="409" t="str">
        <f>'Statement of Marks'!$CE$3</f>
        <v>सामाजिक विज्ञान</v>
      </c>
      <c r="C258" s="412"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7">
        <f>IF(L248="","",IF(AND(H258="",I258=""),"",SUM(H258,I258)))</f>
        <v>46</v>
      </c>
      <c r="K258" s="679">
        <f>IFERROR(IF(L248="","",IF(AND(G258="",J258=""),"",SUM(G258,J258))),"")</f>
        <v>70</v>
      </c>
      <c r="L258" s="26">
        <f>IFERROR(VLOOKUP(L248,'Statement of Marks'!$B$7:'Statement of Marks'!$IC$206,88,0),"")</f>
        <v>45</v>
      </c>
      <c r="M258" s="26"/>
      <c r="N258" s="347">
        <f>IF(L248="","",IF(AND(L258="",M258=""),"",SUM(L258,M258)))</f>
        <v>45</v>
      </c>
      <c r="O258" s="674">
        <f>IFERROR(VLOOKUP(L248,'Statement of Marks'!$B$7:'Statement of Marks'!$IC$206,89,0),"")</f>
        <v>115</v>
      </c>
      <c r="P258" s="680"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80"/>
      <c r="R258" s="409" t="str">
        <f>'Statement of Marks'!$CE$3</f>
        <v>सामाजिक विज्ञान</v>
      </c>
      <c r="S258" s="412"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7">
        <f>IF(AB248="","",IF(AND(X258="",Y258=""),"",SUM(X258,Y258)))</f>
        <v>46</v>
      </c>
      <c r="AA258" s="679">
        <f>IFERROR(IF(AB248="","",IF(AND(W258="",Z258=""),"",SUM(W258,Z258))),"")</f>
        <v>70</v>
      </c>
      <c r="AB258" s="26">
        <f>IFERROR(VLOOKUP(AB248,'Statement of Marks'!$B$7:'Statement of Marks'!$IC$206,88,0),"")</f>
        <v>45</v>
      </c>
      <c r="AC258" s="26"/>
      <c r="AD258" s="347">
        <f>IF(AB248="","",IF(AND(AB258="",AC258=""),"",SUM(AB258,AC258)))</f>
        <v>45</v>
      </c>
      <c r="AE258" s="674">
        <f>IFERROR(VLOOKUP(AB248,'Statement of Marks'!$B$7:'Statement of Marks'!$IC$206,89,0),"")</f>
        <v>115</v>
      </c>
      <c r="AF258" s="680"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51" customFormat="1">
      <c r="A259" s="33">
        <f>IF(L248="","",A258+1)</f>
        <v>19</v>
      </c>
      <c r="B259" s="1687" t="str">
        <f>IF('School Profile'!$D$12="Hindi","व्यावसायिक शिक्षा","Vocational Education")</f>
        <v>व्यावसायिक शिक्षा</v>
      </c>
      <c r="C259" s="1688"/>
      <c r="D259" s="1689"/>
      <c r="E259" s="1689"/>
      <c r="F259" s="1689"/>
      <c r="G259" s="1689"/>
      <c r="H259" s="1689"/>
      <c r="I259" s="1689"/>
      <c r="J259" s="1689"/>
      <c r="K259" s="1689"/>
      <c r="L259" s="1689"/>
      <c r="M259" s="1689"/>
      <c r="N259" s="1689"/>
      <c r="O259" s="1689"/>
      <c r="P259" s="1690"/>
      <c r="Q259" s="1680"/>
      <c r="R259" s="1687" t="str">
        <f>IF('School Profile'!$D$12="Hindi","व्यावसायिक शिक्षा","Vocational Education")</f>
        <v>व्यावसायिक शिक्षा</v>
      </c>
      <c r="S259" s="1688"/>
      <c r="T259" s="1689"/>
      <c r="U259" s="1689"/>
      <c r="V259" s="1689"/>
      <c r="W259" s="1689"/>
      <c r="X259" s="1689"/>
      <c r="Y259" s="1689"/>
      <c r="Z259" s="1689"/>
      <c r="AA259" s="1689"/>
      <c r="AB259" s="1689"/>
      <c r="AC259" s="1689"/>
      <c r="AD259" s="1689"/>
      <c r="AE259" s="1689"/>
      <c r="AF259" s="1690"/>
      <c r="AV259"/>
      <c r="AW259"/>
      <c r="AX259"/>
      <c r="BA259"/>
      <c r="BB259"/>
      <c r="BC259"/>
    </row>
    <row r="260" spans="1:55" s="351" customFormat="1" ht="22.5" customHeight="1">
      <c r="A260" s="33">
        <f>IF(L248="","",A259+1)</f>
        <v>20</v>
      </c>
      <c r="B260" s="411" t="str">
        <f>IFERROR(VLOOKUP(L248,'Statement of Marks'!$B$7:'Statement of Marks'!$IC$206,96,0),"")</f>
        <v/>
      </c>
      <c r="C260" s="410" t="str">
        <f>IF(OR(L248="",O258="",O260="",B260=""),"",IF(AND(O260&gt;=O258),"*",""))</f>
        <v/>
      </c>
      <c r="D260" s="397"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7" t="str">
        <f>IFERROR(VLOOKUP(L248,'Statement of Marks'!$B$7:'Statement of Marks'!$IC$206,103,0),"")</f>
        <v/>
      </c>
      <c r="K260" s="679" t="str">
        <f>IFERROR(IF(L248="","",IF(AND(G260="",J260=""),"",SUM(G260,J260))),"")</f>
        <v/>
      </c>
      <c r="L260" s="26" t="str">
        <f>IFERROR(VLOOKUP(L248,'Statement of Marks'!$B$7:'Statement of Marks'!$IC$206,105,0),"")</f>
        <v/>
      </c>
      <c r="M260" s="26" t="str">
        <f>IFERROR(VLOOKUP(L248,'Statement of Marks'!$B$7:'Statement of Marks'!$IC$206,106,0),"")</f>
        <v/>
      </c>
      <c r="N260" s="347" t="str">
        <f>IF(L248="","",IF(AND(L260="",M260=""),"",SUM(L260,M260)))</f>
        <v/>
      </c>
      <c r="O260" s="672" t="str">
        <f>IFERROR(VLOOKUP(L248,'Statement of Marks'!$B$7:'Statement of Marks'!$IC$206,108,0),"")</f>
        <v/>
      </c>
      <c r="P260" s="680"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80"/>
      <c r="R260" s="411" t="str">
        <f>IFERROR(VLOOKUP(AB248,'Statement of Marks'!$B$7:'Statement of Marks'!$IC$206,96,0),"")</f>
        <v/>
      </c>
      <c r="S260" s="410" t="str">
        <f>IF(OR(AB248="",AE258="",AE260="",R260=""),"",IF(AND(AE260&gt;=AE258),"*",""))</f>
        <v/>
      </c>
      <c r="T260" s="397"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7" t="str">
        <f>IFERROR(VLOOKUP(AB248,'Statement of Marks'!$B$7:'Statement of Marks'!$IC$206,103,0),"")</f>
        <v/>
      </c>
      <c r="AA260" s="679" t="str">
        <f>IFERROR(IF(AB248="","",IF(AND(W260="",Z260=""),"",SUM(W260,Z260))),"")</f>
        <v/>
      </c>
      <c r="AB260" s="26" t="str">
        <f>IFERROR(VLOOKUP(AB248,'Statement of Marks'!$B$7:'Statement of Marks'!$IC$206,105,0),"")</f>
        <v/>
      </c>
      <c r="AC260" s="26" t="str">
        <f>IFERROR(VLOOKUP(AB248,'Statement of Marks'!$B$7:'Statement of Marks'!$IC$206,106,0),"")</f>
        <v/>
      </c>
      <c r="AD260" s="347" t="str">
        <f>IF(AB248="","",IF(AND(AB260="",AC260=""),"",SUM(AB260,AC260)))</f>
        <v/>
      </c>
      <c r="AE260" s="672" t="str">
        <f>IFERROR(VLOOKUP(AB248,'Statement of Marks'!$B$7:'Statement of Marks'!$IC$206,108,0),"")</f>
        <v/>
      </c>
      <c r="AF260" s="680"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51" customFormat="1" ht="25.5" customHeight="1">
      <c r="A261" s="33">
        <f>IF(L248="","",A260+1)</f>
        <v>21</v>
      </c>
      <c r="B261" s="1665"/>
      <c r="C261" s="1666"/>
      <c r="D261" s="1667"/>
      <c r="E261" s="1667"/>
      <c r="F261" s="1667"/>
      <c r="G261" s="1667"/>
      <c r="H261" s="1667"/>
      <c r="I261" s="1667"/>
      <c r="J261" s="1667"/>
      <c r="K261" s="1667"/>
      <c r="L261" s="1668" t="str">
        <f>IF('School Profile'!$D$12="Hindi","महायोग :","Grand Total :")</f>
        <v>महायोग :</v>
      </c>
      <c r="M261" s="1669"/>
      <c r="N261" s="1669"/>
      <c r="O261" s="1670">
        <f>IF(OR(L248="",C246=""),"",IF(OR(B260="",O260=""),SUM(O253,O254,O255,O256,O257,O258),IF((O258/O252*100)&gt;=(O260/O252*100),SUM(O253:O258),SUM(O253,O254,O255,O256,O257,O260))))</f>
        <v>769</v>
      </c>
      <c r="P261" s="1671"/>
      <c r="Q261" s="1680"/>
      <c r="R261" s="1665"/>
      <c r="S261" s="1666"/>
      <c r="T261" s="1667"/>
      <c r="U261" s="1667"/>
      <c r="V261" s="1667"/>
      <c r="W261" s="1667"/>
      <c r="X261" s="1667"/>
      <c r="Y261" s="1667"/>
      <c r="Z261" s="1667"/>
      <c r="AA261" s="1667"/>
      <c r="AB261" s="1668" t="str">
        <f>IF('School Profile'!$D$12="Hindi","महायोग :","Grand Total :")</f>
        <v>महायोग :</v>
      </c>
      <c r="AC261" s="1669"/>
      <c r="AD261" s="1669"/>
      <c r="AE261" s="1670">
        <f>IF(OR(AB248="",S246=""),"",IF(OR(R260="",AE260=""),SUM(AE253,AE254,AE255,AE256,AE257,AE258),IF((AE258/AE252*100)&gt;=(AE260/AE252*100),SUM(AE253:AE258),SUM(AE253,AE254,AE255,AE256,AE257,AE260))))</f>
        <v>768</v>
      </c>
      <c r="AF261" s="1671"/>
      <c r="AV261"/>
      <c r="AW261"/>
      <c r="AX261"/>
      <c r="BA261"/>
      <c r="BB261"/>
      <c r="BC261"/>
    </row>
    <row r="262" spans="1:55" s="351" customFormat="1" ht="25.5" customHeight="1">
      <c r="A262" s="33">
        <f>IF(L248="","",A261+1)</f>
        <v>22</v>
      </c>
      <c r="B262" s="1644" t="str">
        <f>'Statement of Marks'!$DZ$208</f>
        <v>राजस्थान का स्वंत्रता आन्दोलन व शोर्य परम्परा</v>
      </c>
      <c r="C262" s="1645"/>
      <c r="D262" s="1646" t="s">
        <v>149</v>
      </c>
      <c r="E262" s="1647"/>
      <c r="F262" s="355" t="str">
        <f>IFERROR(VLOOKUP(L248,'Statement of Marks'!$B$7:'Statement of Marks'!$IC$206,136,0),"")</f>
        <v/>
      </c>
      <c r="G262" s="356" t="s">
        <v>135</v>
      </c>
      <c r="H262" s="355" t="str">
        <f>IFERROR(VLOOKUP(L248,'Statement of Marks'!$B$7:'Statement of Marks'!$IC$206,137,0),"")</f>
        <v/>
      </c>
      <c r="I262" s="1648" t="str">
        <f>'Statement of Marks'!$EL$208</f>
        <v>सूचना प्रोद्योगिकी की अवधारणा - I</v>
      </c>
      <c r="J262" s="1649"/>
      <c r="K262" s="1649"/>
      <c r="L262" s="1650"/>
      <c r="M262" s="354" t="s">
        <v>149</v>
      </c>
      <c r="N262" s="355" t="str">
        <f>IFERROR(VLOOKUP(L248,'Statement of Marks'!$B$7:'Statement of Marks'!$IC$206,152,0),"")</f>
        <v/>
      </c>
      <c r="O262" s="356" t="s">
        <v>135</v>
      </c>
      <c r="P262" s="355" t="str">
        <f>IFERROR(VLOOKUP(L248,'Statement of Marks'!$B$7:'Statement of Marks'!$IC$206,153,0),"")</f>
        <v/>
      </c>
      <c r="Q262" s="1680"/>
      <c r="R262" s="1644" t="str">
        <f>'Statement of Marks'!$DZ$208</f>
        <v>राजस्थान का स्वंत्रता आन्दोलन व शोर्य परम्परा</v>
      </c>
      <c r="S262" s="1645"/>
      <c r="T262" s="1646" t="s">
        <v>149</v>
      </c>
      <c r="U262" s="1647"/>
      <c r="V262" s="355" t="str">
        <f>IFERROR(VLOOKUP(AB248,'Statement of Marks'!$B$7:'Statement of Marks'!$IC$206,136,0),"")</f>
        <v/>
      </c>
      <c r="W262" s="356" t="s">
        <v>135</v>
      </c>
      <c r="X262" s="355" t="str">
        <f>IFERROR(VLOOKUP(AB248,'Statement of Marks'!$B$7:'Statement of Marks'!$IC$206,137,0),"")</f>
        <v/>
      </c>
      <c r="Y262" s="1648" t="str">
        <f>'Statement of Marks'!$EL$208</f>
        <v>सूचना प्रोद्योगिकी की अवधारणा - I</v>
      </c>
      <c r="Z262" s="1649"/>
      <c r="AA262" s="1649"/>
      <c r="AB262" s="1650"/>
      <c r="AC262" s="354" t="s">
        <v>149</v>
      </c>
      <c r="AD262" s="355" t="str">
        <f>IFERROR(VLOOKUP(AB248,'Statement of Marks'!$B$7:'Statement of Marks'!$IC$206,152,0),"")</f>
        <v/>
      </c>
      <c r="AE262" s="356" t="s">
        <v>135</v>
      </c>
      <c r="AF262" s="355" t="str">
        <f>IFERROR(VLOOKUP(AB248,'Statement of Marks'!$B$7:'Statement of Marks'!$IC$206,153,0),"")</f>
        <v/>
      </c>
      <c r="AV262"/>
      <c r="AW262"/>
      <c r="AX262"/>
      <c r="BA262"/>
      <c r="BB262"/>
      <c r="BC262"/>
    </row>
    <row r="263" spans="1:55" s="351" customFormat="1" ht="25.5" customHeight="1">
      <c r="A263" s="33">
        <f>IF(L248="","",A262+1)</f>
        <v>23</v>
      </c>
      <c r="B263" s="1651" t="str">
        <f>'Statement of Marks'!$FB$208</f>
        <v>स्वा. एवं शा. शिक्षा</v>
      </c>
      <c r="C263" s="1652"/>
      <c r="D263" s="1653" t="s">
        <v>149</v>
      </c>
      <c r="E263" s="1654"/>
      <c r="F263" s="355" t="str">
        <f>IFERROR(VLOOKUP(L248,'Statement of Marks'!$B$7:'Statement of Marks'!$IC$206,171,0),"")</f>
        <v/>
      </c>
      <c r="G263" s="356" t="s">
        <v>135</v>
      </c>
      <c r="H263" s="355" t="str">
        <f>IFERROR(VLOOKUP(L248,'Statement of Marks'!$B$7:'Statement of Marks'!$IC$206,172,0),"")</f>
        <v/>
      </c>
      <c r="I263" s="1655" t="str">
        <f>'Statement of Marks'!$FJ$208</f>
        <v>समाजोपयोगी उत्पादन कार्य एवं समाज सेवा</v>
      </c>
      <c r="J263" s="1656"/>
      <c r="K263" s="1656"/>
      <c r="L263" s="1657"/>
      <c r="M263" s="403" t="s">
        <v>149</v>
      </c>
      <c r="N263" s="404" t="str">
        <f>IFERROR(VLOOKUP(L248,'Statement of Marks'!$B$7:'Statement of Marks'!$IC$206,179,0),"")</f>
        <v/>
      </c>
      <c r="O263" s="405" t="s">
        <v>135</v>
      </c>
      <c r="P263" s="404" t="str">
        <f>IFERROR(VLOOKUP(L248,'Statement of Marks'!$B$7:'Statement of Marks'!$IC$206,180,0),"")</f>
        <v/>
      </c>
      <c r="Q263" s="1680"/>
      <c r="R263" s="1651" t="str">
        <f>'Statement of Marks'!$FB$208</f>
        <v>स्वा. एवं शा. शिक्षा</v>
      </c>
      <c r="S263" s="1652"/>
      <c r="T263" s="1653" t="s">
        <v>149</v>
      </c>
      <c r="U263" s="1654"/>
      <c r="V263" s="355" t="str">
        <f>IFERROR(VLOOKUP(AB248,'Statement of Marks'!$B$7:'Statement of Marks'!$IC$206,171,0),"")</f>
        <v/>
      </c>
      <c r="W263" s="356" t="s">
        <v>135</v>
      </c>
      <c r="X263" s="355" t="str">
        <f>IFERROR(VLOOKUP(AB248,'Statement of Marks'!$B$7:'Statement of Marks'!$IC$206,172,0),"")</f>
        <v/>
      </c>
      <c r="Y263" s="1655" t="str">
        <f>'Statement of Marks'!$FJ$208</f>
        <v>समाजोपयोगी उत्पादन कार्य एवं समाज सेवा</v>
      </c>
      <c r="Z263" s="1656"/>
      <c r="AA263" s="1656"/>
      <c r="AB263" s="1657"/>
      <c r="AC263" s="403" t="s">
        <v>149</v>
      </c>
      <c r="AD263" s="404" t="str">
        <f>IFERROR(VLOOKUP(AB248,'Statement of Marks'!$B$7:'Statement of Marks'!$IC$206,179,0),"")</f>
        <v/>
      </c>
      <c r="AE263" s="405" t="s">
        <v>135</v>
      </c>
      <c r="AF263" s="404" t="str">
        <f>IFERROR(VLOOKUP(AB248,'Statement of Marks'!$B$7:'Statement of Marks'!$IC$206,180,0),"")</f>
        <v/>
      </c>
      <c r="AV263"/>
      <c r="AW263"/>
      <c r="AX263"/>
      <c r="BA263"/>
      <c r="BB263"/>
      <c r="BC263"/>
    </row>
    <row r="264" spans="1:55" s="351" customFormat="1" ht="30" customHeight="1">
      <c r="A264" s="33">
        <f>IF(L248="","",A263+1)</f>
        <v>24</v>
      </c>
      <c r="B264" s="1658" t="str">
        <f>'Statement of Marks'!$FU$208</f>
        <v>कला शिक्षा</v>
      </c>
      <c r="C264" s="1659"/>
      <c r="D264" s="1660" t="s">
        <v>149</v>
      </c>
      <c r="E264" s="1661"/>
      <c r="F264" s="404" t="str">
        <f>IFERROR(VLOOKUP(L248,'Statement of Marks'!$B$7:'Statement of Marks'!$IC$206,187,0),"")</f>
        <v/>
      </c>
      <c r="G264" s="405" t="s">
        <v>135</v>
      </c>
      <c r="H264" s="355" t="str">
        <f>IFERROR(VLOOKUP(L248,'Statement of Marks'!$B$7:'Statement of Marks'!$IC$206,188,0),"")</f>
        <v/>
      </c>
      <c r="I264" s="1662" t="str">
        <f>IF('School Profile'!$D$12="Hindi","परीक्षा परिणाम घोषित दिनांक :-","Date of Result declaration :-")</f>
        <v>परीक्षा परिणाम घोषित दिनांक :-</v>
      </c>
      <c r="J264" s="1663"/>
      <c r="K264" s="1663"/>
      <c r="L264" s="1664"/>
      <c r="M264" s="1625">
        <f>IF(AND(L248=""),"",IF('School Profile'!$D$11="","",'School Profile'!$D$11))</f>
        <v>45793</v>
      </c>
      <c r="N264" s="1626"/>
      <c r="O264" s="690" t="str">
        <f>IF('School Profile'!$D$12="Hindi","श्रेणी","Division")</f>
        <v>श्रेणी</v>
      </c>
      <c r="P264" s="407" t="str">
        <f>IFERROR(VLOOKUP(L248,'Statement of Marks'!$B$7:'Statement of Marks'!$IC$206,229,0),"")</f>
        <v>1st</v>
      </c>
      <c r="Q264" s="1680"/>
      <c r="R264" s="1658" t="str">
        <f>'Statement of Marks'!$FU$208</f>
        <v>कला शिक्षा</v>
      </c>
      <c r="S264" s="1659"/>
      <c r="T264" s="1660" t="s">
        <v>149</v>
      </c>
      <c r="U264" s="1661"/>
      <c r="V264" s="404" t="str">
        <f>IFERROR(VLOOKUP(AB248,'Statement of Marks'!$B$7:'Statement of Marks'!$IC$206,187,0),"")</f>
        <v/>
      </c>
      <c r="W264" s="405" t="s">
        <v>135</v>
      </c>
      <c r="X264" s="355" t="str">
        <f>IFERROR(VLOOKUP(AB248,'Statement of Marks'!$B$7:'Statement of Marks'!$IC$206,188,0),"")</f>
        <v/>
      </c>
      <c r="Y264" s="1662" t="str">
        <f>IF('School Profile'!$D$12="Hindi","परीक्षा परिणाम घोषित दिनांक :-","Date of Result declaration :-")</f>
        <v>परीक्षा परिणाम घोषित दिनांक :-</v>
      </c>
      <c r="Z264" s="1663"/>
      <c r="AA264" s="1663"/>
      <c r="AB264" s="1664"/>
      <c r="AC264" s="1625">
        <f>IF(AND(AB248=""),"",IF('School Profile'!$D$11="","",'School Profile'!$D$11))</f>
        <v>45793</v>
      </c>
      <c r="AD264" s="1626"/>
      <c r="AE264" s="690" t="str">
        <f>IF('School Profile'!$D$12="Hindi","श्रेणी","Division")</f>
        <v>श्रेणी</v>
      </c>
      <c r="AF264" s="407" t="str">
        <f>IFERROR(VLOOKUP(AB248,'Statement of Marks'!$B$7:'Statement of Marks'!$IC$206,229,0),"")</f>
        <v>1st</v>
      </c>
      <c r="AV264"/>
      <c r="AW264"/>
      <c r="AX264"/>
      <c r="BA264"/>
      <c r="BB264"/>
      <c r="BC264"/>
    </row>
    <row r="265" spans="1:55" s="351" customFormat="1" ht="29.25" customHeight="1">
      <c r="A265" s="33">
        <f>IF(L248="","",A264+1)</f>
        <v>25</v>
      </c>
      <c r="B265" s="1627" t="s">
        <v>144</v>
      </c>
      <c r="C265" s="1628"/>
      <c r="D265" s="1629" t="str">
        <f>IFERROR(VLOOKUP(L248,'Statement of Marks'!$B$7:'Statement of Marks'!$IC$206,192,0),"")</f>
        <v/>
      </c>
      <c r="E265" s="1630"/>
      <c r="F265" s="1631" t="s">
        <v>76</v>
      </c>
      <c r="G265" s="1632"/>
      <c r="H265" s="406" t="str">
        <f>IFERROR(VLOOKUP(L248,'Statement of Marks'!$B$7:'Statement of Marks'!$IC$206,193,0),"")</f>
        <v/>
      </c>
      <c r="I265" s="1633" t="s">
        <v>136</v>
      </c>
      <c r="J265" s="1634"/>
      <c r="K265" s="1635">
        <f>IFERROR(IF(OR(O261="",L248=""),"",VLOOKUP(L248,'Statement of Marks'!$B$7:'Statement of Marks'!$IC$206,230,0)),"")</f>
        <v>64.083333333333329</v>
      </c>
      <c r="L265" s="1636"/>
      <c r="M265" s="1637" t="s">
        <v>145</v>
      </c>
      <c r="N265" s="1638"/>
      <c r="O265" s="1638"/>
      <c r="P265" s="408">
        <f>IFERROR(VLOOKUP(L248,'Statement of Marks'!$B$7:'Statement of Marks'!$IC$206,231,0),"")</f>
        <v>5.9999999999999263</v>
      </c>
      <c r="Q265" s="1680"/>
      <c r="R265" s="1627" t="s">
        <v>144</v>
      </c>
      <c r="S265" s="1628"/>
      <c r="T265" s="1629" t="str">
        <f>IFERROR(VLOOKUP(AB248,'Statement of Marks'!$B$7:'Statement of Marks'!$IC$206,192,0),"")</f>
        <v/>
      </c>
      <c r="U265" s="1630"/>
      <c r="V265" s="1631" t="s">
        <v>76</v>
      </c>
      <c r="W265" s="1632"/>
      <c r="X265" s="406" t="str">
        <f>IFERROR(VLOOKUP(AB248,'Statement of Marks'!$B$7:'Statement of Marks'!$IC$206,193,0),"")</f>
        <v/>
      </c>
      <c r="Y265" s="1633" t="s">
        <v>136</v>
      </c>
      <c r="Z265" s="1634"/>
      <c r="AA265" s="1635">
        <f>IFERROR(IF(OR(AE261="",AB248=""),"",VLOOKUP(AB248,'Statement of Marks'!$B$7:'Statement of Marks'!$IC$206,230,0)),"")</f>
        <v>64</v>
      </c>
      <c r="AB265" s="1636"/>
      <c r="AC265" s="1637" t="s">
        <v>145</v>
      </c>
      <c r="AD265" s="1638"/>
      <c r="AE265" s="1638"/>
      <c r="AF265" s="408">
        <f>IFERROR(VLOOKUP(AB248,'Statement of Marks'!$B$7:'Statement of Marks'!$IC$206,231,0),"")</f>
        <v>6.9999999999999263</v>
      </c>
      <c r="AV265"/>
      <c r="AW265"/>
      <c r="AX265"/>
      <c r="BA265"/>
      <c r="BB265"/>
      <c r="BC265"/>
    </row>
    <row r="266" spans="1:55" s="351" customFormat="1" ht="27.75" customHeight="1">
      <c r="A266" s="33">
        <f>IF(L248="","",A265+1)</f>
        <v>26</v>
      </c>
      <c r="B266" s="1639" t="str">
        <f>IF('School Profile'!$D$12="Hindi","मुख्य परीक्षा परिणाम ","Main Exam Result")</f>
        <v xml:space="preserve">मुख्य परीक्षा परिणाम </v>
      </c>
      <c r="C266" s="1639"/>
      <c r="D266" s="1640"/>
      <c r="E266" s="1640"/>
      <c r="F266" s="1640"/>
      <c r="G266" s="1640" t="str">
        <f>IF('School Profile'!$D$12="Hindi","विशेष योग्यता प्राप्त विषय","Subjects Of Dictation Marks")</f>
        <v>विशेष योग्यता प्राप्त विषय</v>
      </c>
      <c r="H266" s="1640"/>
      <c r="I266" s="1640"/>
      <c r="J266" s="1640"/>
      <c r="K266" s="1640"/>
      <c r="L266" s="1641" t="str">
        <f>IF('School Profile'!$D$12="Hindi","पूरक विषय","Supplementary Subject")</f>
        <v>पूरक विषय</v>
      </c>
      <c r="M266" s="1642"/>
      <c r="N266" s="1642"/>
      <c r="O266" s="1642"/>
      <c r="P266" s="1643"/>
      <c r="Q266" s="1680"/>
      <c r="R266" s="1639" t="str">
        <f>IF('School Profile'!$D$12="Hindi","मुख्य परीक्षा परिणाम ","Main Exam Result")</f>
        <v xml:space="preserve">मुख्य परीक्षा परिणाम </v>
      </c>
      <c r="S266" s="1639"/>
      <c r="T266" s="1640"/>
      <c r="U266" s="1640"/>
      <c r="V266" s="1640"/>
      <c r="W266" s="1640" t="str">
        <f>IF('School Profile'!$D$12="Hindi","विशेष योग्यता प्राप्त विषय","Subjects Of Dictation Marks")</f>
        <v>विशेष योग्यता प्राप्त विषय</v>
      </c>
      <c r="X266" s="1640"/>
      <c r="Y266" s="1640"/>
      <c r="Z266" s="1640"/>
      <c r="AA266" s="1640"/>
      <c r="AB266" s="1641" t="str">
        <f>IF('School Profile'!$D$12="Hindi","पूरक विषय","Supplementary Subject")</f>
        <v>पूरक विषय</v>
      </c>
      <c r="AC266" s="1642"/>
      <c r="AD266" s="1642"/>
      <c r="AE266" s="1642"/>
      <c r="AF266" s="1643"/>
      <c r="AV266"/>
      <c r="AW266"/>
      <c r="AX266"/>
      <c r="BA266"/>
      <c r="BB266"/>
      <c r="BC266"/>
    </row>
    <row r="267" spans="1:55" s="351" customFormat="1" ht="42.75" customHeight="1">
      <c r="A267" s="33">
        <f>IF(L248="","",A266+1)</f>
        <v>27</v>
      </c>
      <c r="B267" s="1612"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12"/>
      <c r="D267" s="1612"/>
      <c r="E267" s="1612"/>
      <c r="F267" s="1612"/>
      <c r="G267" s="1613" t="str">
        <f>IFERROR(VLOOKUP(L248,'Statement of Marks'!$B$7:'Statement of Marks'!$IC$206,225,0),"")</f>
        <v xml:space="preserve"> अंग्रेजी     </v>
      </c>
      <c r="H267" s="1613"/>
      <c r="I267" s="1613"/>
      <c r="J267" s="1613"/>
      <c r="K267" s="1613"/>
      <c r="L267" s="1614" t="str">
        <f>IFERROR(VLOOKUP(L248,'Statement of Marks'!$B$7:'Statement of Marks'!$IC$206,222,0),"")</f>
        <v xml:space="preserve">      </v>
      </c>
      <c r="M267" s="1615"/>
      <c r="N267" s="1615"/>
      <c r="O267" s="1615"/>
      <c r="P267" s="1616"/>
      <c r="Q267" s="1680"/>
      <c r="R267" s="1612"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12"/>
      <c r="T267" s="1612"/>
      <c r="U267" s="1612"/>
      <c r="V267" s="1612"/>
      <c r="W267" s="1613" t="str">
        <f>IFERROR(VLOOKUP(AB248,'Statement of Marks'!$B$7:'Statement of Marks'!$IC$206,225,0),"")</f>
        <v xml:space="preserve"> अंग्रेजी     </v>
      </c>
      <c r="X267" s="1613"/>
      <c r="Y267" s="1613"/>
      <c r="Z267" s="1613"/>
      <c r="AA267" s="1613"/>
      <c r="AB267" s="1614" t="str">
        <f>IFERROR(VLOOKUP(AB248,'Statement of Marks'!$B$7:'Statement of Marks'!$IC$206,222,0),"")</f>
        <v xml:space="preserve">      </v>
      </c>
      <c r="AC267" s="1615"/>
      <c r="AD267" s="1615"/>
      <c r="AE267" s="1615"/>
      <c r="AF267" s="1616"/>
      <c r="AV267"/>
      <c r="AW267"/>
      <c r="AX267"/>
      <c r="BA267"/>
      <c r="BB267"/>
      <c r="BC267"/>
    </row>
    <row r="268" spans="1:55" s="351" customFormat="1" ht="52.5" customHeight="1">
      <c r="A268" s="33">
        <f>IF(L248="","",A267+1)</f>
        <v>28</v>
      </c>
      <c r="B268" s="1621" t="str">
        <f>IF(AND(L248=""),"",CONCATENATE("(",'School Profile'!$D$18," )"))</f>
        <v>(Yogesh )</v>
      </c>
      <c r="C268" s="1621"/>
      <c r="D268" s="1621"/>
      <c r="E268" s="1621"/>
      <c r="F268" s="1621"/>
      <c r="G268" s="1622" t="str">
        <f>IF(AND(L248=""),"",CONCATENATE("( ",'School Profile'!$D$15," )"))</f>
        <v>( Heeralal Jat )</v>
      </c>
      <c r="H268" s="1622"/>
      <c r="I268" s="1622"/>
      <c r="J268" s="1622"/>
      <c r="K268" s="1623" t="str">
        <f>IF(AND(L248=""),"",CONCATENATE("( ",'School Profile'!$D$14," )"))</f>
        <v>( USHA PALIYA )</v>
      </c>
      <c r="L268" s="1623"/>
      <c r="M268" s="1623"/>
      <c r="N268" s="1623"/>
      <c r="O268" s="1623"/>
      <c r="P268" s="1623"/>
      <c r="Q268" s="1680"/>
      <c r="R268" s="1621" t="str">
        <f>IF(AND(AB248=""),"",CONCATENATE("(",'School Profile'!$D$18," )"))</f>
        <v>(Yogesh )</v>
      </c>
      <c r="S268" s="1621"/>
      <c r="T268" s="1621"/>
      <c r="U268" s="1621"/>
      <c r="V268" s="1621"/>
      <c r="W268" s="1622" t="str">
        <f>IF(AND(AB248=""),"",CONCATENATE("( ",'School Profile'!$D$15," )"))</f>
        <v>( Heeralal Jat )</v>
      </c>
      <c r="X268" s="1622"/>
      <c r="Y268" s="1622"/>
      <c r="Z268" s="1622"/>
      <c r="AA268" s="1623" t="str">
        <f>IF(AND(AB248=""),"",CONCATENATE("( ",'School Profile'!$D$14," )"))</f>
        <v>( USHA PALIYA )</v>
      </c>
      <c r="AB268" s="1623"/>
      <c r="AC268" s="1623"/>
      <c r="AD268" s="1623"/>
      <c r="AE268" s="1623"/>
      <c r="AF268" s="1623"/>
      <c r="AV268"/>
      <c r="AW268"/>
      <c r="AX268"/>
      <c r="BA268"/>
      <c r="BB268"/>
      <c r="BC268"/>
    </row>
    <row r="269" spans="1:55" s="351" customFormat="1" ht="24.75" customHeight="1">
      <c r="A269" s="33">
        <f>IF(L248="","",A268+1)</f>
        <v>29</v>
      </c>
      <c r="B269" s="1624" t="str">
        <f>IF('School Profile'!$D$12="Hindi","हस्ताक्षर कक्षाध्यापक","Signature of the class teacher")</f>
        <v>हस्ताक्षर कक्षाध्यापक</v>
      </c>
      <c r="C269" s="1624"/>
      <c r="D269" s="1624"/>
      <c r="E269" s="1624"/>
      <c r="F269" s="1624"/>
      <c r="G269" s="1624" t="str">
        <f>IF('School Profile'!$D$12="Hindi","हस्ताक्षर परीक्षा प्रभारी","Signature of the exam. Incharge")</f>
        <v>हस्ताक्षर परीक्षा प्रभारी</v>
      </c>
      <c r="H269" s="1624"/>
      <c r="I269" s="1624"/>
      <c r="J269" s="1624"/>
      <c r="K269" s="1624" t="str">
        <f>IF('School Profile'!$D$12="Hindi","हस्ताक्षर मय सील मोहर संस्था प्रधान","Signature &amp; Seal of the Head of the Institution")</f>
        <v>हस्ताक्षर मय सील मोहर संस्था प्रधान</v>
      </c>
      <c r="L269" s="1624"/>
      <c r="M269" s="1624"/>
      <c r="N269" s="1624"/>
      <c r="O269" s="1624"/>
      <c r="P269" s="1624"/>
      <c r="Q269" s="1680"/>
      <c r="R269" s="1624" t="str">
        <f>IF('School Profile'!$D$12="Hindi","हस्ताक्षर कक्षाध्यापक","Signature of the class teacher")</f>
        <v>हस्ताक्षर कक्षाध्यापक</v>
      </c>
      <c r="S269" s="1624"/>
      <c r="T269" s="1624"/>
      <c r="U269" s="1624"/>
      <c r="V269" s="1624"/>
      <c r="W269" s="1624" t="str">
        <f>IF('School Profile'!$D$12="Hindi","हस्ताक्षर परीक्षा प्रभारी","Signature of the exam. Incharge")</f>
        <v>हस्ताक्षर परीक्षा प्रभारी</v>
      </c>
      <c r="X269" s="1624"/>
      <c r="Y269" s="1624"/>
      <c r="Z269" s="1624"/>
      <c r="AA269" s="1624" t="str">
        <f>IF('School Profile'!$D$12="Hindi","हस्ताक्षर मय सील मोहर संस्था प्रधान","Signature &amp; Seal of the Head of the Institution")</f>
        <v>हस्ताक्षर मय सील मोहर संस्था प्रधान</v>
      </c>
      <c r="AB269" s="1624"/>
      <c r="AC269" s="1624"/>
      <c r="AD269" s="1624"/>
      <c r="AE269" s="1624"/>
      <c r="AF269" s="1624"/>
      <c r="AV269"/>
      <c r="AW269"/>
      <c r="AX269"/>
      <c r="BA269"/>
      <c r="BB269"/>
      <c r="BC269"/>
    </row>
    <row r="271" spans="1:55" s="6" customFormat="1" ht="22.5" customHeight="1">
      <c r="A271" s="33">
        <f>IF(L278="","",1)</f>
        <v>1</v>
      </c>
      <c r="B271" s="28"/>
      <c r="C271" s="28"/>
      <c r="D271" s="1553" t="str">
        <f>IF('School Profile'!$D$12="Hindi","वार्षिक रिपोर्ट कार्ड ","Report Card")</f>
        <v xml:space="preserve">वार्षिक रिपोर्ट कार्ड </v>
      </c>
      <c r="E271" s="1553"/>
      <c r="F271" s="1553"/>
      <c r="G271" s="1553"/>
      <c r="H271" s="1553"/>
      <c r="I271" s="1553"/>
      <c r="J271" s="1553"/>
      <c r="K271" s="1553"/>
      <c r="L271" s="1553"/>
      <c r="M271" s="1553"/>
      <c r="N271" s="1553"/>
      <c r="O271" s="349"/>
      <c r="P271" s="349"/>
      <c r="Q271" s="1680" t="s">
        <v>77</v>
      </c>
      <c r="R271" s="28"/>
      <c r="S271" s="28"/>
      <c r="T271" s="1553" t="str">
        <f>IF('School Profile'!$D$12="Hindi","वार्षिक रिपोर्ट कार्ड ","Report Card")</f>
        <v xml:space="preserve">वार्षिक रिपोर्ट कार्ड </v>
      </c>
      <c r="U271" s="1553"/>
      <c r="V271" s="1553"/>
      <c r="W271" s="1553"/>
      <c r="X271" s="1553"/>
      <c r="Y271" s="1553"/>
      <c r="Z271" s="1553"/>
      <c r="AA271" s="1553"/>
      <c r="AB271" s="1553"/>
      <c r="AC271" s="1553"/>
      <c r="AD271" s="1553"/>
      <c r="AE271" s="349"/>
      <c r="AF271" s="349"/>
      <c r="AV271"/>
      <c r="AW271"/>
      <c r="AX271"/>
      <c r="BA271"/>
      <c r="BB271"/>
      <c r="BC271"/>
    </row>
    <row r="272" spans="1:55" s="6" customFormat="1" ht="22.5" customHeight="1">
      <c r="A272" s="33">
        <f>IF(L278="","",A271+1)</f>
        <v>2</v>
      </c>
      <c r="B272" s="28"/>
      <c r="C272" s="28"/>
      <c r="D272" s="1681" t="str">
        <f>IF('School Profile'!$D$12="Hindi","शिक्षा विभाग, राजस्थान सरकार","Education Department, Rajasthan Government")</f>
        <v>शिक्षा विभाग, राजस्थान सरकार</v>
      </c>
      <c r="E272" s="1681"/>
      <c r="F272" s="1681"/>
      <c r="G272" s="1681"/>
      <c r="H272" s="1681"/>
      <c r="I272" s="1681"/>
      <c r="J272" s="1681"/>
      <c r="K272" s="1681"/>
      <c r="L272" s="1681"/>
      <c r="M272" s="1681"/>
      <c r="N272" s="1681"/>
      <c r="O272" s="349"/>
      <c r="P272" s="349"/>
      <c r="Q272" s="1680"/>
      <c r="R272" s="28"/>
      <c r="S272" s="28"/>
      <c r="T272" s="1681" t="str">
        <f>IF('School Profile'!$D$12="Hindi","शिक्षा विभाग, राजस्थान सरकार","Education Department, Rajasthan Government")</f>
        <v>शिक्षा विभाग, राजस्थान सरकार</v>
      </c>
      <c r="U272" s="1681"/>
      <c r="V272" s="1681"/>
      <c r="W272" s="1681"/>
      <c r="X272" s="1681"/>
      <c r="Y272" s="1681"/>
      <c r="Z272" s="1681"/>
      <c r="AA272" s="1681"/>
      <c r="AB272" s="1681"/>
      <c r="AC272" s="1681"/>
      <c r="AD272" s="1681"/>
      <c r="AE272" s="349"/>
      <c r="AF272" s="349"/>
      <c r="AV272"/>
      <c r="AW272"/>
      <c r="AX272"/>
      <c r="BA272"/>
      <c r="BB272"/>
      <c r="BC272"/>
    </row>
    <row r="273" spans="1:55" s="32" customFormat="1" ht="24.95" customHeight="1">
      <c r="A273" s="34">
        <f>IF(L278="","",A272+1)</f>
        <v>3</v>
      </c>
      <c r="B273" s="1555" t="str">
        <f>IF('School Profile'!$D$12="Hindi",CONCATENATE("विद्यालय का नाम :-","  ",'School Profile'!$D$9),CONCATENATE("School Name :-","  ",'School Profile'!$D$8))</f>
        <v xml:space="preserve">विद्यालय का नाम :-  महात्मा गाँधी राजकीय विद्यालय (अंग्रेजी माध्यम) बर, पाली </v>
      </c>
      <c r="C273" s="1555"/>
      <c r="D273" s="1555"/>
      <c r="E273" s="1555"/>
      <c r="F273" s="1555"/>
      <c r="G273" s="1555"/>
      <c r="H273" s="1555"/>
      <c r="I273" s="1555"/>
      <c r="J273" s="1555"/>
      <c r="K273" s="1555"/>
      <c r="L273" s="1555"/>
      <c r="M273" s="1555"/>
      <c r="N273" s="1555"/>
      <c r="O273" s="1555"/>
      <c r="P273" s="1555"/>
      <c r="Q273" s="1680"/>
      <c r="R273" s="1555" t="str">
        <f>IF('School Profile'!$D$12="Hindi",CONCATENATE("विद्यालय का नाम :-","  ",'School Profile'!$D$9),CONCATENATE("School Name :-","  ",'School Profile'!$D$8))</f>
        <v xml:space="preserve">विद्यालय का नाम :-  महात्मा गाँधी राजकीय विद्यालय (अंग्रेजी माध्यम) बर, पाली </v>
      </c>
      <c r="S273" s="1555"/>
      <c r="T273" s="1555"/>
      <c r="U273" s="1555"/>
      <c r="V273" s="1555"/>
      <c r="W273" s="1555"/>
      <c r="X273" s="1555"/>
      <c r="Y273" s="1555"/>
      <c r="Z273" s="1555"/>
      <c r="AA273" s="1555"/>
      <c r="AB273" s="1555"/>
      <c r="AC273" s="1555"/>
      <c r="AD273" s="1555"/>
      <c r="AE273" s="1555"/>
      <c r="AF273" s="1555"/>
      <c r="AV273"/>
      <c r="AW273"/>
      <c r="AX273"/>
      <c r="BA273"/>
      <c r="BB273"/>
      <c r="BC273"/>
    </row>
    <row r="274" spans="1:55" s="32" customFormat="1" ht="24.95" customHeight="1">
      <c r="A274" s="34">
        <f>IF(L278="","",A273+1)</f>
        <v>4</v>
      </c>
      <c r="B274" s="686"/>
      <c r="C274" s="686"/>
      <c r="D274" s="686"/>
      <c r="E274" s="686"/>
      <c r="F274" s="1682"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82"/>
      <c r="H274" s="1682"/>
      <c r="I274" s="1682"/>
      <c r="J274" s="1682"/>
      <c r="K274" s="1682"/>
      <c r="L274" s="1682"/>
      <c r="M274" s="1682"/>
      <c r="N274" s="1682"/>
      <c r="O274" s="1682"/>
      <c r="P274" s="686"/>
      <c r="Q274" s="1680"/>
      <c r="R274" s="686"/>
      <c r="S274" s="686"/>
      <c r="T274" s="686"/>
      <c r="U274" s="686"/>
      <c r="V274" s="1682"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82"/>
      <c r="X274" s="1682"/>
      <c r="Y274" s="1682"/>
      <c r="Z274" s="1682"/>
      <c r="AA274" s="1682"/>
      <c r="AB274" s="1682"/>
      <c r="AC274" s="1682"/>
      <c r="AD274" s="1682"/>
      <c r="AE274" s="1682"/>
      <c r="AF274" s="686"/>
      <c r="AV274"/>
      <c r="AW274"/>
      <c r="AX274"/>
      <c r="AY274" s="6"/>
      <c r="AZ274" s="6"/>
      <c r="BA274"/>
      <c r="BB274"/>
      <c r="BC274"/>
    </row>
    <row r="275" spans="1:55" s="351" customFormat="1" ht="21" customHeight="1">
      <c r="A275" s="33">
        <f>IF(L278="","",A274+1)</f>
        <v>5</v>
      </c>
      <c r="B275" s="681" t="str">
        <f>IF('School Profile'!$D$12="Hindi","कक्षा  :-","CLASS :- ")</f>
        <v>कक्षा  :-</v>
      </c>
      <c r="C275" s="1611" t="str">
        <f>IF('Statement of Marks'!$E$3="","",'Statement of Marks'!$E$3)</f>
        <v>9th</v>
      </c>
      <c r="D275" s="1611"/>
      <c r="E275" s="820" t="str">
        <f>IFERROR(VLOOKUP(L278,'Statement of Marks'!$B$7:'Statement of Marks'!$IC$206,2,0),"")</f>
        <v>A</v>
      </c>
      <c r="F275" s="820"/>
      <c r="G275" s="820"/>
      <c r="H275" s="820"/>
      <c r="I275" s="1683" t="str">
        <f>IF('School Profile'!$D$12="Hindi","प्रवेशांक :","SR. NO. :")</f>
        <v>प्रवेशांक :</v>
      </c>
      <c r="J275" s="1683"/>
      <c r="K275" s="1683"/>
      <c r="L275" s="1684" t="str">
        <f>IFERROR(VLOOKUP(L278,'Statement of Marks'!$B$7:'Statement of Marks'!$IC$206,3,0),"")</f>
        <v/>
      </c>
      <c r="M275" s="1684"/>
      <c r="N275" s="1684"/>
      <c r="O275" s="1684"/>
      <c r="P275" s="414"/>
      <c r="Q275" s="1680"/>
      <c r="R275" s="681" t="str">
        <f>IF('School Profile'!$D$12="Hindi","कक्षा  :-","CLASS :- ")</f>
        <v>कक्षा  :-</v>
      </c>
      <c r="S275" s="1611" t="str">
        <f>IF('Statement of Marks'!$E$3="","",'Statement of Marks'!$E$3)</f>
        <v>9th</v>
      </c>
      <c r="T275" s="1611"/>
      <c r="U275" s="820" t="str">
        <f>IFERROR(VLOOKUP(AB278,'Statement of Marks'!$B$7:'Statement of Marks'!$IC$206,2,0),"")</f>
        <v>A</v>
      </c>
      <c r="V275" s="820"/>
      <c r="W275" s="820"/>
      <c r="X275" s="820"/>
      <c r="Y275" s="1683" t="str">
        <f>IF('School Profile'!$D$12="Hindi","प्रवेशांक :","SR. NO. :")</f>
        <v>प्रवेशांक :</v>
      </c>
      <c r="Z275" s="1683"/>
      <c r="AA275" s="1683"/>
      <c r="AB275" s="1684" t="str">
        <f>IFERROR(VLOOKUP(AB278,'Statement of Marks'!$B$7:'Statement of Marks'!$IC$206,3,0),"")</f>
        <v/>
      </c>
      <c r="AC275" s="1684"/>
      <c r="AD275" s="1684"/>
      <c r="AE275" s="1684"/>
      <c r="AF275" s="414"/>
      <c r="AV275"/>
      <c r="AW275" s="777" t="str">
        <f>L276</f>
        <v/>
      </c>
      <c r="AX275"/>
      <c r="BA275"/>
      <c r="BB275" s="777" t="str">
        <f>AB276</f>
        <v/>
      </c>
      <c r="BC275"/>
    </row>
    <row r="276" spans="1:55" s="351" customFormat="1" ht="21" customHeight="1">
      <c r="A276" s="33">
        <f>IF(L278="","",A275+1)</f>
        <v>6</v>
      </c>
      <c r="B276" s="687" t="str">
        <f>IF('School Profile'!$D$12="Hindi","विद्यार्थी का नाम :-","Student's Name :-")</f>
        <v>विद्यार्थी का नाम :-</v>
      </c>
      <c r="C276" s="1685" t="str">
        <f>IFERROR(VLOOKUP(L278,'Statement of Marks'!$B$7:'Statement of Marks'!$IC$206,5,0),"")</f>
        <v>RAZA</v>
      </c>
      <c r="D276" s="1685"/>
      <c r="E276" s="1685"/>
      <c r="F276" s="1685"/>
      <c r="G276" s="1685"/>
      <c r="H276" s="1685"/>
      <c r="I276" s="1683" t="str">
        <f>IF('School Profile'!$D$12="Hindi","जन्म तिथि :","Date of Birth :")</f>
        <v>जन्म तिथि :</v>
      </c>
      <c r="J276" s="1683"/>
      <c r="K276" s="1683"/>
      <c r="L276" s="1686" t="str">
        <f>IFERROR(VLOOKUP(L278,'Statement of Marks'!$B$7:'Statement of Marks'!$IC$206,4,0),"")</f>
        <v/>
      </c>
      <c r="M276" s="1686"/>
      <c r="N276" s="1686"/>
      <c r="O276" s="1686"/>
      <c r="P276" s="688"/>
      <c r="Q276" s="1680"/>
      <c r="R276" s="687" t="str">
        <f>IF('School Profile'!$D$12="Hindi","विद्यार्थी का नाम :-","Student's Name :-")</f>
        <v>विद्यार्थी का नाम :-</v>
      </c>
      <c r="S276" s="1685" t="str">
        <f>IFERROR(VLOOKUP(AB278,'Statement of Marks'!$B$7:'Statement of Marks'!$IC$206,5,0),"")</f>
        <v>ROZA</v>
      </c>
      <c r="T276" s="1685"/>
      <c r="U276" s="1685"/>
      <c r="V276" s="1685"/>
      <c r="W276" s="1685"/>
      <c r="X276" s="1685"/>
      <c r="Y276" s="1683" t="str">
        <f>IF('School Profile'!$D$12="Hindi","जन्म तिथि :","Date of Birth :")</f>
        <v>जन्म तिथि :</v>
      </c>
      <c r="Z276" s="1683"/>
      <c r="AA276" s="1683"/>
      <c r="AB276" s="1686" t="str">
        <f>IFERROR(VLOOKUP(AB278,'Statement of Marks'!$B$7:'Statement of Marks'!$IC$206,4,0),"")</f>
        <v/>
      </c>
      <c r="AC276" s="1686"/>
      <c r="AD276" s="1686"/>
      <c r="AE276" s="1686"/>
      <c r="AF276" s="688"/>
      <c r="AV276" t="e">
        <f>YEAR(AW275)</f>
        <v>#VALUE!</v>
      </c>
      <c r="AW276" t="e">
        <f>MONTH(AW275)</f>
        <v>#VALUE!</v>
      </c>
      <c r="AX276" t="e">
        <f>DAY(AW275)</f>
        <v>#VALUE!</v>
      </c>
      <c r="BA276" t="e">
        <f>YEAR(BB275)</f>
        <v>#VALUE!</v>
      </c>
      <c r="BB276" t="e">
        <f>MONTH(BB275)</f>
        <v>#VALUE!</v>
      </c>
      <c r="BC276" t="e">
        <f>DAY(BB275)</f>
        <v>#VALUE!</v>
      </c>
    </row>
    <row r="277" spans="1:55" s="351" customFormat="1" ht="21" customHeight="1">
      <c r="A277" s="33">
        <f>IF(L278="","",A276+1)</f>
        <v>7</v>
      </c>
      <c r="B277" s="687" t="str">
        <f>IF('School Profile'!$D$12="Hindi","पिता का नाम :-","Father's Name :-")</f>
        <v>पिता का नाम :-</v>
      </c>
      <c r="C277" s="1685" t="str">
        <f>IFERROR(VLOOKUP(L278,'Statement of Marks'!$B$7:'Statement of Marks'!$IC$206,6,0),"")</f>
        <v/>
      </c>
      <c r="D277" s="1685"/>
      <c r="E277" s="1685"/>
      <c r="F277" s="1685"/>
      <c r="G277" s="1685"/>
      <c r="H277" s="1685"/>
      <c r="I277" s="1683" t="str">
        <f>IF('School Profile'!$D$12="Hindi","जन्मतिथि शब्दों में :-","Date of Birth in Words :-")</f>
        <v>जन्मतिथि शब्दों में :-</v>
      </c>
      <c r="J277" s="1683"/>
      <c r="K277" s="1683"/>
      <c r="L277" s="1685" t="str">
        <f>IFERROR(IF('School Profile'!$D$12="Hindi",AW278,AW280),"")</f>
        <v/>
      </c>
      <c r="M277" s="1685"/>
      <c r="N277" s="1685"/>
      <c r="O277" s="1685"/>
      <c r="P277" s="688"/>
      <c r="Q277" s="1680"/>
      <c r="R277" s="687" t="str">
        <f>IF('School Profile'!$D$12="Hindi","पिता का नाम :-","Father's Name :-")</f>
        <v>पिता का नाम :-</v>
      </c>
      <c r="S277" s="1685" t="str">
        <f>IFERROR(VLOOKUP(AB278,'Statement of Marks'!$B$7:'Statement of Marks'!$IC$206,6,0),"")</f>
        <v/>
      </c>
      <c r="T277" s="1685"/>
      <c r="U277" s="1685"/>
      <c r="V277" s="1685"/>
      <c r="W277" s="1685"/>
      <c r="X277" s="1685"/>
      <c r="Y277" s="1683" t="str">
        <f>IF('School Profile'!$D$12="Hindi","जन्मतिथि शब्दों में :-","Date of Birth in Words :-")</f>
        <v>जन्मतिथि शब्दों में :-</v>
      </c>
      <c r="Z277" s="1683"/>
      <c r="AA277" s="1683"/>
      <c r="AB277" s="1685" t="str">
        <f>IFERROR(IF('School Profile'!$D$12="Hindi",BB278,BB280),"")</f>
        <v/>
      </c>
      <c r="AC277" s="1685"/>
      <c r="AD277" s="1685"/>
      <c r="AE277" s="1685"/>
      <c r="AF277" s="688"/>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इग्यारह",IF(AV276=2012,"दो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इ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इग्यारह",IF(BA276=2012,"दो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इ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51" customFormat="1" ht="21" customHeight="1">
      <c r="A278" s="33">
        <f>IF(L278="","",A277+1)</f>
        <v>8</v>
      </c>
      <c r="B278" s="681" t="str">
        <f>IF('School Profile'!$D$12="Hindi","माता का नाम :-","Mother's Name :-")</f>
        <v>माता का नाम :-</v>
      </c>
      <c r="C278" s="1685" t="str">
        <f>IFERROR(VLOOKUP(L278,'Statement of Marks'!$B$7:'Statement of Marks'!$IC$206,7,0),"")</f>
        <v/>
      </c>
      <c r="D278" s="1685"/>
      <c r="E278" s="1685"/>
      <c r="F278" s="1685"/>
      <c r="G278" s="1685"/>
      <c r="H278" s="1685"/>
      <c r="I278" s="1683" t="str">
        <f>IF('School Profile'!$D$12="Hindi","रोल नंबर :-","Roll No. :")</f>
        <v>रोल नंबर :-</v>
      </c>
      <c r="J278" s="1683"/>
      <c r="K278" s="1683"/>
      <c r="L278" s="1672">
        <f>IF(AB248="","",IF(AND(AB248+1&gt;$AN$11),"",AB248+1))</f>
        <v>919</v>
      </c>
      <c r="M278" s="1672"/>
      <c r="N278" s="1672"/>
      <c r="Q278" s="1680"/>
      <c r="R278" s="681" t="str">
        <f>IF('School Profile'!$D$12="Hindi","माता का नाम :-","Mother's Name :-")</f>
        <v>माता का नाम :-</v>
      </c>
      <c r="S278" s="1685" t="str">
        <f>IFERROR(VLOOKUP(AB278,'Statement of Marks'!$B$7:'Statement of Marks'!$IC$206,7,0),"")</f>
        <v/>
      </c>
      <c r="T278" s="1685"/>
      <c r="U278" s="1685"/>
      <c r="V278" s="1685"/>
      <c r="W278" s="1685"/>
      <c r="X278" s="1685"/>
      <c r="Y278" s="1683" t="str">
        <f>IF('School Profile'!$D$12="Hindi","रोल नंबर :-","Roll No. :")</f>
        <v>रोल नंबर :-</v>
      </c>
      <c r="Z278" s="1683"/>
      <c r="AA278" s="1683"/>
      <c r="AB278" s="1672">
        <f>IF(L278="","",IF(AND(L278+1&gt;$AN$11),"",L278+1))</f>
        <v>920</v>
      </c>
      <c r="AC278" s="1672"/>
      <c r="AD278" s="1672"/>
      <c r="AV278"/>
      <c r="AW278" t="e">
        <f>CONCATENATE(AX277," ",AW277," ",AV277)</f>
        <v>#VALUE!</v>
      </c>
      <c r="AX278"/>
      <c r="BA278"/>
      <c r="BB278" t="e">
        <f>CONCATENATE(BC277," ",BB277," ",BA277)</f>
        <v>#VALUE!</v>
      </c>
      <c r="BC278"/>
    </row>
    <row r="279" spans="1:55" s="351" customFormat="1" ht="9.75" customHeight="1">
      <c r="A279" s="33">
        <f>IF(L278="","",A278+1)</f>
        <v>9</v>
      </c>
      <c r="B279" s="1673"/>
      <c r="C279" s="1673"/>
      <c r="D279" s="1673"/>
      <c r="E279" s="1673"/>
      <c r="F279" s="1673"/>
      <c r="G279" s="1673"/>
      <c r="H279" s="1673"/>
      <c r="I279" s="1673"/>
      <c r="J279" s="1673"/>
      <c r="K279" s="1673"/>
      <c r="L279" s="1673"/>
      <c r="M279" s="1673"/>
      <c r="N279" s="1673"/>
      <c r="O279" s="1673"/>
      <c r="P279" s="401"/>
      <c r="Q279" s="1680"/>
      <c r="R279" s="1673"/>
      <c r="S279" s="1673"/>
      <c r="T279" s="1673"/>
      <c r="U279" s="1673"/>
      <c r="V279" s="1673"/>
      <c r="W279" s="1673"/>
      <c r="X279" s="1673"/>
      <c r="Y279" s="1673"/>
      <c r="Z279" s="1673"/>
      <c r="AA279" s="1673"/>
      <c r="AB279" s="1673"/>
      <c r="AC279" s="1673"/>
      <c r="AD279" s="1673"/>
      <c r="AE279" s="1673"/>
      <c r="AF279" s="401"/>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51" customFormat="1" ht="26.25" customHeight="1">
      <c r="A280" s="33">
        <f>IF(L278="","",A279+1)</f>
        <v>10</v>
      </c>
      <c r="B280" s="1619" t="str">
        <f>IF('School Profile'!$D$12="Hindi","विषय का नाम","Subject Name")</f>
        <v>विषय का नाम</v>
      </c>
      <c r="C280" s="1620"/>
      <c r="D280" s="1678" t="str">
        <f>IF('School Profile'!$D$12="Hindi","सामयिक परख","Seasonal Exam")</f>
        <v>सामयिक परख</v>
      </c>
      <c r="E280" s="1678"/>
      <c r="F280" s="1678"/>
      <c r="G280" s="1678"/>
      <c r="H280" s="1678" t="str">
        <f>IF('School Profile'!$D$12="Hindi","अर्द्धवार्षिक","Half Yearly")</f>
        <v>अर्द्धवार्षिक</v>
      </c>
      <c r="I280" s="1678"/>
      <c r="J280" s="1678"/>
      <c r="K280" s="1582" t="str">
        <f>IF('School Profile'!$D$12="Hindi","अर्द्ध वा. तक योग","Total Till H.Y.")</f>
        <v>अर्द्ध वा. तक योग</v>
      </c>
      <c r="L280" s="1678" t="str">
        <f>IF('School Profile'!$D$12="Hindi","वार्षिक","Yearly")</f>
        <v>वार्षिक</v>
      </c>
      <c r="M280" s="1678"/>
      <c r="N280" s="1678"/>
      <c r="O280" s="1577" t="str">
        <f>IF('School Profile'!$D$12="Hindi","विषय कुल योग ","Subject Total")</f>
        <v xml:space="preserve">विषय कुल योग </v>
      </c>
      <c r="P280" s="1679" t="str">
        <f>IF('School Profile'!$D$12="Hindi","विषय परिणाम / विषय श्रेणी","Sub. Result /  Sub. Div.")</f>
        <v>विषय परिणाम / विषय श्रेणी</v>
      </c>
      <c r="Q280" s="1680"/>
      <c r="R280" s="1619" t="str">
        <f>IF('School Profile'!$D$12="Hindi","विषय का नाम","Subject Name")</f>
        <v>विषय का नाम</v>
      </c>
      <c r="S280" s="1620"/>
      <c r="T280" s="1678" t="str">
        <f>IF('School Profile'!$D$12="Hindi","सामयिक परख","Seasonal Exam")</f>
        <v>सामयिक परख</v>
      </c>
      <c r="U280" s="1678"/>
      <c r="V280" s="1678"/>
      <c r="W280" s="1678"/>
      <c r="X280" s="1678" t="str">
        <f>IF('School Profile'!$D$12="Hindi","अर्द्धवार्षिक","Half Yearly")</f>
        <v>अर्द्धवार्षिक</v>
      </c>
      <c r="Y280" s="1678"/>
      <c r="Z280" s="1678"/>
      <c r="AA280" s="1582" t="str">
        <f>IF('School Profile'!$D$12="Hindi","अर्द्ध वा. तक योग","Total Till H.Y.")</f>
        <v>अर्द्ध वा. तक योग</v>
      </c>
      <c r="AB280" s="1678" t="str">
        <f>IF('School Profile'!$D$12="Hindi","वार्षिक","Yearly")</f>
        <v>वार्षिक</v>
      </c>
      <c r="AC280" s="1678"/>
      <c r="AD280" s="1678"/>
      <c r="AE280" s="1577" t="str">
        <f>IF('School Profile'!$D$12="Hindi","विषय कुल योग ","Subject Total")</f>
        <v xml:space="preserve">विषय कुल योग </v>
      </c>
      <c r="AF280" s="1679"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51" customFormat="1" ht="78.75" customHeight="1">
      <c r="A281" s="33">
        <f>IF(L278="","",A280+1)</f>
        <v>11</v>
      </c>
      <c r="B281" s="1674"/>
      <c r="C281" s="1675"/>
      <c r="D281" s="656" t="str">
        <f>IF('School Profile'!$D$12="Hindi","प्रथम परख ","First Test")</f>
        <v xml:space="preserve">प्रथम परख </v>
      </c>
      <c r="E281" s="656" t="str">
        <f>IF('School Profile'!$D$12="Hindi","द्वितीय परख","Second Test")</f>
        <v>द्वितीय परख</v>
      </c>
      <c r="F281" s="656" t="str">
        <f>IF('School Profile'!$D$12="Hindi","तृतीय परख","Third Test")</f>
        <v>तृतीय परख</v>
      </c>
      <c r="G281" s="657" t="str">
        <f>IF('School Profile'!$D$12="Hindi","सा. परख योग","Test Total")</f>
        <v>सा. परख योग</v>
      </c>
      <c r="H281" s="658" t="str">
        <f>IF('School Profile'!$D$12="Hindi","सैद्धान्तिक","Theoretical")</f>
        <v>सैद्धान्तिक</v>
      </c>
      <c r="I281" s="658" t="str">
        <f>IF('School Profile'!$D$12="Hindi","प्रायोगिक","Practical")</f>
        <v>प्रायोगिक</v>
      </c>
      <c r="J281" s="659" t="str">
        <f>IF('School Profile'!$D$12="Hindi","अर्द्धवार्षिक योग","H.Y.  Total")</f>
        <v>अर्द्धवार्षिक योग</v>
      </c>
      <c r="K281" s="1582"/>
      <c r="L281" s="658" t="str">
        <f>IF('School Profile'!$D$12="Hindi","सैद्धान्तिक","Theoretical")</f>
        <v>सैद्धान्तिक</v>
      </c>
      <c r="M281" s="658" t="str">
        <f>IF('School Profile'!$D$12="Hindi","प्रायोगिक","Practical")</f>
        <v>प्रायोगिक</v>
      </c>
      <c r="N281" s="659" t="str">
        <f>IF('School Profile'!$D$12="Hindi","वार्षिक योग","Yearly  Total")</f>
        <v>वार्षिक योग</v>
      </c>
      <c r="O281" s="1577"/>
      <c r="P281" s="1579"/>
      <c r="Q281" s="1680"/>
      <c r="R281" s="1674"/>
      <c r="S281" s="1675"/>
      <c r="T281" s="656" t="str">
        <f>IF('School Profile'!$D$12="Hindi","प्रथम परख ","First Test")</f>
        <v xml:space="preserve">प्रथम परख </v>
      </c>
      <c r="U281" s="656" t="str">
        <f>IF('School Profile'!$D$12="Hindi","द्वितीय परख","Second Test")</f>
        <v>द्वितीय परख</v>
      </c>
      <c r="V281" s="656" t="str">
        <f>IF('School Profile'!$D$12="Hindi","तृतीय परख","Third Test")</f>
        <v>तृतीय परख</v>
      </c>
      <c r="W281" s="657" t="str">
        <f>IF('School Profile'!$D$12="Hindi","सा. परख योग","Test Total")</f>
        <v>सा. परख योग</v>
      </c>
      <c r="X281" s="658" t="str">
        <f>IF('School Profile'!$D$12="Hindi","सैद्धान्तिक","Theoretical")</f>
        <v>सैद्धान्तिक</v>
      </c>
      <c r="Y281" s="658" t="str">
        <f>IF('School Profile'!$D$12="Hindi","प्रायोगिक","Practical")</f>
        <v>प्रायोगिक</v>
      </c>
      <c r="Z281" s="659" t="str">
        <f>IF('School Profile'!$D$12="Hindi","अर्द्धवार्षिक योग","H.Y.  Total")</f>
        <v>अर्द्धवार्षिक योग</v>
      </c>
      <c r="AA281" s="1582"/>
      <c r="AB281" s="658" t="str">
        <f>IF('School Profile'!$D$12="Hindi","सैद्धान्तिक","Theoretical")</f>
        <v>सैद्धान्तिक</v>
      </c>
      <c r="AC281" s="658" t="str">
        <f>IF('School Profile'!$D$12="Hindi","प्रायोगिक","Practical")</f>
        <v>प्रायोगिक</v>
      </c>
      <c r="AD281" s="659" t="str">
        <f>IF('School Profile'!$D$12="Hindi","वार्षिक योग","Yearly  Total")</f>
        <v>वार्षिक योग</v>
      </c>
      <c r="AE281" s="1577"/>
      <c r="AF281" s="1579"/>
      <c r="AV281"/>
      <c r="AW281"/>
      <c r="AX281"/>
      <c r="BA281"/>
      <c r="BB281"/>
      <c r="BC281"/>
    </row>
    <row r="282" spans="1:55" s="353" customFormat="1" ht="21" customHeight="1">
      <c r="A282" s="33">
        <f>IF(L278="","",A281+1)</f>
        <v>12</v>
      </c>
      <c r="B282" s="1676"/>
      <c r="C282" s="1677"/>
      <c r="D282" s="663">
        <v>10</v>
      </c>
      <c r="E282" s="663">
        <v>10</v>
      </c>
      <c r="F282" s="663">
        <v>10</v>
      </c>
      <c r="G282" s="663">
        <v>30</v>
      </c>
      <c r="H282" s="665" t="s">
        <v>252</v>
      </c>
      <c r="I282" s="661">
        <v>35</v>
      </c>
      <c r="J282" s="660">
        <v>70</v>
      </c>
      <c r="K282" s="661">
        <v>100</v>
      </c>
      <c r="L282" s="664" t="s">
        <v>253</v>
      </c>
      <c r="M282" s="663">
        <v>50</v>
      </c>
      <c r="N282" s="660">
        <v>100</v>
      </c>
      <c r="O282" s="662">
        <v>200</v>
      </c>
      <c r="P282" s="1580"/>
      <c r="Q282" s="1680"/>
      <c r="R282" s="1676"/>
      <c r="S282" s="1677"/>
      <c r="T282" s="663">
        <v>10</v>
      </c>
      <c r="U282" s="663">
        <v>10</v>
      </c>
      <c r="V282" s="663">
        <v>10</v>
      </c>
      <c r="W282" s="663">
        <v>30</v>
      </c>
      <c r="X282" s="665" t="s">
        <v>252</v>
      </c>
      <c r="Y282" s="661">
        <v>35</v>
      </c>
      <c r="Z282" s="660">
        <v>70</v>
      </c>
      <c r="AA282" s="661">
        <v>100</v>
      </c>
      <c r="AB282" s="664" t="s">
        <v>253</v>
      </c>
      <c r="AC282" s="663">
        <v>50</v>
      </c>
      <c r="AD282" s="660">
        <v>100</v>
      </c>
      <c r="AE282" s="662">
        <v>200</v>
      </c>
      <c r="AF282" s="1580"/>
      <c r="AV282"/>
      <c r="AW282"/>
      <c r="AX282"/>
      <c r="BA282"/>
      <c r="BB282"/>
      <c r="BC282"/>
    </row>
    <row r="283" spans="1:55" s="351" customFormat="1" ht="22.5" customHeight="1">
      <c r="A283" s="33">
        <f>IF(L278="","",A282+1)</f>
        <v>13</v>
      </c>
      <c r="B283" s="1617" t="str">
        <f>'Statement of Marks'!$K$3</f>
        <v>हिंदी</v>
      </c>
      <c r="C283" s="1618"/>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7">
        <f>IF(L278="","",IF(AND(H283="",I283=""),"",SUM(H283,I283)))</f>
        <v>46</v>
      </c>
      <c r="K283" s="679">
        <f>IFERROR(IF(L278="","",IF(AND(G283="",J283=""),"",SUM(G283,J283))),"")</f>
        <v>71</v>
      </c>
      <c r="L283" s="26">
        <f>IFERROR(VLOOKUP(L278,'Statement of Marks'!$B$7:'Statement of Marks'!$IC$206,16,0),"")</f>
        <v>65</v>
      </c>
      <c r="M283" s="26"/>
      <c r="N283" s="347">
        <f>IF(L278="","",IF(AND(L283="",M283=""),"",SUM(L283,M283)))</f>
        <v>65</v>
      </c>
      <c r="O283" s="674">
        <f>IFERROR(VLOOKUP(L278,'Statement of Marks'!$B$7:'Statement of Marks'!$IC$206,17,0),"")</f>
        <v>136</v>
      </c>
      <c r="P283" s="680"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80"/>
      <c r="R283" s="1617" t="str">
        <f>'Statement of Marks'!$K$3</f>
        <v>हिंदी</v>
      </c>
      <c r="S283" s="1618"/>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7">
        <f>IF(AB278="","",IF(AND(X283="",Y283=""),"",SUM(X283,Y283)))</f>
        <v>46</v>
      </c>
      <c r="AA283" s="679">
        <f>IFERROR(IF(AB278="","",IF(AND(W283="",Z283=""),"",SUM(W283,Z283))),"")</f>
        <v>71</v>
      </c>
      <c r="AB283" s="26">
        <f>IFERROR(VLOOKUP(AB278,'Statement of Marks'!$B$7:'Statement of Marks'!$IC$206,16,0),"")</f>
        <v>65</v>
      </c>
      <c r="AC283" s="26"/>
      <c r="AD283" s="347">
        <f>IF(AB278="","",IF(AND(AB283="",AC283=""),"",SUM(AB283,AC283)))</f>
        <v>65</v>
      </c>
      <c r="AE283" s="674">
        <f>IFERROR(VLOOKUP(AB278,'Statement of Marks'!$B$7:'Statement of Marks'!$IC$206,17,0),"")</f>
        <v>136</v>
      </c>
      <c r="AF283" s="680"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51" customFormat="1" ht="22.5" customHeight="1">
      <c r="A284" s="33">
        <f>IF(L278="","",A283+1)</f>
        <v>14</v>
      </c>
      <c r="B284" s="1617" t="str">
        <f>'Statement of Marks'!$Y$3</f>
        <v>अंग्रेजी</v>
      </c>
      <c r="C284" s="1618"/>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7">
        <f>IF(L278="","",IF(AND(H284="",I284=""),"",SUM(H284,I284)))</f>
        <v>60</v>
      </c>
      <c r="K284" s="679">
        <f>IFERROR(IF(L278="","",IF(AND(G284="",J284=""),"",SUM(G284,J284))),"")</f>
        <v>85</v>
      </c>
      <c r="L284" s="26">
        <f>IFERROR(VLOOKUP(L278,'Statement of Marks'!$B$7:'Statement of Marks'!$IC$206,30,0),"")</f>
        <v>85</v>
      </c>
      <c r="M284" s="26"/>
      <c r="N284" s="347">
        <f>IF(L278="","",IF(AND(L284="",M284=""),"",SUM(L284,M284)))</f>
        <v>85</v>
      </c>
      <c r="O284" s="674">
        <f>IFERROR(VLOOKUP(L278,'Statement of Marks'!$B$7:'Statement of Marks'!$IC$206,31,0),"")</f>
        <v>170</v>
      </c>
      <c r="P284" s="680"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80"/>
      <c r="R284" s="1617" t="str">
        <f>'Statement of Marks'!$Y$3</f>
        <v>अंग्रेजी</v>
      </c>
      <c r="S284" s="1618"/>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7">
        <f>IF(AB278="","",IF(AND(X284="",Y284=""),"",SUM(X284,Y284)))</f>
        <v>60</v>
      </c>
      <c r="AA284" s="679">
        <f>IFERROR(IF(AB278="","",IF(AND(W284="",Z284=""),"",SUM(W284,Z284))),"")</f>
        <v>85</v>
      </c>
      <c r="AB284" s="26">
        <f>IFERROR(VLOOKUP(AB278,'Statement of Marks'!$B$7:'Statement of Marks'!$IC$206,30,0),"")</f>
        <v>85</v>
      </c>
      <c r="AC284" s="26"/>
      <c r="AD284" s="347">
        <f>IF(AB278="","",IF(AND(AB284="",AC284=""),"",SUM(AB284,AC284)))</f>
        <v>85</v>
      </c>
      <c r="AE284" s="674">
        <f>IFERROR(VLOOKUP(AB278,'Statement of Marks'!$B$7:'Statement of Marks'!$IC$206,31,0),"")</f>
        <v>170</v>
      </c>
      <c r="AF284" s="680"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51" customFormat="1" ht="22.5" customHeight="1">
      <c r="A285" s="33">
        <f>IF(L278="","",A284+1)</f>
        <v>15</v>
      </c>
      <c r="B285" s="1617" t="str">
        <f>IFERROR(VLOOKUP(L278,'Statement of Marks'!$B$7:'Statement of Marks'!$IC$206,38,0),"")</f>
        <v xml:space="preserve">उर्दू (72) </v>
      </c>
      <c r="C285" s="1618"/>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7">
        <f>IF(L278="","",IF(AND(H285="",I285=""),"",SUM(H285,I285)))</f>
        <v>46</v>
      </c>
      <c r="K285" s="679">
        <f>IFERROR(IF(L278="","",IF(AND(G285="",J285=""),"",SUM(G285,J285))),"")</f>
        <v>72</v>
      </c>
      <c r="L285" s="26">
        <f>IFERROR(VLOOKUP(L278,'Statement of Marks'!$B$7:'Statement of Marks'!$IC$206,45,0),"")</f>
        <v>45</v>
      </c>
      <c r="M285" s="26"/>
      <c r="N285" s="347">
        <f>IF(L278="","",IF(AND(L285="",M285=""),"",SUM(L285,M285)))</f>
        <v>45</v>
      </c>
      <c r="O285" s="674">
        <f>IFERROR(VLOOKUP(L278,'Statement of Marks'!$B$7:'Statement of Marks'!$IC$206,46,0),"")</f>
        <v>117</v>
      </c>
      <c r="P285" s="680"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80"/>
      <c r="R285" s="1617" t="str">
        <f>IFERROR(VLOOKUP(AB278,'Statement of Marks'!$B$7:'Statement of Marks'!$IC$206,38,0),"")</f>
        <v xml:space="preserve">सिंधी (74) </v>
      </c>
      <c r="S285" s="1618"/>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7">
        <f>IF(AB278="","",IF(AND(X285="",Y285=""),"",SUM(X285,Y285)))</f>
        <v>46</v>
      </c>
      <c r="AA285" s="679">
        <f>IFERROR(IF(AB278="","",IF(AND(W285="",Z285=""),"",SUM(W285,Z285))),"")</f>
        <v>72</v>
      </c>
      <c r="AB285" s="26">
        <f>IFERROR(VLOOKUP(AB278,'Statement of Marks'!$B$7:'Statement of Marks'!$IC$206,45,0),"")</f>
        <v>45</v>
      </c>
      <c r="AC285" s="26"/>
      <c r="AD285" s="347">
        <f>IF(AB278="","",IF(AND(AB285="",AC285=""),"",SUM(AB285,AC285)))</f>
        <v>45</v>
      </c>
      <c r="AE285" s="674">
        <f>IFERROR(VLOOKUP(AB278,'Statement of Marks'!$B$7:'Statement of Marks'!$IC$206,46,0),"")</f>
        <v>117</v>
      </c>
      <c r="AF285" s="680"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51" customFormat="1" ht="22.5" customHeight="1">
      <c r="A286" s="33">
        <f>IF(L278="","",A285+1)</f>
        <v>16</v>
      </c>
      <c r="B286" s="1617" t="str">
        <f>'Statement of Marks'!$BB$3</f>
        <v>गणित</v>
      </c>
      <c r="C286" s="1618"/>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7">
        <f>IF(L278="","",IF(AND(H286="",I286=""),"",SUM(H286,I286)))</f>
        <v>46</v>
      </c>
      <c r="K286" s="679">
        <f>IFERROR(IF(L278="","",IF(AND(G286="",J286=""),"",SUM(G286,J286))),"")</f>
        <v>70</v>
      </c>
      <c r="L286" s="26">
        <f>IFERROR(VLOOKUP(L278,'Statement of Marks'!$B$7:'Statement of Marks'!$IC$206,59,0),"")</f>
        <v>45</v>
      </c>
      <c r="M286" s="26"/>
      <c r="N286" s="347">
        <f>IF(L278="","",IF(AND(L286="",M286=""),"",SUM(L286,M286)))</f>
        <v>45</v>
      </c>
      <c r="O286" s="674">
        <f>IFERROR(VLOOKUP(L278,'Statement of Marks'!$B$7:'Statement of Marks'!$IC$206,60,0),"")</f>
        <v>115</v>
      </c>
      <c r="P286" s="680"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80"/>
      <c r="R286" s="1617" t="str">
        <f>'Statement of Marks'!$BB$3</f>
        <v>गणित</v>
      </c>
      <c r="S286" s="1618"/>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7">
        <f>IF(AB278="","",IF(AND(X286="",Y286=""),"",SUM(X286,Y286)))</f>
        <v>46</v>
      </c>
      <c r="AA286" s="679">
        <f>IFERROR(IF(AB278="","",IF(AND(W286="",Z286=""),"",SUM(W286,Z286))),"")</f>
        <v>70</v>
      </c>
      <c r="AB286" s="26">
        <f>IFERROR(VLOOKUP(AB278,'Statement of Marks'!$B$7:'Statement of Marks'!$IC$206,59,0),"")</f>
        <v>45</v>
      </c>
      <c r="AC286" s="26"/>
      <c r="AD286" s="347">
        <f>IF(AB278="","",IF(AND(AB286="",AC286=""),"",SUM(AB286,AC286)))</f>
        <v>45</v>
      </c>
      <c r="AE286" s="674">
        <f>IFERROR(VLOOKUP(AB278,'Statement of Marks'!$B$7:'Statement of Marks'!$IC$206,60,0),"")</f>
        <v>115</v>
      </c>
      <c r="AF286" s="680"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51" customFormat="1" ht="22.5" customHeight="1">
      <c r="A287" s="33">
        <f>IF(L278="","",A286+1)</f>
        <v>17</v>
      </c>
      <c r="B287" s="1619" t="str">
        <f>'Statement of Marks'!$BP$3</f>
        <v>विज्ञान</v>
      </c>
      <c r="C287" s="1620"/>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7">
        <f>IF(L278="","",IF(AND(H287="",I287=""),"",SUM(H287,I287)))</f>
        <v>46</v>
      </c>
      <c r="K287" s="679">
        <f>IFERROR(IF(L278="","",IF(AND(G287="",J287=""),"",SUM(G287,J287))),"")</f>
        <v>70</v>
      </c>
      <c r="L287" s="26">
        <f>IFERROR(VLOOKUP(L278,'Statement of Marks'!$B$7:'Statement of Marks'!$IC$206,73,0),"")</f>
        <v>45</v>
      </c>
      <c r="M287" s="26"/>
      <c r="N287" s="347">
        <f>IF(L278="","",IF(AND(L287="",M287=""),"",SUM(L287,M287)))</f>
        <v>45</v>
      </c>
      <c r="O287" s="674">
        <f>IFERROR(VLOOKUP(L278,'Statement of Marks'!$B$7:'Statement of Marks'!$IC$206,74,0),"")</f>
        <v>115</v>
      </c>
      <c r="P287" s="680"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80"/>
      <c r="R287" s="1619" t="str">
        <f>'Statement of Marks'!$BP$3</f>
        <v>विज्ञान</v>
      </c>
      <c r="S287" s="1620"/>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7">
        <f>IF(AB278="","",IF(AND(X287="",Y287=""),"",SUM(X287,Y287)))</f>
        <v>46</v>
      </c>
      <c r="AA287" s="679">
        <f>IFERROR(IF(AB278="","",IF(AND(W287="",Z287=""),"",SUM(W287,Z287))),"")</f>
        <v>70</v>
      </c>
      <c r="AB287" s="26">
        <f>IFERROR(VLOOKUP(AB278,'Statement of Marks'!$B$7:'Statement of Marks'!$IC$206,73,0),"")</f>
        <v>45</v>
      </c>
      <c r="AC287" s="26"/>
      <c r="AD287" s="347">
        <f>IF(AB278="","",IF(AND(AB287="",AC287=""),"",SUM(AB287,AC287)))</f>
        <v>45</v>
      </c>
      <c r="AE287" s="674">
        <f>IFERROR(VLOOKUP(AB278,'Statement of Marks'!$B$7:'Statement of Marks'!$IC$206,74,0),"")</f>
        <v>115</v>
      </c>
      <c r="AF287" s="680"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51" customFormat="1" ht="22.5" customHeight="1">
      <c r="A288" s="33">
        <f>IF(L278="","",A287+1)</f>
        <v>18</v>
      </c>
      <c r="B288" s="409" t="str">
        <f>'Statement of Marks'!$CE$3</f>
        <v>सामाजिक विज्ञान</v>
      </c>
      <c r="C288" s="412"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7">
        <f>IF(L278="","",IF(AND(H288="",I288=""),"",SUM(H288,I288)))</f>
        <v>46</v>
      </c>
      <c r="K288" s="679">
        <f>IFERROR(IF(L278="","",IF(AND(G288="",J288=""),"",SUM(G288,J288))),"")</f>
        <v>70</v>
      </c>
      <c r="L288" s="26">
        <f>IFERROR(VLOOKUP(L278,'Statement of Marks'!$B$7:'Statement of Marks'!$IC$206,88,0),"")</f>
        <v>45</v>
      </c>
      <c r="M288" s="26"/>
      <c r="N288" s="347">
        <f>IF(L278="","",IF(AND(L288="",M288=""),"",SUM(L288,M288)))</f>
        <v>45</v>
      </c>
      <c r="O288" s="674">
        <f>IFERROR(VLOOKUP(L278,'Statement of Marks'!$B$7:'Statement of Marks'!$IC$206,89,0),"")</f>
        <v>115</v>
      </c>
      <c r="P288" s="680"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80"/>
      <c r="R288" s="409" t="str">
        <f>'Statement of Marks'!$CE$3</f>
        <v>सामाजिक विज्ञान</v>
      </c>
      <c r="S288" s="412"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7">
        <f>IF(AB278="","",IF(AND(X288="",Y288=""),"",SUM(X288,Y288)))</f>
        <v>46</v>
      </c>
      <c r="AA288" s="679">
        <f>IFERROR(IF(AB278="","",IF(AND(W288="",Z288=""),"",SUM(W288,Z288))),"")</f>
        <v>70</v>
      </c>
      <c r="AB288" s="26">
        <f>IFERROR(VLOOKUP(AB278,'Statement of Marks'!$B$7:'Statement of Marks'!$IC$206,88,0),"")</f>
        <v>45</v>
      </c>
      <c r="AC288" s="26"/>
      <c r="AD288" s="347">
        <f>IF(AB278="","",IF(AND(AB288="",AC288=""),"",SUM(AB288,AC288)))</f>
        <v>45</v>
      </c>
      <c r="AE288" s="674">
        <f>IFERROR(VLOOKUP(AB278,'Statement of Marks'!$B$7:'Statement of Marks'!$IC$206,89,0),"")</f>
        <v>115</v>
      </c>
      <c r="AF288" s="680"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51" customFormat="1">
      <c r="A289" s="33">
        <f>IF(L278="","",A288+1)</f>
        <v>19</v>
      </c>
      <c r="B289" s="1687" t="str">
        <f>IF('School Profile'!$D$12="Hindi","व्यावसायिक शिक्षा","Vocational Education")</f>
        <v>व्यावसायिक शिक्षा</v>
      </c>
      <c r="C289" s="1688"/>
      <c r="D289" s="1689"/>
      <c r="E289" s="1689"/>
      <c r="F289" s="1689"/>
      <c r="G289" s="1689"/>
      <c r="H289" s="1689"/>
      <c r="I289" s="1689"/>
      <c r="J289" s="1689"/>
      <c r="K289" s="1689"/>
      <c r="L289" s="1689"/>
      <c r="M289" s="1689"/>
      <c r="N289" s="1689"/>
      <c r="O289" s="1689"/>
      <c r="P289" s="1690"/>
      <c r="Q289" s="1680"/>
      <c r="R289" s="1687" t="str">
        <f>IF('School Profile'!$D$12="Hindi","व्यावसायिक शिक्षा","Vocational Education")</f>
        <v>व्यावसायिक शिक्षा</v>
      </c>
      <c r="S289" s="1688"/>
      <c r="T289" s="1689"/>
      <c r="U289" s="1689"/>
      <c r="V289" s="1689"/>
      <c r="W289" s="1689"/>
      <c r="X289" s="1689"/>
      <c r="Y289" s="1689"/>
      <c r="Z289" s="1689"/>
      <c r="AA289" s="1689"/>
      <c r="AB289" s="1689"/>
      <c r="AC289" s="1689"/>
      <c r="AD289" s="1689"/>
      <c r="AE289" s="1689"/>
      <c r="AF289" s="1690"/>
      <c r="AV289"/>
      <c r="AW289"/>
      <c r="AX289"/>
      <c r="BA289"/>
      <c r="BB289"/>
      <c r="BC289"/>
    </row>
    <row r="290" spans="1:55" s="351" customFormat="1" ht="22.5" customHeight="1">
      <c r="A290" s="33">
        <f>IF(L278="","",A289+1)</f>
        <v>20</v>
      </c>
      <c r="B290" s="411" t="str">
        <f>IFERROR(VLOOKUP(L278,'Statement of Marks'!$B$7:'Statement of Marks'!$IC$206,96,0),"")</f>
        <v/>
      </c>
      <c r="C290" s="410" t="str">
        <f>IF(OR(L278="",O288="",O290="",B290=""),"",IF(AND(O290&gt;=O288),"*",""))</f>
        <v/>
      </c>
      <c r="D290" s="397"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7" t="str">
        <f>IFERROR(VLOOKUP(L278,'Statement of Marks'!$B$7:'Statement of Marks'!$IC$206,103,0),"")</f>
        <v/>
      </c>
      <c r="K290" s="679" t="str">
        <f>IFERROR(IF(L278="","",IF(AND(G290="",J290=""),"",SUM(G290,J290))),"")</f>
        <v/>
      </c>
      <c r="L290" s="26" t="str">
        <f>IFERROR(VLOOKUP(L278,'Statement of Marks'!$B$7:'Statement of Marks'!$IC$206,105,0),"")</f>
        <v/>
      </c>
      <c r="M290" s="26" t="str">
        <f>IFERROR(VLOOKUP(L278,'Statement of Marks'!$B$7:'Statement of Marks'!$IC$206,106,0),"")</f>
        <v/>
      </c>
      <c r="N290" s="347" t="str">
        <f>IF(L278="","",IF(AND(L290="",M290=""),"",SUM(L290,M290)))</f>
        <v/>
      </c>
      <c r="O290" s="672" t="str">
        <f>IFERROR(VLOOKUP(L278,'Statement of Marks'!$B$7:'Statement of Marks'!$IC$206,108,0),"")</f>
        <v/>
      </c>
      <c r="P290" s="680"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80"/>
      <c r="R290" s="411" t="str">
        <f>IFERROR(VLOOKUP(AB278,'Statement of Marks'!$B$7:'Statement of Marks'!$IC$206,96,0),"")</f>
        <v/>
      </c>
      <c r="S290" s="410" t="str">
        <f>IF(OR(AB278="",AE288="",AE290="",R290=""),"",IF(AND(AE290&gt;=AE288),"*",""))</f>
        <v/>
      </c>
      <c r="T290" s="397"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7" t="str">
        <f>IFERROR(VLOOKUP(AB278,'Statement of Marks'!$B$7:'Statement of Marks'!$IC$206,103,0),"")</f>
        <v/>
      </c>
      <c r="AA290" s="679" t="str">
        <f>IFERROR(IF(AB278="","",IF(AND(W290="",Z290=""),"",SUM(W290,Z290))),"")</f>
        <v/>
      </c>
      <c r="AB290" s="26" t="str">
        <f>IFERROR(VLOOKUP(AB278,'Statement of Marks'!$B$7:'Statement of Marks'!$IC$206,105,0),"")</f>
        <v/>
      </c>
      <c r="AC290" s="26" t="str">
        <f>IFERROR(VLOOKUP(AB278,'Statement of Marks'!$B$7:'Statement of Marks'!$IC$206,106,0),"")</f>
        <v/>
      </c>
      <c r="AD290" s="347" t="str">
        <f>IF(AB278="","",IF(AND(AB290="",AC290=""),"",SUM(AB290,AC290)))</f>
        <v/>
      </c>
      <c r="AE290" s="672" t="str">
        <f>IFERROR(VLOOKUP(AB278,'Statement of Marks'!$B$7:'Statement of Marks'!$IC$206,108,0),"")</f>
        <v/>
      </c>
      <c r="AF290" s="680"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51" customFormat="1" ht="25.5" customHeight="1">
      <c r="A291" s="33">
        <f>IF(L278="","",A290+1)</f>
        <v>21</v>
      </c>
      <c r="B291" s="1665"/>
      <c r="C291" s="1666"/>
      <c r="D291" s="1667"/>
      <c r="E291" s="1667"/>
      <c r="F291" s="1667"/>
      <c r="G291" s="1667"/>
      <c r="H291" s="1667"/>
      <c r="I291" s="1667"/>
      <c r="J291" s="1667"/>
      <c r="K291" s="1667"/>
      <c r="L291" s="1668" t="str">
        <f>IF('School Profile'!$D$12="Hindi","महायोग :","Grand Total :")</f>
        <v>महायोग :</v>
      </c>
      <c r="M291" s="1669"/>
      <c r="N291" s="1669"/>
      <c r="O291" s="1670">
        <f>IF(OR(L278="",C276=""),"",IF(OR(B290="",O290=""),SUM(O283,O284,O285,O286,O287,O288),IF((O288/O282*100)&gt;=(O290/O282*100),SUM(O283:O288),SUM(O283,O284,O285,O286,O287,O290))))</f>
        <v>768</v>
      </c>
      <c r="P291" s="1671"/>
      <c r="Q291" s="1680"/>
      <c r="R291" s="1665"/>
      <c r="S291" s="1666"/>
      <c r="T291" s="1667"/>
      <c r="U291" s="1667"/>
      <c r="V291" s="1667"/>
      <c r="W291" s="1667"/>
      <c r="X291" s="1667"/>
      <c r="Y291" s="1667"/>
      <c r="Z291" s="1667"/>
      <c r="AA291" s="1667"/>
      <c r="AB291" s="1668" t="str">
        <f>IF('School Profile'!$D$12="Hindi","महायोग :","Grand Total :")</f>
        <v>महायोग :</v>
      </c>
      <c r="AC291" s="1669"/>
      <c r="AD291" s="1669"/>
      <c r="AE291" s="1670">
        <f>IF(OR(AB278="",S276=""),"",IF(OR(R290="",AE290=""),SUM(AE283,AE284,AE285,AE286,AE287,AE288),IF((AE288/AE282*100)&gt;=(AE290/AE282*100),SUM(AE283:AE288),SUM(AE283,AE284,AE285,AE286,AE287,AE290))))</f>
        <v>768</v>
      </c>
      <c r="AF291" s="1671"/>
      <c r="AV291"/>
      <c r="AW291"/>
      <c r="AX291"/>
      <c r="BA291"/>
      <c r="BB291"/>
      <c r="BC291"/>
    </row>
    <row r="292" spans="1:55" s="351" customFormat="1" ht="25.5" customHeight="1">
      <c r="A292" s="33">
        <f>IF(L278="","",A291+1)</f>
        <v>22</v>
      </c>
      <c r="B292" s="1644" t="str">
        <f>'Statement of Marks'!$DZ$208</f>
        <v>राजस्थान का स्वंत्रता आन्दोलन व शोर्य परम्परा</v>
      </c>
      <c r="C292" s="1645"/>
      <c r="D292" s="1646" t="s">
        <v>149</v>
      </c>
      <c r="E292" s="1647"/>
      <c r="F292" s="355" t="str">
        <f>IFERROR(VLOOKUP(L278,'Statement of Marks'!$B$7:'Statement of Marks'!$IC$206,136,0),"")</f>
        <v/>
      </c>
      <c r="G292" s="356" t="s">
        <v>135</v>
      </c>
      <c r="H292" s="355" t="str">
        <f>IFERROR(VLOOKUP(L278,'Statement of Marks'!$B$7:'Statement of Marks'!$IC$206,137,0),"")</f>
        <v/>
      </c>
      <c r="I292" s="1648" t="str">
        <f>'Statement of Marks'!$EL$208</f>
        <v>सूचना प्रोद्योगिकी की अवधारणा - I</v>
      </c>
      <c r="J292" s="1649"/>
      <c r="K292" s="1649"/>
      <c r="L292" s="1650"/>
      <c r="M292" s="354" t="s">
        <v>149</v>
      </c>
      <c r="N292" s="355" t="str">
        <f>IFERROR(VLOOKUP(L278,'Statement of Marks'!$B$7:'Statement of Marks'!$IC$206,152,0),"")</f>
        <v/>
      </c>
      <c r="O292" s="356" t="s">
        <v>135</v>
      </c>
      <c r="P292" s="355" t="str">
        <f>IFERROR(VLOOKUP(L278,'Statement of Marks'!$B$7:'Statement of Marks'!$IC$206,153,0),"")</f>
        <v/>
      </c>
      <c r="Q292" s="1680"/>
      <c r="R292" s="1644" t="str">
        <f>'Statement of Marks'!$DZ$208</f>
        <v>राजस्थान का स्वंत्रता आन्दोलन व शोर्य परम्परा</v>
      </c>
      <c r="S292" s="1645"/>
      <c r="T292" s="1646" t="s">
        <v>149</v>
      </c>
      <c r="U292" s="1647"/>
      <c r="V292" s="355" t="str">
        <f>IFERROR(VLOOKUP(AB278,'Statement of Marks'!$B$7:'Statement of Marks'!$IC$206,136,0),"")</f>
        <v/>
      </c>
      <c r="W292" s="356" t="s">
        <v>135</v>
      </c>
      <c r="X292" s="355" t="str">
        <f>IFERROR(VLOOKUP(AB278,'Statement of Marks'!$B$7:'Statement of Marks'!$IC$206,137,0),"")</f>
        <v/>
      </c>
      <c r="Y292" s="1648" t="str">
        <f>'Statement of Marks'!$EL$208</f>
        <v>सूचना प्रोद्योगिकी की अवधारणा - I</v>
      </c>
      <c r="Z292" s="1649"/>
      <c r="AA292" s="1649"/>
      <c r="AB292" s="1650"/>
      <c r="AC292" s="354" t="s">
        <v>149</v>
      </c>
      <c r="AD292" s="355" t="str">
        <f>IFERROR(VLOOKUP(AB278,'Statement of Marks'!$B$7:'Statement of Marks'!$IC$206,152,0),"")</f>
        <v/>
      </c>
      <c r="AE292" s="356" t="s">
        <v>135</v>
      </c>
      <c r="AF292" s="355" t="str">
        <f>IFERROR(VLOOKUP(AB278,'Statement of Marks'!$B$7:'Statement of Marks'!$IC$206,153,0),"")</f>
        <v/>
      </c>
      <c r="AV292"/>
      <c r="AW292"/>
      <c r="AX292"/>
      <c r="BA292"/>
      <c r="BB292"/>
      <c r="BC292"/>
    </row>
    <row r="293" spans="1:55" s="351" customFormat="1" ht="25.5" customHeight="1">
      <c r="A293" s="33">
        <f>IF(L278="","",A292+1)</f>
        <v>23</v>
      </c>
      <c r="B293" s="1651" t="str">
        <f>'Statement of Marks'!$FB$208</f>
        <v>स्वा. एवं शा. शिक्षा</v>
      </c>
      <c r="C293" s="1652"/>
      <c r="D293" s="1653" t="s">
        <v>149</v>
      </c>
      <c r="E293" s="1654"/>
      <c r="F293" s="355" t="str">
        <f>IFERROR(VLOOKUP(L278,'Statement of Marks'!$B$7:'Statement of Marks'!$IC$206,171,0),"")</f>
        <v/>
      </c>
      <c r="G293" s="356" t="s">
        <v>135</v>
      </c>
      <c r="H293" s="355" t="str">
        <f>IFERROR(VLOOKUP(L278,'Statement of Marks'!$B$7:'Statement of Marks'!$IC$206,172,0),"")</f>
        <v/>
      </c>
      <c r="I293" s="1655" t="str">
        <f>'Statement of Marks'!$FJ$208</f>
        <v>समाजोपयोगी उत्पादन कार्य एवं समाज सेवा</v>
      </c>
      <c r="J293" s="1656"/>
      <c r="K293" s="1656"/>
      <c r="L293" s="1657"/>
      <c r="M293" s="403" t="s">
        <v>149</v>
      </c>
      <c r="N293" s="404" t="str">
        <f>IFERROR(VLOOKUP(L278,'Statement of Marks'!$B$7:'Statement of Marks'!$IC$206,179,0),"")</f>
        <v/>
      </c>
      <c r="O293" s="405" t="s">
        <v>135</v>
      </c>
      <c r="P293" s="404" t="str">
        <f>IFERROR(VLOOKUP(L278,'Statement of Marks'!$B$7:'Statement of Marks'!$IC$206,180,0),"")</f>
        <v/>
      </c>
      <c r="Q293" s="1680"/>
      <c r="R293" s="1651" t="str">
        <f>'Statement of Marks'!$FB$208</f>
        <v>स्वा. एवं शा. शिक्षा</v>
      </c>
      <c r="S293" s="1652"/>
      <c r="T293" s="1653" t="s">
        <v>149</v>
      </c>
      <c r="U293" s="1654"/>
      <c r="V293" s="355" t="str">
        <f>IFERROR(VLOOKUP(AB278,'Statement of Marks'!$B$7:'Statement of Marks'!$IC$206,171,0),"")</f>
        <v/>
      </c>
      <c r="W293" s="356" t="s">
        <v>135</v>
      </c>
      <c r="X293" s="355" t="str">
        <f>IFERROR(VLOOKUP(AB278,'Statement of Marks'!$B$7:'Statement of Marks'!$IC$206,172,0),"")</f>
        <v/>
      </c>
      <c r="Y293" s="1655" t="str">
        <f>'Statement of Marks'!$FJ$208</f>
        <v>समाजोपयोगी उत्पादन कार्य एवं समाज सेवा</v>
      </c>
      <c r="Z293" s="1656"/>
      <c r="AA293" s="1656"/>
      <c r="AB293" s="1657"/>
      <c r="AC293" s="403" t="s">
        <v>149</v>
      </c>
      <c r="AD293" s="404" t="str">
        <f>IFERROR(VLOOKUP(AB278,'Statement of Marks'!$B$7:'Statement of Marks'!$IC$206,179,0),"")</f>
        <v/>
      </c>
      <c r="AE293" s="405" t="s">
        <v>135</v>
      </c>
      <c r="AF293" s="404" t="str">
        <f>IFERROR(VLOOKUP(AB278,'Statement of Marks'!$B$7:'Statement of Marks'!$IC$206,180,0),"")</f>
        <v/>
      </c>
      <c r="AV293"/>
      <c r="AW293"/>
      <c r="AX293"/>
      <c r="BA293"/>
      <c r="BB293"/>
      <c r="BC293"/>
    </row>
    <row r="294" spans="1:55" s="351" customFormat="1" ht="30" customHeight="1">
      <c r="A294" s="33">
        <f>IF(L278="","",A293+1)</f>
        <v>24</v>
      </c>
      <c r="B294" s="1658" t="str">
        <f>'Statement of Marks'!$FU$208</f>
        <v>कला शिक्षा</v>
      </c>
      <c r="C294" s="1659"/>
      <c r="D294" s="1660" t="s">
        <v>149</v>
      </c>
      <c r="E294" s="1661"/>
      <c r="F294" s="404" t="str">
        <f>IFERROR(VLOOKUP(L278,'Statement of Marks'!$B$7:'Statement of Marks'!$IC$206,187,0),"")</f>
        <v/>
      </c>
      <c r="G294" s="405" t="s">
        <v>135</v>
      </c>
      <c r="H294" s="355" t="str">
        <f>IFERROR(VLOOKUP(L278,'Statement of Marks'!$B$7:'Statement of Marks'!$IC$206,188,0),"")</f>
        <v/>
      </c>
      <c r="I294" s="1662" t="str">
        <f>IF('School Profile'!$D$12="Hindi","परीक्षा परिणाम घोषित दिनांक :-","Date of Result declaration :-")</f>
        <v>परीक्षा परिणाम घोषित दिनांक :-</v>
      </c>
      <c r="J294" s="1663"/>
      <c r="K294" s="1663"/>
      <c r="L294" s="1664"/>
      <c r="M294" s="1625">
        <f>IF(AND(L278=""),"",IF('School Profile'!$D$11="","",'School Profile'!$D$11))</f>
        <v>45793</v>
      </c>
      <c r="N294" s="1626"/>
      <c r="O294" s="690" t="str">
        <f>IF('School Profile'!$D$12="Hindi","श्रेणी","Division")</f>
        <v>श्रेणी</v>
      </c>
      <c r="P294" s="407" t="str">
        <f>IFERROR(VLOOKUP(L278,'Statement of Marks'!$B$7:'Statement of Marks'!$IC$206,229,0),"")</f>
        <v>1st</v>
      </c>
      <c r="Q294" s="1680"/>
      <c r="R294" s="1658" t="str">
        <f>'Statement of Marks'!$FU$208</f>
        <v>कला शिक्षा</v>
      </c>
      <c r="S294" s="1659"/>
      <c r="T294" s="1660" t="s">
        <v>149</v>
      </c>
      <c r="U294" s="1661"/>
      <c r="V294" s="404" t="str">
        <f>IFERROR(VLOOKUP(AB278,'Statement of Marks'!$B$7:'Statement of Marks'!$IC$206,187,0),"")</f>
        <v/>
      </c>
      <c r="W294" s="405" t="s">
        <v>135</v>
      </c>
      <c r="X294" s="355" t="str">
        <f>IFERROR(VLOOKUP(AB278,'Statement of Marks'!$B$7:'Statement of Marks'!$IC$206,188,0),"")</f>
        <v/>
      </c>
      <c r="Y294" s="1662" t="str">
        <f>IF('School Profile'!$D$12="Hindi","परीक्षा परिणाम घोषित दिनांक :-","Date of Result declaration :-")</f>
        <v>परीक्षा परिणाम घोषित दिनांक :-</v>
      </c>
      <c r="Z294" s="1663"/>
      <c r="AA294" s="1663"/>
      <c r="AB294" s="1664"/>
      <c r="AC294" s="1625">
        <f>IF(AND(AB278=""),"",IF('School Profile'!$D$11="","",'School Profile'!$D$11))</f>
        <v>45793</v>
      </c>
      <c r="AD294" s="1626"/>
      <c r="AE294" s="690" t="str">
        <f>IF('School Profile'!$D$12="Hindi","श्रेणी","Division")</f>
        <v>श्रेणी</v>
      </c>
      <c r="AF294" s="407" t="str">
        <f>IFERROR(VLOOKUP(AB278,'Statement of Marks'!$B$7:'Statement of Marks'!$IC$206,229,0),"")</f>
        <v>1st</v>
      </c>
      <c r="AV294"/>
      <c r="AW294"/>
      <c r="AX294"/>
      <c r="BA294"/>
      <c r="BB294"/>
      <c r="BC294"/>
    </row>
    <row r="295" spans="1:55" s="351" customFormat="1" ht="29.25" customHeight="1">
      <c r="A295" s="33">
        <f>IF(L278="","",A294+1)</f>
        <v>25</v>
      </c>
      <c r="B295" s="1627" t="s">
        <v>144</v>
      </c>
      <c r="C295" s="1628"/>
      <c r="D295" s="1629" t="str">
        <f>IFERROR(VLOOKUP(L278,'Statement of Marks'!$B$7:'Statement of Marks'!$IC$206,192,0),"")</f>
        <v/>
      </c>
      <c r="E295" s="1630"/>
      <c r="F295" s="1631" t="s">
        <v>76</v>
      </c>
      <c r="G295" s="1632"/>
      <c r="H295" s="406" t="str">
        <f>IFERROR(VLOOKUP(L278,'Statement of Marks'!$B$7:'Statement of Marks'!$IC$206,193,0),"")</f>
        <v/>
      </c>
      <c r="I295" s="1633" t="s">
        <v>136</v>
      </c>
      <c r="J295" s="1634"/>
      <c r="K295" s="1635">
        <f>IFERROR(IF(OR(O291="",L278=""),"",VLOOKUP(L278,'Statement of Marks'!$B$7:'Statement of Marks'!$IC$206,230,0)),"")</f>
        <v>64</v>
      </c>
      <c r="L295" s="1636"/>
      <c r="M295" s="1637" t="s">
        <v>145</v>
      </c>
      <c r="N295" s="1638"/>
      <c r="O295" s="1638"/>
      <c r="P295" s="408">
        <f>IFERROR(VLOOKUP(L278,'Statement of Marks'!$B$7:'Statement of Marks'!$IC$206,231,0),"")</f>
        <v>6.9999999999999263</v>
      </c>
      <c r="Q295" s="1680"/>
      <c r="R295" s="1627" t="s">
        <v>144</v>
      </c>
      <c r="S295" s="1628"/>
      <c r="T295" s="1629" t="str">
        <f>IFERROR(VLOOKUP(AB278,'Statement of Marks'!$B$7:'Statement of Marks'!$IC$206,192,0),"")</f>
        <v/>
      </c>
      <c r="U295" s="1630"/>
      <c r="V295" s="1631" t="s">
        <v>76</v>
      </c>
      <c r="W295" s="1632"/>
      <c r="X295" s="406" t="str">
        <f>IFERROR(VLOOKUP(AB278,'Statement of Marks'!$B$7:'Statement of Marks'!$IC$206,193,0),"")</f>
        <v/>
      </c>
      <c r="Y295" s="1633" t="s">
        <v>136</v>
      </c>
      <c r="Z295" s="1634"/>
      <c r="AA295" s="1635">
        <f>IFERROR(IF(OR(AE291="",AB278=""),"",VLOOKUP(AB278,'Statement of Marks'!$B$7:'Statement of Marks'!$IC$206,230,0)),"")</f>
        <v>64</v>
      </c>
      <c r="AB295" s="1636"/>
      <c r="AC295" s="1637" t="s">
        <v>145</v>
      </c>
      <c r="AD295" s="1638"/>
      <c r="AE295" s="1638"/>
      <c r="AF295" s="408">
        <f>IFERROR(VLOOKUP(AB278,'Statement of Marks'!$B$7:'Statement of Marks'!$IC$206,231,0),"")</f>
        <v>6.9999999999999263</v>
      </c>
      <c r="AV295"/>
      <c r="AW295"/>
      <c r="AX295"/>
      <c r="BA295"/>
      <c r="BB295"/>
      <c r="BC295"/>
    </row>
    <row r="296" spans="1:55" s="351" customFormat="1" ht="27.75" customHeight="1">
      <c r="A296" s="33">
        <f>IF(L278="","",A295+1)</f>
        <v>26</v>
      </c>
      <c r="B296" s="1639" t="str">
        <f>IF('School Profile'!$D$12="Hindi","मुख्य परीक्षा परिणाम ","Main Exam Result")</f>
        <v xml:space="preserve">मुख्य परीक्षा परिणाम </v>
      </c>
      <c r="C296" s="1639"/>
      <c r="D296" s="1640"/>
      <c r="E296" s="1640"/>
      <c r="F296" s="1640"/>
      <c r="G296" s="1640" t="str">
        <f>IF('School Profile'!$D$12="Hindi","विशेष योग्यता प्राप्त विषय","Subjects Of Dictation Marks")</f>
        <v>विशेष योग्यता प्राप्त विषय</v>
      </c>
      <c r="H296" s="1640"/>
      <c r="I296" s="1640"/>
      <c r="J296" s="1640"/>
      <c r="K296" s="1640"/>
      <c r="L296" s="1641" t="str">
        <f>IF('School Profile'!$D$12="Hindi","पूरक विषय","Supplementary Subject")</f>
        <v>पूरक विषय</v>
      </c>
      <c r="M296" s="1642"/>
      <c r="N296" s="1642"/>
      <c r="O296" s="1642"/>
      <c r="P296" s="1643"/>
      <c r="Q296" s="1680"/>
      <c r="R296" s="1639" t="str">
        <f>IF('School Profile'!$D$12="Hindi","मुख्य परीक्षा परिणाम ","Main Exam Result")</f>
        <v xml:space="preserve">मुख्य परीक्षा परिणाम </v>
      </c>
      <c r="S296" s="1639"/>
      <c r="T296" s="1640"/>
      <c r="U296" s="1640"/>
      <c r="V296" s="1640"/>
      <c r="W296" s="1640" t="str">
        <f>IF('School Profile'!$D$12="Hindi","विशेष योग्यता प्राप्त विषय","Subjects Of Dictation Marks")</f>
        <v>विशेष योग्यता प्राप्त विषय</v>
      </c>
      <c r="X296" s="1640"/>
      <c r="Y296" s="1640"/>
      <c r="Z296" s="1640"/>
      <c r="AA296" s="1640"/>
      <c r="AB296" s="1641" t="str">
        <f>IF('School Profile'!$D$12="Hindi","पूरक विषय","Supplementary Subject")</f>
        <v>पूरक विषय</v>
      </c>
      <c r="AC296" s="1642"/>
      <c r="AD296" s="1642"/>
      <c r="AE296" s="1642"/>
      <c r="AF296" s="1643"/>
      <c r="AV296"/>
      <c r="AW296"/>
      <c r="AX296"/>
      <c r="BA296"/>
      <c r="BB296"/>
      <c r="BC296"/>
    </row>
    <row r="297" spans="1:55" s="351" customFormat="1" ht="42.75" customHeight="1">
      <c r="A297" s="33">
        <f>IF(L278="","",A296+1)</f>
        <v>27</v>
      </c>
      <c r="B297" s="1612"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12"/>
      <c r="D297" s="1612"/>
      <c r="E297" s="1612"/>
      <c r="F297" s="1612"/>
      <c r="G297" s="1613" t="str">
        <f>IFERROR(VLOOKUP(L278,'Statement of Marks'!$B$7:'Statement of Marks'!$IC$206,225,0),"")</f>
        <v xml:space="preserve"> अंग्रेजी     </v>
      </c>
      <c r="H297" s="1613"/>
      <c r="I297" s="1613"/>
      <c r="J297" s="1613"/>
      <c r="K297" s="1613"/>
      <c r="L297" s="1614" t="str">
        <f>IFERROR(VLOOKUP(L278,'Statement of Marks'!$B$7:'Statement of Marks'!$IC$206,222,0),"")</f>
        <v xml:space="preserve">      </v>
      </c>
      <c r="M297" s="1615"/>
      <c r="N297" s="1615"/>
      <c r="O297" s="1615"/>
      <c r="P297" s="1616"/>
      <c r="Q297" s="1680"/>
      <c r="R297" s="1612"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12"/>
      <c r="T297" s="1612"/>
      <c r="U297" s="1612"/>
      <c r="V297" s="1612"/>
      <c r="W297" s="1613" t="str">
        <f>IFERROR(VLOOKUP(AB278,'Statement of Marks'!$B$7:'Statement of Marks'!$IC$206,225,0),"")</f>
        <v xml:space="preserve"> अंग्रेजी     </v>
      </c>
      <c r="X297" s="1613"/>
      <c r="Y297" s="1613"/>
      <c r="Z297" s="1613"/>
      <c r="AA297" s="1613"/>
      <c r="AB297" s="1614" t="str">
        <f>IFERROR(VLOOKUP(AB278,'Statement of Marks'!$B$7:'Statement of Marks'!$IC$206,222,0),"")</f>
        <v xml:space="preserve">      </v>
      </c>
      <c r="AC297" s="1615"/>
      <c r="AD297" s="1615"/>
      <c r="AE297" s="1615"/>
      <c r="AF297" s="1616"/>
      <c r="AV297"/>
      <c r="AW297"/>
      <c r="AX297"/>
      <c r="BA297"/>
      <c r="BB297"/>
      <c r="BC297"/>
    </row>
    <row r="298" spans="1:55" s="351" customFormat="1" ht="52.5" customHeight="1">
      <c r="A298" s="33">
        <f>IF(L278="","",A297+1)</f>
        <v>28</v>
      </c>
      <c r="B298" s="1621" t="str">
        <f>IF(AND(L278=""),"",CONCATENATE("(",'School Profile'!$D$18," )"))</f>
        <v>(Yogesh )</v>
      </c>
      <c r="C298" s="1621"/>
      <c r="D298" s="1621"/>
      <c r="E298" s="1621"/>
      <c r="F298" s="1621"/>
      <c r="G298" s="1622" t="str">
        <f>IF(AND(L278=""),"",CONCATENATE("( ",'School Profile'!$D$15," )"))</f>
        <v>( Heeralal Jat )</v>
      </c>
      <c r="H298" s="1622"/>
      <c r="I298" s="1622"/>
      <c r="J298" s="1622"/>
      <c r="K298" s="1623" t="str">
        <f>IF(AND(L278=""),"",CONCATENATE("( ",'School Profile'!$D$14," )"))</f>
        <v>( USHA PALIYA )</v>
      </c>
      <c r="L298" s="1623"/>
      <c r="M298" s="1623"/>
      <c r="N298" s="1623"/>
      <c r="O298" s="1623"/>
      <c r="P298" s="1623"/>
      <c r="Q298" s="1680"/>
      <c r="R298" s="1621" t="str">
        <f>IF(AND(AB278=""),"",CONCATENATE("(",'School Profile'!$D$18," )"))</f>
        <v>(Yogesh )</v>
      </c>
      <c r="S298" s="1621"/>
      <c r="T298" s="1621"/>
      <c r="U298" s="1621"/>
      <c r="V298" s="1621"/>
      <c r="W298" s="1622" t="str">
        <f>IF(AND(AB278=""),"",CONCATENATE("( ",'School Profile'!$D$15," )"))</f>
        <v>( Heeralal Jat )</v>
      </c>
      <c r="X298" s="1622"/>
      <c r="Y298" s="1622"/>
      <c r="Z298" s="1622"/>
      <c r="AA298" s="1623" t="str">
        <f>IF(AND(AB278=""),"",CONCATENATE("( ",'School Profile'!$D$14," )"))</f>
        <v>( USHA PALIYA )</v>
      </c>
      <c r="AB298" s="1623"/>
      <c r="AC298" s="1623"/>
      <c r="AD298" s="1623"/>
      <c r="AE298" s="1623"/>
      <c r="AF298" s="1623"/>
      <c r="AV298"/>
      <c r="AW298"/>
      <c r="AX298"/>
      <c r="BA298"/>
      <c r="BB298"/>
      <c r="BC298"/>
    </row>
    <row r="299" spans="1:55" s="351" customFormat="1" ht="24.75" customHeight="1">
      <c r="A299" s="33">
        <f>IF(L278="","",A298+1)</f>
        <v>29</v>
      </c>
      <c r="B299" s="1624" t="str">
        <f>IF('School Profile'!$D$12="Hindi","हस्ताक्षर कक्षाध्यापक","Signature of the class teacher")</f>
        <v>हस्ताक्षर कक्षाध्यापक</v>
      </c>
      <c r="C299" s="1624"/>
      <c r="D299" s="1624"/>
      <c r="E299" s="1624"/>
      <c r="F299" s="1624"/>
      <c r="G299" s="1624" t="str">
        <f>IF('School Profile'!$D$12="Hindi","हस्ताक्षर परीक्षा प्रभारी","Signature of the exam. Incharge")</f>
        <v>हस्ताक्षर परीक्षा प्रभारी</v>
      </c>
      <c r="H299" s="1624"/>
      <c r="I299" s="1624"/>
      <c r="J299" s="1624"/>
      <c r="K299" s="1624" t="str">
        <f>IF('School Profile'!$D$12="Hindi","हस्ताक्षर मय सील मोहर संस्था प्रधान","Signature &amp; Seal of the Head of the Institution")</f>
        <v>हस्ताक्षर मय सील मोहर संस्था प्रधान</v>
      </c>
      <c r="L299" s="1624"/>
      <c r="M299" s="1624"/>
      <c r="N299" s="1624"/>
      <c r="O299" s="1624"/>
      <c r="P299" s="1624"/>
      <c r="Q299" s="1680"/>
      <c r="R299" s="1624" t="str">
        <f>IF('School Profile'!$D$12="Hindi","हस्ताक्षर कक्षाध्यापक","Signature of the class teacher")</f>
        <v>हस्ताक्षर कक्षाध्यापक</v>
      </c>
      <c r="S299" s="1624"/>
      <c r="T299" s="1624"/>
      <c r="U299" s="1624"/>
      <c r="V299" s="1624"/>
      <c r="W299" s="1624" t="str">
        <f>IF('School Profile'!$D$12="Hindi","हस्ताक्षर परीक्षा प्रभारी","Signature of the exam. Incharge")</f>
        <v>हस्ताक्षर परीक्षा प्रभारी</v>
      </c>
      <c r="X299" s="1624"/>
      <c r="Y299" s="1624"/>
      <c r="Z299" s="1624"/>
      <c r="AA299" s="1624" t="str">
        <f>IF('School Profile'!$D$12="Hindi","हस्ताक्षर मय सील मोहर संस्था प्रधान","Signature &amp; Seal of the Head of the Institution")</f>
        <v>हस्ताक्षर मय सील मोहर संस्था प्रधान</v>
      </c>
      <c r="AB299" s="1624"/>
      <c r="AC299" s="1624"/>
      <c r="AD299" s="1624"/>
      <c r="AE299" s="1624"/>
      <c r="AF299" s="1624"/>
      <c r="AV299"/>
      <c r="AW299"/>
      <c r="AX299"/>
      <c r="BA299"/>
      <c r="BB299"/>
      <c r="BC299"/>
    </row>
  </sheetData>
  <sheetProtection password="F18B" sheet="1" objects="1" scenarios="1" formatCells="0" formatColumns="0" formatRows="0"/>
  <mergeCells count="1232">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topLeftCell="A4" zoomScaleSheetLayoutView="100" workbookViewId="0">
      <selection activeCell="Y16" sqref="Y16"/>
    </sheetView>
  </sheetViews>
  <sheetFormatPr defaultRowHeight="15"/>
  <cols>
    <col min="1" max="1" width="4.125" style="6" customWidth="1"/>
    <col min="2" max="2" width="8.875" style="38" customWidth="1"/>
    <col min="3" max="3" width="8" style="38" customWidth="1"/>
    <col min="4" max="4" width="2" style="38" customWidth="1"/>
    <col min="5" max="14" width="6.625" style="38" customWidth="1"/>
    <col min="15" max="15" width="6.625" style="6" customWidth="1"/>
    <col min="16" max="16" width="9.5" style="38" customWidth="1"/>
    <col min="17" max="17" width="7.875" style="38" customWidth="1"/>
    <col min="18" max="18" width="6.75" style="38" customWidth="1"/>
    <col min="19" max="19" width="5.75" style="38" customWidth="1"/>
    <col min="20" max="21" width="7.5" style="38" customWidth="1"/>
    <col min="22" max="22" width="9" style="38" customWidth="1"/>
    <col min="23" max="30" width="6.75" style="6" customWidth="1"/>
    <col min="31" max="32" width="9" style="6"/>
    <col min="33" max="33" width="9" hidden="1" customWidth="1"/>
    <col min="34" max="34" width="10.125" hidden="1" customWidth="1"/>
    <col min="35" max="36" width="9" hidden="1" customWidth="1"/>
    <col min="37" max="37" width="9" style="6" hidden="1" customWidth="1"/>
    <col min="38" max="16384" width="9" style="6"/>
  </cols>
  <sheetData>
    <row r="1" spans="2:37" ht="24.75" customHeight="1">
      <c r="B1" s="21"/>
      <c r="C1" s="21"/>
      <c r="D1" s="21"/>
      <c r="E1" s="701"/>
      <c r="F1" s="701"/>
      <c r="G1" s="701"/>
      <c r="H1" s="701"/>
      <c r="I1" s="1553" t="str">
        <f>IF('School Profile'!$D$12="Hindi","वार्षिक रिपोर्ट कार्ड ","Report Card")</f>
        <v xml:space="preserve">वार्षिक रिपोर्ट कार्ड </v>
      </c>
      <c r="J1" s="1553"/>
      <c r="K1" s="1553"/>
      <c r="L1" s="1553"/>
      <c r="M1" s="1553"/>
      <c r="N1" s="1553"/>
      <c r="O1" s="1553"/>
      <c r="P1" s="1553"/>
      <c r="Q1" s="701"/>
      <c r="R1" s="701"/>
      <c r="S1" s="701"/>
      <c r="T1" s="701"/>
      <c r="U1" s="21"/>
      <c r="V1" s="21"/>
    </row>
    <row r="2" spans="2:37" ht="18.75" customHeight="1" thickBot="1">
      <c r="B2" s="21"/>
      <c r="C2" s="702"/>
      <c r="D2" s="702"/>
      <c r="E2" s="1560" t="str">
        <f>IF('School Profile'!$D$12="Hindi","शिक्षा विभाग, राजस्थान सरकार","Education Department, Rajasthan Government")</f>
        <v>शिक्षा विभाग, राजस्थान सरकार</v>
      </c>
      <c r="F2" s="1560"/>
      <c r="G2" s="1560"/>
      <c r="H2" s="1560"/>
      <c r="I2" s="1560"/>
      <c r="J2" s="1560"/>
      <c r="K2" s="1560"/>
      <c r="L2" s="1560"/>
      <c r="M2" s="1560"/>
      <c r="N2" s="1560"/>
      <c r="O2" s="1560"/>
      <c r="P2" s="1560"/>
      <c r="Q2" s="1560"/>
      <c r="R2" s="1560"/>
      <c r="S2" s="1560"/>
      <c r="T2" s="1560"/>
      <c r="U2" s="702"/>
      <c r="V2" s="21"/>
    </row>
    <row r="3" spans="2:37" ht="21" customHeight="1">
      <c r="B3" s="703"/>
      <c r="C3" s="703"/>
      <c r="D3" s="1555" t="str">
        <f>IF('School Profile'!D12="Hindi",CONCATENATE("विद्यालय का नाम :-","  ",'School Profile'!D9),CONCATENATE("School Name :-","  ",'School Profile'!D8))</f>
        <v xml:space="preserve">विद्यालय का नाम :-  महात्मा गाँधी राजकीय विद्यालय (अंग्रेजी माध्यम) बर, पाली </v>
      </c>
      <c r="E3" s="1555"/>
      <c r="F3" s="1555"/>
      <c r="G3" s="1555"/>
      <c r="H3" s="1555"/>
      <c r="I3" s="1555"/>
      <c r="J3" s="1555"/>
      <c r="K3" s="1555"/>
      <c r="L3" s="1555"/>
      <c r="M3" s="1555"/>
      <c r="N3" s="1555"/>
      <c r="O3" s="1555"/>
      <c r="P3" s="1555"/>
      <c r="Q3" s="1555"/>
      <c r="R3" s="1555"/>
      <c r="S3" s="1555"/>
      <c r="T3" s="1555"/>
      <c r="U3" s="703"/>
      <c r="V3" s="703"/>
      <c r="AC3" s="1723" t="s">
        <v>65</v>
      </c>
      <c r="AD3" s="1724"/>
      <c r="AE3" s="1725"/>
      <c r="AG3" s="776"/>
      <c r="AH3" s="776"/>
      <c r="AI3" s="776"/>
      <c r="AJ3" s="776"/>
    </row>
    <row r="4" spans="2:37" ht="21" customHeight="1">
      <c r="B4" s="675"/>
      <c r="C4" s="675"/>
      <c r="D4" s="675"/>
      <c r="E4" s="675"/>
      <c r="F4" s="675"/>
      <c r="G4" s="675"/>
      <c r="H4" s="675"/>
      <c r="I4" s="1574"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574"/>
      <c r="K4" s="1574"/>
      <c r="L4" s="1574"/>
      <c r="M4" s="1574"/>
      <c r="N4" s="1574"/>
      <c r="O4" s="1574"/>
      <c r="P4" s="1574"/>
      <c r="Q4" s="675"/>
      <c r="R4" s="675"/>
      <c r="S4" s="675"/>
      <c r="T4" s="675"/>
      <c r="U4" s="675"/>
      <c r="V4" s="675"/>
      <c r="AC4" s="1726"/>
      <c r="AD4" s="1727"/>
      <c r="AE4" s="1728"/>
    </row>
    <row r="5" spans="2:37" ht="19.5" customHeight="1">
      <c r="B5" s="1556" t="str">
        <f>IF('School Profile'!D12="Hindi","सत्र  :-","Session :-")</f>
        <v>सत्र  :-</v>
      </c>
      <c r="C5" s="1556"/>
      <c r="D5" s="1556"/>
      <c r="E5" s="1556"/>
      <c r="F5" s="1557" t="str">
        <f>IF('Marks Entry'!I3="","",'Marks Entry'!I3)</f>
        <v>2024-2025</v>
      </c>
      <c r="G5" s="1557"/>
      <c r="H5" s="1557"/>
      <c r="I5" s="1558"/>
      <c r="J5" s="1558"/>
      <c r="K5" s="1558"/>
      <c r="L5" s="388"/>
      <c r="M5" s="1556" t="str">
        <f>IF('School Profile'!$D$12="Hindi","कक्षा  :-","CLASS :- ")</f>
        <v>कक्षा  :-</v>
      </c>
      <c r="N5" s="1556"/>
      <c r="O5" s="653" t="str">
        <f>IF('Statement of Marks'!E3="","",'Statement of Marks'!E3)</f>
        <v>9th</v>
      </c>
      <c r="P5" s="654" t="str">
        <f>IFERROR(VLOOKUP(O6,'Statement of Marks'!$B$7:'Statement of Marks'!$IC$206,2,0),"")</f>
        <v>A</v>
      </c>
      <c r="Q5" s="338"/>
      <c r="R5" s="338"/>
      <c r="S5" s="337"/>
      <c r="T5" s="337"/>
      <c r="U5" s="337"/>
      <c r="V5" s="337"/>
      <c r="AC5" s="1726"/>
      <c r="AD5" s="1727"/>
      <c r="AE5" s="1728"/>
      <c r="AH5" s="777">
        <f>O8</f>
        <v>41317</v>
      </c>
    </row>
    <row r="6" spans="2:37" ht="19.5" customHeight="1">
      <c r="B6" s="1506" t="str">
        <f>IF('School Profile'!$D$12="Hindi","विद्यार्थी का नाम :-","Student's Name :-")</f>
        <v>विद्यार्थी का नाम :-</v>
      </c>
      <c r="C6" s="1506"/>
      <c r="D6" s="1506"/>
      <c r="E6" s="1506"/>
      <c r="F6" s="1554" t="str">
        <f>IFERROR(VLOOKUP(O6,'Statement of Marks'!$B$7:'Statement of Marks'!$IC$206,5,0),"")</f>
        <v>MITA</v>
      </c>
      <c r="G6" s="1554"/>
      <c r="H6" s="1554"/>
      <c r="I6" s="1554"/>
      <c r="J6" s="1554"/>
      <c r="K6" s="1554"/>
      <c r="L6" s="1554"/>
      <c r="M6" s="1504" t="str">
        <f>IF('School Profile'!$D$12="Hindi","रोल नंबर :-","Roll No. :")</f>
        <v>रोल नंबर :-</v>
      </c>
      <c r="N6" s="1504"/>
      <c r="O6" s="1559">
        <v>907</v>
      </c>
      <c r="P6" s="1559"/>
      <c r="Q6" s="338"/>
      <c r="R6" s="338"/>
      <c r="S6" s="337"/>
      <c r="T6" s="337"/>
      <c r="U6" s="337"/>
      <c r="V6" s="337"/>
      <c r="AC6" s="1726"/>
      <c r="AD6" s="1727"/>
      <c r="AE6" s="1728"/>
      <c r="AG6">
        <f>YEAR(AH5)</f>
        <v>2013</v>
      </c>
      <c r="AH6">
        <f>MONTH(AH5)</f>
        <v>2</v>
      </c>
      <c r="AI6">
        <f>DAY(AH5)</f>
        <v>12</v>
      </c>
    </row>
    <row r="7" spans="2:37" ht="18.75" customHeight="1">
      <c r="B7" s="1506" t="str">
        <f>IF('School Profile'!$D$12="Hindi","पिता का नाम :-","Father's Name :-")</f>
        <v>पिता का नाम :-</v>
      </c>
      <c r="C7" s="1506"/>
      <c r="D7" s="1506"/>
      <c r="E7" s="1506"/>
      <c r="F7" s="1554" t="str">
        <f>IFERROR(VLOOKUP(O6,'Statement of Marks'!$B$7:'Statement of Marks'!$IC$206,6,0),"")</f>
        <v/>
      </c>
      <c r="G7" s="1554"/>
      <c r="H7" s="1554"/>
      <c r="I7" s="1554"/>
      <c r="J7" s="1554"/>
      <c r="K7" s="1554"/>
      <c r="L7" s="1554"/>
      <c r="M7" s="1504" t="str">
        <f>IF('School Profile'!$D$12="Hindi","प्रवेशांक :","SR. NO. :")</f>
        <v>प्रवेशांक :</v>
      </c>
      <c r="N7" s="1504"/>
      <c r="O7" s="1703" t="str">
        <f>IFERROR(VLOOKUP(O6,'Statement of Marks'!$B$7:'Statement of Marks'!$IC$206,3,0),"")</f>
        <v/>
      </c>
      <c r="P7" s="1703"/>
      <c r="Q7" s="341"/>
      <c r="R7" s="341"/>
      <c r="S7" s="337"/>
      <c r="T7" s="337"/>
      <c r="U7" s="337"/>
      <c r="V7" s="337"/>
      <c r="AC7" s="1726"/>
      <c r="AD7" s="1727"/>
      <c r="AE7" s="1728"/>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506" t="str">
        <f>IF('School Profile'!$D$12="Hindi","माता का नाम :-","Mother's Name :-")</f>
        <v>माता का नाम :-</v>
      </c>
      <c r="C8" s="1506"/>
      <c r="D8" s="1506"/>
      <c r="E8" s="1506"/>
      <c r="F8" s="1554" t="str">
        <f>IFERROR(VLOOKUP(O6,'Statement of Marks'!$B$7:'Statement of Marks'!$IC$206,7,0),"")</f>
        <v/>
      </c>
      <c r="G8" s="1554"/>
      <c r="H8" s="1554"/>
      <c r="I8" s="1554"/>
      <c r="J8" s="1554"/>
      <c r="K8" s="1554"/>
      <c r="L8" s="1554"/>
      <c r="M8" s="1504" t="str">
        <f>IF('School Profile'!$D$12="Hindi","जन्म तिथि :","Date of Birth :")</f>
        <v>जन्म तिथि :</v>
      </c>
      <c r="N8" s="1504"/>
      <c r="O8" s="1732">
        <f>IFERROR(VLOOKUP(O6,'Statement of Marks'!$B$7:'Statement of Marks'!$IC$206,4,0),"")</f>
        <v>41317</v>
      </c>
      <c r="P8" s="1732"/>
      <c r="Q8" s="1732"/>
      <c r="R8" s="1732"/>
      <c r="S8" s="337"/>
      <c r="T8" s="337"/>
      <c r="U8" s="337"/>
      <c r="V8" s="337"/>
      <c r="AC8" s="1726"/>
      <c r="AD8" s="1727"/>
      <c r="AE8" s="1728"/>
      <c r="AH8" t="str">
        <f>CONCATENATE(AI7," ",AH7," ",AG7)</f>
        <v>बारह फरवरी दो हजार तेरह</v>
      </c>
    </row>
    <row r="9" spans="2:37" ht="18.75" customHeight="1">
      <c r="B9" s="671"/>
      <c r="C9" s="671"/>
      <c r="D9" s="671"/>
      <c r="E9" s="671"/>
      <c r="F9" s="667"/>
      <c r="G9" s="667"/>
      <c r="H9" s="667"/>
      <c r="I9" s="667"/>
      <c r="J9" s="667"/>
      <c r="K9" s="667"/>
      <c r="L9" s="1712" t="str">
        <f>IF('School Profile'!$D$12="Hindi","जन्मतिथि शब्दों में :-","Date of Birth in Words :-")</f>
        <v>जन्मतिथि शब्दों में :-</v>
      </c>
      <c r="M9" s="1712"/>
      <c r="N9" s="1712"/>
      <c r="O9" s="1575" t="str">
        <f>IFERROR(IF('School Profile'!$D$12="Hindi",AH8,AH10),"")</f>
        <v>बारह फरवरी दो हजार तेरह</v>
      </c>
      <c r="P9" s="1575"/>
      <c r="Q9" s="1575"/>
      <c r="R9" s="1575"/>
      <c r="S9" s="1575"/>
      <c r="T9" s="1575"/>
      <c r="U9" s="337"/>
      <c r="V9" s="337"/>
      <c r="AC9" s="1726"/>
      <c r="AD9" s="1727"/>
      <c r="AE9" s="1728"/>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44"/>
      <c r="C10" s="344"/>
      <c r="D10" s="344"/>
      <c r="E10" s="344"/>
      <c r="F10" s="417"/>
      <c r="G10" s="669"/>
      <c r="H10" s="417"/>
      <c r="I10" s="417"/>
      <c r="J10" s="417"/>
      <c r="K10" s="417"/>
      <c r="L10" s="417"/>
      <c r="M10" s="417"/>
      <c r="N10" s="345"/>
      <c r="O10" s="346"/>
      <c r="P10" s="346"/>
      <c r="Q10" s="346"/>
      <c r="R10" s="346"/>
      <c r="S10" s="337"/>
      <c r="T10" s="337"/>
      <c r="U10" s="337"/>
      <c r="V10" s="337"/>
      <c r="AC10" s="1726"/>
      <c r="AD10" s="1727"/>
      <c r="AE10" s="1728"/>
      <c r="AH10" t="str">
        <f>CONCATENATE(AH9," ",AI9,", ",AG9)</f>
        <v>FEBUARY 12TH, TWO THOUSAND THIRTEEN</v>
      </c>
    </row>
    <row r="11" spans="2:37" ht="24.75" customHeight="1">
      <c r="B11" s="1524" t="str">
        <f>IF('School Profile'!$D$12="Hindi","विषय का नाम","Subject Name")</f>
        <v>विषय का नाम</v>
      </c>
      <c r="C11" s="1525"/>
      <c r="D11" s="1525"/>
      <c r="E11" s="1505" t="str">
        <f>IF('School Profile'!$D$12="Hindi","सामयिक परख","Seasonal Exam")</f>
        <v>सामयिक परख</v>
      </c>
      <c r="F11" s="1505"/>
      <c r="G11" s="1505"/>
      <c r="H11" s="1505"/>
      <c r="I11" s="1505" t="str">
        <f>IF('School Profile'!$D$12="Hindi","अर्द्धवार्षिक","Half Yearly")</f>
        <v>अर्द्धवार्षिक</v>
      </c>
      <c r="J11" s="1505"/>
      <c r="K11" s="1505"/>
      <c r="L11" s="1581" t="str">
        <f>IF('School Profile'!$D$12="Hindi","अर्द्ध वा. तक योग","Total Till H.Y.")</f>
        <v>अर्द्ध वा. तक योग</v>
      </c>
      <c r="M11" s="1505" t="str">
        <f>IF('School Profile'!$D$12="Hindi","वार्षिक","Yearly")</f>
        <v>वार्षिक</v>
      </c>
      <c r="N11" s="1505"/>
      <c r="O11" s="1505"/>
      <c r="P11" s="1576" t="str">
        <f>IF('School Profile'!$D$12="Hindi","विषय कुल योग ","Subject Total")</f>
        <v xml:space="preserve">विषय कुल योग </v>
      </c>
      <c r="Q11" s="1578" t="str">
        <f>IF('School Profile'!$D$12="Hindi","विषय परिणाम / विषय श्रेणी","Sub. Result /  Sub. Div.")</f>
        <v>विषय परिणाम / विषय श्रेणी</v>
      </c>
      <c r="R11" s="1733" t="str">
        <f>IF('School Profile'!$D$12="Hindi","पूरक/पुनः परीक्षा का परिणाम","Supplementary / Re-exam Result")</f>
        <v>पूरक/पुनः परीक्षा का परिणाम</v>
      </c>
      <c r="S11" s="1733"/>
      <c r="T11" s="1733"/>
      <c r="U11" s="1733"/>
      <c r="V11" s="1734"/>
      <c r="AC11" s="1726"/>
      <c r="AD11" s="1727"/>
      <c r="AE11" s="1728"/>
    </row>
    <row r="12" spans="2:37" ht="66.75" customHeight="1">
      <c r="B12" s="1526"/>
      <c r="C12" s="1527"/>
      <c r="D12" s="1527"/>
      <c r="E12" s="658" t="str">
        <f>IF('School Profile'!$D$12="Hindi","प्रथम परख ","First Test")</f>
        <v xml:space="preserve">प्रथम परख </v>
      </c>
      <c r="F12" s="658" t="str">
        <f>IF('School Profile'!$D$12="Hindi","द्वितीय परख","Second Test")</f>
        <v>द्वितीय परख</v>
      </c>
      <c r="G12" s="658" t="str">
        <f>IF('School Profile'!$D$12="Hindi","तृतीय परख","Third Test")</f>
        <v>तृतीय परख</v>
      </c>
      <c r="H12" s="707" t="str">
        <f>IF('School Profile'!$D$12="Hindi","सा. परख योग","Test Total")</f>
        <v>सा. परख योग</v>
      </c>
      <c r="I12" s="658" t="str">
        <f>IF('School Profile'!$D$12="Hindi","सैद्धान्तिक","Theoretical")</f>
        <v>सैद्धान्तिक</v>
      </c>
      <c r="J12" s="658" t="str">
        <f>IF('School Profile'!$D$12="Hindi","प्रायोगिक","Practical")</f>
        <v>प्रायोगिक</v>
      </c>
      <c r="K12" s="659" t="str">
        <f>IF('School Profile'!$D$12="Hindi","अर्द्धवार्षिक योग","H.Y.  Total")</f>
        <v>अर्द्धवार्षिक योग</v>
      </c>
      <c r="L12" s="1582"/>
      <c r="M12" s="658" t="str">
        <f>IF('School Profile'!$D$12="Hindi","सैद्धान्तिक","Theoretical")</f>
        <v>सैद्धान्तिक</v>
      </c>
      <c r="N12" s="658" t="str">
        <f>IF('School Profile'!$D$12="Hindi","प्रायोगिक","Practical")</f>
        <v>प्रायोगिक</v>
      </c>
      <c r="O12" s="659" t="str">
        <f>IF('School Profile'!$D$12="Hindi","वार्षिक योग","Yearly  Total")</f>
        <v>वार्षिक योग</v>
      </c>
      <c r="P12" s="1577"/>
      <c r="Q12" s="1579"/>
      <c r="R12" s="1527" t="str">
        <f>IF('School Profile'!$D$12="Hindi","विषय","Subject")</f>
        <v>विषय</v>
      </c>
      <c r="S12" s="1527"/>
      <c r="T12" s="1527" t="str">
        <f>IF('School Profile'!$D$12="Hindi","प्राप्तांक","Marks Obt.")</f>
        <v>प्राप्तांक</v>
      </c>
      <c r="U12" s="1527" t="str">
        <f>IF('School Profile'!$D$12="Hindi","विषय परिणाम","Subject Result")</f>
        <v>विषय परिणाम</v>
      </c>
      <c r="V12" s="1549" t="str">
        <f>IF('School Profile'!$D$12="Hindi","अन्तिम परिणाम","Final Result")</f>
        <v>अन्तिम परिणाम</v>
      </c>
      <c r="AA12" s="21"/>
      <c r="AC12" s="1726"/>
      <c r="AD12" s="1727"/>
      <c r="AE12" s="1728"/>
      <c r="AK12" s="6" t="str">
        <f>IFERROR(VLOOKUP($O$6,'Supp. Result Entry'!$B$5:'Supp. Result Entry'!$AS$204,42,0),"")</f>
        <v>PASS</v>
      </c>
    </row>
    <row r="13" spans="2:37" ht="15.75" customHeight="1" thickBot="1">
      <c r="B13" s="1533" t="s">
        <v>254</v>
      </c>
      <c r="C13" s="1534"/>
      <c r="D13" s="1534"/>
      <c r="E13" s="708">
        <v>10</v>
      </c>
      <c r="F13" s="708">
        <v>10</v>
      </c>
      <c r="G13" s="708">
        <v>10</v>
      </c>
      <c r="H13" s="708">
        <v>30</v>
      </c>
      <c r="I13" s="664" t="s">
        <v>252</v>
      </c>
      <c r="J13" s="709">
        <v>35</v>
      </c>
      <c r="K13" s="710">
        <v>70</v>
      </c>
      <c r="L13" s="709">
        <v>100</v>
      </c>
      <c r="M13" s="664" t="s">
        <v>253</v>
      </c>
      <c r="N13" s="708">
        <v>50</v>
      </c>
      <c r="O13" s="710">
        <v>100</v>
      </c>
      <c r="P13" s="662">
        <v>200</v>
      </c>
      <c r="Q13" s="1580"/>
      <c r="R13" s="1527"/>
      <c r="S13" s="1527"/>
      <c r="T13" s="1527"/>
      <c r="U13" s="1527"/>
      <c r="V13" s="1549"/>
      <c r="AA13" s="21"/>
      <c r="AC13" s="1729"/>
      <c r="AD13" s="1730"/>
      <c r="AE13" s="1731"/>
      <c r="AK13"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Supplementary</v>
      </c>
    </row>
    <row r="14" spans="2:37" ht="18.95" customHeight="1">
      <c r="B14" s="1535" t="str">
        <f>'Statement of Marks'!K3</f>
        <v>हिंदी</v>
      </c>
      <c r="C14" s="1536"/>
      <c r="D14" s="1536"/>
      <c r="E14" s="26">
        <f>IFERROR(VLOOKUP(O6,'Statement of Marks'!$B$7:'Statement of Marks'!$IC$206,10,0),"")</f>
        <v>8</v>
      </c>
      <c r="F14" s="26" t="str">
        <f>IFERROR(VLOOKUP(O6,'Statement of Marks'!$B$7:'Statement of Marks'!$IC$206,11,0),"")</f>
        <v>ML</v>
      </c>
      <c r="G14" s="26">
        <f>IFERROR(VLOOKUP(O6,'Statement of Marks'!$B$7:'Statement of Marks'!$IC$206,12,0),"")</f>
        <v>8</v>
      </c>
      <c r="H14" s="26">
        <f>IFERROR(VLOOKUP(O6,'Statement of Marks'!$B$7:'Statement of Marks'!$IC$206,13,0),"")</f>
        <v>16</v>
      </c>
      <c r="I14" s="26">
        <f>IFERROR(VLOOKUP(O6,'Statement of Marks'!$B$7:'Statement of Marks'!$IC$206,14,0),"")</f>
        <v>46</v>
      </c>
      <c r="J14" s="26"/>
      <c r="K14" s="347">
        <f>IF(O6="","",IF(AND(I14="",J14=""),"",SUM(I14,J14)))</f>
        <v>46</v>
      </c>
      <c r="L14" s="679">
        <f>IFERROR(IF(O6="","",IF(AND(H14="",K14=""),"",SUM(H14,K14))),"")</f>
        <v>62</v>
      </c>
      <c r="M14" s="26">
        <f>IFERROR(VLOOKUP(O6,'Statement of Marks'!$B$7:'Statement of Marks'!$IC$206,16,0),"")</f>
        <v>65</v>
      </c>
      <c r="N14" s="26"/>
      <c r="O14" s="347">
        <f>IF(O6="","",IF(AND(M14="",N14=""),"",SUM(M14,N14)))</f>
        <v>65</v>
      </c>
      <c r="P14" s="674">
        <f>IFERROR(VLOOKUP(O6,'Statement of Marks'!$B$7:'Statement of Marks'!$IC$206,17,0),"")</f>
        <v>127</v>
      </c>
      <c r="Q14" s="680" t="str">
        <f>IFERROR(IF(P14="","",IF(VLOOKUP(O6,'Statement of Marks'!$B$7:'Statement of Marks'!$IC$206,195,0)="D","I",IF(VLOOKUP(O6,'Statement of Marks'!$B$7:'Statement of Marks'!$IC$206,195,0)="G1","G",IF(VLOOKUP(O6,'Statement of Marks'!$B$7:'Statement of Marks'!$IC$206,195,0)="G2","G",VLOOKUP(O6,'Statement of Marks'!$B$7:'Statement of Marks'!$IC$206,195,0))))),"")</f>
        <v>I</v>
      </c>
      <c r="R14" s="1713" t="str">
        <f>IF(AND(Q14=""),"",IF(AND(Q14="S"),B14,""))</f>
        <v/>
      </c>
      <c r="S14" s="1713"/>
      <c r="T14" s="689" t="str">
        <f>IFERROR(IF(R14="","",VLOOKUP($O$6,'Supp. Result Entry'!$B$5:'Supp. Result Entry'!$AS$204,20,0)),"")</f>
        <v/>
      </c>
      <c r="U14" s="689" t="str">
        <f>IFERROR(IF(R14="","",VLOOKUP($O$6,'Supp. Result Entry'!$B$5:'Supp. Result Entry'!$AS$204,21,0)),"")</f>
        <v/>
      </c>
      <c r="V14" s="713" t="str">
        <f>IFERROR(IF(R14="","",VLOOKUP($O$6,'Supp. Result Entry'!$B$5:'Supp. Result Entry'!$AS$204,42,0)),"")</f>
        <v/>
      </c>
      <c r="AK14" s="6" t="str">
        <f>IF(AND(R14="",R15="",R16="",R17="",R18="",R19="",R21=""),AK13,AK12)</f>
        <v>PASS</v>
      </c>
    </row>
    <row r="15" spans="2:37" ht="18.95" customHeight="1">
      <c r="B15" s="1537" t="str">
        <f>'Statement of Marks'!Y3</f>
        <v>अंग्रेजी</v>
      </c>
      <c r="C15" s="1538"/>
      <c r="D15" s="1538"/>
      <c r="E15" s="26">
        <f>IFERROR(VLOOKUP(O6,'Statement of Marks'!$B$7:'Statement of Marks'!$IC$206,24,0),"")</f>
        <v>8</v>
      </c>
      <c r="F15" s="26">
        <f>IFERROR(VLOOKUP(O6,'Statement of Marks'!$B$7:'Statement of Marks'!$IC$206,25,0),"")</f>
        <v>9</v>
      </c>
      <c r="G15" s="26">
        <f>IFERROR(VLOOKUP(O6,'Statement of Marks'!$B$7:'Statement of Marks'!$IC$206,26,0),"")</f>
        <v>9</v>
      </c>
      <c r="H15" s="26">
        <f>IFERROR(VLOOKUP(O6,'Statement of Marks'!$B$7:'Statement of Marks'!$IC$206,27,0),"")</f>
        <v>26</v>
      </c>
      <c r="I15" s="26">
        <f>IFERROR(VLOOKUP(O6,'Statement of Marks'!$B$7:'Statement of Marks'!$IC$206,28,0),"")</f>
        <v>60</v>
      </c>
      <c r="J15" s="26"/>
      <c r="K15" s="347">
        <f>IF(O6="","",IF(AND(I15="",J15=""),"",SUM(I15,J15)))</f>
        <v>60</v>
      </c>
      <c r="L15" s="679">
        <f>IFERROR(IF(O6="","",IF(AND(H15="",K15=""),"",SUM(H15,K15))),"")</f>
        <v>86</v>
      </c>
      <c r="M15" s="26">
        <f>IFERROR(VLOOKUP(O6,'Statement of Marks'!$B$7:'Statement of Marks'!$IC$206,30,0),"")</f>
        <v>60</v>
      </c>
      <c r="N15" s="26"/>
      <c r="O15" s="347">
        <f>IF(O6="","",IF(AND(M15="",N15=""),"",SUM(M15,N15)))</f>
        <v>60</v>
      </c>
      <c r="P15" s="674">
        <f>IFERROR(VLOOKUP(O6,'Statement of Marks'!$B$7:'Statement of Marks'!$IC$206,31,0),"")</f>
        <v>146</v>
      </c>
      <c r="Q15" s="680" t="str">
        <f>IFERROR(IF(P14="","",IF(VLOOKUP(O6,'Statement of Marks'!$B$7:'Statement of Marks'!$IC$206,198,0)="D","I",IF(VLOOKUP(O6,'Statement of Marks'!$B$7:'Statement of Marks'!$IC$206,198,0)="G1","G",IF(VLOOKUP(O6,'Statement of Marks'!$B$7:'Statement of Marks'!$IC$206,198,0)="G2","G",VLOOKUP(O6,'Statement of Marks'!$B$7:'Statement of Marks'!$IC$206,198,0))))),"")</f>
        <v>I</v>
      </c>
      <c r="R15" s="1713" t="str">
        <f t="shared" ref="R15:R19" si="0">IF(AND(Q15=""),"",IF(AND(Q15="S"),B15,""))</f>
        <v/>
      </c>
      <c r="S15" s="1713"/>
      <c r="T15" s="689" t="str">
        <f>IFERROR(IF(R15="","",VLOOKUP($O$6,'Supp. Result Entry'!$B$5:'Supp. Result Entry'!$AS$204,23,0)),"")</f>
        <v/>
      </c>
      <c r="U15" s="689" t="str">
        <f>IFERROR(IF(R15="","",VLOOKUP($O$6,'Supp. Result Entry'!$B$5:'Supp. Result Entry'!$AS$204,24,0)),"")</f>
        <v/>
      </c>
      <c r="V15" s="713" t="str">
        <f>IFERROR(IF(R15="","",VLOOKUP($O$6,'Supp.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37" t="str">
        <f>IFERROR(VLOOKUP($O$6,'Statement of Marks'!$B$7:'Statement of Marks'!$IC$206,38,0),"")</f>
        <v>गुजराती (73)</v>
      </c>
      <c r="C16" s="1538"/>
      <c r="D16" s="1538"/>
      <c r="E16" s="26">
        <f>IFERROR(VLOOKUP(O6,'Statement of Marks'!$B$7:'Statement of Marks'!$IC$206,39,0),"")</f>
        <v>8</v>
      </c>
      <c r="F16" s="26">
        <f>IFERROR(VLOOKUP(O6,'Statement of Marks'!$B$7:'Statement of Marks'!$IC$206,40,0),"")</f>
        <v>9</v>
      </c>
      <c r="G16" s="26">
        <f>IFERROR(VLOOKUP(O6,'Statement of Marks'!$B$7:'Statement of Marks'!$IC$206,41,0),"")</f>
        <v>8</v>
      </c>
      <c r="H16" s="26">
        <f>IFERROR(VLOOKUP(O6,'Statement of Marks'!$B$7:'Statement of Marks'!$IC$206,42,0),"")</f>
        <v>25</v>
      </c>
      <c r="I16" s="26">
        <f>IFERROR(VLOOKUP(O6,'Statement of Marks'!$B$7:'Statement of Marks'!$IC$206,43,0),"")</f>
        <v>46</v>
      </c>
      <c r="J16" s="26"/>
      <c r="K16" s="347">
        <f>IF(O6="","",IF(AND(I16="",J16=""),"",SUM(I16,J16)))</f>
        <v>46</v>
      </c>
      <c r="L16" s="679">
        <f>IFERROR(IF(O6="","",IF(AND(H16="",K16=""),"",SUM(H16,K16))),"")</f>
        <v>71</v>
      </c>
      <c r="M16" s="26">
        <f>IFERROR(VLOOKUP(O6,'Statement of Marks'!$B$7:'Statement of Marks'!$IC$206,45,0),"")</f>
        <v>45</v>
      </c>
      <c r="N16" s="26"/>
      <c r="O16" s="347">
        <f>IF(O6="","",IF(AND(M16="",N16=""),"",SUM(M16,N16)))</f>
        <v>45</v>
      </c>
      <c r="P16" s="674">
        <f>IFERROR(VLOOKUP(O6,'Statement of Marks'!$B$7:'Statement of Marks'!$IC$206,46,0),"")</f>
        <v>116</v>
      </c>
      <c r="Q16" s="680" t="str">
        <f>IFERROR(IF(P14="","",IF(VLOOKUP(O6,'Statement of Marks'!$B$7:'Statement of Marks'!$IC$206,201,0)="D","I",IF(VLOOKUP(O6,'Statement of Marks'!$B$7:'Statement of Marks'!$IC$206,201,0)="G1","G",IF(VLOOKUP(O6,'Statement of Marks'!$B$7:'Statement of Marks'!$IC$206,201,0)="G2","G",VLOOKUP(O6,'Statement of Marks'!$B$7:'Statement of Marks'!$IC$206,201,0))))),"")</f>
        <v>II</v>
      </c>
      <c r="R16" s="1713" t="str">
        <f t="shared" si="0"/>
        <v/>
      </c>
      <c r="S16" s="1713"/>
      <c r="T16" s="689" t="str">
        <f>IFERROR(IF(R16="","",VLOOKUP($O$6,'Supp. Result Entry'!$B$5:'Supp. Result Entry'!$AS$204,26,0)),"")</f>
        <v/>
      </c>
      <c r="U16" s="689" t="str">
        <f>IFERROR(IF(R16="","",VLOOKUP($O$6,'Supp. Result Entry'!$B$5:'Supp. Result Entry'!$AS$204,27,0)),"")</f>
        <v/>
      </c>
      <c r="V16" s="713" t="str">
        <f>IFERROR(IF(R16="","",VLOOKUP($O$6,'Supp. Result Entry'!$B$5:'Supp. Result Entry'!$AS$204,42,0)),"")</f>
        <v/>
      </c>
    </row>
    <row r="17" spans="2:45" ht="18.95" customHeight="1">
      <c r="B17" s="1537" t="str">
        <f>'Statement of Marks'!BB3</f>
        <v>गणित</v>
      </c>
      <c r="C17" s="1538"/>
      <c r="D17" s="1538"/>
      <c r="E17" s="26">
        <f>IFERROR(VLOOKUP(O6,'Statement of Marks'!$B$7:'Statement of Marks'!$IC$206,53,0),"")</f>
        <v>4</v>
      </c>
      <c r="F17" s="26">
        <f>IFERROR(VLOOKUP(O6,'Statement of Marks'!$B$7:'Statement of Marks'!$IC$206,54,0),"")</f>
        <v>4</v>
      </c>
      <c r="G17" s="26">
        <f>IFERROR(VLOOKUP(O6,'Statement of Marks'!$B$7:'Statement of Marks'!$IC$206,55,0),"")</f>
        <v>9</v>
      </c>
      <c r="H17" s="26">
        <f>IFERROR(VLOOKUP(O6,'Statement of Marks'!$B$7:'Statement of Marks'!$IC$206,56,0),"")</f>
        <v>17</v>
      </c>
      <c r="I17" s="26">
        <f>IFERROR(VLOOKUP(O6,'Statement of Marks'!$B$7:'Statement of Marks'!$IC$206,57,0),"")</f>
        <v>9</v>
      </c>
      <c r="J17" s="26"/>
      <c r="K17" s="347">
        <f>IF(O6="","",IF(AND(I17="",J17=""),"",SUM(I17,J17)))</f>
        <v>9</v>
      </c>
      <c r="L17" s="679">
        <f>IFERROR(IF(O6="","",IF(AND(H17="",K17=""),"",SUM(H17,K17))),"")</f>
        <v>26</v>
      </c>
      <c r="M17" s="26">
        <f>IFERROR(VLOOKUP(O6,'Statement of Marks'!$B$7:'Statement of Marks'!$IC$206,59,0),"")</f>
        <v>34</v>
      </c>
      <c r="N17" s="26"/>
      <c r="O17" s="347">
        <f>IF(O6="","",IF(AND(M17="",N17=""),"",SUM(M17,N17)))</f>
        <v>34</v>
      </c>
      <c r="P17" s="674">
        <f>IFERROR(VLOOKUP(O6,'Statement of Marks'!$B$7:'Statement of Marks'!$IC$206,60,0),"")</f>
        <v>60</v>
      </c>
      <c r="Q17" s="680" t="str">
        <f>IFERROR(IF(P14="","",IF(VLOOKUP(O6,'Statement of Marks'!$B$7:'Statement of Marks'!$IC$206,209,0)="D","I",IF(VLOOKUP(O6,'Statement of Marks'!$B$7:'Statement of Marks'!$IC$206,209,0)="G1","G",IF(VLOOKUP(O6,'Statement of Marks'!$B$7:'Statement of Marks'!$IC$206,209,0)="G2","G",VLOOKUP(O6,'Statement of Marks'!$B$7:'Statement of Marks'!$IC$206,209,0))))),"")</f>
        <v>S</v>
      </c>
      <c r="R17" s="1713" t="str">
        <f t="shared" si="0"/>
        <v>गणित</v>
      </c>
      <c r="S17" s="1713"/>
      <c r="T17" s="689">
        <f>IFERROR(IF(R17="","",VLOOKUP($O$6,'Supp. Result Entry'!$B$5:'Supp. Result Entry'!$AS$204,29,0)),"")</f>
        <v>36</v>
      </c>
      <c r="U17" s="689" t="str">
        <f>IFERROR(IF(R17="","",VLOOKUP($O$6,'Supp. Result Entry'!$B$5:'Supp. Result Entry'!$AS$204,30,0)),"")</f>
        <v>P</v>
      </c>
      <c r="V17" s="713" t="str">
        <f>IFERROR(IF(R17="","",VLOOKUP($O$6,'Supp. Result Entry'!$B$5:'Supp. Result Entry'!$AS$204,42,0)),"")</f>
        <v>PASS</v>
      </c>
    </row>
    <row r="18" spans="2:45" ht="18.95" customHeight="1">
      <c r="B18" s="1537" t="str">
        <f>'Statement of Marks'!BP3</f>
        <v>विज्ञान</v>
      </c>
      <c r="C18" s="1538"/>
      <c r="D18" s="1538"/>
      <c r="E18" s="26">
        <f>IFERROR(VLOOKUP(O6,'Statement of Marks'!$B$7:'Statement of Marks'!$IC$206,67,0),"")</f>
        <v>8</v>
      </c>
      <c r="F18" s="26">
        <f>IFERROR(VLOOKUP(O6,'Statement of Marks'!$B$7:'Statement of Marks'!$IC$206,68,0),"")</f>
        <v>9</v>
      </c>
      <c r="G18" s="26">
        <f>IFERROR(VLOOKUP(O6,'Statement of Marks'!$B$7:'Statement of Marks'!$IC$206,69,0),"")</f>
        <v>10</v>
      </c>
      <c r="H18" s="26">
        <f>IFERROR(VLOOKUP(O6,'Statement of Marks'!$B$7:'Statement of Marks'!$IC$206,70,0),"")</f>
        <v>27</v>
      </c>
      <c r="I18" s="26">
        <f>IFERROR(VLOOKUP(O6,'Statement of Marks'!$B$7:'Statement of Marks'!$IC$206,71,0),"")</f>
        <v>46</v>
      </c>
      <c r="J18" s="26"/>
      <c r="K18" s="347">
        <f>IF(O6="","",IF(AND(I18="",J18=""),"",SUM(I18,J18)))</f>
        <v>46</v>
      </c>
      <c r="L18" s="679">
        <f>IFERROR(IF(O6="","",IF(AND(H18="",K18=""),"",SUM(H18,K18))),"")</f>
        <v>73</v>
      </c>
      <c r="M18" s="26">
        <f>IFERROR(VLOOKUP(O6,'Statement of Marks'!$B$7:'Statement of Marks'!$IC$206,73,0),"")</f>
        <v>45</v>
      </c>
      <c r="N18" s="26"/>
      <c r="O18" s="347">
        <f>IF(O6="","",IF(AND(M18="",N18=""),"",SUM(M18,N18)))</f>
        <v>45</v>
      </c>
      <c r="P18" s="674">
        <f>IFERROR(VLOOKUP(O6,'Statement of Marks'!$B$7:'Statement of Marks'!$IC$206,74,0),"")</f>
        <v>118</v>
      </c>
      <c r="Q18" s="680" t="str">
        <f>IFERROR(IF(P14="","",IF(VLOOKUP(O6,'Statement of Marks'!$B$7:'Statement of Marks'!$IC$206,212,0)="D","I",IF(VLOOKUP(O6,'Statement of Marks'!$B$7:'Statement of Marks'!$IC$206,212,0)="G1","G",IF(VLOOKUP(O6,'Statement of Marks'!$B$7:'Statement of Marks'!$IC$206,212,0)="G2","G",VLOOKUP(O6,'Statement of Marks'!$B$7:'Statement of Marks'!$IC$206,212,0))))),"")</f>
        <v>II</v>
      </c>
      <c r="R18" s="1713" t="str">
        <f t="shared" si="0"/>
        <v/>
      </c>
      <c r="S18" s="1713"/>
      <c r="T18" s="689" t="str">
        <f>IFERROR(IF(R18="","",VLOOKUP($O$6,'Supp. Result Entry'!$B$5:'Supp. Result Entry'!$AS$204,32,0)),"")</f>
        <v/>
      </c>
      <c r="U18" s="689" t="str">
        <f>IFERROR(IF(R18="","",VLOOKUP($O$6,'Supp. Result Entry'!$B$5:'Supp. Result Entry'!$AS$204,33,0)),"")</f>
        <v/>
      </c>
      <c r="V18" s="713" t="str">
        <f>IFERROR(IF(R18="","",VLOOKUP($O$6,'Supp. Result Entry'!$B$5:'Supp. Result Entry'!$AS$204,42,0)),"")</f>
        <v/>
      </c>
    </row>
    <row r="19" spans="2:45" ht="18.95" customHeight="1">
      <c r="B19" s="1544" t="str">
        <f>'Statement of Marks'!CE3</f>
        <v>सामाजिक विज्ञान</v>
      </c>
      <c r="C19" s="1545"/>
      <c r="D19" s="402" t="str">
        <f>IF(AND(O6=""),"",IF(AND(P19&gt;=P21),"*",""))</f>
        <v/>
      </c>
      <c r="E19" s="26">
        <f>IFERROR(VLOOKUP(O6,'Statement of Marks'!$B$7:'Statement of Marks'!$IC$206,82,0),"")</f>
        <v>10</v>
      </c>
      <c r="F19" s="26">
        <f>IFERROR(VLOOKUP(O6,'Statement of Marks'!$B$7:'Statement of Marks'!$IC$206,83,0),"")</f>
        <v>10</v>
      </c>
      <c r="G19" s="26">
        <f>IFERROR(VLOOKUP(O6,'Statement of Marks'!$B$7:'Statement of Marks'!$IC$206,84,0),"")</f>
        <v>10</v>
      </c>
      <c r="H19" s="26">
        <f>IFERROR(VLOOKUP(O6,'Statement of Marks'!$B$7:'Statement of Marks'!$IC$206,85,0),"")</f>
        <v>30</v>
      </c>
      <c r="I19" s="26">
        <f>IFERROR(VLOOKUP(O6,'Statement of Marks'!$B$7:'Statement of Marks'!$IC$206,86,0),"")</f>
        <v>46</v>
      </c>
      <c r="J19" s="26"/>
      <c r="K19" s="347">
        <f>IF(O6="","",IF(AND(I19="",J19=""),"",SUM(I19,J19)))</f>
        <v>46</v>
      </c>
      <c r="L19" s="679">
        <f>IFERROR(IF(O6="","",IF(AND(H19="",K19=""),"",SUM(H19,K19))),"")</f>
        <v>76</v>
      </c>
      <c r="M19" s="26">
        <f>IFERROR(VLOOKUP(O6,'Statement of Marks'!$B$7:'Statement of Marks'!$IC$206,88,0),"")</f>
        <v>45</v>
      </c>
      <c r="N19" s="26"/>
      <c r="O19" s="347">
        <f>IF(O6="","",IF(AND(M19="",N19=""),"",SUM(M19,N19)))</f>
        <v>45</v>
      </c>
      <c r="P19" s="674">
        <f>IFERROR(VLOOKUP(O6,'Statement of Marks'!$B$7:'Statement of Marks'!$IC$206,89,0),"")</f>
        <v>121</v>
      </c>
      <c r="Q19" s="680" t="str">
        <f>IFERROR(IF(P14="","",IF(VLOOKUP(O6,'Statement of Marks'!$B$7:'Statement of Marks'!$IC$206,215,0)="D","I",IF(VLOOKUP(O6,'Statement of Marks'!$B$7:'Statement of Marks'!$IC$206,215,0)="G1","G",IF(VLOOKUP(O6,'Statement of Marks'!$B$7:'Statement of Marks'!$IC$206,215,0)="G2","G",VLOOKUP(O6,'Statement of Marks'!$B$7:'Statement of Marks'!$IC$206,215,0))))),"")</f>
        <v>I</v>
      </c>
      <c r="R19" s="1713" t="str">
        <f t="shared" si="0"/>
        <v/>
      </c>
      <c r="S19" s="1713"/>
      <c r="T19" s="689" t="str">
        <f>IFERROR(IF(R19="","",VLOOKUP($O$6,'Supp. Result Entry'!$B$5:'Supp. Result Entry'!$AS$204,35,0)),"")</f>
        <v/>
      </c>
      <c r="U19" s="689" t="str">
        <f>IFERROR(IF(R19="","",VLOOKUP($O$6,'Supp. Result Entry'!$B$5:'Supp. Result Entry'!$AS$204,36,0)),"")</f>
        <v/>
      </c>
      <c r="V19" s="713" t="str">
        <f>IFERROR(IF(R19="","",VLOOKUP($O$6,'Supp. Result Entry'!$B$5:'Supp. Result Entry'!$AS$204,42,0)),"")</f>
        <v/>
      </c>
    </row>
    <row r="20" spans="2:45" ht="15.75" customHeight="1">
      <c r="B20" s="1541" t="str">
        <f>IF('School Profile'!$D$12="Hindi","व्यावसायिक शिक्षा","Vocational Education")</f>
        <v>व्यावसायिक शिक्षा</v>
      </c>
      <c r="C20" s="1542"/>
      <c r="D20" s="1542"/>
      <c r="E20" s="1542"/>
      <c r="F20" s="1542"/>
      <c r="G20" s="1542"/>
      <c r="H20" s="1542"/>
      <c r="I20" s="1542"/>
      <c r="J20" s="1542"/>
      <c r="K20" s="1542"/>
      <c r="L20" s="1542"/>
      <c r="M20" s="1542"/>
      <c r="N20" s="1542"/>
      <c r="O20" s="1542"/>
      <c r="P20" s="1542"/>
      <c r="Q20" s="1542"/>
      <c r="R20" s="1542"/>
      <c r="S20" s="1543"/>
      <c r="T20" s="1601"/>
      <c r="U20" s="1707"/>
      <c r="V20" s="1602"/>
    </row>
    <row r="21" spans="2:45" ht="18.95" customHeight="1">
      <c r="B21" s="1539" t="str">
        <f>IFERROR(VLOOKUP(O6,'Statement of Marks'!$B$7:'Statement of Marks'!$IC$206,96,0),"")</f>
        <v/>
      </c>
      <c r="C21" s="1540"/>
      <c r="D21" s="398" t="str">
        <f>IF(AND(O6=""),"",IF(OR(B21="",P21=""),"",IF(AND(P21&gt;=P19),"*","")))</f>
        <v/>
      </c>
      <c r="E21" s="397"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7" t="str">
        <f>IFERROR(VLOOKUP(O6,'Statement of Marks'!$B$7:'Statement of Marks'!$IC$206,103,0),"")</f>
        <v/>
      </c>
      <c r="L21" s="679" t="str">
        <f>IFERROR(IF(O6="","",IF(AND(H21="",K21=""),"",SUM(H21,K21))),"")</f>
        <v/>
      </c>
      <c r="M21" s="26" t="str">
        <f>IFERROR(VLOOKUP(O6,'Statement of Marks'!$B$7:'Statement of Marks'!$IC$206,105,0),"")</f>
        <v/>
      </c>
      <c r="N21" s="26" t="str">
        <f>IFERROR(VLOOKUP(O6,'Statement of Marks'!$B$7:'Statement of Marks'!$IC$206,106,0),"")</f>
        <v/>
      </c>
      <c r="O21" s="347" t="str">
        <f>IF(O6="","",IF(AND(M21="",N21=""),"",SUM(M21,N21)))</f>
        <v/>
      </c>
      <c r="P21" s="672" t="str">
        <f>IFERROR(VLOOKUP(O6,'Statement of Marks'!$B$7:'Statement of Marks'!$IC$206,108,0),"")</f>
        <v/>
      </c>
      <c r="Q21" s="348">
        <f>IFERROR(IF(P14="","",IF(VLOOKUP($O$6,'Statement of Marks'!$B$7:'Statement of Marks'!$IC$206,139,0)="G1","G",IF(VLOOKUP($O$6,'Statement of Marks'!$B$7:'Statement of Marks'!$IC$206,139,0)="G2","G",VLOOKUP($O$6,'Statement of Marks'!$B$7:'Statement of Marks'!$IC$206,139,0)))),"")</f>
        <v>0</v>
      </c>
      <c r="R21" s="1713" t="str">
        <f>IF(AND(Q21=""),"",IF(AND(Q21="S"),B21,""))</f>
        <v/>
      </c>
      <c r="S21" s="1713"/>
      <c r="T21" s="689" t="str">
        <f>IFERROR(IF(R21="","",VLOOKUP($O$6,'Supp. Result Entry'!$B$5:'Supp. Result Entry'!$AS$204,38,0)),"")</f>
        <v/>
      </c>
      <c r="U21" s="689" t="str">
        <f>IFERROR(IF(R21="","",VLOOKUP($O$6,'Supp. Result Entry'!$B$5:'Supp. Result Entry'!$AS$204,39,0)),"")</f>
        <v/>
      </c>
      <c r="V21" s="713" t="str">
        <f>IFERROR(IF(R21="","",VLOOKUP($O$6,'Supp. Result Entry'!$B$5:'Supp. Result Entry'!$AS$204,42,0)),"")</f>
        <v/>
      </c>
      <c r="AK21" s="18"/>
      <c r="AL21" s="18"/>
      <c r="AM21" s="18"/>
      <c r="AN21" s="18"/>
      <c r="AO21" s="18"/>
      <c r="AP21" s="18"/>
      <c r="AQ21" s="18"/>
      <c r="AR21" s="18"/>
      <c r="AS21" s="18"/>
    </row>
    <row r="22" spans="2:45" ht="18.95" customHeight="1">
      <c r="B22" s="1513" t="str">
        <f>IF('School Profile'!D12="Hindi","प्राप्तांक","Marks Obtained")</f>
        <v>प्राप्तांक</v>
      </c>
      <c r="C22" s="1514"/>
      <c r="D22" s="1515"/>
      <c r="E22" s="676">
        <f>IF(AND(O6=""),"",IF(AND(E14="",E15="",E16="",E17="",E18=""),"",IF(OR($B$21="",E21=""),SUM(E14:E19),IF(($P$19/$P$13*100)&gt;=($P$21/$P$13*100),SUM(E14:E19),SUM(E14,E15,E16,E17,E18,E21)))))</f>
        <v>46</v>
      </c>
      <c r="F22" s="676">
        <f>IF(AND(O6=""),"",IF(AND(F14="",F15="",F16="",F17="",F18=""),"",IF(OR($B$21="",F21=""),SUM(F14:F19),IF(($P$19/$P$13*100)&gt;=($P$21/$P$13*100),SUM(F14:F19),SUM(F14,F15,F16,F17,F18,F21)))))</f>
        <v>41</v>
      </c>
      <c r="G22" s="676">
        <f>IF(AND(O6=""),"",IF(AND(G14="",G15="",G16="",G17="",G18=""),"",IF(OR($B$21="",G21=""),SUM(G14:G19),IF(($P$19/$P$13*100)&gt;=($P$21/$P$13*100),SUM(G14:G19),SUM(G14,G15,G16,G17,G18,G21)))))</f>
        <v>54</v>
      </c>
      <c r="H22" s="676">
        <f>IF(AND(O6=""),"",IF(AND(H14="",H15="",H16="",H17="",H18=""),"",IF(OR($B$21="",H21=""),SUM(H14:H19),IF(($P$19/$P$13*100)&gt;=($P$21/$P$13*100),SUM(H14:H19),SUM(H14,H15,H16,H17,H18,H21)))))</f>
        <v>141</v>
      </c>
      <c r="I22" s="676">
        <f>IF(AND(O6=""),"",IF(AND(I14="",I15="",I16="",I17="",I18=""),"",IF(OR($B$21="",I21=""),SUM(I14:I19),IF(($P$19/$P$13*100)&gt;=($P$21/$P$13*100),SUM(I14:I19),SUM(I14,I15,I16,I17,I18,I21)))))</f>
        <v>253</v>
      </c>
      <c r="J22" s="676">
        <f>IF(AND(O6=""),"",IF(OR($B$21="",J21=""),SUM(J14:J19),IF(($P$19/$P$13*100)&gt;=($P$21/$P$13*100),SUM(J14:J19),SUM(J14,J15,J16,J17,J18,J21))))</f>
        <v>0</v>
      </c>
      <c r="K22" s="676">
        <f>IF(AND(O6=""),"",IF(AND(K14="",K15="",K16="",K17="",K18=""),"",IF(OR($B$21="",K21=""),SUM(K14:K19),IF(($P$19/$P$13*100)&gt;=($P$21/$P$13*100),SUM(K14:K19),SUM(K14,K15,K16,K17,K18,K21)))))</f>
        <v>253</v>
      </c>
      <c r="L22" s="676">
        <f>IF(AND(O6=""),"",IF(AND(L14="",L15="",L16="",L17="",L18=""),"",IF(OR($B$21="",L21=""),SUM(L14:L19),IF(($P$19/$P$13*100)&gt;=($P$21/$P$13*100),SUM(L14:L19),SUM(L14,L15,L16,L17,L18,L21)))))</f>
        <v>394</v>
      </c>
      <c r="M22" s="676">
        <f>IF(AND(O6=""),"",IF(AND(M14="",M15="",M16="",M17="",M18=""),"",IF(OR($B$21="",M21=""),SUM(M14:M19),IF(($P$19/$P$13*100)&gt;=($P$21/$P$13*100),SUM(M14:M19),SUM(M14,M15,M16,M17,M18,M21)))))</f>
        <v>294</v>
      </c>
      <c r="N22" s="676">
        <f>IF(AND(O6=""),"",IF(OR($B$21="",N21=""),SUM(N14:N19),IF(($P$19/$P$13*100)&gt;=($P$21/$P$13*100),SUM(N14:N19),SUM(N14,N15,N16,N17,N18,N21))))</f>
        <v>0</v>
      </c>
      <c r="O22" s="676">
        <f>IF(AND(O6=""),"",IF(AND(O14="",O15="",O16="",O17="",O18=""),"",IF(OR($B$21="",O21=""),SUM(O14:O19),IF(($P$19/$P$13*100)&gt;=($P$21/$P$13*100),SUM(O14:O19),SUM(O14,O15,O16,O17,O18,O21)))))</f>
        <v>294</v>
      </c>
      <c r="P22" s="677">
        <f>IF(AND(O6=""),"",IF(AND(P14="",P15="",P16="",P17="",P18=""),"",IF(OR(B21="",P21=""),SUM(P14,P15,P16,P17,P18,P19),IF((P19/$P$13*100)&gt;=(P21/$P$13*100),SUM(P14,P15,P16,P17,P18,P19),SUM(P14,P15,P16,P17,P18,P21)))))</f>
        <v>688</v>
      </c>
      <c r="Q22" s="1546" t="str">
        <f>IF('School Profile'!$D$12="Hindi","पूरक परीक्षा के बाद परिणाम","Result  after the Supplementary Exam")</f>
        <v>पूरक परीक्षा के बाद परिणाम</v>
      </c>
      <c r="R22" s="1547"/>
      <c r="S22" s="1547"/>
      <c r="T22" s="1547"/>
      <c r="U22" s="1547"/>
      <c r="V22" s="1548"/>
      <c r="Z22" s="20"/>
      <c r="AK22" s="19"/>
      <c r="AL22" s="19"/>
      <c r="AM22" s="19"/>
      <c r="AN22" s="19"/>
      <c r="AO22" s="19"/>
      <c r="AP22" s="19"/>
      <c r="AQ22" s="19"/>
      <c r="AR22" s="19"/>
    </row>
    <row r="23" spans="2:45" ht="18.95" customHeight="1">
      <c r="B23" s="1516" t="str">
        <f>IF('School Profile'!D12="Hindi","कुल पूर्णांक","Total MAX. Marks")</f>
        <v>कुल पूर्णांक</v>
      </c>
      <c r="C23" s="1517"/>
      <c r="D23" s="1518"/>
      <c r="E23" s="711">
        <f>IF($O6="","",COUNTA(E14:E19)*E13-(COUNTIF(E14:E19,"NA")*E13+COUNTIF(E14:E19,"ML")*E13))</f>
        <v>60</v>
      </c>
      <c r="F23" s="711">
        <f>IF($O6="","",COUNTA(F14:F19)*F13-(COUNTIF(F14:F19,"NA")*F13+COUNTIF(F14:F19,"ML")*F13))</f>
        <v>50</v>
      </c>
      <c r="G23" s="711">
        <f>IF($O6="","",COUNTA(G14:G19)*G13-(COUNTIF(G14:G19,"NA")*G13+COUNTIF(G14:G19,"ML")*G13))</f>
        <v>60</v>
      </c>
      <c r="H23" s="711">
        <f>IF($O6="","",COUNTA(H14:H19)*H13-(COUNTIF(H14:H19,"NA")*H13+COUNTIF(H14:H19,"ML")*H13))</f>
        <v>180</v>
      </c>
      <c r="I23" s="711">
        <f>IF(AND(O6=""),"",IF(OR(B21="",P21=""),COUNTA(I14:I19)*70,IF(($P$19/$P$13*100)&gt;=($P$21/$P$13*100),COUNTA(I14:I19)*70,COUNTA(I14:I18)*70)+35))</f>
        <v>420</v>
      </c>
      <c r="J23" s="711">
        <f>IF($O6="","",COUNTA(J14:J21)*J13-(COUNTIF(J14:J21,"NA")*J13+COUNTIF(J14:J21,"ML")*J13))</f>
        <v>35</v>
      </c>
      <c r="K23" s="711">
        <f>IF($O6="","",COUNTA(K14:K19)*K13-(COUNTIF(K14:K19,"NA")*K13+COUNTIF(K14:K19,"ML")*K13))</f>
        <v>420</v>
      </c>
      <c r="L23" s="711">
        <f>IF($O6="","",COUNTA(L14:L19)*L13-(COUNTIF(L14:L19,"NA")*L13+COUNTIF(L14:L19,"ML")*L13))</f>
        <v>600</v>
      </c>
      <c r="M23" s="711">
        <f>IF(AND(O6=""),"",IF(OR(B21="",P21=""),COUNTA(I14:I19)*100,IF(($P$19/$P$13*100)&gt;=($P$21/$P$13*100),COUNTA(I14:I19)*100,COUNTA(I14:I18)*100)+50))</f>
        <v>600</v>
      </c>
      <c r="N23" s="711">
        <f>IF($O6="","",COUNTA(N14:N21)*N13-(COUNTIF(N14:N21,"NA")*N13+COUNTIF(N14:N21,"ML")*N13))</f>
        <v>50</v>
      </c>
      <c r="O23" s="711">
        <f>IF($O6="","",COUNTA(O14:O19)*O13-(COUNTIF(O14:O19,"NA")*O13+COUNTIF(O14:O19,"ML")*O13))</f>
        <v>600</v>
      </c>
      <c r="P23" s="712">
        <f>IF(O6="","",COUNTA(P14:P19)*P13-(COUNTIF(P14:P19,"NA")*P13+COUNTIF(P14:P19,"ML")*P13))</f>
        <v>1200</v>
      </c>
      <c r="Q23" s="1716" t="str">
        <f>IF('School Profile'!$D$12="Hindi",AK15,AK14)</f>
        <v>उतीर्ण एवं कक्षा 10 में क्रमोन्नत</v>
      </c>
      <c r="R23" s="1717"/>
      <c r="S23" s="1717"/>
      <c r="T23" s="1717"/>
      <c r="U23" s="1717"/>
      <c r="V23" s="1718"/>
      <c r="X23" s="20"/>
      <c r="AK23" s="19"/>
      <c r="AL23" s="19"/>
      <c r="AM23" s="19"/>
      <c r="AN23" s="19"/>
      <c r="AO23" s="19"/>
      <c r="AP23" s="19"/>
      <c r="AQ23" s="19"/>
      <c r="AR23" s="19"/>
    </row>
    <row r="24" spans="2:45" ht="20.100000000000001" customHeight="1">
      <c r="B24" s="1519" t="str">
        <f>IF('School Profile'!D12="Hindi","प्रतिशत","Percentage")</f>
        <v>प्रतिशत</v>
      </c>
      <c r="C24" s="1520"/>
      <c r="D24" s="1521"/>
      <c r="E24" s="678">
        <f>IFERROR(IF(E22="","",E22/E23*100),"")</f>
        <v>76.666666666666671</v>
      </c>
      <c r="F24" s="678">
        <f t="shared" ref="F24:O24" si="1">IFERROR(IF(F22="","",F22/F23*100),"")</f>
        <v>82</v>
      </c>
      <c r="G24" s="678">
        <f t="shared" si="1"/>
        <v>90</v>
      </c>
      <c r="H24" s="678">
        <f t="shared" si="1"/>
        <v>78.333333333333329</v>
      </c>
      <c r="I24" s="678">
        <f t="shared" si="1"/>
        <v>60.238095238095234</v>
      </c>
      <c r="J24" s="678">
        <f t="shared" si="1"/>
        <v>0</v>
      </c>
      <c r="K24" s="678">
        <f t="shared" si="1"/>
        <v>60.238095238095234</v>
      </c>
      <c r="L24" s="678">
        <f t="shared" si="1"/>
        <v>65.666666666666657</v>
      </c>
      <c r="M24" s="678">
        <f t="shared" si="1"/>
        <v>49</v>
      </c>
      <c r="N24" s="678">
        <f t="shared" si="1"/>
        <v>0</v>
      </c>
      <c r="O24" s="678">
        <f t="shared" si="1"/>
        <v>49</v>
      </c>
      <c r="P24" s="673">
        <f>IFERROR(IF(OR(P22="",O6=""),"",VLOOKUP(O6,'Statement of Marks'!$B$7:'Statement of Marks'!$IC$206,233,0)),"")</f>
        <v>60.363636363636367</v>
      </c>
      <c r="Q24" s="1719"/>
      <c r="R24" s="1720"/>
      <c r="S24" s="1720"/>
      <c r="T24" s="1720"/>
      <c r="U24" s="1720"/>
      <c r="V24" s="1721"/>
      <c r="X24" s="20"/>
      <c r="AK24" s="19"/>
      <c r="AL24" s="19"/>
      <c r="AM24" s="19"/>
      <c r="AN24" s="19"/>
      <c r="AO24" s="19"/>
      <c r="AP24" s="19"/>
      <c r="AQ24" s="19"/>
      <c r="AR24" s="19"/>
    </row>
    <row r="25" spans="2:45" ht="18.95" customHeight="1">
      <c r="B25" s="1550" t="str">
        <f>'Statement of Marks'!DZ208</f>
        <v>राजस्थान का स्वंत्रता आन्दोलन व शोर्य परम्परा</v>
      </c>
      <c r="C25" s="1551"/>
      <c r="D25" s="1551"/>
      <c r="E25" s="1551"/>
      <c r="F25" s="1551"/>
      <c r="G25" s="1531" t="str">
        <f>'Statement of Marks'!EL208</f>
        <v>सूचना प्रोद्योगिकी की अवधारणा - I</v>
      </c>
      <c r="H25" s="1531"/>
      <c r="I25" s="1531"/>
      <c r="J25" s="1531"/>
      <c r="K25" s="1531" t="str">
        <f>'Statement of Marks'!FB208</f>
        <v>स्वा. एवं शा. शिक्षा</v>
      </c>
      <c r="L25" s="1531"/>
      <c r="M25" s="1531"/>
      <c r="N25" s="1531"/>
      <c r="O25" s="1531" t="str">
        <f>'Statement of Marks'!FJ208</f>
        <v>समाजोपयोगी उत्पादन कार्य एवं समाज सेवा</v>
      </c>
      <c r="P25" s="1531"/>
      <c r="Q25" s="1531"/>
      <c r="R25" s="1531"/>
      <c r="S25" s="1704" t="str">
        <f>'Statement of Marks'!FU208</f>
        <v>कला शिक्षा</v>
      </c>
      <c r="T25" s="1705"/>
      <c r="U25" s="1705"/>
      <c r="V25" s="1722"/>
      <c r="X25" s="20"/>
      <c r="AK25" s="19"/>
      <c r="AL25" s="19"/>
      <c r="AM25" s="19"/>
      <c r="AN25" s="19"/>
      <c r="AO25" s="19"/>
      <c r="AP25" s="19"/>
      <c r="AQ25" s="19"/>
      <c r="AR25" s="19"/>
    </row>
    <row r="26" spans="2:45" ht="18.95" customHeight="1">
      <c r="B26" s="1608" t="str">
        <f>IF('School Profile'!D12="Hindi","पूर्णांक","MAX. Marks")</f>
        <v>पूर्णांक</v>
      </c>
      <c r="C26" s="1552"/>
      <c r="D26" s="1607" t="str">
        <f>IF('School Profile'!D12="Hindi","प्राप्तांक","Marks Obt.")</f>
        <v>प्राप्तांक</v>
      </c>
      <c r="E26" s="1607"/>
      <c r="F26" s="717" t="str">
        <f>IF('School Profile'!$D$12="Hindi","ग्रेड","Grade")</f>
        <v>ग्रेड</v>
      </c>
      <c r="G26" s="1552" t="str">
        <f>IF('School Profile'!D12="Hindi","पूर्णांक","MAX. Marks")</f>
        <v>पूर्णांक</v>
      </c>
      <c r="H26" s="1552"/>
      <c r="I26" s="715" t="str">
        <f>IF('School Profile'!D12="Hindi","प्राप्तांक","Marks Obt.")</f>
        <v>प्राप्तांक</v>
      </c>
      <c r="J26" s="717" t="str">
        <f>IF('School Profile'!$D$12="Hindi","ग्रेड","Grade")</f>
        <v>ग्रेड</v>
      </c>
      <c r="K26" s="1552" t="str">
        <f>IF('School Profile'!D12="Hindi","पूर्णांक","MAX. Marks")</f>
        <v>पूर्णांक</v>
      </c>
      <c r="L26" s="1552"/>
      <c r="M26" s="715" t="str">
        <f>IF('School Profile'!D12="Hindi","प्राप्तांक","Marks Obt.")</f>
        <v>प्राप्तांक</v>
      </c>
      <c r="N26" s="717" t="str">
        <f>IF('School Profile'!$D$12="Hindi","ग्रेड","Grade")</f>
        <v>ग्रेड</v>
      </c>
      <c r="O26" s="1552" t="str">
        <f>IF('School Profile'!D12="Hindi","पूर्णांक","MAX. Marks")</f>
        <v>पूर्णांक</v>
      </c>
      <c r="P26" s="1552"/>
      <c r="Q26" s="715" t="str">
        <f>IF('School Profile'!D12="Hindi","प्राप्तांक","Marks Obt.")</f>
        <v>प्राप्तांक</v>
      </c>
      <c r="R26" s="717" t="str">
        <f>IF('School Profile'!$D$12="Hindi","ग्रेड","Grade")</f>
        <v>ग्रेड</v>
      </c>
      <c r="S26" s="1708" t="str">
        <f>IF('School Profile'!D12="Hindi","पूर्णांक","MAX. Marks")</f>
        <v>पूर्णांक</v>
      </c>
      <c r="T26" s="1709"/>
      <c r="U26" s="715" t="str">
        <f>IF('School Profile'!D12="Hindi","प्राप्तांक","Marks Obt.")</f>
        <v>प्राप्तांक</v>
      </c>
      <c r="V26" s="719" t="str">
        <f>IF('School Profile'!$D$12="Hindi","ग्रेड","Grade")</f>
        <v>ग्रेड</v>
      </c>
      <c r="X26" s="20"/>
      <c r="AK26" s="19"/>
      <c r="AL26" s="19"/>
      <c r="AM26" s="19"/>
      <c r="AN26" s="19"/>
      <c r="AO26" s="19"/>
      <c r="AP26" s="19"/>
      <c r="AQ26" s="19"/>
      <c r="AR26" s="19"/>
    </row>
    <row r="27" spans="2:45" ht="18.95" customHeight="1">
      <c r="B27" s="1609">
        <f>IFERROR(VLOOKUP(O6,'Statement of Marks'!$B$7:'Statement of Marks'!$IC$206,140,0),"")</f>
        <v>200</v>
      </c>
      <c r="C27" s="1600"/>
      <c r="D27" s="1610">
        <f>IFERROR(VLOOKUP(O6,'Statement of Marks'!$B$7:'Statement of Marks'!$IC$206,136,0),"")</f>
        <v>184</v>
      </c>
      <c r="E27" s="1610"/>
      <c r="F27" s="716" t="str">
        <f>IFERROR(VLOOKUP(O6,'Statement of Marks'!$B$7:'Statement of Marks'!$IC$206,137,0),"")</f>
        <v>A</v>
      </c>
      <c r="G27" s="1600">
        <f>IFERROR(VLOOKUP(O6,'Statement of Marks'!$B$7:'Statement of Marks'!$IC$206,156,0),"")</f>
        <v>200</v>
      </c>
      <c r="H27" s="1600"/>
      <c r="I27" s="684">
        <f>IFERROR(VLOOKUP(O6,'Statement of Marks'!$B$7:'Statement of Marks'!$IC$206,152,0),"")</f>
        <v>168</v>
      </c>
      <c r="J27" s="716" t="str">
        <f>IFERROR(VLOOKUP(O6,'Statement of Marks'!$B$7:'Statement of Marks'!$IC$206,153,0),"")</f>
        <v>A</v>
      </c>
      <c r="K27" s="1600">
        <f>IFERROR(VLOOKUP(O6,'Statement of Marks'!$B$7:'Statement of Marks'!$IC$206,175,0),"")</f>
        <v>200</v>
      </c>
      <c r="L27" s="1600"/>
      <c r="M27" s="684">
        <f>IFERROR(VLOOKUP(O6,'Statement of Marks'!$B$7:'Statement of Marks'!$IC$206,171,0),"")</f>
        <v>171</v>
      </c>
      <c r="N27" s="716" t="str">
        <f>IFERROR(VLOOKUP(O6,'Statement of Marks'!$B$7:'Statement of Marks'!$IC$206,172,0),"")</f>
        <v>A</v>
      </c>
      <c r="O27" s="1600">
        <f>IFERROR(VLOOKUP(O6,'Statement of Marks'!$B$7:'Statement of Marks'!$IC$206,183,0),"")</f>
        <v>100</v>
      </c>
      <c r="P27" s="1600"/>
      <c r="Q27" s="684">
        <f>IFERROR(VLOOKUP(O6,'Statement of Marks'!$B$7:'Statement of Marks'!$IC$206,179,0),"")</f>
        <v>80</v>
      </c>
      <c r="R27" s="716" t="str">
        <f>IFERROR(VLOOKUP(O6,'Statement of Marks'!$B$7:'Statement of Marks'!$IC$206,180,0),"")</f>
        <v>B</v>
      </c>
      <c r="S27" s="1710">
        <f>IFERROR(VLOOKUP(O6,'Statement of Marks'!$B$7:'Statement of Marks'!$IC$206,191,0),"")</f>
        <v>100</v>
      </c>
      <c r="T27" s="1711"/>
      <c r="U27" s="684">
        <f>IFERROR(VLOOKUP(O6,'Statement of Marks'!$B$7:'Statement of Marks'!$IC$206,187,0),"")</f>
        <v>88</v>
      </c>
      <c r="V27" s="720" t="str">
        <f>IFERROR(VLOOKUP(O6,'Statement of Marks'!$B$7:'Statement of Marks'!$IC$206,188,0),"")</f>
        <v>A</v>
      </c>
      <c r="X27" s="20"/>
      <c r="AK27" s="19"/>
      <c r="AL27" s="19"/>
      <c r="AM27" s="19"/>
      <c r="AN27" s="19"/>
      <c r="AO27" s="19"/>
      <c r="AP27" s="19"/>
      <c r="AQ27" s="19"/>
      <c r="AR27" s="19"/>
    </row>
    <row r="28" spans="2:45" ht="18.95" customHeight="1">
      <c r="B28" s="1714" t="str">
        <f>IF('School Profile'!$D$12="Hindi","पूरक परीक्षा परिणाम घोषणा दिनांक :-","Date of Supplementary result declaration :-")</f>
        <v>पूरक परीक्षा परिणाम घोषणा दिनांक :-</v>
      </c>
      <c r="C28" s="1715"/>
      <c r="D28" s="1715"/>
      <c r="E28" s="1715"/>
      <c r="F28" s="1715"/>
      <c r="G28" s="1511">
        <f>IF(AND(O6=""),"",IF('School Profile'!D19="","",'School Profile'!D19))</f>
        <v>45845</v>
      </c>
      <c r="H28" s="1512"/>
      <c r="I28" s="1527" t="str">
        <f>IF('School Profile'!$D$12="Hindi","कुल कार्य दिवस","Total Working Days")</f>
        <v>कुल कार्य दिवस</v>
      </c>
      <c r="J28" s="1527"/>
      <c r="K28" s="1527"/>
      <c r="L28" s="1532" t="str">
        <f>IFERROR(VLOOKUP($O$6,'Statement of Marks'!$B$7:'Statement of Marks'!$IC$206,192,0),"")</f>
        <v/>
      </c>
      <c r="M28" s="1532"/>
      <c r="N28" s="1705" t="str">
        <f>IF('School Profile'!$D$12="Hindi","कुल उपस्थिति","Total  Attendance")</f>
        <v>कुल उपस्थिति</v>
      </c>
      <c r="O28" s="1706"/>
      <c r="P28" s="685" t="str">
        <f>IFERROR(VLOOKUP($O$6,'Statement of Marks'!$B$7:'Statement of Marks'!$IC$206,193,0),"")</f>
        <v/>
      </c>
      <c r="Q28" s="655" t="str">
        <f>IF('School Profile'!$D$12="Hindi","श्रेणी","Division")</f>
        <v>श्रेणी</v>
      </c>
      <c r="R28" s="400" t="str">
        <f>IFERROR(VLOOKUP($O$6,'Statement of Marks'!$B$7:'Statement of Marks'!$IC$206,234,0),"")</f>
        <v>I</v>
      </c>
      <c r="S28" s="1704" t="str">
        <f>IF('School Profile'!D12="Hindi","कक्षा में स्थान","Position in the Class")</f>
        <v>कक्षा में स्थान</v>
      </c>
      <c r="T28" s="1705"/>
      <c r="U28" s="1706"/>
      <c r="V28" s="714"/>
      <c r="W28" s="21"/>
      <c r="X28" s="20"/>
    </row>
    <row r="29" spans="2:45" ht="27.75" customHeight="1">
      <c r="B29" s="1528" t="str">
        <f>IF('School Profile'!D12="Hindi","हस्ताक्षर कक्षाध्यापक","Signature of the class teacher")</f>
        <v>हस्ताक्षर कक्षाध्यापक</v>
      </c>
      <c r="C29" s="1529"/>
      <c r="D29" s="1529"/>
      <c r="E29" s="1529"/>
      <c r="F29" s="1529"/>
      <c r="G29" s="1530"/>
      <c r="H29" s="1523" t="str">
        <f>IF(AND(O6=""),"",CONCATENATE("( ",UPPER('School Profile'!D18)," )"))</f>
        <v>( YOGESH )</v>
      </c>
      <c r="I29" s="1523"/>
      <c r="J29" s="1523"/>
      <c r="K29" s="1523"/>
      <c r="L29" s="1523"/>
      <c r="M29" s="1523"/>
      <c r="N29" s="1523"/>
      <c r="O29" s="1586" t="str">
        <f>IF(AND(O6=""),"",CONCATENATE("( ",UPPER('School Profile'!D14)," )"))</f>
        <v>( USHA PALIYA )</v>
      </c>
      <c r="P29" s="1587"/>
      <c r="Q29" s="1587"/>
      <c r="R29" s="1587"/>
      <c r="S29" s="1587"/>
      <c r="T29" s="1587"/>
      <c r="U29" s="1587"/>
      <c r="V29" s="1588"/>
      <c r="X29" s="20"/>
    </row>
    <row r="30" spans="2:45" ht="24.75" customHeight="1" thickBot="1">
      <c r="B30" s="1501" t="str">
        <f>IF('School Profile'!D12="Hindi","हस्ताक्षर परीक्षा प्रभारी","Signature of the exam. Incharge")</f>
        <v>हस्ताक्षर परीक्षा प्रभारी</v>
      </c>
      <c r="C30" s="1502"/>
      <c r="D30" s="1502"/>
      <c r="E30" s="1502"/>
      <c r="F30" s="1502"/>
      <c r="G30" s="1503"/>
      <c r="H30" s="1522" t="str">
        <f>IF(AND(O6=""),"",CONCATENATE("( ",UPPER('School Profile'!D15)," )"))</f>
        <v>( HEERALAL JAT )</v>
      </c>
      <c r="I30" s="1522"/>
      <c r="J30" s="1522"/>
      <c r="K30" s="1522"/>
      <c r="L30" s="1522"/>
      <c r="M30" s="1522"/>
      <c r="N30" s="1522"/>
      <c r="O30" s="1583" t="str">
        <f>IF('School Profile'!D12="Hindi","हस्ताक्षर मय सील मोहर संस्था प्रधान","Signature &amp; Seal of the Head of the Institution")</f>
        <v>हस्ताक्षर मय सील मोहर संस्था प्रधान</v>
      </c>
      <c r="P30" s="1584"/>
      <c r="Q30" s="1584"/>
      <c r="R30" s="1584"/>
      <c r="S30" s="1584"/>
      <c r="T30" s="1584"/>
      <c r="U30" s="1584"/>
      <c r="V30" s="1585"/>
    </row>
    <row r="36" spans="33:36">
      <c r="AG36" s="776"/>
      <c r="AH36" s="776"/>
      <c r="AI36" s="776"/>
      <c r="AJ36" s="776"/>
    </row>
    <row r="38" spans="33:36">
      <c r="AH38" s="777">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76"/>
      <c r="AH69" s="776"/>
      <c r="AI69" s="776"/>
      <c r="AJ69" s="776"/>
    </row>
    <row r="71" spans="33:36">
      <c r="AH71" s="777">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76"/>
      <c r="AH102" s="776"/>
      <c r="AI102" s="776"/>
      <c r="AJ102" s="776"/>
    </row>
    <row r="104" spans="33:36">
      <c r="AH104" s="777">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76"/>
      <c r="AH135" s="776"/>
      <c r="AI135" s="776"/>
      <c r="AJ135" s="776"/>
    </row>
    <row r="137" spans="33:36">
      <c r="AH137" s="777">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76"/>
      <c r="AH168" s="776"/>
      <c r="AI168" s="776"/>
      <c r="AJ168" s="776"/>
    </row>
    <row r="170" spans="33:36">
      <c r="AH170" s="777">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76"/>
      <c r="AH201" s="776"/>
      <c r="AI201" s="776"/>
      <c r="AJ201" s="776"/>
    </row>
    <row r="203" spans="33:36">
      <c r="AH203" s="777">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76"/>
      <c r="AH234" s="776"/>
      <c r="AI234" s="776"/>
      <c r="AJ234" s="776"/>
    </row>
    <row r="236" spans="33:36">
      <c r="AH236" s="777">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76"/>
      <c r="AH267" s="776"/>
      <c r="AI267" s="776"/>
      <c r="AJ267" s="776"/>
    </row>
    <row r="269" spans="33:36">
      <c r="AH269" s="777">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76"/>
      <c r="AH300" s="776"/>
      <c r="AI300" s="776"/>
      <c r="AJ300" s="776"/>
    </row>
    <row r="302" spans="33:36">
      <c r="AH302" s="777">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F18B" sheet="1" objects="1" scenarios="1" formatCells="0" formatColumns="0" formatRows="0"/>
  <mergeCells count="86">
    <mergeCell ref="D26:E26"/>
    <mergeCell ref="G26:H26"/>
    <mergeCell ref="K26:L26"/>
    <mergeCell ref="O26:P26"/>
    <mergeCell ref="B27:C27"/>
    <mergeCell ref="D27:E27"/>
    <mergeCell ref="G27:H27"/>
    <mergeCell ref="K27:L27"/>
    <mergeCell ref="O27:P27"/>
    <mergeCell ref="B26:C26"/>
    <mergeCell ref="AC3:AE13"/>
    <mergeCell ref="B5:E5"/>
    <mergeCell ref="F5:H5"/>
    <mergeCell ref="I5:K5"/>
    <mergeCell ref="B6:E6"/>
    <mergeCell ref="F6:L6"/>
    <mergeCell ref="B8:E8"/>
    <mergeCell ref="F8:L8"/>
    <mergeCell ref="O8:R8"/>
    <mergeCell ref="O6:P6"/>
    <mergeCell ref="Q11:Q13"/>
    <mergeCell ref="R11:V11"/>
    <mergeCell ref="R12:S13"/>
    <mergeCell ref="T12:T13"/>
    <mergeCell ref="U12:U13"/>
    <mergeCell ref="B13:D13"/>
    <mergeCell ref="B14:D14"/>
    <mergeCell ref="R14:S14"/>
    <mergeCell ref="B15:D15"/>
    <mergeCell ref="R15:S15"/>
    <mergeCell ref="B17:D17"/>
    <mergeCell ref="R17:S17"/>
    <mergeCell ref="R18:S18"/>
    <mergeCell ref="B16:D16"/>
    <mergeCell ref="R16:S16"/>
    <mergeCell ref="B19:C19"/>
    <mergeCell ref="R19:S19"/>
    <mergeCell ref="B23:D23"/>
    <mergeCell ref="Q23:V24"/>
    <mergeCell ref="B24:D24"/>
    <mergeCell ref="S25:V25"/>
    <mergeCell ref="B25:F25"/>
    <mergeCell ref="G25:J25"/>
    <mergeCell ref="K25:N25"/>
    <mergeCell ref="O25:R25"/>
    <mergeCell ref="B29:G29"/>
    <mergeCell ref="B30:G30"/>
    <mergeCell ref="H29:N29"/>
    <mergeCell ref="O29:V29"/>
    <mergeCell ref="B28:F28"/>
    <mergeCell ref="G28:H28"/>
    <mergeCell ref="H30:N30"/>
    <mergeCell ref="O30:V30"/>
    <mergeCell ref="I28:K28"/>
    <mergeCell ref="L28:M28"/>
    <mergeCell ref="N28:O28"/>
    <mergeCell ref="I1:P1"/>
    <mergeCell ref="S28:U28"/>
    <mergeCell ref="T20:V20"/>
    <mergeCell ref="S26:T26"/>
    <mergeCell ref="S27:T27"/>
    <mergeCell ref="V12:V13"/>
    <mergeCell ref="O9:T9"/>
    <mergeCell ref="P11:P12"/>
    <mergeCell ref="L9:N9"/>
    <mergeCell ref="M8:N8"/>
    <mergeCell ref="B20:S20"/>
    <mergeCell ref="B21:C21"/>
    <mergeCell ref="R21:S21"/>
    <mergeCell ref="B22:D22"/>
    <mergeCell ref="Q22:V22"/>
    <mergeCell ref="B18:D18"/>
    <mergeCell ref="B7:E7"/>
    <mergeCell ref="F7:L7"/>
    <mergeCell ref="D3:T3"/>
    <mergeCell ref="I4:P4"/>
    <mergeCell ref="E2:T2"/>
    <mergeCell ref="M5:N5"/>
    <mergeCell ref="M6:N6"/>
    <mergeCell ref="M7:N7"/>
    <mergeCell ref="O7:P7"/>
    <mergeCell ref="B11:D12"/>
    <mergeCell ref="E11:H11"/>
    <mergeCell ref="I11:K11"/>
    <mergeCell ref="L11:L12"/>
    <mergeCell ref="M11:O11"/>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tabSelected="1" workbookViewId="0">
      <selection activeCell="J10" sqref="J10"/>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831" t="s">
        <v>276</v>
      </c>
      <c r="E2" s="10"/>
      <c r="F2" s="10"/>
      <c r="G2" s="10"/>
      <c r="H2" s="10"/>
      <c r="I2" s="10"/>
      <c r="J2" s="10"/>
      <c r="K2" s="10"/>
      <c r="L2" s="10"/>
      <c r="M2" s="10"/>
      <c r="N2" s="1"/>
    </row>
    <row r="3" spans="1:14" ht="30" customHeight="1">
      <c r="A3" s="1"/>
      <c r="B3" s="10"/>
      <c r="C3" s="778" t="s">
        <v>259</v>
      </c>
      <c r="D3" s="11"/>
      <c r="E3" s="11"/>
      <c r="F3" s="10"/>
      <c r="G3" s="10"/>
      <c r="H3" s="10"/>
      <c r="I3" s="10"/>
      <c r="J3" s="10"/>
      <c r="K3" s="10"/>
      <c r="L3" s="10"/>
      <c r="M3" s="10"/>
      <c r="N3" s="1"/>
    </row>
    <row r="4" spans="1:14" ht="20.25">
      <c r="A4" s="2"/>
      <c r="B4" s="12"/>
      <c r="C4" s="823">
        <v>45768</v>
      </c>
      <c r="D4" s="14"/>
      <c r="E4" s="14"/>
      <c r="F4" s="14"/>
      <c r="G4" s="14"/>
      <c r="H4" s="14"/>
      <c r="I4" s="14"/>
      <c r="J4" s="14"/>
      <c r="K4" s="10"/>
      <c r="L4" s="10"/>
      <c r="M4" s="10"/>
      <c r="N4" s="1"/>
    </row>
    <row r="5" spans="1:14" ht="32.25" customHeight="1" thickBot="1">
      <c r="A5" s="3"/>
      <c r="B5" s="16"/>
      <c r="C5" s="16"/>
      <c r="D5" s="14"/>
      <c r="E5" s="14"/>
      <c r="F5" s="14"/>
      <c r="G5" s="934" t="str">
        <f>IF($D$12="Hindi","विषय","Subject")</f>
        <v>विषय</v>
      </c>
      <c r="H5" s="934"/>
      <c r="I5" s="934"/>
      <c r="J5" s="934" t="str">
        <f>IF($D$12="Hindi","विषयाध्यापक का नाम","Subject Teacher's Name")</f>
        <v>विषयाध्यापक का नाम</v>
      </c>
      <c r="K5" s="10"/>
      <c r="L5" s="10"/>
      <c r="M5" s="10"/>
      <c r="N5" s="1"/>
    </row>
    <row r="6" spans="1:14" ht="25.5" customHeight="1" thickBot="1">
      <c r="A6" s="3"/>
      <c r="B6" s="427"/>
      <c r="C6" s="428"/>
      <c r="D6" s="429"/>
      <c r="E6" s="430"/>
      <c r="F6" s="14"/>
      <c r="G6" s="934"/>
      <c r="H6" s="934"/>
      <c r="I6" s="934"/>
      <c r="J6" s="934"/>
      <c r="K6" s="10"/>
      <c r="L6" s="10"/>
      <c r="M6" s="10"/>
      <c r="N6" s="1"/>
    </row>
    <row r="7" spans="1:14" ht="24.95" customHeight="1">
      <c r="A7" s="4"/>
      <c r="B7" s="431"/>
      <c r="C7" s="421" t="s">
        <v>180</v>
      </c>
      <c r="D7" s="440" t="s">
        <v>184</v>
      </c>
      <c r="E7" s="432"/>
      <c r="F7" s="15">
        <v>1</v>
      </c>
      <c r="G7" s="448" t="str">
        <f>IF($D$12="Hindi","हिंदी","Hindi")</f>
        <v>हिंदी</v>
      </c>
      <c r="H7" s="35"/>
      <c r="I7" s="35"/>
      <c r="J7" s="23" t="s">
        <v>113</v>
      </c>
      <c r="K7" s="10"/>
      <c r="L7" s="10"/>
      <c r="M7" s="10"/>
      <c r="N7" s="1"/>
    </row>
    <row r="8" spans="1:14" ht="24.95" customHeight="1">
      <c r="A8" s="1"/>
      <c r="B8" s="433"/>
      <c r="C8" s="422" t="s">
        <v>181</v>
      </c>
      <c r="D8" s="441" t="s">
        <v>185</v>
      </c>
      <c r="E8" s="434"/>
      <c r="F8" s="15">
        <v>2</v>
      </c>
      <c r="G8" s="448" t="str">
        <f>IF($D$12="Hindi","अंग्रेजी","English")</f>
        <v>अंग्रेजी</v>
      </c>
      <c r="H8" s="35"/>
      <c r="I8" s="35"/>
      <c r="J8" s="24" t="s">
        <v>116</v>
      </c>
      <c r="K8" s="10"/>
      <c r="L8" s="10"/>
      <c r="M8" s="10"/>
      <c r="N8" s="1"/>
    </row>
    <row r="9" spans="1:14" ht="24.95" customHeight="1">
      <c r="A9" s="1"/>
      <c r="B9" s="433"/>
      <c r="C9" s="422" t="s">
        <v>182</v>
      </c>
      <c r="D9" s="442" t="s">
        <v>186</v>
      </c>
      <c r="E9" s="434"/>
      <c r="F9" s="15">
        <v>3</v>
      </c>
      <c r="G9" s="448" t="str">
        <f>IF($D$12="Hindi","तृतीय भाषा","Third Language")</f>
        <v>तृतीय भाषा</v>
      </c>
      <c r="H9" s="358">
        <v>1</v>
      </c>
      <c r="I9" s="416" t="s">
        <v>192</v>
      </c>
      <c r="J9" s="25" t="s">
        <v>169</v>
      </c>
      <c r="K9" s="10"/>
      <c r="L9" s="10"/>
      <c r="M9" s="10"/>
      <c r="N9" s="1"/>
    </row>
    <row r="10" spans="1:14" ht="24.95" customHeight="1">
      <c r="A10" s="1"/>
      <c r="B10" s="433"/>
      <c r="C10" s="422" t="s">
        <v>104</v>
      </c>
      <c r="D10" s="443" t="s">
        <v>110</v>
      </c>
      <c r="E10" s="434"/>
      <c r="F10" s="15"/>
      <c r="G10" s="448"/>
      <c r="H10" s="358">
        <v>2</v>
      </c>
      <c r="I10" s="416" t="s">
        <v>194</v>
      </c>
      <c r="J10" s="25"/>
      <c r="K10" s="937" t="s">
        <v>117</v>
      </c>
      <c r="L10" s="938"/>
      <c r="M10" s="939"/>
      <c r="N10" s="1"/>
    </row>
    <row r="11" spans="1:14" ht="24.95" customHeight="1">
      <c r="A11" s="1"/>
      <c r="B11" s="433"/>
      <c r="C11" s="422" t="s">
        <v>105</v>
      </c>
      <c r="D11" s="444">
        <v>45793</v>
      </c>
      <c r="E11" s="434"/>
      <c r="F11" s="15"/>
      <c r="G11" s="448"/>
      <c r="H11" s="358">
        <v>3</v>
      </c>
      <c r="I11" s="416" t="s">
        <v>196</v>
      </c>
      <c r="J11" s="25"/>
      <c r="K11" s="10"/>
      <c r="L11" s="10"/>
      <c r="M11" s="10"/>
      <c r="N11" s="1"/>
    </row>
    <row r="12" spans="1:14" ht="24.95" customHeight="1">
      <c r="A12" s="1"/>
      <c r="B12" s="935"/>
      <c r="C12" s="423" t="s">
        <v>106</v>
      </c>
      <c r="D12" s="445" t="s">
        <v>187</v>
      </c>
      <c r="E12" s="936"/>
      <c r="F12" s="15"/>
      <c r="G12" s="448"/>
      <c r="H12" s="358">
        <v>4</v>
      </c>
      <c r="I12" s="416" t="s">
        <v>198</v>
      </c>
      <c r="J12" s="25"/>
      <c r="K12" s="10"/>
      <c r="L12" s="10"/>
      <c r="M12" s="10"/>
      <c r="N12" s="1"/>
    </row>
    <row r="13" spans="1:14" ht="24.95" customHeight="1">
      <c r="A13" s="1"/>
      <c r="B13" s="935"/>
      <c r="C13" s="422" t="s">
        <v>273</v>
      </c>
      <c r="D13" s="822" t="s">
        <v>274</v>
      </c>
      <c r="E13" s="936"/>
      <c r="F13" s="15"/>
      <c r="G13" s="448"/>
      <c r="H13" s="358">
        <v>5</v>
      </c>
      <c r="I13" s="416" t="s">
        <v>200</v>
      </c>
      <c r="J13" s="25"/>
      <c r="K13" s="10"/>
      <c r="L13" s="10"/>
      <c r="M13" s="10"/>
      <c r="N13" s="1"/>
    </row>
    <row r="14" spans="1:14" ht="24.95" customHeight="1">
      <c r="A14" s="1"/>
      <c r="B14" s="433"/>
      <c r="C14" s="422" t="s">
        <v>107</v>
      </c>
      <c r="D14" s="443" t="s">
        <v>111</v>
      </c>
      <c r="E14" s="434"/>
      <c r="F14" s="15"/>
      <c r="G14" s="448"/>
      <c r="H14" s="358">
        <v>6</v>
      </c>
      <c r="I14" s="416"/>
      <c r="J14" s="25"/>
      <c r="K14" s="10"/>
      <c r="L14" s="930" t="s">
        <v>176</v>
      </c>
      <c r="M14" s="930"/>
      <c r="N14" s="1"/>
    </row>
    <row r="15" spans="1:14" ht="24.95" customHeight="1">
      <c r="A15" s="1"/>
      <c r="B15" s="433"/>
      <c r="C15" s="422" t="s">
        <v>108</v>
      </c>
      <c r="D15" s="443" t="s">
        <v>116</v>
      </c>
      <c r="E15" s="434"/>
      <c r="F15" s="15">
        <v>4</v>
      </c>
      <c r="G15" s="448" t="str">
        <f>IF($D$12="Hindi","गणित","Maths")</f>
        <v>गणित</v>
      </c>
      <c r="H15" s="35"/>
      <c r="I15" s="35"/>
      <c r="J15" s="25" t="s">
        <v>114</v>
      </c>
      <c r="K15" s="10"/>
      <c r="L15" s="931" t="s">
        <v>256</v>
      </c>
      <c r="M15" s="931"/>
      <c r="N15" s="1"/>
    </row>
    <row r="16" spans="1:14" ht="24.95" customHeight="1" thickBot="1">
      <c r="A16" s="1"/>
      <c r="B16" s="433"/>
      <c r="C16" s="422" t="s">
        <v>109</v>
      </c>
      <c r="D16" s="443" t="s">
        <v>188</v>
      </c>
      <c r="E16" s="434"/>
      <c r="F16" s="15">
        <v>5</v>
      </c>
      <c r="G16" s="448" t="str">
        <f>IF($D$12="Hindi","विज्ञान","Science")</f>
        <v>विज्ञान</v>
      </c>
      <c r="H16" s="35"/>
      <c r="I16" s="35"/>
      <c r="J16" s="25" t="s">
        <v>168</v>
      </c>
      <c r="K16" s="10"/>
      <c r="L16" s="10"/>
      <c r="M16" s="10"/>
      <c r="N16" s="1"/>
    </row>
    <row r="17" spans="1:14" ht="24.95" customHeight="1">
      <c r="A17" s="1"/>
      <c r="B17" s="435"/>
      <c r="C17" s="422" t="s">
        <v>183</v>
      </c>
      <c r="D17" s="443" t="s">
        <v>112</v>
      </c>
      <c r="E17" s="436"/>
      <c r="F17" s="15">
        <v>6</v>
      </c>
      <c r="G17" s="932" t="str">
        <f>IF($D$12="Hindi","सामाजिक विज्ञान","Social Science")</f>
        <v>सामाजिक विज्ञान</v>
      </c>
      <c r="H17" s="932"/>
      <c r="I17" s="933"/>
      <c r="J17" s="25" t="s">
        <v>167</v>
      </c>
      <c r="K17" s="10"/>
      <c r="L17" s="931" t="s">
        <v>276</v>
      </c>
      <c r="M17" s="931"/>
      <c r="N17" s="1"/>
    </row>
    <row r="18" spans="1:14" ht="24.95" customHeight="1">
      <c r="A18" s="1"/>
      <c r="B18" s="431"/>
      <c r="C18" s="422" t="s">
        <v>190</v>
      </c>
      <c r="D18" s="446" t="s">
        <v>189</v>
      </c>
      <c r="E18" s="432"/>
      <c r="F18" s="15">
        <v>7</v>
      </c>
      <c r="G18" s="952" t="str">
        <f>IF(D12="Hindi","राजस्थान का स्वंत्रता आन्दोलन व शोर्य परम्परा","Rajasthan Ka Swatantrata Andolan V Shorya Parampra")</f>
        <v>राजस्थान का स्वंत्रता आन्दोलन व शोर्य परम्परा</v>
      </c>
      <c r="H18" s="952"/>
      <c r="I18" s="952"/>
      <c r="J18" s="24" t="s">
        <v>115</v>
      </c>
      <c r="K18" s="10"/>
      <c r="L18" s="10"/>
      <c r="M18" s="10"/>
      <c r="N18" s="1"/>
    </row>
    <row r="19" spans="1:14" ht="24.95" customHeight="1" thickBot="1">
      <c r="A19" s="1"/>
      <c r="B19" s="437"/>
      <c r="C19" s="424" t="s">
        <v>141</v>
      </c>
      <c r="D19" s="447">
        <v>45845</v>
      </c>
      <c r="E19" s="438"/>
      <c r="F19" s="15">
        <v>8</v>
      </c>
      <c r="G19" s="952" t="str">
        <f>IF(D12="Hindi","सूचना प्रोद्योगिकी की अवधारणा - I","F.O.I.T.")</f>
        <v>सूचना प्रोद्योगिकी की अवधारणा - I</v>
      </c>
      <c r="H19" s="952"/>
      <c r="I19" s="952"/>
      <c r="J19" s="24" t="s">
        <v>260</v>
      </c>
      <c r="K19" s="10"/>
      <c r="L19" s="10"/>
      <c r="M19" s="10"/>
      <c r="N19" s="1"/>
    </row>
    <row r="20" spans="1:14" ht="24.95" customHeight="1" thickBot="1">
      <c r="A20" s="1"/>
      <c r="B20" s="419"/>
      <c r="C20" s="618" t="s">
        <v>251</v>
      </c>
      <c r="D20" s="617" t="s">
        <v>275</v>
      </c>
      <c r="E20" s="420"/>
      <c r="F20" s="15">
        <v>9</v>
      </c>
      <c r="G20" s="952" t="str">
        <f>IF(D12="Hindi","स्वा. एवं शा. शिक्षा","Physical &amp; HE. EDU.")</f>
        <v>स्वा. एवं शा. शिक्षा</v>
      </c>
      <c r="H20" s="952"/>
      <c r="I20" s="952"/>
      <c r="J20" s="24" t="s">
        <v>115</v>
      </c>
      <c r="K20" s="10"/>
      <c r="L20" s="10"/>
      <c r="M20" s="10"/>
      <c r="N20" s="1"/>
    </row>
    <row r="21" spans="1:14" ht="24.95" customHeight="1">
      <c r="A21" s="1"/>
      <c r="B21" s="419"/>
      <c r="C21" s="426"/>
      <c r="D21" s="425"/>
      <c r="E21" s="420"/>
      <c r="F21" s="15">
        <v>10</v>
      </c>
      <c r="G21" s="952" t="str">
        <f>IF(D12="Hindi","समाजोपयोगी उत्पादन कार्य एवं समाज सेवा","S.U.P.W. &amp; C.S.")</f>
        <v>समाजोपयोगी उत्पादन कार्य एवं समाज सेवा</v>
      </c>
      <c r="H21" s="952"/>
      <c r="I21" s="952"/>
      <c r="J21" s="24" t="s">
        <v>212</v>
      </c>
      <c r="K21" s="10"/>
      <c r="L21" s="10"/>
      <c r="M21" s="10"/>
      <c r="N21" s="1"/>
    </row>
    <row r="22" spans="1:14" ht="24.95" customHeight="1">
      <c r="A22" s="1"/>
      <c r="B22" s="10"/>
      <c r="C22" s="10"/>
      <c r="D22" s="10"/>
      <c r="E22" s="10"/>
      <c r="F22" s="15">
        <v>11</v>
      </c>
      <c r="G22" s="952" t="str">
        <f>IF(D12="Hindi","कला शिक्षा","ART EDU.")</f>
        <v>कला शिक्षा</v>
      </c>
      <c r="H22" s="952"/>
      <c r="I22" s="952"/>
      <c r="J22" s="24" t="s">
        <v>170</v>
      </c>
      <c r="K22" s="10"/>
      <c r="L22" s="10"/>
      <c r="M22" s="10"/>
      <c r="N22" s="1"/>
    </row>
    <row r="23" spans="1:14" ht="15.75" thickBot="1">
      <c r="A23" s="1"/>
      <c r="B23" s="10"/>
      <c r="C23" s="10"/>
      <c r="D23" s="10"/>
      <c r="E23" s="10"/>
      <c r="F23" s="10"/>
      <c r="G23" s="10"/>
      <c r="H23" s="10"/>
      <c r="I23" s="10"/>
      <c r="J23" s="13"/>
      <c r="K23" s="645">
        <v>1</v>
      </c>
      <c r="L23" s="10"/>
      <c r="M23" s="10"/>
      <c r="N23" s="1"/>
    </row>
    <row r="24" spans="1:14" ht="72.75" customHeight="1" thickBot="1">
      <c r="A24" s="1"/>
      <c r="B24" s="10"/>
      <c r="C24" s="10"/>
      <c r="D24" s="10"/>
      <c r="E24" s="10"/>
      <c r="F24" s="10"/>
      <c r="G24" s="10"/>
      <c r="H24" s="10"/>
      <c r="I24" s="10"/>
      <c r="J24" s="10"/>
      <c r="K24" s="645">
        <v>1</v>
      </c>
      <c r="L24" s="439"/>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56"/>
      <c r="J26" s="956"/>
      <c r="K26" s="10"/>
      <c r="L26" s="10"/>
      <c r="M26" s="10"/>
      <c r="N26" s="1"/>
    </row>
    <row r="27" spans="1:14">
      <c r="A27" s="1"/>
      <c r="B27" s="10"/>
      <c r="C27" s="10"/>
      <c r="D27" s="10"/>
      <c r="E27" s="10"/>
      <c r="F27" s="10"/>
      <c r="G27" s="10"/>
      <c r="H27" s="10"/>
      <c r="I27" s="956"/>
      <c r="J27" s="956"/>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69">
        <v>1</v>
      </c>
      <c r="I29" s="953" t="s">
        <v>157</v>
      </c>
      <c r="J29" s="953"/>
      <c r="K29" s="10"/>
      <c r="L29" s="449" t="s">
        <v>152</v>
      </c>
      <c r="M29" s="450" t="s">
        <v>191</v>
      </c>
      <c r="N29" s="1"/>
    </row>
    <row r="30" spans="1:14" ht="18" customHeight="1">
      <c r="A30" s="1"/>
      <c r="B30" s="10"/>
      <c r="C30" s="10"/>
      <c r="D30" s="10"/>
      <c r="E30" s="10"/>
      <c r="F30" s="10"/>
      <c r="G30" s="10"/>
      <c r="H30" s="369">
        <v>2</v>
      </c>
      <c r="I30" s="953" t="s">
        <v>158</v>
      </c>
      <c r="J30" s="953"/>
      <c r="K30" s="10"/>
      <c r="L30" s="451" t="s">
        <v>192</v>
      </c>
      <c r="M30" s="452" t="s">
        <v>193</v>
      </c>
      <c r="N30" s="1"/>
    </row>
    <row r="31" spans="1:14" ht="18" customHeight="1" thickBot="1">
      <c r="A31" s="1"/>
      <c r="B31" s="10"/>
      <c r="C31" s="10"/>
      <c r="D31" s="10"/>
      <c r="E31" s="10"/>
      <c r="F31" s="10"/>
      <c r="G31" s="10"/>
      <c r="H31" s="369">
        <v>3</v>
      </c>
      <c r="I31" s="953" t="s">
        <v>159</v>
      </c>
      <c r="J31" s="953"/>
      <c r="K31" s="10"/>
      <c r="L31" s="451" t="s">
        <v>194</v>
      </c>
      <c r="M31" s="452" t="s">
        <v>195</v>
      </c>
      <c r="N31" s="1"/>
    </row>
    <row r="32" spans="1:14" ht="18" customHeight="1">
      <c r="A32" s="1"/>
      <c r="B32" s="10"/>
      <c r="C32" s="10"/>
      <c r="D32" s="942" t="s">
        <v>66</v>
      </c>
      <c r="E32" s="10"/>
      <c r="F32" s="10"/>
      <c r="G32" s="10"/>
      <c r="H32" s="369">
        <v>4</v>
      </c>
      <c r="I32" s="953" t="s">
        <v>160</v>
      </c>
      <c r="J32" s="953"/>
      <c r="K32" s="10"/>
      <c r="L32" s="451" t="s">
        <v>196</v>
      </c>
      <c r="M32" s="452" t="s">
        <v>197</v>
      </c>
      <c r="N32" s="1"/>
    </row>
    <row r="33" spans="1:14" ht="18" customHeight="1" thickBot="1">
      <c r="A33" s="1"/>
      <c r="B33" s="10"/>
      <c r="C33" s="10"/>
      <c r="D33" s="943"/>
      <c r="E33" s="10"/>
      <c r="F33" s="10"/>
      <c r="G33" s="10"/>
      <c r="H33" s="369">
        <v>5</v>
      </c>
      <c r="I33" s="953" t="s">
        <v>161</v>
      </c>
      <c r="J33" s="953"/>
      <c r="K33" s="10"/>
      <c r="L33" s="451" t="s">
        <v>198</v>
      </c>
      <c r="M33" s="452" t="s">
        <v>199</v>
      </c>
      <c r="N33" s="1"/>
    </row>
    <row r="34" spans="1:14" ht="18" customHeight="1" thickTop="1">
      <c r="A34" s="1"/>
      <c r="B34" s="10"/>
      <c r="C34" s="10"/>
      <c r="D34" s="944" t="s">
        <v>67</v>
      </c>
      <c r="E34" s="10"/>
      <c r="F34" s="10"/>
      <c r="G34" s="10"/>
      <c r="H34" s="369">
        <v>6</v>
      </c>
      <c r="I34" s="954" t="s">
        <v>162</v>
      </c>
      <c r="J34" s="955"/>
      <c r="K34" s="10"/>
      <c r="L34" s="451" t="s">
        <v>200</v>
      </c>
      <c r="M34" s="452" t="s">
        <v>201</v>
      </c>
      <c r="N34" s="1"/>
    </row>
    <row r="35" spans="1:14" ht="18" customHeight="1" thickBot="1">
      <c r="A35" s="1"/>
      <c r="B35" s="10"/>
      <c r="C35" s="10"/>
      <c r="D35" s="945"/>
      <c r="E35" s="10"/>
      <c r="F35" s="10"/>
      <c r="G35" s="10"/>
      <c r="H35" s="369">
        <v>7</v>
      </c>
      <c r="I35" s="954" t="s">
        <v>163</v>
      </c>
      <c r="J35" s="955"/>
      <c r="K35" s="10"/>
      <c r="L35" s="451" t="s">
        <v>202</v>
      </c>
      <c r="M35" s="452" t="s">
        <v>203</v>
      </c>
      <c r="N35" s="1"/>
    </row>
    <row r="36" spans="1:14" ht="18" customHeight="1" thickTop="1" thickBot="1">
      <c r="A36" s="1"/>
      <c r="B36" s="10"/>
      <c r="C36" s="10"/>
      <c r="D36" s="946" t="s">
        <v>71</v>
      </c>
      <c r="E36" s="10"/>
      <c r="F36" s="10"/>
      <c r="G36" s="10"/>
      <c r="H36" s="369">
        <v>8</v>
      </c>
      <c r="I36" s="954" t="s">
        <v>164</v>
      </c>
      <c r="J36" s="955"/>
      <c r="K36" s="10"/>
      <c r="L36" s="453"/>
      <c r="M36" s="454"/>
      <c r="N36" s="1"/>
    </row>
    <row r="37" spans="1:14" ht="18" customHeight="1" thickBot="1">
      <c r="A37" s="1"/>
      <c r="B37" s="10"/>
      <c r="C37" s="10"/>
      <c r="D37" s="947"/>
      <c r="E37" s="10"/>
      <c r="F37" s="10"/>
      <c r="G37" s="10"/>
      <c r="H37" s="369">
        <v>9</v>
      </c>
      <c r="I37" s="954" t="s">
        <v>165</v>
      </c>
      <c r="J37" s="955"/>
      <c r="K37" s="10"/>
      <c r="L37" s="10"/>
      <c r="M37" s="10"/>
      <c r="N37" s="1"/>
    </row>
    <row r="38" spans="1:14" ht="18" customHeight="1" thickTop="1">
      <c r="A38" s="1"/>
      <c r="B38" s="10"/>
      <c r="C38" s="10"/>
      <c r="D38" s="948" t="s">
        <v>68</v>
      </c>
      <c r="E38" s="10"/>
      <c r="F38" s="10"/>
      <c r="G38" s="10"/>
      <c r="H38" s="369">
        <v>10</v>
      </c>
      <c r="I38" s="954" t="s">
        <v>166</v>
      </c>
      <c r="J38" s="955"/>
      <c r="K38" s="10"/>
      <c r="L38" s="10"/>
      <c r="M38" s="10"/>
      <c r="N38" s="1"/>
    </row>
    <row r="39" spans="1:14" ht="18" customHeight="1" thickBot="1">
      <c r="A39" s="1"/>
      <c r="B39" s="10"/>
      <c r="C39" s="10"/>
      <c r="D39" s="949"/>
      <c r="E39" s="10"/>
      <c r="F39" s="10"/>
      <c r="G39" s="10"/>
      <c r="H39" s="369">
        <v>11</v>
      </c>
      <c r="I39" s="954"/>
      <c r="J39" s="955"/>
      <c r="K39" s="10"/>
      <c r="L39" s="10"/>
      <c r="M39" s="10"/>
      <c r="N39" s="1"/>
    </row>
    <row r="40" spans="1:14" ht="18" customHeight="1" thickTop="1">
      <c r="A40" s="1"/>
      <c r="B40" s="10"/>
      <c r="C40" s="10"/>
      <c r="D40" s="950" t="s">
        <v>69</v>
      </c>
      <c r="E40" s="10"/>
      <c r="F40" s="10"/>
      <c r="G40" s="10"/>
      <c r="H40" s="10"/>
      <c r="I40" s="10"/>
      <c r="J40" s="10"/>
      <c r="K40" s="10"/>
      <c r="L40" s="10"/>
      <c r="M40" s="10"/>
      <c r="N40" s="1"/>
    </row>
    <row r="41" spans="1:14" ht="18" customHeight="1" thickBot="1">
      <c r="A41" s="1"/>
      <c r="B41" s="10"/>
      <c r="C41" s="10"/>
      <c r="D41" s="951"/>
      <c r="E41" s="10"/>
      <c r="F41" s="10"/>
      <c r="G41" s="10"/>
      <c r="H41" s="10"/>
      <c r="I41" s="10"/>
      <c r="J41" s="10"/>
      <c r="K41" s="10"/>
      <c r="L41" s="10"/>
      <c r="M41" s="10"/>
      <c r="N41" s="1"/>
    </row>
    <row r="42" spans="1:14" ht="18" customHeight="1" thickTop="1">
      <c r="A42" s="1"/>
      <c r="B42" s="10"/>
      <c r="C42" s="10"/>
      <c r="D42" s="940" t="s">
        <v>70</v>
      </c>
      <c r="E42" s="10"/>
      <c r="F42" s="10"/>
      <c r="G42" s="10"/>
      <c r="H42" s="10"/>
      <c r="I42" s="10"/>
      <c r="J42" s="10"/>
      <c r="K42" s="10"/>
      <c r="L42" s="10"/>
      <c r="M42" s="10"/>
      <c r="N42" s="1"/>
    </row>
    <row r="43" spans="1:14" ht="18" customHeight="1" thickBot="1">
      <c r="A43" s="1"/>
      <c r="B43" s="10"/>
      <c r="C43" s="10"/>
      <c r="D43" s="941"/>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scenarios="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7:D12 D19:D20 D15:D17" name="Range12_1"/>
    <protectedRange sqref="D13:D14" name="Range12_1_1"/>
  </protectedRanges>
  <mergeCells count="32">
    <mergeCell ref="I31:J31"/>
    <mergeCell ref="I32:J32"/>
    <mergeCell ref="I38:J38"/>
    <mergeCell ref="I26:J27"/>
    <mergeCell ref="I39:J39"/>
    <mergeCell ref="I33:J33"/>
    <mergeCell ref="I34:J34"/>
    <mergeCell ref="I35:J35"/>
    <mergeCell ref="I36:J36"/>
    <mergeCell ref="I37:J3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L14:M14"/>
    <mergeCell ref="L15:M15"/>
    <mergeCell ref="G17:I17"/>
    <mergeCell ref="G5:I6"/>
    <mergeCell ref="J5:J6"/>
    <mergeCell ref="L17:M17"/>
  </mergeCells>
  <dataValidations xWindow="607" yWindow="683" count="4">
    <dataValidation allowBlank="1" showErrorMessage="1" sqref="G7:H17 I7:I8 I15:I17"/>
    <dataValidation type="list" allowBlank="1" showInputMessage="1" showErrorMessage="1" sqref="D12">
      <formula1>"Hindi, English"</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 ref="L17" r:id="rId3"/>
    <hyperlink ref="D2" r:id="rId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M8" sqref="M8"/>
    </sheetView>
  </sheetViews>
  <sheetFormatPr defaultColWidth="0" defaultRowHeight="15" zeroHeight="1"/>
  <cols>
    <col min="1" max="1" width="6.625" style="38" customWidth="1"/>
    <col min="2" max="2" width="8.125" style="38" customWidth="1"/>
    <col min="3" max="3" width="9.5" style="38" customWidth="1"/>
    <col min="4" max="4" width="10.625" style="38" customWidth="1"/>
    <col min="5" max="5" width="9.125" style="38" customWidth="1"/>
    <col min="6" max="6" width="11.75" style="38" customWidth="1"/>
    <col min="7" max="7" width="22.75" style="38" customWidth="1"/>
    <col min="8" max="8" width="19.5" style="38" customWidth="1"/>
    <col min="9" max="9" width="18.5" style="38" customWidth="1"/>
    <col min="10" max="10" width="9.125" style="38" customWidth="1"/>
    <col min="11" max="11" width="13" style="38" customWidth="1"/>
    <col min="12" max="12" width="10" style="38" customWidth="1"/>
    <col min="13" max="13" width="10.625" style="38" customWidth="1"/>
    <col min="14" max="14" width="10.75" style="38" customWidth="1"/>
    <col min="15" max="15" width="12.625" style="38" customWidth="1"/>
    <col min="16" max="18" width="9.125" style="38" customWidth="1"/>
    <col min="19" max="47" width="0" style="38" hidden="1" customWidth="1"/>
    <col min="48" max="16384" width="9.125" style="38" hidden="1"/>
  </cols>
  <sheetData>
    <row r="1" spans="1:18" ht="30.75" customHeight="1">
      <c r="A1" s="36"/>
      <c r="B1" s="959" t="str">
        <f>IF('School Profile'!D12="Hindi",'School Profile'!D9,'School Profile'!D8)</f>
        <v xml:space="preserve">महात्मा गाँधी राजकीय विद्यालय (अंग्रेजी माध्यम) बर, पाली </v>
      </c>
      <c r="C1" s="959"/>
      <c r="D1" s="959"/>
      <c r="E1" s="959"/>
      <c r="F1" s="959"/>
      <c r="G1" s="959"/>
      <c r="H1" s="959"/>
      <c r="I1" s="959"/>
      <c r="J1" s="959"/>
      <c r="K1" s="959"/>
      <c r="L1" s="959"/>
      <c r="M1" s="957" t="s">
        <v>146</v>
      </c>
      <c r="N1" s="957"/>
      <c r="O1" s="455" t="s">
        <v>153</v>
      </c>
      <c r="P1" s="37"/>
      <c r="Q1" s="37"/>
      <c r="R1" s="37"/>
    </row>
    <row r="2" spans="1:18" ht="47.25" customHeight="1">
      <c r="A2" s="39" t="s">
        <v>207</v>
      </c>
      <c r="B2" s="39" t="s">
        <v>1</v>
      </c>
      <c r="C2" s="40" t="s">
        <v>3</v>
      </c>
      <c r="D2" s="40" t="s">
        <v>4</v>
      </c>
      <c r="E2" s="40" t="s">
        <v>0</v>
      </c>
      <c r="F2" s="40" t="s">
        <v>5</v>
      </c>
      <c r="G2" s="40" t="s">
        <v>128</v>
      </c>
      <c r="H2" s="40" t="s">
        <v>129</v>
      </c>
      <c r="I2" s="40" t="s">
        <v>130</v>
      </c>
      <c r="J2" s="40" t="s">
        <v>6</v>
      </c>
      <c r="K2" s="40" t="s">
        <v>250</v>
      </c>
      <c r="L2" s="40" t="s">
        <v>7</v>
      </c>
      <c r="M2" s="960" t="s">
        <v>76</v>
      </c>
      <c r="N2" s="961"/>
      <c r="O2" s="958" t="s">
        <v>11</v>
      </c>
      <c r="P2" s="37"/>
      <c r="Q2" s="37"/>
      <c r="R2" s="37"/>
    </row>
    <row r="3" spans="1:18" ht="51" customHeight="1">
      <c r="A3" s="41" t="s">
        <v>208</v>
      </c>
      <c r="B3" s="41" t="s">
        <v>118</v>
      </c>
      <c r="C3" s="42" t="s">
        <v>119</v>
      </c>
      <c r="D3" s="42" t="s">
        <v>226</v>
      </c>
      <c r="E3" s="42" t="s">
        <v>120</v>
      </c>
      <c r="F3" s="42" t="s">
        <v>121</v>
      </c>
      <c r="G3" s="42" t="s">
        <v>122</v>
      </c>
      <c r="H3" s="42" t="s">
        <v>123</v>
      </c>
      <c r="I3" s="42" t="s">
        <v>124</v>
      </c>
      <c r="J3" s="42" t="s">
        <v>125</v>
      </c>
      <c r="K3" s="42" t="s">
        <v>126</v>
      </c>
      <c r="L3" s="42" t="s">
        <v>127</v>
      </c>
      <c r="M3" s="43" t="s">
        <v>131</v>
      </c>
      <c r="N3" s="44" t="s">
        <v>132</v>
      </c>
      <c r="O3" s="958"/>
      <c r="P3" s="37"/>
      <c r="Q3" s="37"/>
      <c r="R3" s="37"/>
    </row>
    <row r="4" spans="1:18" ht="69.95" customHeight="1">
      <c r="A4" s="478">
        <v>1</v>
      </c>
      <c r="B4" s="478">
        <v>901</v>
      </c>
      <c r="C4" s="479">
        <v>9</v>
      </c>
      <c r="D4" s="479" t="s">
        <v>8</v>
      </c>
      <c r="E4" s="479">
        <v>521</v>
      </c>
      <c r="F4" s="480">
        <v>42562</v>
      </c>
      <c r="G4" s="481" t="s">
        <v>204</v>
      </c>
      <c r="H4" s="481" t="s">
        <v>205</v>
      </c>
      <c r="I4" s="481" t="s">
        <v>206</v>
      </c>
      <c r="J4" s="479" t="s">
        <v>10</v>
      </c>
      <c r="K4" s="480">
        <v>40461</v>
      </c>
      <c r="L4" s="479" t="s">
        <v>2</v>
      </c>
      <c r="M4" s="29">
        <v>200</v>
      </c>
      <c r="N4" s="30">
        <v>192</v>
      </c>
      <c r="O4" s="31"/>
      <c r="P4" s="37"/>
      <c r="Q4" s="37"/>
      <c r="R4" s="37"/>
    </row>
    <row r="5" spans="1:18" ht="69.95" customHeight="1">
      <c r="A5" s="478">
        <v>2</v>
      </c>
      <c r="B5" s="478">
        <v>902</v>
      </c>
      <c r="C5" s="479">
        <v>9</v>
      </c>
      <c r="D5" s="479" t="s">
        <v>8</v>
      </c>
      <c r="E5" s="479">
        <v>501</v>
      </c>
      <c r="F5" s="480">
        <v>42206</v>
      </c>
      <c r="G5" s="481" t="s">
        <v>210</v>
      </c>
      <c r="H5" s="481" t="s">
        <v>209</v>
      </c>
      <c r="I5" s="481" t="s">
        <v>211</v>
      </c>
      <c r="J5" s="479" t="s">
        <v>10</v>
      </c>
      <c r="K5" s="480">
        <v>40065</v>
      </c>
      <c r="L5" s="479" t="s">
        <v>2</v>
      </c>
      <c r="M5" s="29">
        <v>210</v>
      </c>
      <c r="N5" s="30">
        <v>202</v>
      </c>
      <c r="O5" s="31"/>
      <c r="P5" s="37"/>
      <c r="Q5" s="37"/>
      <c r="R5" s="37"/>
    </row>
    <row r="6" spans="1:18" ht="69.95" customHeight="1">
      <c r="A6" s="478">
        <v>3</v>
      </c>
      <c r="B6" s="478">
        <v>903</v>
      </c>
      <c r="C6" s="479">
        <v>9</v>
      </c>
      <c r="D6" s="479" t="s">
        <v>8</v>
      </c>
      <c r="E6" s="479"/>
      <c r="F6" s="480"/>
      <c r="G6" s="481" t="s">
        <v>213</v>
      </c>
      <c r="H6" s="481"/>
      <c r="I6" s="481"/>
      <c r="J6" s="479" t="s">
        <v>10</v>
      </c>
      <c r="K6" s="480">
        <v>41192</v>
      </c>
      <c r="L6" s="479" t="s">
        <v>220</v>
      </c>
      <c r="M6" s="29"/>
      <c r="N6" s="30"/>
      <c r="O6" s="31"/>
      <c r="P6" s="37"/>
      <c r="Q6" s="37"/>
      <c r="R6" s="37"/>
    </row>
    <row r="7" spans="1:18" ht="69.95" customHeight="1">
      <c r="A7" s="478">
        <v>4</v>
      </c>
      <c r="B7" s="478">
        <v>904</v>
      </c>
      <c r="C7" s="479">
        <v>9</v>
      </c>
      <c r="D7" s="479" t="s">
        <v>8</v>
      </c>
      <c r="E7" s="479"/>
      <c r="F7" s="480"/>
      <c r="G7" s="481" t="s">
        <v>214</v>
      </c>
      <c r="H7" s="481"/>
      <c r="I7" s="481"/>
      <c r="J7" s="479" t="s">
        <v>10</v>
      </c>
      <c r="K7" s="480">
        <v>40670</v>
      </c>
      <c r="L7" s="479" t="s">
        <v>222</v>
      </c>
      <c r="M7" s="29"/>
      <c r="N7" s="30"/>
      <c r="O7" s="31"/>
      <c r="P7" s="37"/>
      <c r="Q7" s="37"/>
      <c r="R7" s="37"/>
    </row>
    <row r="8" spans="1:18" ht="69.95" customHeight="1">
      <c r="A8" s="478">
        <v>5</v>
      </c>
      <c r="B8" s="478">
        <v>905</v>
      </c>
      <c r="C8" s="479">
        <v>9</v>
      </c>
      <c r="D8" s="479" t="s">
        <v>8</v>
      </c>
      <c r="E8" s="479"/>
      <c r="F8" s="480"/>
      <c r="G8" s="481" t="s">
        <v>209</v>
      </c>
      <c r="H8" s="481"/>
      <c r="I8" s="481"/>
      <c r="J8" s="479" t="s">
        <v>10</v>
      </c>
      <c r="K8" s="480">
        <v>41525</v>
      </c>
      <c r="L8" s="479" t="s">
        <v>221</v>
      </c>
      <c r="M8" s="29"/>
      <c r="N8" s="30"/>
      <c r="O8" s="31"/>
      <c r="P8" s="37"/>
      <c r="Q8" s="37"/>
      <c r="R8" s="37"/>
    </row>
    <row r="9" spans="1:18" ht="69.95" customHeight="1">
      <c r="A9" s="478">
        <v>6</v>
      </c>
      <c r="B9" s="478">
        <v>906</v>
      </c>
      <c r="C9" s="479">
        <v>9</v>
      </c>
      <c r="D9" s="479" t="s">
        <v>8</v>
      </c>
      <c r="E9" s="479"/>
      <c r="F9" s="480"/>
      <c r="G9" s="481" t="s">
        <v>215</v>
      </c>
      <c r="H9" s="481"/>
      <c r="I9" s="481"/>
      <c r="J9" s="479" t="s">
        <v>9</v>
      </c>
      <c r="K9" s="480">
        <v>40933</v>
      </c>
      <c r="L9" s="479" t="s">
        <v>2</v>
      </c>
      <c r="M9" s="29"/>
      <c r="N9" s="30"/>
      <c r="O9" s="31"/>
      <c r="P9" s="37"/>
      <c r="Q9" s="37"/>
      <c r="R9" s="37"/>
    </row>
    <row r="10" spans="1:18" ht="69.95" customHeight="1">
      <c r="A10" s="478">
        <v>7</v>
      </c>
      <c r="B10" s="478">
        <v>907</v>
      </c>
      <c r="C10" s="479">
        <v>9</v>
      </c>
      <c r="D10" s="479" t="s">
        <v>8</v>
      </c>
      <c r="E10" s="479"/>
      <c r="F10" s="480"/>
      <c r="G10" s="481" t="s">
        <v>216</v>
      </c>
      <c r="H10" s="481"/>
      <c r="I10" s="481"/>
      <c r="J10" s="479" t="s">
        <v>9</v>
      </c>
      <c r="K10" s="480">
        <v>41317</v>
      </c>
      <c r="L10" s="479" t="s">
        <v>220</v>
      </c>
      <c r="M10" s="29"/>
      <c r="N10" s="30"/>
      <c r="O10" s="31"/>
      <c r="P10" s="37"/>
      <c r="Q10" s="37"/>
      <c r="R10" s="37"/>
    </row>
    <row r="11" spans="1:18" ht="69.95" customHeight="1">
      <c r="A11" s="478">
        <v>8</v>
      </c>
      <c r="B11" s="478">
        <v>908</v>
      </c>
      <c r="C11" s="479">
        <v>9</v>
      </c>
      <c r="D11" s="479" t="s">
        <v>8</v>
      </c>
      <c r="E11" s="479"/>
      <c r="F11" s="480"/>
      <c r="G11" s="481" t="s">
        <v>211</v>
      </c>
      <c r="H11" s="481"/>
      <c r="I11" s="481"/>
      <c r="J11" s="479" t="s">
        <v>9</v>
      </c>
      <c r="K11" s="480">
        <v>40282</v>
      </c>
      <c r="L11" s="479" t="s">
        <v>223</v>
      </c>
      <c r="M11" s="29"/>
      <c r="N11" s="30"/>
      <c r="O11" s="31"/>
      <c r="P11" s="37"/>
      <c r="Q11" s="37"/>
      <c r="R11" s="37"/>
    </row>
    <row r="12" spans="1:18" ht="69.95" customHeight="1">
      <c r="A12" s="478">
        <v>9</v>
      </c>
      <c r="B12" s="478">
        <v>909</v>
      </c>
      <c r="C12" s="479">
        <v>9</v>
      </c>
      <c r="D12" s="479" t="s">
        <v>8</v>
      </c>
      <c r="E12" s="479"/>
      <c r="F12" s="480"/>
      <c r="G12" s="481" t="s">
        <v>217</v>
      </c>
      <c r="H12" s="481"/>
      <c r="I12" s="481"/>
      <c r="J12" s="479" t="s">
        <v>9</v>
      </c>
      <c r="K12" s="480">
        <v>40065</v>
      </c>
      <c r="L12" s="479" t="s">
        <v>222</v>
      </c>
      <c r="M12" s="29"/>
      <c r="N12" s="30"/>
      <c r="O12" s="31"/>
      <c r="P12" s="37"/>
      <c r="Q12" s="37"/>
      <c r="R12" s="37"/>
    </row>
    <row r="13" spans="1:18" ht="69.95" customHeight="1">
      <c r="A13" s="478">
        <v>10</v>
      </c>
      <c r="B13" s="478">
        <v>910</v>
      </c>
      <c r="C13" s="479">
        <v>9</v>
      </c>
      <c r="D13" s="479" t="s">
        <v>8</v>
      </c>
      <c r="E13" s="479"/>
      <c r="F13" s="480"/>
      <c r="G13" s="481" t="s">
        <v>218</v>
      </c>
      <c r="H13" s="481"/>
      <c r="I13" s="481"/>
      <c r="J13" s="479" t="s">
        <v>9</v>
      </c>
      <c r="K13" s="480">
        <v>40737</v>
      </c>
      <c r="L13" s="479" t="s">
        <v>224</v>
      </c>
      <c r="M13" s="29"/>
      <c r="N13" s="30"/>
      <c r="O13" s="31"/>
      <c r="P13" s="37"/>
      <c r="Q13" s="37"/>
      <c r="R13" s="37"/>
    </row>
    <row r="14" spans="1:18" ht="69.95" customHeight="1">
      <c r="A14" s="478">
        <v>11</v>
      </c>
      <c r="B14" s="478">
        <v>911</v>
      </c>
      <c r="C14" s="479">
        <v>9</v>
      </c>
      <c r="D14" s="479" t="s">
        <v>8</v>
      </c>
      <c r="E14" s="479"/>
      <c r="F14" s="480"/>
      <c r="G14" s="481" t="s">
        <v>219</v>
      </c>
      <c r="H14" s="481"/>
      <c r="I14" s="481"/>
      <c r="J14" s="479" t="s">
        <v>10</v>
      </c>
      <c r="K14" s="480">
        <v>41878</v>
      </c>
      <c r="L14" s="479" t="s">
        <v>221</v>
      </c>
      <c r="M14" s="29"/>
      <c r="N14" s="30"/>
      <c r="O14" s="31"/>
      <c r="P14" s="37"/>
      <c r="Q14" s="37"/>
      <c r="R14" s="37"/>
    </row>
    <row r="15" spans="1:18" ht="69.95" customHeight="1">
      <c r="A15" s="478">
        <v>12</v>
      </c>
      <c r="B15" s="478">
        <v>912</v>
      </c>
      <c r="C15" s="479">
        <v>9</v>
      </c>
      <c r="D15" s="479" t="s">
        <v>8</v>
      </c>
      <c r="E15" s="479"/>
      <c r="F15" s="480"/>
      <c r="G15" s="481" t="s">
        <v>230</v>
      </c>
      <c r="H15" s="481"/>
      <c r="I15" s="481"/>
      <c r="J15" s="479"/>
      <c r="K15" s="480"/>
      <c r="L15" s="479"/>
      <c r="M15" s="29"/>
      <c r="N15" s="30"/>
      <c r="O15" s="31"/>
      <c r="P15" s="37"/>
      <c r="Q15" s="37"/>
      <c r="R15" s="37"/>
    </row>
    <row r="16" spans="1:18" ht="69.95" customHeight="1">
      <c r="A16" s="478">
        <v>13</v>
      </c>
      <c r="B16" s="478">
        <v>913</v>
      </c>
      <c r="C16" s="479">
        <v>9</v>
      </c>
      <c r="D16" s="479" t="s">
        <v>8</v>
      </c>
      <c r="E16" s="479"/>
      <c r="F16" s="480"/>
      <c r="G16" s="481" t="s">
        <v>231</v>
      </c>
      <c r="H16" s="481"/>
      <c r="I16" s="481"/>
      <c r="J16" s="479"/>
      <c r="K16" s="480"/>
      <c r="L16" s="479"/>
      <c r="M16" s="29"/>
      <c r="N16" s="30"/>
      <c r="O16" s="31"/>
      <c r="P16" s="37"/>
      <c r="Q16" s="37"/>
      <c r="R16" s="37"/>
    </row>
    <row r="17" spans="1:18" ht="69.95" customHeight="1">
      <c r="A17" s="478">
        <v>14</v>
      </c>
      <c r="B17" s="478">
        <v>914</v>
      </c>
      <c r="C17" s="479">
        <v>9</v>
      </c>
      <c r="D17" s="479" t="s">
        <v>8</v>
      </c>
      <c r="E17" s="479"/>
      <c r="F17" s="480"/>
      <c r="G17" s="481" t="s">
        <v>232</v>
      </c>
      <c r="H17" s="481"/>
      <c r="I17" s="481"/>
      <c r="J17" s="479"/>
      <c r="K17" s="480"/>
      <c r="L17" s="479"/>
      <c r="M17" s="29"/>
      <c r="N17" s="30"/>
      <c r="O17" s="31"/>
      <c r="P17" s="37"/>
      <c r="Q17" s="37"/>
      <c r="R17" s="37"/>
    </row>
    <row r="18" spans="1:18" ht="69.95" customHeight="1">
      <c r="A18" s="478">
        <v>15</v>
      </c>
      <c r="B18" s="478">
        <v>915</v>
      </c>
      <c r="C18" s="479">
        <v>9</v>
      </c>
      <c r="D18" s="479" t="s">
        <v>8</v>
      </c>
      <c r="E18" s="479"/>
      <c r="F18" s="480"/>
      <c r="G18" s="481" t="s">
        <v>233</v>
      </c>
      <c r="H18" s="481"/>
      <c r="I18" s="481"/>
      <c r="J18" s="479"/>
      <c r="K18" s="480"/>
      <c r="L18" s="479"/>
      <c r="M18" s="29"/>
      <c r="N18" s="30"/>
      <c r="O18" s="31"/>
      <c r="P18" s="37"/>
      <c r="Q18" s="37"/>
      <c r="R18" s="37"/>
    </row>
    <row r="19" spans="1:18" ht="69.95" customHeight="1">
      <c r="A19" s="478">
        <v>16</v>
      </c>
      <c r="B19" s="478">
        <v>916</v>
      </c>
      <c r="C19" s="479">
        <v>9</v>
      </c>
      <c r="D19" s="479" t="s">
        <v>8</v>
      </c>
      <c r="E19" s="479"/>
      <c r="F19" s="480"/>
      <c r="G19" s="481" t="s">
        <v>234</v>
      </c>
      <c r="H19" s="481"/>
      <c r="I19" s="481"/>
      <c r="J19" s="479"/>
      <c r="K19" s="480"/>
      <c r="L19" s="479"/>
      <c r="M19" s="29"/>
      <c r="N19" s="30"/>
      <c r="O19" s="31"/>
      <c r="P19" s="37"/>
      <c r="Q19" s="37"/>
      <c r="R19" s="37"/>
    </row>
    <row r="20" spans="1:18" ht="69.95" customHeight="1">
      <c r="A20" s="478">
        <v>17</v>
      </c>
      <c r="B20" s="478">
        <v>917</v>
      </c>
      <c r="C20" s="479">
        <v>9</v>
      </c>
      <c r="D20" s="479" t="s">
        <v>8</v>
      </c>
      <c r="E20" s="479"/>
      <c r="F20" s="480"/>
      <c r="G20" s="481" t="s">
        <v>235</v>
      </c>
      <c r="H20" s="481"/>
      <c r="I20" s="481"/>
      <c r="J20" s="479"/>
      <c r="K20" s="480"/>
      <c r="L20" s="479"/>
      <c r="M20" s="29"/>
      <c r="N20" s="30"/>
      <c r="O20" s="31"/>
      <c r="P20" s="37"/>
      <c r="Q20" s="37"/>
      <c r="R20" s="37"/>
    </row>
    <row r="21" spans="1:18" ht="69.95" customHeight="1">
      <c r="A21" s="478">
        <v>18</v>
      </c>
      <c r="B21" s="478">
        <v>918</v>
      </c>
      <c r="C21" s="479">
        <v>9</v>
      </c>
      <c r="D21" s="479" t="s">
        <v>8</v>
      </c>
      <c r="E21" s="479"/>
      <c r="F21" s="480"/>
      <c r="G21" s="481" t="s">
        <v>236</v>
      </c>
      <c r="H21" s="481"/>
      <c r="I21" s="481"/>
      <c r="J21" s="479"/>
      <c r="K21" s="480"/>
      <c r="L21" s="479"/>
      <c r="M21" s="29"/>
      <c r="N21" s="30"/>
      <c r="O21" s="31"/>
      <c r="P21" s="37"/>
      <c r="Q21" s="37"/>
      <c r="R21" s="37"/>
    </row>
    <row r="22" spans="1:18" ht="69.95" customHeight="1">
      <c r="A22" s="478">
        <v>19</v>
      </c>
      <c r="B22" s="478">
        <v>919</v>
      </c>
      <c r="C22" s="479">
        <v>9</v>
      </c>
      <c r="D22" s="479" t="s">
        <v>8</v>
      </c>
      <c r="E22" s="479"/>
      <c r="F22" s="480"/>
      <c r="G22" s="481" t="s">
        <v>237</v>
      </c>
      <c r="H22" s="481"/>
      <c r="I22" s="481"/>
      <c r="J22" s="479"/>
      <c r="K22" s="480"/>
      <c r="L22" s="479"/>
      <c r="M22" s="29"/>
      <c r="N22" s="30"/>
      <c r="O22" s="31"/>
      <c r="P22" s="37"/>
      <c r="Q22" s="37"/>
      <c r="R22" s="37"/>
    </row>
    <row r="23" spans="1:18" ht="69.95" customHeight="1">
      <c r="A23" s="478">
        <v>20</v>
      </c>
      <c r="B23" s="478">
        <v>920</v>
      </c>
      <c r="C23" s="479">
        <v>9</v>
      </c>
      <c r="D23" s="479" t="s">
        <v>8</v>
      </c>
      <c r="E23" s="479"/>
      <c r="F23" s="480"/>
      <c r="G23" s="481" t="s">
        <v>238</v>
      </c>
      <c r="H23" s="481"/>
      <c r="I23" s="481"/>
      <c r="J23" s="479"/>
      <c r="K23" s="480"/>
      <c r="L23" s="479"/>
      <c r="M23" s="29"/>
      <c r="N23" s="30"/>
      <c r="O23" s="31"/>
      <c r="P23" s="37"/>
      <c r="Q23" s="37"/>
      <c r="R23" s="37"/>
    </row>
    <row r="24" spans="1:18" ht="69.95" customHeight="1">
      <c r="A24" s="478">
        <v>21</v>
      </c>
      <c r="B24" s="478">
        <v>921</v>
      </c>
      <c r="C24" s="479">
        <v>9</v>
      </c>
      <c r="D24" s="479" t="s">
        <v>8</v>
      </c>
      <c r="E24" s="479"/>
      <c r="F24" s="480"/>
      <c r="G24" s="481" t="s">
        <v>239</v>
      </c>
      <c r="H24" s="481"/>
      <c r="I24" s="481"/>
      <c r="J24" s="479"/>
      <c r="K24" s="480"/>
      <c r="L24" s="479"/>
      <c r="M24" s="29"/>
      <c r="N24" s="30"/>
      <c r="O24" s="31"/>
      <c r="P24" s="37"/>
      <c r="Q24" s="37"/>
      <c r="R24" s="37"/>
    </row>
    <row r="25" spans="1:18" ht="69.95" customHeight="1">
      <c r="A25" s="478">
        <v>22</v>
      </c>
      <c r="B25" s="478">
        <v>922</v>
      </c>
      <c r="C25" s="479">
        <v>9</v>
      </c>
      <c r="D25" s="479" t="s">
        <v>8</v>
      </c>
      <c r="E25" s="479"/>
      <c r="F25" s="480"/>
      <c r="G25" s="481" t="s">
        <v>240</v>
      </c>
      <c r="H25" s="481"/>
      <c r="I25" s="481"/>
      <c r="J25" s="479"/>
      <c r="K25" s="480"/>
      <c r="L25" s="479"/>
      <c r="M25" s="29"/>
      <c r="N25" s="30"/>
      <c r="O25" s="31"/>
      <c r="P25" s="37"/>
      <c r="Q25" s="37"/>
      <c r="R25" s="37"/>
    </row>
    <row r="26" spans="1:18" ht="69.95" customHeight="1">
      <c r="A26" s="478">
        <v>23</v>
      </c>
      <c r="B26" s="478">
        <v>923</v>
      </c>
      <c r="C26" s="479">
        <v>9</v>
      </c>
      <c r="D26" s="479" t="s">
        <v>8</v>
      </c>
      <c r="E26" s="479"/>
      <c r="F26" s="480"/>
      <c r="G26" s="481" t="s">
        <v>241</v>
      </c>
      <c r="H26" s="481"/>
      <c r="I26" s="481"/>
      <c r="J26" s="479"/>
      <c r="K26" s="480"/>
      <c r="L26" s="479"/>
      <c r="M26" s="29"/>
      <c r="N26" s="30"/>
      <c r="O26" s="31"/>
      <c r="P26" s="37"/>
      <c r="Q26" s="37"/>
      <c r="R26" s="37"/>
    </row>
    <row r="27" spans="1:18" ht="69.95" customHeight="1">
      <c r="A27" s="478">
        <v>24</v>
      </c>
      <c r="B27" s="478">
        <v>924</v>
      </c>
      <c r="C27" s="479">
        <v>9</v>
      </c>
      <c r="D27" s="479" t="s">
        <v>8</v>
      </c>
      <c r="E27" s="479"/>
      <c r="F27" s="480"/>
      <c r="G27" s="481" t="s">
        <v>242</v>
      </c>
      <c r="H27" s="481"/>
      <c r="I27" s="481"/>
      <c r="J27" s="479"/>
      <c r="K27" s="480"/>
      <c r="L27" s="479"/>
      <c r="M27" s="29"/>
      <c r="N27" s="30"/>
      <c r="O27" s="31"/>
      <c r="P27" s="37"/>
      <c r="Q27" s="37"/>
      <c r="R27" s="37"/>
    </row>
    <row r="28" spans="1:18" ht="69.95" customHeight="1">
      <c r="A28" s="478">
        <v>25</v>
      </c>
      <c r="B28" s="478">
        <v>925</v>
      </c>
      <c r="C28" s="479">
        <v>9</v>
      </c>
      <c r="D28" s="479" t="s">
        <v>8</v>
      </c>
      <c r="E28" s="479"/>
      <c r="F28" s="480"/>
      <c r="G28" s="481" t="s">
        <v>243</v>
      </c>
      <c r="H28" s="481"/>
      <c r="I28" s="481"/>
      <c r="J28" s="479"/>
      <c r="K28" s="480"/>
      <c r="L28" s="479"/>
      <c r="M28" s="29"/>
      <c r="N28" s="30"/>
      <c r="O28" s="31"/>
      <c r="P28" s="37"/>
      <c r="Q28" s="37"/>
      <c r="R28" s="37"/>
    </row>
    <row r="29" spans="1:18" ht="69.95" customHeight="1">
      <c r="A29" s="478">
        <v>26</v>
      </c>
      <c r="B29" s="478">
        <v>926</v>
      </c>
      <c r="C29" s="479">
        <v>9</v>
      </c>
      <c r="D29" s="479" t="s">
        <v>8</v>
      </c>
      <c r="E29" s="479"/>
      <c r="F29" s="480"/>
      <c r="G29" s="481" t="s">
        <v>244</v>
      </c>
      <c r="H29" s="481"/>
      <c r="I29" s="481"/>
      <c r="J29" s="479"/>
      <c r="K29" s="480"/>
      <c r="L29" s="479"/>
      <c r="M29" s="29"/>
      <c r="N29" s="30"/>
      <c r="O29" s="31"/>
      <c r="P29" s="37"/>
      <c r="Q29" s="37"/>
      <c r="R29" s="37"/>
    </row>
    <row r="30" spans="1:18" ht="69.95" customHeight="1">
      <c r="A30" s="478">
        <v>27</v>
      </c>
      <c r="B30" s="478">
        <v>927</v>
      </c>
      <c r="C30" s="479">
        <v>9</v>
      </c>
      <c r="D30" s="479" t="s">
        <v>8</v>
      </c>
      <c r="E30" s="479"/>
      <c r="F30" s="480"/>
      <c r="G30" s="481" t="s">
        <v>245</v>
      </c>
      <c r="H30" s="481"/>
      <c r="I30" s="481"/>
      <c r="J30" s="479"/>
      <c r="K30" s="480"/>
      <c r="L30" s="479"/>
      <c r="M30" s="29"/>
      <c r="N30" s="30"/>
      <c r="O30" s="31"/>
      <c r="P30" s="37"/>
      <c r="Q30" s="37"/>
      <c r="R30" s="37"/>
    </row>
    <row r="31" spans="1:18" ht="69.95" customHeight="1">
      <c r="A31" s="478">
        <v>28</v>
      </c>
      <c r="B31" s="478">
        <v>928</v>
      </c>
      <c r="C31" s="479">
        <v>9</v>
      </c>
      <c r="D31" s="479" t="s">
        <v>8</v>
      </c>
      <c r="E31" s="479"/>
      <c r="F31" s="480"/>
      <c r="G31" s="481" t="s">
        <v>246</v>
      </c>
      <c r="H31" s="481"/>
      <c r="I31" s="481"/>
      <c r="J31" s="479"/>
      <c r="K31" s="480"/>
      <c r="L31" s="479"/>
      <c r="M31" s="29"/>
      <c r="N31" s="30"/>
      <c r="O31" s="31"/>
      <c r="P31" s="37"/>
      <c r="Q31" s="37"/>
      <c r="R31" s="37"/>
    </row>
    <row r="32" spans="1:18" ht="69.95" customHeight="1">
      <c r="A32" s="478">
        <v>29</v>
      </c>
      <c r="B32" s="478">
        <v>929</v>
      </c>
      <c r="C32" s="479">
        <v>9</v>
      </c>
      <c r="D32" s="479" t="s">
        <v>8</v>
      </c>
      <c r="E32" s="479"/>
      <c r="F32" s="480"/>
      <c r="G32" s="481" t="s">
        <v>247</v>
      </c>
      <c r="H32" s="481"/>
      <c r="I32" s="481"/>
      <c r="J32" s="479"/>
      <c r="K32" s="480"/>
      <c r="L32" s="479"/>
      <c r="M32" s="29"/>
      <c r="N32" s="30"/>
      <c r="O32" s="31"/>
      <c r="P32" s="37"/>
      <c r="Q32" s="37"/>
      <c r="R32" s="37"/>
    </row>
    <row r="33" spans="1:18" ht="69.95" customHeight="1">
      <c r="A33" s="478">
        <v>30</v>
      </c>
      <c r="B33" s="478">
        <v>930</v>
      </c>
      <c r="C33" s="479">
        <v>9</v>
      </c>
      <c r="D33" s="479" t="s">
        <v>8</v>
      </c>
      <c r="E33" s="479"/>
      <c r="F33" s="480"/>
      <c r="G33" s="481" t="s">
        <v>248</v>
      </c>
      <c r="H33" s="481"/>
      <c r="I33" s="481"/>
      <c r="J33" s="479"/>
      <c r="K33" s="480"/>
      <c r="L33" s="479"/>
      <c r="M33" s="29"/>
      <c r="N33" s="30"/>
      <c r="O33" s="31"/>
      <c r="P33" s="37"/>
      <c r="Q33" s="37"/>
      <c r="R33" s="37"/>
    </row>
    <row r="34" spans="1:18" ht="69.95" customHeight="1">
      <c r="A34" s="478">
        <v>31</v>
      </c>
      <c r="B34" s="478">
        <v>931</v>
      </c>
      <c r="C34" s="479">
        <v>9</v>
      </c>
      <c r="D34" s="479" t="s">
        <v>8</v>
      </c>
      <c r="E34" s="479"/>
      <c r="F34" s="480"/>
      <c r="G34" s="481" t="s">
        <v>249</v>
      </c>
      <c r="H34" s="481"/>
      <c r="I34" s="481"/>
      <c r="J34" s="479"/>
      <c r="K34" s="480"/>
      <c r="L34" s="479"/>
      <c r="M34" s="29"/>
      <c r="N34" s="30"/>
      <c r="O34" s="31"/>
      <c r="P34" s="37"/>
      <c r="Q34" s="37"/>
      <c r="R34" s="37"/>
    </row>
    <row r="35" spans="1:18" ht="69.95" customHeight="1">
      <c r="A35" s="478">
        <v>32</v>
      </c>
      <c r="B35" s="478"/>
      <c r="C35" s="479"/>
      <c r="D35" s="479"/>
      <c r="E35" s="479"/>
      <c r="F35" s="480"/>
      <c r="G35" s="481"/>
      <c r="H35" s="481"/>
      <c r="I35" s="481"/>
      <c r="J35" s="479"/>
      <c r="K35" s="480"/>
      <c r="L35" s="479"/>
      <c r="M35" s="29"/>
      <c r="N35" s="30"/>
      <c r="O35" s="31"/>
      <c r="P35" s="37"/>
      <c r="Q35" s="37"/>
      <c r="R35" s="37"/>
    </row>
    <row r="36" spans="1:18" ht="69.95" customHeight="1">
      <c r="A36" s="478">
        <v>33</v>
      </c>
      <c r="B36" s="478"/>
      <c r="C36" s="479"/>
      <c r="D36" s="479"/>
      <c r="E36" s="479"/>
      <c r="F36" s="480"/>
      <c r="G36" s="481"/>
      <c r="H36" s="481"/>
      <c r="I36" s="481"/>
      <c r="J36" s="479"/>
      <c r="K36" s="480"/>
      <c r="L36" s="479"/>
      <c r="M36" s="29"/>
      <c r="N36" s="30"/>
      <c r="O36" s="31"/>
      <c r="P36" s="37"/>
      <c r="Q36" s="37"/>
      <c r="R36" s="37"/>
    </row>
    <row r="37" spans="1:18" ht="69.95" customHeight="1">
      <c r="A37" s="478">
        <v>34</v>
      </c>
      <c r="B37" s="478"/>
      <c r="C37" s="479"/>
      <c r="D37" s="479"/>
      <c r="E37" s="479"/>
      <c r="F37" s="480"/>
      <c r="G37" s="481"/>
      <c r="H37" s="481"/>
      <c r="I37" s="481"/>
      <c r="J37" s="479"/>
      <c r="K37" s="480"/>
      <c r="L37" s="479"/>
      <c r="M37" s="29"/>
      <c r="N37" s="30"/>
      <c r="O37" s="31"/>
      <c r="P37" s="37"/>
      <c r="Q37" s="37"/>
      <c r="R37" s="37"/>
    </row>
    <row r="38" spans="1:18" ht="69.95" customHeight="1">
      <c r="A38" s="478">
        <v>35</v>
      </c>
      <c r="B38" s="478"/>
      <c r="C38" s="479"/>
      <c r="D38" s="479"/>
      <c r="E38" s="479"/>
      <c r="F38" s="480"/>
      <c r="G38" s="481"/>
      <c r="H38" s="481"/>
      <c r="I38" s="481"/>
      <c r="J38" s="479"/>
      <c r="K38" s="480"/>
      <c r="L38" s="479"/>
      <c r="M38" s="29"/>
      <c r="N38" s="30"/>
      <c r="O38" s="31"/>
      <c r="P38" s="37"/>
      <c r="Q38" s="37"/>
      <c r="R38" s="37"/>
    </row>
    <row r="39" spans="1:18" ht="69.95" customHeight="1">
      <c r="A39" s="478">
        <v>36</v>
      </c>
      <c r="B39" s="478"/>
      <c r="C39" s="479"/>
      <c r="D39" s="479"/>
      <c r="E39" s="479"/>
      <c r="F39" s="480"/>
      <c r="G39" s="481"/>
      <c r="H39" s="481"/>
      <c r="I39" s="481"/>
      <c r="J39" s="479"/>
      <c r="K39" s="480"/>
      <c r="L39" s="479"/>
      <c r="M39" s="29"/>
      <c r="N39" s="30"/>
      <c r="O39" s="31"/>
      <c r="P39" s="37"/>
      <c r="Q39" s="37"/>
      <c r="R39" s="37"/>
    </row>
    <row r="40" spans="1:18" ht="69.95" customHeight="1">
      <c r="A40" s="478">
        <v>37</v>
      </c>
      <c r="B40" s="478"/>
      <c r="C40" s="479"/>
      <c r="D40" s="479"/>
      <c r="E40" s="479"/>
      <c r="F40" s="480"/>
      <c r="G40" s="481"/>
      <c r="H40" s="481"/>
      <c r="I40" s="481"/>
      <c r="J40" s="479"/>
      <c r="K40" s="480"/>
      <c r="L40" s="479"/>
      <c r="M40" s="29"/>
      <c r="N40" s="30"/>
      <c r="O40" s="31"/>
      <c r="P40" s="37"/>
      <c r="Q40" s="37"/>
      <c r="R40" s="37"/>
    </row>
    <row r="41" spans="1:18" ht="69.95" customHeight="1">
      <c r="A41" s="478">
        <v>38</v>
      </c>
      <c r="B41" s="478"/>
      <c r="C41" s="479"/>
      <c r="D41" s="479"/>
      <c r="E41" s="479"/>
      <c r="F41" s="480"/>
      <c r="G41" s="481"/>
      <c r="H41" s="481"/>
      <c r="I41" s="481"/>
      <c r="J41" s="479"/>
      <c r="K41" s="480"/>
      <c r="L41" s="479"/>
      <c r="M41" s="29"/>
      <c r="N41" s="30"/>
      <c r="O41" s="31"/>
      <c r="P41" s="37"/>
      <c r="Q41" s="37"/>
      <c r="R41" s="37"/>
    </row>
    <row r="42" spans="1:18" ht="69.95" customHeight="1">
      <c r="A42" s="478">
        <v>39</v>
      </c>
      <c r="B42" s="478"/>
      <c r="C42" s="479"/>
      <c r="D42" s="479"/>
      <c r="E42" s="479"/>
      <c r="F42" s="480"/>
      <c r="G42" s="481"/>
      <c r="H42" s="481"/>
      <c r="I42" s="481"/>
      <c r="J42" s="479"/>
      <c r="K42" s="480"/>
      <c r="L42" s="479"/>
      <c r="M42" s="29"/>
      <c r="N42" s="30"/>
      <c r="O42" s="31"/>
      <c r="P42" s="37"/>
      <c r="Q42" s="37"/>
      <c r="R42" s="37"/>
    </row>
    <row r="43" spans="1:18" ht="69.95" customHeight="1">
      <c r="A43" s="478">
        <v>40</v>
      </c>
      <c r="B43" s="478"/>
      <c r="C43" s="479"/>
      <c r="D43" s="479"/>
      <c r="E43" s="479"/>
      <c r="F43" s="480"/>
      <c r="G43" s="481"/>
      <c r="H43" s="481"/>
      <c r="I43" s="481"/>
      <c r="J43" s="479"/>
      <c r="K43" s="480"/>
      <c r="L43" s="479"/>
      <c r="M43" s="29"/>
      <c r="N43" s="30"/>
      <c r="O43" s="31"/>
      <c r="P43" s="37"/>
      <c r="Q43" s="37"/>
      <c r="R43" s="37"/>
    </row>
    <row r="44" spans="1:18" ht="69.95" customHeight="1">
      <c r="A44" s="478">
        <v>41</v>
      </c>
      <c r="B44" s="478"/>
      <c r="C44" s="479"/>
      <c r="D44" s="479"/>
      <c r="E44" s="479"/>
      <c r="F44" s="480"/>
      <c r="G44" s="481"/>
      <c r="H44" s="481"/>
      <c r="I44" s="481"/>
      <c r="J44" s="479"/>
      <c r="K44" s="480"/>
      <c r="L44" s="479"/>
      <c r="M44" s="29"/>
      <c r="N44" s="30"/>
      <c r="O44" s="31"/>
      <c r="P44" s="37"/>
      <c r="Q44" s="37"/>
      <c r="R44" s="37"/>
    </row>
    <row r="45" spans="1:18" ht="69.95" customHeight="1">
      <c r="A45" s="478">
        <v>42</v>
      </c>
      <c r="B45" s="478"/>
      <c r="C45" s="479"/>
      <c r="D45" s="479"/>
      <c r="E45" s="479"/>
      <c r="F45" s="480"/>
      <c r="G45" s="481"/>
      <c r="H45" s="481"/>
      <c r="I45" s="481"/>
      <c r="J45" s="479"/>
      <c r="K45" s="480"/>
      <c r="L45" s="479"/>
      <c r="M45" s="29"/>
      <c r="N45" s="30"/>
      <c r="O45" s="31"/>
      <c r="P45" s="37"/>
      <c r="Q45" s="37"/>
      <c r="R45" s="37"/>
    </row>
    <row r="46" spans="1:18" ht="69.95" customHeight="1">
      <c r="A46" s="478">
        <v>43</v>
      </c>
      <c r="B46" s="478"/>
      <c r="C46" s="479"/>
      <c r="D46" s="479"/>
      <c r="E46" s="479"/>
      <c r="F46" s="480"/>
      <c r="G46" s="481"/>
      <c r="H46" s="481"/>
      <c r="I46" s="481"/>
      <c r="J46" s="479"/>
      <c r="K46" s="480"/>
      <c r="L46" s="479"/>
      <c r="M46" s="29"/>
      <c r="N46" s="30"/>
      <c r="O46" s="31"/>
      <c r="P46" s="37"/>
      <c r="Q46" s="37"/>
      <c r="R46" s="37"/>
    </row>
    <row r="47" spans="1:18" ht="69.95" customHeight="1">
      <c r="A47" s="478">
        <v>44</v>
      </c>
      <c r="B47" s="478"/>
      <c r="C47" s="479"/>
      <c r="D47" s="479"/>
      <c r="E47" s="479"/>
      <c r="F47" s="480"/>
      <c r="G47" s="481"/>
      <c r="H47" s="481"/>
      <c r="I47" s="481"/>
      <c r="J47" s="479"/>
      <c r="K47" s="480"/>
      <c r="L47" s="479"/>
      <c r="M47" s="29"/>
      <c r="N47" s="30"/>
      <c r="O47" s="31"/>
      <c r="P47" s="37"/>
      <c r="Q47" s="37"/>
      <c r="R47" s="37"/>
    </row>
    <row r="48" spans="1:18" ht="69.95" customHeight="1">
      <c r="A48" s="478">
        <v>45</v>
      </c>
      <c r="B48" s="478"/>
      <c r="C48" s="479"/>
      <c r="D48" s="479"/>
      <c r="E48" s="479"/>
      <c r="F48" s="480"/>
      <c r="G48" s="481"/>
      <c r="H48" s="481"/>
      <c r="I48" s="481"/>
      <c r="J48" s="479"/>
      <c r="K48" s="480"/>
      <c r="L48" s="479"/>
      <c r="M48" s="29"/>
      <c r="N48" s="30"/>
      <c r="O48" s="31"/>
      <c r="P48" s="37"/>
      <c r="Q48" s="37"/>
      <c r="R48" s="37"/>
    </row>
    <row r="49" spans="1:18" ht="69.95" customHeight="1">
      <c r="A49" s="478">
        <v>46</v>
      </c>
      <c r="B49" s="478"/>
      <c r="C49" s="479"/>
      <c r="D49" s="479"/>
      <c r="E49" s="479"/>
      <c r="F49" s="480"/>
      <c r="G49" s="481"/>
      <c r="H49" s="481"/>
      <c r="I49" s="481"/>
      <c r="J49" s="479"/>
      <c r="K49" s="480"/>
      <c r="L49" s="479"/>
      <c r="M49" s="29"/>
      <c r="N49" s="30"/>
      <c r="O49" s="31"/>
      <c r="P49" s="37"/>
      <c r="Q49" s="37"/>
      <c r="R49" s="37"/>
    </row>
    <row r="50" spans="1:18" ht="69.95" customHeight="1">
      <c r="A50" s="478">
        <v>47</v>
      </c>
      <c r="B50" s="478"/>
      <c r="C50" s="479"/>
      <c r="D50" s="479"/>
      <c r="E50" s="479"/>
      <c r="F50" s="480"/>
      <c r="G50" s="481"/>
      <c r="H50" s="481"/>
      <c r="I50" s="481"/>
      <c r="J50" s="479"/>
      <c r="K50" s="480"/>
      <c r="L50" s="479"/>
      <c r="M50" s="29"/>
      <c r="N50" s="30"/>
      <c r="O50" s="31"/>
      <c r="P50" s="37"/>
      <c r="Q50" s="37"/>
      <c r="R50" s="37"/>
    </row>
    <row r="51" spans="1:18" ht="69.95" customHeight="1">
      <c r="A51" s="478">
        <v>48</v>
      </c>
      <c r="B51" s="478"/>
      <c r="C51" s="479"/>
      <c r="D51" s="479"/>
      <c r="E51" s="479"/>
      <c r="F51" s="480"/>
      <c r="G51" s="481"/>
      <c r="H51" s="481"/>
      <c r="I51" s="481"/>
      <c r="J51" s="479"/>
      <c r="K51" s="480"/>
      <c r="L51" s="479"/>
      <c r="M51" s="29"/>
      <c r="N51" s="30"/>
      <c r="O51" s="31"/>
      <c r="P51" s="37"/>
      <c r="Q51" s="37"/>
      <c r="R51" s="37"/>
    </row>
    <row r="52" spans="1:18" ht="69.95" customHeight="1">
      <c r="A52" s="478">
        <v>49</v>
      </c>
      <c r="B52" s="478"/>
      <c r="C52" s="479"/>
      <c r="D52" s="479"/>
      <c r="E52" s="479"/>
      <c r="F52" s="480"/>
      <c r="G52" s="481"/>
      <c r="H52" s="481"/>
      <c r="I52" s="481"/>
      <c r="J52" s="479"/>
      <c r="K52" s="480"/>
      <c r="L52" s="479"/>
      <c r="M52" s="29"/>
      <c r="N52" s="30"/>
      <c r="O52" s="31"/>
      <c r="P52" s="37"/>
      <c r="Q52" s="37"/>
      <c r="R52" s="37"/>
    </row>
    <row r="53" spans="1:18" ht="69.95" customHeight="1">
      <c r="A53" s="478">
        <v>50</v>
      </c>
      <c r="B53" s="478"/>
      <c r="C53" s="479"/>
      <c r="D53" s="479"/>
      <c r="E53" s="479"/>
      <c r="F53" s="480"/>
      <c r="G53" s="481"/>
      <c r="H53" s="481"/>
      <c r="I53" s="481"/>
      <c r="J53" s="479"/>
      <c r="K53" s="480"/>
      <c r="L53" s="479"/>
      <c r="M53" s="29"/>
      <c r="N53" s="30"/>
      <c r="O53" s="31"/>
      <c r="P53" s="37"/>
      <c r="Q53" s="37"/>
      <c r="R53" s="37"/>
    </row>
    <row r="54" spans="1:18" ht="69.95" customHeight="1">
      <c r="A54" s="478">
        <v>51</v>
      </c>
      <c r="B54" s="478"/>
      <c r="C54" s="479"/>
      <c r="D54" s="479"/>
      <c r="E54" s="479"/>
      <c r="F54" s="480"/>
      <c r="G54" s="481"/>
      <c r="H54" s="481"/>
      <c r="I54" s="481"/>
      <c r="J54" s="479"/>
      <c r="K54" s="480"/>
      <c r="L54" s="479"/>
      <c r="M54" s="29"/>
      <c r="N54" s="30"/>
      <c r="O54" s="31"/>
      <c r="P54" s="37"/>
      <c r="Q54" s="37"/>
      <c r="R54" s="37"/>
    </row>
    <row r="55" spans="1:18" ht="69.95" customHeight="1">
      <c r="A55" s="478">
        <v>52</v>
      </c>
      <c r="B55" s="478"/>
      <c r="C55" s="479"/>
      <c r="D55" s="479"/>
      <c r="E55" s="479"/>
      <c r="F55" s="480"/>
      <c r="G55" s="481"/>
      <c r="H55" s="481"/>
      <c r="I55" s="481"/>
      <c r="J55" s="479"/>
      <c r="K55" s="480"/>
      <c r="L55" s="479"/>
      <c r="M55" s="29"/>
      <c r="N55" s="30"/>
      <c r="O55" s="31"/>
      <c r="P55" s="37"/>
      <c r="Q55" s="37"/>
      <c r="R55" s="37"/>
    </row>
    <row r="56" spans="1:18" ht="69.95" customHeight="1">
      <c r="A56" s="478">
        <v>53</v>
      </c>
      <c r="B56" s="478"/>
      <c r="C56" s="479"/>
      <c r="D56" s="479"/>
      <c r="E56" s="479"/>
      <c r="F56" s="480"/>
      <c r="G56" s="481"/>
      <c r="H56" s="481"/>
      <c r="I56" s="481"/>
      <c r="J56" s="479"/>
      <c r="K56" s="480"/>
      <c r="L56" s="479"/>
      <c r="M56" s="29"/>
      <c r="N56" s="30"/>
      <c r="O56" s="31"/>
      <c r="P56" s="37"/>
      <c r="Q56" s="37"/>
      <c r="R56" s="37"/>
    </row>
    <row r="57" spans="1:18" ht="69.95" customHeight="1">
      <c r="A57" s="478">
        <v>54</v>
      </c>
      <c r="B57" s="478"/>
      <c r="C57" s="479"/>
      <c r="D57" s="479"/>
      <c r="E57" s="479"/>
      <c r="F57" s="480"/>
      <c r="G57" s="481"/>
      <c r="H57" s="481"/>
      <c r="I57" s="481"/>
      <c r="J57" s="479"/>
      <c r="K57" s="480"/>
      <c r="L57" s="479"/>
      <c r="M57" s="29"/>
      <c r="N57" s="30"/>
      <c r="O57" s="31"/>
      <c r="P57" s="37"/>
      <c r="Q57" s="37"/>
      <c r="R57" s="37"/>
    </row>
    <row r="58" spans="1:18" ht="69.95" customHeight="1">
      <c r="A58" s="478">
        <v>55</v>
      </c>
      <c r="B58" s="478"/>
      <c r="C58" s="479"/>
      <c r="D58" s="479"/>
      <c r="E58" s="479"/>
      <c r="F58" s="480"/>
      <c r="G58" s="481"/>
      <c r="H58" s="481"/>
      <c r="I58" s="481"/>
      <c r="J58" s="479"/>
      <c r="K58" s="480"/>
      <c r="L58" s="479"/>
      <c r="M58" s="29"/>
      <c r="N58" s="30"/>
      <c r="O58" s="31"/>
      <c r="P58" s="37"/>
      <c r="Q58" s="37"/>
      <c r="R58" s="37"/>
    </row>
    <row r="59" spans="1:18" ht="69.95" customHeight="1">
      <c r="A59" s="478">
        <v>56</v>
      </c>
      <c r="B59" s="478"/>
      <c r="C59" s="479"/>
      <c r="D59" s="479"/>
      <c r="E59" s="479"/>
      <c r="F59" s="480"/>
      <c r="G59" s="481"/>
      <c r="H59" s="481"/>
      <c r="I59" s="481"/>
      <c r="J59" s="479"/>
      <c r="K59" s="480"/>
      <c r="L59" s="479"/>
      <c r="M59" s="29"/>
      <c r="N59" s="30"/>
      <c r="O59" s="31"/>
      <c r="P59" s="37"/>
      <c r="Q59" s="37"/>
      <c r="R59" s="37"/>
    </row>
    <row r="60" spans="1:18" ht="69.95" customHeight="1">
      <c r="A60" s="478">
        <v>57</v>
      </c>
      <c r="B60" s="478"/>
      <c r="C60" s="479"/>
      <c r="D60" s="479"/>
      <c r="E60" s="479"/>
      <c r="F60" s="480"/>
      <c r="G60" s="481"/>
      <c r="H60" s="481"/>
      <c r="I60" s="481"/>
      <c r="J60" s="479"/>
      <c r="K60" s="480"/>
      <c r="L60" s="479"/>
      <c r="M60" s="29"/>
      <c r="N60" s="30"/>
      <c r="O60" s="31"/>
      <c r="P60" s="37"/>
      <c r="Q60" s="37"/>
      <c r="R60" s="37"/>
    </row>
    <row r="61" spans="1:18" ht="69.95" customHeight="1">
      <c r="A61" s="478">
        <v>58</v>
      </c>
      <c r="B61" s="478"/>
      <c r="C61" s="479"/>
      <c r="D61" s="479"/>
      <c r="E61" s="479"/>
      <c r="F61" s="480"/>
      <c r="G61" s="481"/>
      <c r="H61" s="481"/>
      <c r="I61" s="481"/>
      <c r="J61" s="479"/>
      <c r="K61" s="480"/>
      <c r="L61" s="479"/>
      <c r="M61" s="29"/>
      <c r="N61" s="30"/>
      <c r="O61" s="31"/>
      <c r="P61" s="37"/>
      <c r="Q61" s="37"/>
      <c r="R61" s="37"/>
    </row>
    <row r="62" spans="1:18" ht="69.95" customHeight="1">
      <c r="A62" s="478">
        <v>59</v>
      </c>
      <c r="B62" s="478"/>
      <c r="C62" s="479"/>
      <c r="D62" s="479"/>
      <c r="E62" s="479"/>
      <c r="F62" s="480"/>
      <c r="G62" s="481"/>
      <c r="H62" s="481"/>
      <c r="I62" s="481"/>
      <c r="J62" s="479"/>
      <c r="K62" s="480"/>
      <c r="L62" s="479"/>
      <c r="M62" s="29"/>
      <c r="N62" s="30"/>
      <c r="O62" s="31"/>
      <c r="P62" s="37"/>
      <c r="Q62" s="37"/>
      <c r="R62" s="37"/>
    </row>
    <row r="63" spans="1:18" ht="69.95" customHeight="1">
      <c r="A63" s="478">
        <v>60</v>
      </c>
      <c r="B63" s="478"/>
      <c r="C63" s="479"/>
      <c r="D63" s="479"/>
      <c r="E63" s="479"/>
      <c r="F63" s="480"/>
      <c r="G63" s="481"/>
      <c r="H63" s="481"/>
      <c r="I63" s="481"/>
      <c r="J63" s="479"/>
      <c r="K63" s="480"/>
      <c r="L63" s="479"/>
      <c r="M63" s="29"/>
      <c r="N63" s="30"/>
      <c r="O63" s="31"/>
      <c r="P63" s="37"/>
      <c r="Q63" s="37"/>
      <c r="R63" s="37"/>
    </row>
    <row r="64" spans="1:18" ht="69.95" customHeight="1">
      <c r="A64" s="478">
        <v>61</v>
      </c>
      <c r="B64" s="478"/>
      <c r="C64" s="479"/>
      <c r="D64" s="479"/>
      <c r="E64" s="479"/>
      <c r="F64" s="480"/>
      <c r="G64" s="481"/>
      <c r="H64" s="481"/>
      <c r="I64" s="481"/>
      <c r="J64" s="479"/>
      <c r="K64" s="480"/>
      <c r="L64" s="479"/>
      <c r="M64" s="29"/>
      <c r="N64" s="30"/>
      <c r="O64" s="31"/>
      <c r="P64" s="37"/>
      <c r="Q64" s="37"/>
      <c r="R64" s="37"/>
    </row>
    <row r="65" spans="1:18" ht="69.95" customHeight="1">
      <c r="A65" s="478">
        <v>62</v>
      </c>
      <c r="B65" s="478"/>
      <c r="C65" s="479"/>
      <c r="D65" s="479"/>
      <c r="E65" s="479"/>
      <c r="F65" s="480"/>
      <c r="G65" s="481"/>
      <c r="H65" s="481"/>
      <c r="I65" s="481"/>
      <c r="J65" s="479"/>
      <c r="K65" s="480"/>
      <c r="L65" s="479"/>
      <c r="M65" s="29"/>
      <c r="N65" s="30"/>
      <c r="O65" s="31"/>
      <c r="P65" s="37"/>
      <c r="Q65" s="37"/>
      <c r="R65" s="37"/>
    </row>
    <row r="66" spans="1:18" ht="69.95" customHeight="1">
      <c r="A66" s="478">
        <v>63</v>
      </c>
      <c r="B66" s="478"/>
      <c r="C66" s="479"/>
      <c r="D66" s="479"/>
      <c r="E66" s="479"/>
      <c r="F66" s="480"/>
      <c r="G66" s="481"/>
      <c r="H66" s="481"/>
      <c r="I66" s="481"/>
      <c r="J66" s="479"/>
      <c r="K66" s="480"/>
      <c r="L66" s="479"/>
      <c r="M66" s="29"/>
      <c r="N66" s="30"/>
      <c r="O66" s="31"/>
      <c r="P66" s="37"/>
      <c r="Q66" s="37"/>
      <c r="R66" s="37"/>
    </row>
    <row r="67" spans="1:18" ht="69.95" customHeight="1">
      <c r="A67" s="478">
        <v>64</v>
      </c>
      <c r="B67" s="478"/>
      <c r="C67" s="479"/>
      <c r="D67" s="479"/>
      <c r="E67" s="479"/>
      <c r="F67" s="480"/>
      <c r="G67" s="481"/>
      <c r="H67" s="481"/>
      <c r="I67" s="481"/>
      <c r="J67" s="479"/>
      <c r="K67" s="480"/>
      <c r="L67" s="479"/>
      <c r="M67" s="29"/>
      <c r="N67" s="30"/>
      <c r="O67" s="31"/>
      <c r="P67" s="37"/>
      <c r="Q67" s="37"/>
      <c r="R67" s="37"/>
    </row>
    <row r="68" spans="1:18" ht="69.95" customHeight="1">
      <c r="A68" s="478">
        <v>65</v>
      </c>
      <c r="B68" s="478"/>
      <c r="C68" s="479"/>
      <c r="D68" s="479"/>
      <c r="E68" s="479"/>
      <c r="F68" s="480"/>
      <c r="G68" s="481"/>
      <c r="H68" s="481"/>
      <c r="I68" s="481"/>
      <c r="J68" s="479"/>
      <c r="K68" s="480"/>
      <c r="L68" s="479"/>
      <c r="M68" s="29"/>
      <c r="N68" s="30"/>
      <c r="O68" s="31"/>
      <c r="P68" s="37"/>
      <c r="Q68" s="37"/>
      <c r="R68" s="37"/>
    </row>
    <row r="69" spans="1:18" ht="69.95" customHeight="1">
      <c r="A69" s="478">
        <v>66</v>
      </c>
      <c r="B69" s="478"/>
      <c r="C69" s="479"/>
      <c r="D69" s="479"/>
      <c r="E69" s="479"/>
      <c r="F69" s="480"/>
      <c r="G69" s="481"/>
      <c r="H69" s="481"/>
      <c r="I69" s="481"/>
      <c r="J69" s="479"/>
      <c r="K69" s="480"/>
      <c r="L69" s="479"/>
      <c r="M69" s="29"/>
      <c r="N69" s="30"/>
      <c r="O69" s="31"/>
      <c r="P69" s="37"/>
      <c r="Q69" s="37"/>
      <c r="R69" s="37"/>
    </row>
    <row r="70" spans="1:18" ht="69.95" customHeight="1">
      <c r="A70" s="478">
        <v>67</v>
      </c>
      <c r="B70" s="478"/>
      <c r="C70" s="479"/>
      <c r="D70" s="479"/>
      <c r="E70" s="479"/>
      <c r="F70" s="480"/>
      <c r="G70" s="481"/>
      <c r="H70" s="481"/>
      <c r="I70" s="481"/>
      <c r="J70" s="479"/>
      <c r="K70" s="480"/>
      <c r="L70" s="479"/>
      <c r="M70" s="29"/>
      <c r="N70" s="30"/>
      <c r="O70" s="31"/>
      <c r="P70" s="37"/>
      <c r="Q70" s="37"/>
      <c r="R70" s="37"/>
    </row>
    <row r="71" spans="1:18" ht="69.95" customHeight="1">
      <c r="A71" s="478">
        <v>68</v>
      </c>
      <c r="B71" s="478"/>
      <c r="C71" s="479"/>
      <c r="D71" s="479"/>
      <c r="E71" s="479"/>
      <c r="F71" s="480"/>
      <c r="G71" s="481"/>
      <c r="H71" s="481"/>
      <c r="I71" s="481"/>
      <c r="J71" s="479"/>
      <c r="K71" s="480"/>
      <c r="L71" s="479"/>
      <c r="M71" s="29"/>
      <c r="N71" s="30"/>
      <c r="O71" s="31"/>
      <c r="P71" s="37"/>
      <c r="Q71" s="37"/>
      <c r="R71" s="37"/>
    </row>
    <row r="72" spans="1:18" ht="69.95" customHeight="1">
      <c r="A72" s="478">
        <v>69</v>
      </c>
      <c r="B72" s="478"/>
      <c r="C72" s="479"/>
      <c r="D72" s="479"/>
      <c r="E72" s="479"/>
      <c r="F72" s="480"/>
      <c r="G72" s="481"/>
      <c r="H72" s="481"/>
      <c r="I72" s="481"/>
      <c r="J72" s="479"/>
      <c r="K72" s="480"/>
      <c r="L72" s="479"/>
      <c r="M72" s="29"/>
      <c r="N72" s="30"/>
      <c r="O72" s="31"/>
      <c r="P72" s="37"/>
      <c r="Q72" s="37"/>
      <c r="R72" s="37"/>
    </row>
    <row r="73" spans="1:18" ht="69.95" customHeight="1">
      <c r="A73" s="478">
        <v>70</v>
      </c>
      <c r="B73" s="478"/>
      <c r="C73" s="479"/>
      <c r="D73" s="479"/>
      <c r="E73" s="479"/>
      <c r="F73" s="480"/>
      <c r="G73" s="481"/>
      <c r="H73" s="481"/>
      <c r="I73" s="481"/>
      <c r="J73" s="479"/>
      <c r="K73" s="480"/>
      <c r="L73" s="479"/>
      <c r="M73" s="29"/>
      <c r="N73" s="30"/>
      <c r="O73" s="31"/>
      <c r="P73" s="37"/>
      <c r="Q73" s="37"/>
      <c r="R73" s="37"/>
    </row>
    <row r="74" spans="1:18" ht="69.95" customHeight="1">
      <c r="A74" s="478">
        <v>71</v>
      </c>
      <c r="B74" s="478"/>
      <c r="C74" s="479"/>
      <c r="D74" s="479"/>
      <c r="E74" s="479"/>
      <c r="F74" s="480"/>
      <c r="G74" s="481"/>
      <c r="H74" s="481"/>
      <c r="I74" s="481"/>
      <c r="J74" s="479"/>
      <c r="K74" s="480"/>
      <c r="L74" s="479"/>
      <c r="M74" s="29"/>
      <c r="N74" s="30"/>
      <c r="O74" s="31"/>
      <c r="P74" s="37"/>
      <c r="Q74" s="37"/>
      <c r="R74" s="37"/>
    </row>
    <row r="75" spans="1:18" ht="69.95" customHeight="1">
      <c r="A75" s="478">
        <v>72</v>
      </c>
      <c r="B75" s="478"/>
      <c r="C75" s="479"/>
      <c r="D75" s="479"/>
      <c r="E75" s="479"/>
      <c r="F75" s="480"/>
      <c r="G75" s="481"/>
      <c r="H75" s="481"/>
      <c r="I75" s="481"/>
      <c r="J75" s="479"/>
      <c r="K75" s="480"/>
      <c r="L75" s="479"/>
      <c r="M75" s="29"/>
      <c r="N75" s="30"/>
      <c r="O75" s="31"/>
      <c r="P75" s="37"/>
      <c r="Q75" s="37"/>
      <c r="R75" s="37"/>
    </row>
    <row r="76" spans="1:18" ht="69.95" customHeight="1">
      <c r="A76" s="478">
        <v>73</v>
      </c>
      <c r="B76" s="478"/>
      <c r="C76" s="479"/>
      <c r="D76" s="479"/>
      <c r="E76" s="479"/>
      <c r="F76" s="480"/>
      <c r="G76" s="481"/>
      <c r="H76" s="481"/>
      <c r="I76" s="481"/>
      <c r="J76" s="479"/>
      <c r="K76" s="480"/>
      <c r="L76" s="479"/>
      <c r="M76" s="29"/>
      <c r="N76" s="30"/>
      <c r="O76" s="31"/>
      <c r="P76" s="37"/>
      <c r="Q76" s="37"/>
      <c r="R76" s="37"/>
    </row>
    <row r="77" spans="1:18" ht="69.95" customHeight="1">
      <c r="A77" s="478">
        <v>74</v>
      </c>
      <c r="B77" s="478"/>
      <c r="C77" s="479"/>
      <c r="D77" s="479"/>
      <c r="E77" s="479"/>
      <c r="F77" s="480"/>
      <c r="G77" s="481"/>
      <c r="H77" s="481"/>
      <c r="I77" s="481"/>
      <c r="J77" s="479"/>
      <c r="K77" s="480"/>
      <c r="L77" s="479"/>
      <c r="M77" s="29"/>
      <c r="N77" s="30"/>
      <c r="O77" s="31"/>
      <c r="P77" s="37"/>
      <c r="Q77" s="37"/>
      <c r="R77" s="37"/>
    </row>
    <row r="78" spans="1:18" ht="69.95" customHeight="1">
      <c r="A78" s="478">
        <v>75</v>
      </c>
      <c r="B78" s="478"/>
      <c r="C78" s="479"/>
      <c r="D78" s="479"/>
      <c r="E78" s="479"/>
      <c r="F78" s="480"/>
      <c r="G78" s="481"/>
      <c r="H78" s="481"/>
      <c r="I78" s="481"/>
      <c r="J78" s="479"/>
      <c r="K78" s="480"/>
      <c r="L78" s="479"/>
      <c r="M78" s="29"/>
      <c r="N78" s="30"/>
      <c r="O78" s="31"/>
      <c r="P78" s="37"/>
      <c r="Q78" s="37"/>
      <c r="R78" s="37"/>
    </row>
    <row r="79" spans="1:18" ht="69.95" customHeight="1">
      <c r="A79" s="478">
        <v>76</v>
      </c>
      <c r="B79" s="478"/>
      <c r="C79" s="479"/>
      <c r="D79" s="479"/>
      <c r="E79" s="479"/>
      <c r="F79" s="480"/>
      <c r="G79" s="481"/>
      <c r="H79" s="481"/>
      <c r="I79" s="481"/>
      <c r="J79" s="479"/>
      <c r="K79" s="480"/>
      <c r="L79" s="479"/>
      <c r="M79" s="29"/>
      <c r="N79" s="30"/>
      <c r="O79" s="31"/>
      <c r="P79" s="37"/>
      <c r="Q79" s="37"/>
      <c r="R79" s="37"/>
    </row>
    <row r="80" spans="1:18" ht="69.95" customHeight="1">
      <c r="A80" s="478">
        <v>77</v>
      </c>
      <c r="B80" s="478"/>
      <c r="C80" s="479"/>
      <c r="D80" s="479"/>
      <c r="E80" s="479"/>
      <c r="F80" s="480"/>
      <c r="G80" s="481"/>
      <c r="H80" s="481"/>
      <c r="I80" s="481"/>
      <c r="J80" s="479"/>
      <c r="K80" s="480"/>
      <c r="L80" s="479"/>
      <c r="M80" s="29"/>
      <c r="N80" s="30"/>
      <c r="O80" s="31"/>
      <c r="P80" s="37"/>
      <c r="Q80" s="37"/>
      <c r="R80" s="37"/>
    </row>
    <row r="81" spans="1:18" ht="69.95" customHeight="1">
      <c r="A81" s="478">
        <v>78</v>
      </c>
      <c r="B81" s="478"/>
      <c r="C81" s="479"/>
      <c r="D81" s="479"/>
      <c r="E81" s="479"/>
      <c r="F81" s="480"/>
      <c r="G81" s="481"/>
      <c r="H81" s="481"/>
      <c r="I81" s="481"/>
      <c r="J81" s="479"/>
      <c r="K81" s="480"/>
      <c r="L81" s="479"/>
      <c r="M81" s="29"/>
      <c r="N81" s="30"/>
      <c r="O81" s="31"/>
      <c r="P81" s="37"/>
      <c r="Q81" s="37"/>
      <c r="R81" s="37"/>
    </row>
    <row r="82" spans="1:18" ht="69.95" customHeight="1">
      <c r="A82" s="478">
        <v>79</v>
      </c>
      <c r="B82" s="478"/>
      <c r="C82" s="479"/>
      <c r="D82" s="479"/>
      <c r="E82" s="479"/>
      <c r="F82" s="480"/>
      <c r="G82" s="481"/>
      <c r="H82" s="481"/>
      <c r="I82" s="481"/>
      <c r="J82" s="479"/>
      <c r="K82" s="480"/>
      <c r="L82" s="479"/>
      <c r="M82" s="29"/>
      <c r="N82" s="30"/>
      <c r="O82" s="31"/>
      <c r="P82" s="37"/>
      <c r="Q82" s="37"/>
      <c r="R82" s="37"/>
    </row>
    <row r="83" spans="1:18" ht="69.95" customHeight="1">
      <c r="A83" s="478">
        <v>80</v>
      </c>
      <c r="B83" s="478"/>
      <c r="C83" s="479"/>
      <c r="D83" s="479"/>
      <c r="E83" s="479"/>
      <c r="F83" s="480"/>
      <c r="G83" s="481"/>
      <c r="H83" s="481"/>
      <c r="I83" s="481"/>
      <c r="J83" s="479"/>
      <c r="K83" s="480"/>
      <c r="L83" s="479"/>
      <c r="M83" s="29"/>
      <c r="N83" s="30"/>
      <c r="O83" s="31"/>
      <c r="P83" s="37"/>
      <c r="Q83" s="37"/>
      <c r="R83" s="37"/>
    </row>
    <row r="84" spans="1:18" ht="69.95" customHeight="1">
      <c r="A84" s="478">
        <v>81</v>
      </c>
      <c r="B84" s="478"/>
      <c r="C84" s="479"/>
      <c r="D84" s="479"/>
      <c r="E84" s="479"/>
      <c r="F84" s="480"/>
      <c r="G84" s="481"/>
      <c r="H84" s="481"/>
      <c r="I84" s="481"/>
      <c r="J84" s="479"/>
      <c r="K84" s="480"/>
      <c r="L84" s="479"/>
      <c r="M84" s="29"/>
      <c r="N84" s="30"/>
      <c r="O84" s="31"/>
      <c r="P84" s="37"/>
      <c r="Q84" s="37"/>
      <c r="R84" s="37"/>
    </row>
    <row r="85" spans="1:18" ht="69.95" customHeight="1">
      <c r="A85" s="478">
        <v>82</v>
      </c>
      <c r="B85" s="478"/>
      <c r="C85" s="479"/>
      <c r="D85" s="479"/>
      <c r="E85" s="479"/>
      <c r="F85" s="480"/>
      <c r="G85" s="481"/>
      <c r="H85" s="481"/>
      <c r="I85" s="481"/>
      <c r="J85" s="479"/>
      <c r="K85" s="480"/>
      <c r="L85" s="479"/>
      <c r="M85" s="29"/>
      <c r="N85" s="30"/>
      <c r="O85" s="31"/>
      <c r="P85" s="37"/>
      <c r="Q85" s="37"/>
      <c r="R85" s="37"/>
    </row>
    <row r="86" spans="1:18" ht="69.95" customHeight="1">
      <c r="A86" s="478">
        <v>83</v>
      </c>
      <c r="B86" s="478"/>
      <c r="C86" s="479"/>
      <c r="D86" s="479"/>
      <c r="E86" s="479"/>
      <c r="F86" s="480"/>
      <c r="G86" s="481"/>
      <c r="H86" s="481"/>
      <c r="I86" s="481"/>
      <c r="J86" s="479"/>
      <c r="K86" s="480"/>
      <c r="L86" s="479"/>
      <c r="M86" s="29"/>
      <c r="N86" s="30"/>
      <c r="O86" s="31"/>
      <c r="P86" s="37"/>
      <c r="Q86" s="37"/>
      <c r="R86" s="37"/>
    </row>
    <row r="87" spans="1:18" ht="69.95" customHeight="1">
      <c r="A87" s="478">
        <v>84</v>
      </c>
      <c r="B87" s="478"/>
      <c r="C87" s="479"/>
      <c r="D87" s="479"/>
      <c r="E87" s="479"/>
      <c r="F87" s="480"/>
      <c r="G87" s="481"/>
      <c r="H87" s="481"/>
      <c r="I87" s="481"/>
      <c r="J87" s="479"/>
      <c r="K87" s="480"/>
      <c r="L87" s="479"/>
      <c r="M87" s="29"/>
      <c r="N87" s="30"/>
      <c r="O87" s="31"/>
      <c r="P87" s="37"/>
      <c r="Q87" s="37"/>
      <c r="R87" s="37"/>
    </row>
    <row r="88" spans="1:18" ht="69.95" customHeight="1">
      <c r="A88" s="478">
        <v>85</v>
      </c>
      <c r="B88" s="478"/>
      <c r="C88" s="479"/>
      <c r="D88" s="479"/>
      <c r="E88" s="479"/>
      <c r="F88" s="480"/>
      <c r="G88" s="481"/>
      <c r="H88" s="481"/>
      <c r="I88" s="481"/>
      <c r="J88" s="479"/>
      <c r="K88" s="480"/>
      <c r="L88" s="479"/>
      <c r="M88" s="29"/>
      <c r="N88" s="30"/>
      <c r="O88" s="31"/>
      <c r="P88" s="37"/>
      <c r="Q88" s="37"/>
      <c r="R88" s="37"/>
    </row>
    <row r="89" spans="1:18" ht="69.95" customHeight="1">
      <c r="A89" s="478">
        <v>86</v>
      </c>
      <c r="B89" s="478"/>
      <c r="C89" s="479"/>
      <c r="D89" s="479"/>
      <c r="E89" s="479"/>
      <c r="F89" s="480"/>
      <c r="G89" s="481"/>
      <c r="H89" s="481"/>
      <c r="I89" s="481"/>
      <c r="J89" s="479"/>
      <c r="K89" s="480"/>
      <c r="L89" s="479"/>
      <c r="M89" s="29"/>
      <c r="N89" s="30"/>
      <c r="O89" s="31"/>
      <c r="P89" s="37"/>
      <c r="Q89" s="37"/>
      <c r="R89" s="37"/>
    </row>
    <row r="90" spans="1:18" ht="69.95" customHeight="1">
      <c r="A90" s="478">
        <v>87</v>
      </c>
      <c r="B90" s="478"/>
      <c r="C90" s="479"/>
      <c r="D90" s="479"/>
      <c r="E90" s="479"/>
      <c r="F90" s="480"/>
      <c r="G90" s="481"/>
      <c r="H90" s="481"/>
      <c r="I90" s="481"/>
      <c r="J90" s="479"/>
      <c r="K90" s="480"/>
      <c r="L90" s="479"/>
      <c r="M90" s="29"/>
      <c r="N90" s="30"/>
      <c r="O90" s="31"/>
      <c r="P90" s="37"/>
      <c r="Q90" s="37"/>
      <c r="R90" s="37"/>
    </row>
    <row r="91" spans="1:18" ht="69.95" customHeight="1">
      <c r="A91" s="478">
        <v>88</v>
      </c>
      <c r="B91" s="478"/>
      <c r="C91" s="479"/>
      <c r="D91" s="479"/>
      <c r="E91" s="479"/>
      <c r="F91" s="480"/>
      <c r="G91" s="481"/>
      <c r="H91" s="481"/>
      <c r="I91" s="481"/>
      <c r="J91" s="479"/>
      <c r="K91" s="480"/>
      <c r="L91" s="479"/>
      <c r="M91" s="29"/>
      <c r="N91" s="30"/>
      <c r="O91" s="31"/>
      <c r="P91" s="37"/>
      <c r="Q91" s="37"/>
      <c r="R91" s="37"/>
    </row>
    <row r="92" spans="1:18" ht="69.95" customHeight="1">
      <c r="A92" s="478">
        <v>89</v>
      </c>
      <c r="B92" s="478"/>
      <c r="C92" s="479"/>
      <c r="D92" s="479"/>
      <c r="E92" s="479"/>
      <c r="F92" s="480"/>
      <c r="G92" s="481"/>
      <c r="H92" s="481"/>
      <c r="I92" s="481"/>
      <c r="J92" s="479"/>
      <c r="K92" s="480"/>
      <c r="L92" s="479"/>
      <c r="M92" s="29"/>
      <c r="N92" s="30"/>
      <c r="O92" s="31"/>
      <c r="P92" s="37"/>
      <c r="Q92" s="37"/>
      <c r="R92" s="37"/>
    </row>
    <row r="93" spans="1:18" ht="69.95" customHeight="1">
      <c r="A93" s="478">
        <v>90</v>
      </c>
      <c r="B93" s="478"/>
      <c r="C93" s="479"/>
      <c r="D93" s="479"/>
      <c r="E93" s="479"/>
      <c r="F93" s="480"/>
      <c r="G93" s="481"/>
      <c r="H93" s="481"/>
      <c r="I93" s="481"/>
      <c r="J93" s="479"/>
      <c r="K93" s="480"/>
      <c r="L93" s="479"/>
      <c r="M93" s="29"/>
      <c r="N93" s="30"/>
      <c r="O93" s="31"/>
      <c r="P93" s="37"/>
      <c r="Q93" s="37"/>
      <c r="R93" s="37"/>
    </row>
    <row r="94" spans="1:18" ht="69.95" customHeight="1">
      <c r="A94" s="478">
        <v>91</v>
      </c>
      <c r="B94" s="478"/>
      <c r="C94" s="479"/>
      <c r="D94" s="479"/>
      <c r="E94" s="479"/>
      <c r="F94" s="480"/>
      <c r="G94" s="481"/>
      <c r="H94" s="481"/>
      <c r="I94" s="481"/>
      <c r="J94" s="479"/>
      <c r="K94" s="480"/>
      <c r="L94" s="479"/>
      <c r="M94" s="29"/>
      <c r="N94" s="30"/>
      <c r="O94" s="31"/>
      <c r="P94" s="37"/>
      <c r="Q94" s="37"/>
      <c r="R94" s="37"/>
    </row>
    <row r="95" spans="1:18" ht="69.95" customHeight="1">
      <c r="A95" s="478">
        <v>92</v>
      </c>
      <c r="B95" s="478"/>
      <c r="C95" s="479"/>
      <c r="D95" s="479"/>
      <c r="E95" s="479"/>
      <c r="F95" s="480"/>
      <c r="G95" s="481"/>
      <c r="H95" s="481"/>
      <c r="I95" s="481"/>
      <c r="J95" s="479"/>
      <c r="K95" s="480"/>
      <c r="L95" s="479"/>
      <c r="M95" s="29"/>
      <c r="N95" s="30"/>
      <c r="O95" s="31"/>
      <c r="P95" s="37"/>
      <c r="Q95" s="37"/>
      <c r="R95" s="37"/>
    </row>
    <row r="96" spans="1:18" ht="69.95" customHeight="1">
      <c r="A96" s="478">
        <v>93</v>
      </c>
      <c r="B96" s="478"/>
      <c r="C96" s="479"/>
      <c r="D96" s="479"/>
      <c r="E96" s="479"/>
      <c r="F96" s="480"/>
      <c r="G96" s="481"/>
      <c r="H96" s="481"/>
      <c r="I96" s="481"/>
      <c r="J96" s="479"/>
      <c r="K96" s="480"/>
      <c r="L96" s="479"/>
      <c r="M96" s="29"/>
      <c r="N96" s="30"/>
      <c r="O96" s="31"/>
      <c r="P96" s="37"/>
      <c r="Q96" s="37"/>
      <c r="R96" s="37"/>
    </row>
    <row r="97" spans="1:18" ht="69.95" customHeight="1">
      <c r="A97" s="478">
        <v>94</v>
      </c>
      <c r="B97" s="478"/>
      <c r="C97" s="479"/>
      <c r="D97" s="479"/>
      <c r="E97" s="479"/>
      <c r="F97" s="480"/>
      <c r="G97" s="481"/>
      <c r="H97" s="481"/>
      <c r="I97" s="481"/>
      <c r="J97" s="479"/>
      <c r="K97" s="480"/>
      <c r="L97" s="479"/>
      <c r="M97" s="29"/>
      <c r="N97" s="30"/>
      <c r="O97" s="31"/>
      <c r="P97" s="37"/>
      <c r="Q97" s="37"/>
      <c r="R97" s="37"/>
    </row>
    <row r="98" spans="1:18" ht="69.95" customHeight="1">
      <c r="A98" s="478">
        <v>95</v>
      </c>
      <c r="B98" s="478"/>
      <c r="C98" s="479"/>
      <c r="D98" s="479"/>
      <c r="E98" s="479"/>
      <c r="F98" s="480"/>
      <c r="G98" s="481"/>
      <c r="H98" s="481"/>
      <c r="I98" s="481"/>
      <c r="J98" s="479"/>
      <c r="K98" s="480"/>
      <c r="L98" s="479"/>
      <c r="M98" s="29"/>
      <c r="N98" s="30"/>
      <c r="O98" s="31"/>
      <c r="P98" s="37"/>
      <c r="Q98" s="37"/>
      <c r="R98" s="37"/>
    </row>
    <row r="99" spans="1:18" ht="69.95" customHeight="1">
      <c r="A99" s="478">
        <v>96</v>
      </c>
      <c r="B99" s="478"/>
      <c r="C99" s="479"/>
      <c r="D99" s="479"/>
      <c r="E99" s="479"/>
      <c r="F99" s="480"/>
      <c r="G99" s="481"/>
      <c r="H99" s="481"/>
      <c r="I99" s="481"/>
      <c r="J99" s="479"/>
      <c r="K99" s="480"/>
      <c r="L99" s="479"/>
      <c r="M99" s="29"/>
      <c r="N99" s="30"/>
      <c r="O99" s="31"/>
      <c r="P99" s="37"/>
      <c r="Q99" s="37"/>
      <c r="R99" s="37"/>
    </row>
    <row r="100" spans="1:18" ht="69.95" customHeight="1">
      <c r="A100" s="478">
        <v>97</v>
      </c>
      <c r="B100" s="478"/>
      <c r="C100" s="479"/>
      <c r="D100" s="479"/>
      <c r="E100" s="479"/>
      <c r="F100" s="480"/>
      <c r="G100" s="481"/>
      <c r="H100" s="481"/>
      <c r="I100" s="481"/>
      <c r="J100" s="479"/>
      <c r="K100" s="480"/>
      <c r="L100" s="479"/>
      <c r="M100" s="29"/>
      <c r="N100" s="30"/>
      <c r="O100" s="31"/>
      <c r="P100" s="37"/>
      <c r="Q100" s="37"/>
      <c r="R100" s="37"/>
    </row>
    <row r="101" spans="1:18" ht="69.95" customHeight="1">
      <c r="A101" s="478">
        <v>98</v>
      </c>
      <c r="B101" s="478"/>
      <c r="C101" s="479"/>
      <c r="D101" s="479"/>
      <c r="E101" s="479"/>
      <c r="F101" s="480"/>
      <c r="G101" s="481"/>
      <c r="H101" s="481"/>
      <c r="I101" s="481"/>
      <c r="J101" s="479"/>
      <c r="K101" s="480"/>
      <c r="L101" s="479"/>
      <c r="M101" s="29"/>
      <c r="N101" s="30"/>
      <c r="O101" s="31"/>
      <c r="P101" s="37"/>
      <c r="Q101" s="37"/>
      <c r="R101" s="37"/>
    </row>
    <row r="102" spans="1:18" ht="69.95" customHeight="1">
      <c r="A102" s="478">
        <v>99</v>
      </c>
      <c r="B102" s="478"/>
      <c r="C102" s="479"/>
      <c r="D102" s="479"/>
      <c r="E102" s="479"/>
      <c r="F102" s="480"/>
      <c r="G102" s="481"/>
      <c r="H102" s="481"/>
      <c r="I102" s="481"/>
      <c r="J102" s="479"/>
      <c r="K102" s="480"/>
      <c r="L102" s="479"/>
      <c r="M102" s="29"/>
      <c r="N102" s="30"/>
      <c r="O102" s="31"/>
      <c r="P102" s="37"/>
      <c r="Q102" s="37"/>
      <c r="R102" s="37"/>
    </row>
    <row r="103" spans="1:18" ht="69.95" customHeight="1">
      <c r="A103" s="478">
        <v>100</v>
      </c>
      <c r="B103" s="478"/>
      <c r="C103" s="479"/>
      <c r="D103" s="479"/>
      <c r="E103" s="479"/>
      <c r="F103" s="480"/>
      <c r="G103" s="481"/>
      <c r="H103" s="481"/>
      <c r="I103" s="481"/>
      <c r="J103" s="479"/>
      <c r="K103" s="480"/>
      <c r="L103" s="479"/>
      <c r="M103" s="29"/>
      <c r="N103" s="30"/>
      <c r="O103" s="31"/>
      <c r="P103" s="37"/>
      <c r="Q103" s="37"/>
      <c r="R103" s="37"/>
    </row>
    <row r="104" spans="1:18" ht="69.95" customHeight="1">
      <c r="A104" s="478">
        <v>101</v>
      </c>
      <c r="B104" s="478"/>
      <c r="C104" s="479"/>
      <c r="D104" s="479"/>
      <c r="E104" s="479"/>
      <c r="F104" s="480"/>
      <c r="G104" s="481"/>
      <c r="H104" s="481"/>
      <c r="I104" s="481"/>
      <c r="J104" s="479"/>
      <c r="K104" s="480"/>
      <c r="L104" s="479"/>
      <c r="M104" s="29"/>
      <c r="N104" s="30"/>
      <c r="O104" s="31"/>
      <c r="P104" s="37"/>
      <c r="Q104" s="37"/>
      <c r="R104" s="37"/>
    </row>
    <row r="105" spans="1:18" ht="69.95" customHeight="1">
      <c r="A105" s="478">
        <v>102</v>
      </c>
      <c r="B105" s="478"/>
      <c r="C105" s="479"/>
      <c r="D105" s="479"/>
      <c r="E105" s="479"/>
      <c r="F105" s="480"/>
      <c r="G105" s="481"/>
      <c r="H105" s="481"/>
      <c r="I105" s="481"/>
      <c r="J105" s="479"/>
      <c r="K105" s="480"/>
      <c r="L105" s="479"/>
      <c r="M105" s="29"/>
      <c r="N105" s="30"/>
      <c r="O105" s="31"/>
      <c r="P105" s="37"/>
      <c r="Q105" s="37"/>
      <c r="R105" s="37"/>
    </row>
    <row r="106" spans="1:18" ht="69.95" customHeight="1">
      <c r="A106" s="478">
        <v>103</v>
      </c>
      <c r="B106" s="478"/>
      <c r="C106" s="479"/>
      <c r="D106" s="479"/>
      <c r="E106" s="479"/>
      <c r="F106" s="480"/>
      <c r="G106" s="481"/>
      <c r="H106" s="481"/>
      <c r="I106" s="481"/>
      <c r="J106" s="479"/>
      <c r="K106" s="480"/>
      <c r="L106" s="479"/>
      <c r="M106" s="29"/>
      <c r="N106" s="30"/>
      <c r="O106" s="31"/>
      <c r="P106" s="37"/>
      <c r="Q106" s="37"/>
      <c r="R106" s="37"/>
    </row>
    <row r="107" spans="1:18" ht="69.95" customHeight="1">
      <c r="A107" s="478">
        <v>104</v>
      </c>
      <c r="B107" s="478"/>
      <c r="C107" s="479"/>
      <c r="D107" s="479"/>
      <c r="E107" s="479"/>
      <c r="F107" s="480"/>
      <c r="G107" s="481"/>
      <c r="H107" s="481"/>
      <c r="I107" s="481"/>
      <c r="J107" s="479"/>
      <c r="K107" s="480"/>
      <c r="L107" s="479"/>
      <c r="M107" s="29"/>
      <c r="N107" s="30"/>
      <c r="O107" s="31"/>
      <c r="P107" s="37"/>
      <c r="Q107" s="37"/>
      <c r="R107" s="37"/>
    </row>
    <row r="108" spans="1:18" ht="69.95" customHeight="1">
      <c r="A108" s="478">
        <v>105</v>
      </c>
      <c r="B108" s="478"/>
      <c r="C108" s="479"/>
      <c r="D108" s="479"/>
      <c r="E108" s="479"/>
      <c r="F108" s="480"/>
      <c r="G108" s="481"/>
      <c r="H108" s="481"/>
      <c r="I108" s="481"/>
      <c r="J108" s="479"/>
      <c r="K108" s="480"/>
      <c r="L108" s="479"/>
      <c r="M108" s="29"/>
      <c r="N108" s="30"/>
      <c r="O108" s="31"/>
      <c r="P108" s="37"/>
      <c r="Q108" s="37"/>
      <c r="R108" s="37"/>
    </row>
    <row r="109" spans="1:18" ht="69.95" customHeight="1">
      <c r="A109" s="478">
        <v>106</v>
      </c>
      <c r="B109" s="478"/>
      <c r="C109" s="479"/>
      <c r="D109" s="479"/>
      <c r="E109" s="479"/>
      <c r="F109" s="480"/>
      <c r="G109" s="481"/>
      <c r="H109" s="481"/>
      <c r="I109" s="481"/>
      <c r="J109" s="479"/>
      <c r="K109" s="480"/>
      <c r="L109" s="479"/>
      <c r="M109" s="29"/>
      <c r="N109" s="30"/>
      <c r="O109" s="31"/>
      <c r="P109" s="37"/>
      <c r="Q109" s="37"/>
      <c r="R109" s="37"/>
    </row>
    <row r="110" spans="1:18" ht="69.95" customHeight="1">
      <c r="A110" s="478">
        <v>107</v>
      </c>
      <c r="B110" s="478"/>
      <c r="C110" s="479"/>
      <c r="D110" s="479"/>
      <c r="E110" s="479"/>
      <c r="F110" s="480"/>
      <c r="G110" s="481"/>
      <c r="H110" s="481"/>
      <c r="I110" s="481"/>
      <c r="J110" s="479"/>
      <c r="K110" s="480"/>
      <c r="L110" s="479"/>
      <c r="M110" s="29"/>
      <c r="N110" s="30"/>
      <c r="O110" s="31"/>
      <c r="P110" s="37"/>
      <c r="Q110" s="37"/>
      <c r="R110" s="37"/>
    </row>
    <row r="111" spans="1:18" ht="69.95" customHeight="1">
      <c r="A111" s="478">
        <v>108</v>
      </c>
      <c r="B111" s="478"/>
      <c r="C111" s="479"/>
      <c r="D111" s="479"/>
      <c r="E111" s="479"/>
      <c r="F111" s="480"/>
      <c r="G111" s="481"/>
      <c r="H111" s="481"/>
      <c r="I111" s="481"/>
      <c r="J111" s="479"/>
      <c r="K111" s="480"/>
      <c r="L111" s="479"/>
      <c r="M111" s="29"/>
      <c r="N111" s="30"/>
      <c r="O111" s="31"/>
      <c r="P111" s="37"/>
      <c r="Q111" s="37"/>
      <c r="R111" s="37"/>
    </row>
    <row r="112" spans="1:18" ht="69.95" customHeight="1">
      <c r="A112" s="478">
        <v>109</v>
      </c>
      <c r="B112" s="478"/>
      <c r="C112" s="479"/>
      <c r="D112" s="479"/>
      <c r="E112" s="479"/>
      <c r="F112" s="480"/>
      <c r="G112" s="481"/>
      <c r="H112" s="481"/>
      <c r="I112" s="481"/>
      <c r="J112" s="479"/>
      <c r="K112" s="480"/>
      <c r="L112" s="479"/>
      <c r="M112" s="29"/>
      <c r="N112" s="30"/>
      <c r="O112" s="31"/>
      <c r="P112" s="37"/>
      <c r="Q112" s="37"/>
      <c r="R112" s="37"/>
    </row>
    <row r="113" spans="1:18" ht="69.95" customHeight="1">
      <c r="A113" s="478">
        <v>110</v>
      </c>
      <c r="B113" s="478"/>
      <c r="C113" s="479"/>
      <c r="D113" s="479"/>
      <c r="E113" s="479"/>
      <c r="F113" s="480"/>
      <c r="G113" s="481"/>
      <c r="H113" s="481"/>
      <c r="I113" s="481"/>
      <c r="J113" s="479"/>
      <c r="K113" s="480"/>
      <c r="L113" s="479"/>
      <c r="M113" s="29"/>
      <c r="N113" s="30"/>
      <c r="O113" s="31"/>
      <c r="P113" s="37"/>
      <c r="Q113" s="37"/>
      <c r="R113" s="37"/>
    </row>
    <row r="114" spans="1:18" ht="69.95" customHeight="1">
      <c r="A114" s="478">
        <v>111</v>
      </c>
      <c r="B114" s="478"/>
      <c r="C114" s="479"/>
      <c r="D114" s="479"/>
      <c r="E114" s="479"/>
      <c r="F114" s="480"/>
      <c r="G114" s="481"/>
      <c r="H114" s="481"/>
      <c r="I114" s="481"/>
      <c r="J114" s="479"/>
      <c r="K114" s="480"/>
      <c r="L114" s="479"/>
      <c r="M114" s="29"/>
      <c r="N114" s="30"/>
      <c r="O114" s="31"/>
      <c r="P114" s="37"/>
      <c r="Q114" s="37"/>
      <c r="R114" s="37"/>
    </row>
    <row r="115" spans="1:18" ht="69.95" customHeight="1">
      <c r="A115" s="478">
        <v>112</v>
      </c>
      <c r="B115" s="478"/>
      <c r="C115" s="479"/>
      <c r="D115" s="479"/>
      <c r="E115" s="479"/>
      <c r="F115" s="480"/>
      <c r="G115" s="481"/>
      <c r="H115" s="481"/>
      <c r="I115" s="481"/>
      <c r="J115" s="479"/>
      <c r="K115" s="480"/>
      <c r="L115" s="479"/>
      <c r="M115" s="29"/>
      <c r="N115" s="30"/>
      <c r="O115" s="31"/>
      <c r="P115" s="37"/>
      <c r="Q115" s="37"/>
      <c r="R115" s="37"/>
    </row>
    <row r="116" spans="1:18" ht="69.95" customHeight="1">
      <c r="A116" s="478">
        <v>113</v>
      </c>
      <c r="B116" s="478"/>
      <c r="C116" s="479"/>
      <c r="D116" s="479"/>
      <c r="E116" s="479"/>
      <c r="F116" s="480"/>
      <c r="G116" s="481"/>
      <c r="H116" s="481"/>
      <c r="I116" s="481"/>
      <c r="J116" s="479"/>
      <c r="K116" s="480"/>
      <c r="L116" s="479"/>
      <c r="M116" s="29"/>
      <c r="N116" s="30"/>
      <c r="O116" s="31"/>
      <c r="P116" s="37"/>
      <c r="Q116" s="37"/>
      <c r="R116" s="37"/>
    </row>
    <row r="117" spans="1:18" ht="69.95" customHeight="1">
      <c r="A117" s="478">
        <v>114</v>
      </c>
      <c r="B117" s="478"/>
      <c r="C117" s="479"/>
      <c r="D117" s="479"/>
      <c r="E117" s="479"/>
      <c r="F117" s="480"/>
      <c r="G117" s="481"/>
      <c r="H117" s="481"/>
      <c r="I117" s="481"/>
      <c r="J117" s="479"/>
      <c r="K117" s="480"/>
      <c r="L117" s="479"/>
      <c r="M117" s="29"/>
      <c r="N117" s="30"/>
      <c r="O117" s="31"/>
      <c r="P117" s="37"/>
      <c r="Q117" s="37"/>
      <c r="R117" s="37"/>
    </row>
    <row r="118" spans="1:18" ht="69.95" customHeight="1">
      <c r="A118" s="478">
        <v>115</v>
      </c>
      <c r="B118" s="478"/>
      <c r="C118" s="479"/>
      <c r="D118" s="479"/>
      <c r="E118" s="479"/>
      <c r="F118" s="480"/>
      <c r="G118" s="481"/>
      <c r="H118" s="481"/>
      <c r="I118" s="481"/>
      <c r="J118" s="479"/>
      <c r="K118" s="480"/>
      <c r="L118" s="479"/>
      <c r="M118" s="29"/>
      <c r="N118" s="30"/>
      <c r="O118" s="31"/>
      <c r="P118" s="37"/>
      <c r="Q118" s="37"/>
      <c r="R118" s="37"/>
    </row>
    <row r="119" spans="1:18" ht="69.95" customHeight="1">
      <c r="A119" s="478">
        <v>116</v>
      </c>
      <c r="B119" s="478"/>
      <c r="C119" s="479"/>
      <c r="D119" s="479"/>
      <c r="E119" s="479"/>
      <c r="F119" s="480"/>
      <c r="G119" s="481"/>
      <c r="H119" s="481"/>
      <c r="I119" s="481"/>
      <c r="J119" s="479"/>
      <c r="K119" s="480"/>
      <c r="L119" s="479"/>
      <c r="M119" s="29"/>
      <c r="N119" s="30"/>
      <c r="O119" s="31"/>
      <c r="P119" s="37"/>
      <c r="Q119" s="37"/>
      <c r="R119" s="37"/>
    </row>
    <row r="120" spans="1:18" ht="69.95" customHeight="1">
      <c r="A120" s="478">
        <v>117</v>
      </c>
      <c r="B120" s="478"/>
      <c r="C120" s="479"/>
      <c r="D120" s="479"/>
      <c r="E120" s="479"/>
      <c r="F120" s="480"/>
      <c r="G120" s="481"/>
      <c r="H120" s="481"/>
      <c r="I120" s="481"/>
      <c r="J120" s="479"/>
      <c r="K120" s="480"/>
      <c r="L120" s="479"/>
      <c r="M120" s="29"/>
      <c r="N120" s="30"/>
      <c r="O120" s="31"/>
      <c r="P120" s="37"/>
      <c r="Q120" s="37"/>
      <c r="R120" s="37"/>
    </row>
    <row r="121" spans="1:18" ht="69.95" customHeight="1">
      <c r="A121" s="478">
        <v>118</v>
      </c>
      <c r="B121" s="478"/>
      <c r="C121" s="479"/>
      <c r="D121" s="479"/>
      <c r="E121" s="479"/>
      <c r="F121" s="480"/>
      <c r="G121" s="481"/>
      <c r="H121" s="481"/>
      <c r="I121" s="481"/>
      <c r="J121" s="479"/>
      <c r="K121" s="480"/>
      <c r="L121" s="479"/>
      <c r="M121" s="29"/>
      <c r="N121" s="30"/>
      <c r="O121" s="31"/>
      <c r="P121" s="37"/>
      <c r="Q121" s="37"/>
      <c r="R121" s="37"/>
    </row>
    <row r="122" spans="1:18" ht="69.95" customHeight="1">
      <c r="A122" s="478">
        <v>119</v>
      </c>
      <c r="B122" s="478"/>
      <c r="C122" s="479"/>
      <c r="D122" s="479"/>
      <c r="E122" s="479"/>
      <c r="F122" s="480"/>
      <c r="G122" s="481"/>
      <c r="H122" s="481"/>
      <c r="I122" s="481"/>
      <c r="J122" s="479"/>
      <c r="K122" s="480"/>
      <c r="L122" s="479"/>
      <c r="M122" s="29"/>
      <c r="N122" s="30"/>
      <c r="O122" s="31"/>
      <c r="P122" s="37"/>
      <c r="Q122" s="37"/>
      <c r="R122" s="37"/>
    </row>
    <row r="123" spans="1:18" ht="69.95" customHeight="1">
      <c r="A123" s="478">
        <v>120</v>
      </c>
      <c r="B123" s="478"/>
      <c r="C123" s="479"/>
      <c r="D123" s="479"/>
      <c r="E123" s="479"/>
      <c r="F123" s="480"/>
      <c r="G123" s="481"/>
      <c r="H123" s="481"/>
      <c r="I123" s="481"/>
      <c r="J123" s="479"/>
      <c r="K123" s="480"/>
      <c r="L123" s="479"/>
      <c r="M123" s="29"/>
      <c r="N123" s="30"/>
      <c r="O123" s="31"/>
      <c r="P123" s="37"/>
      <c r="Q123" s="37"/>
      <c r="R123" s="37"/>
    </row>
    <row r="124" spans="1:18" ht="69.95" customHeight="1">
      <c r="A124" s="478">
        <v>121</v>
      </c>
      <c r="B124" s="478"/>
      <c r="C124" s="479"/>
      <c r="D124" s="479"/>
      <c r="E124" s="479"/>
      <c r="F124" s="480"/>
      <c r="G124" s="481"/>
      <c r="H124" s="481"/>
      <c r="I124" s="481"/>
      <c r="J124" s="479"/>
      <c r="K124" s="480"/>
      <c r="L124" s="479"/>
      <c r="M124" s="29"/>
      <c r="N124" s="30"/>
      <c r="O124" s="31"/>
      <c r="P124" s="37"/>
      <c r="Q124" s="37"/>
      <c r="R124" s="37"/>
    </row>
    <row r="125" spans="1:18" ht="69.95" customHeight="1">
      <c r="A125" s="478">
        <v>122</v>
      </c>
      <c r="B125" s="478"/>
      <c r="C125" s="479"/>
      <c r="D125" s="479"/>
      <c r="E125" s="479"/>
      <c r="F125" s="480"/>
      <c r="G125" s="481"/>
      <c r="H125" s="481"/>
      <c r="I125" s="481"/>
      <c r="J125" s="479"/>
      <c r="K125" s="480"/>
      <c r="L125" s="479"/>
      <c r="M125" s="29"/>
      <c r="N125" s="30"/>
      <c r="O125" s="31"/>
      <c r="P125" s="37"/>
      <c r="Q125" s="37"/>
      <c r="R125" s="37"/>
    </row>
    <row r="126" spans="1:18" ht="69.95" customHeight="1">
      <c r="A126" s="478">
        <v>123</v>
      </c>
      <c r="B126" s="478"/>
      <c r="C126" s="479"/>
      <c r="D126" s="479"/>
      <c r="E126" s="479"/>
      <c r="F126" s="480"/>
      <c r="G126" s="481"/>
      <c r="H126" s="481"/>
      <c r="I126" s="481"/>
      <c r="J126" s="479"/>
      <c r="K126" s="480"/>
      <c r="L126" s="479"/>
      <c r="M126" s="29"/>
      <c r="N126" s="30"/>
      <c r="O126" s="31"/>
      <c r="P126" s="37"/>
      <c r="Q126" s="37"/>
      <c r="R126" s="37"/>
    </row>
    <row r="127" spans="1:18" ht="69.95" customHeight="1">
      <c r="A127" s="478">
        <v>124</v>
      </c>
      <c r="B127" s="478"/>
      <c r="C127" s="479"/>
      <c r="D127" s="479"/>
      <c r="E127" s="479"/>
      <c r="F127" s="480"/>
      <c r="G127" s="481"/>
      <c r="H127" s="481"/>
      <c r="I127" s="481"/>
      <c r="J127" s="479"/>
      <c r="K127" s="480"/>
      <c r="L127" s="479"/>
      <c r="M127" s="29"/>
      <c r="N127" s="30"/>
      <c r="O127" s="31"/>
      <c r="P127" s="37"/>
      <c r="Q127" s="37"/>
      <c r="R127" s="37"/>
    </row>
    <row r="128" spans="1:18" ht="69.95" customHeight="1">
      <c r="A128" s="478">
        <v>125</v>
      </c>
      <c r="B128" s="478"/>
      <c r="C128" s="479"/>
      <c r="D128" s="479"/>
      <c r="E128" s="479"/>
      <c r="F128" s="480"/>
      <c r="G128" s="481"/>
      <c r="H128" s="481"/>
      <c r="I128" s="481"/>
      <c r="J128" s="479"/>
      <c r="K128" s="480"/>
      <c r="L128" s="479"/>
      <c r="M128" s="29"/>
      <c r="N128" s="30"/>
      <c r="O128" s="31"/>
      <c r="P128" s="37"/>
      <c r="Q128" s="37"/>
      <c r="R128" s="37"/>
    </row>
    <row r="129" spans="1:18" ht="69.95" customHeight="1">
      <c r="A129" s="478">
        <v>126</v>
      </c>
      <c r="B129" s="478"/>
      <c r="C129" s="479"/>
      <c r="D129" s="479"/>
      <c r="E129" s="479"/>
      <c r="F129" s="480"/>
      <c r="G129" s="481"/>
      <c r="H129" s="481"/>
      <c r="I129" s="481"/>
      <c r="J129" s="479"/>
      <c r="K129" s="480"/>
      <c r="L129" s="479"/>
      <c r="M129" s="29"/>
      <c r="N129" s="30"/>
      <c r="O129" s="31"/>
      <c r="P129" s="37"/>
      <c r="Q129" s="37"/>
      <c r="R129" s="37"/>
    </row>
    <row r="130" spans="1:18" ht="69.95" customHeight="1">
      <c r="A130" s="478">
        <v>127</v>
      </c>
      <c r="B130" s="478"/>
      <c r="C130" s="479"/>
      <c r="D130" s="479"/>
      <c r="E130" s="479"/>
      <c r="F130" s="480"/>
      <c r="G130" s="481"/>
      <c r="H130" s="481"/>
      <c r="I130" s="481"/>
      <c r="J130" s="479"/>
      <c r="K130" s="480"/>
      <c r="L130" s="479"/>
      <c r="M130" s="29"/>
      <c r="N130" s="30"/>
      <c r="O130" s="31"/>
      <c r="P130" s="37"/>
      <c r="Q130" s="37"/>
      <c r="R130" s="37"/>
    </row>
    <row r="131" spans="1:18" ht="69.95" customHeight="1">
      <c r="A131" s="478">
        <v>128</v>
      </c>
      <c r="B131" s="478"/>
      <c r="C131" s="479"/>
      <c r="D131" s="479"/>
      <c r="E131" s="479"/>
      <c r="F131" s="480"/>
      <c r="G131" s="481"/>
      <c r="H131" s="481"/>
      <c r="I131" s="481"/>
      <c r="J131" s="479"/>
      <c r="K131" s="480"/>
      <c r="L131" s="479"/>
      <c r="M131" s="29"/>
      <c r="N131" s="30"/>
      <c r="O131" s="31"/>
      <c r="P131" s="37"/>
      <c r="Q131" s="37"/>
      <c r="R131" s="37"/>
    </row>
    <row r="132" spans="1:18" ht="69.95" customHeight="1">
      <c r="A132" s="478">
        <v>129</v>
      </c>
      <c r="B132" s="478"/>
      <c r="C132" s="479"/>
      <c r="D132" s="479"/>
      <c r="E132" s="479"/>
      <c r="F132" s="480"/>
      <c r="G132" s="481"/>
      <c r="H132" s="481"/>
      <c r="I132" s="481"/>
      <c r="J132" s="479"/>
      <c r="K132" s="480"/>
      <c r="L132" s="479"/>
      <c r="M132" s="29"/>
      <c r="N132" s="30"/>
      <c r="O132" s="31"/>
      <c r="P132" s="37"/>
      <c r="Q132" s="37"/>
      <c r="R132" s="37"/>
    </row>
    <row r="133" spans="1:18" ht="69.95" customHeight="1">
      <c r="A133" s="478">
        <v>130</v>
      </c>
      <c r="B133" s="478"/>
      <c r="C133" s="479"/>
      <c r="D133" s="479"/>
      <c r="E133" s="479"/>
      <c r="F133" s="480"/>
      <c r="G133" s="481"/>
      <c r="H133" s="481"/>
      <c r="I133" s="481"/>
      <c r="J133" s="479"/>
      <c r="K133" s="480"/>
      <c r="L133" s="479"/>
      <c r="M133" s="29"/>
      <c r="N133" s="30"/>
      <c r="O133" s="31"/>
      <c r="P133" s="37"/>
      <c r="Q133" s="37"/>
      <c r="R133" s="37"/>
    </row>
    <row r="134" spans="1:18" ht="69.95" customHeight="1">
      <c r="A134" s="478">
        <v>131</v>
      </c>
      <c r="B134" s="478"/>
      <c r="C134" s="479"/>
      <c r="D134" s="479"/>
      <c r="E134" s="479"/>
      <c r="F134" s="480"/>
      <c r="G134" s="481"/>
      <c r="H134" s="481"/>
      <c r="I134" s="481"/>
      <c r="J134" s="479"/>
      <c r="K134" s="480"/>
      <c r="L134" s="479"/>
      <c r="M134" s="29"/>
      <c r="N134" s="30"/>
      <c r="O134" s="31"/>
      <c r="P134" s="37"/>
      <c r="Q134" s="37"/>
      <c r="R134" s="37"/>
    </row>
    <row r="135" spans="1:18" ht="69.95" customHeight="1">
      <c r="A135" s="478">
        <v>132</v>
      </c>
      <c r="B135" s="478"/>
      <c r="C135" s="479"/>
      <c r="D135" s="479"/>
      <c r="E135" s="479"/>
      <c r="F135" s="480"/>
      <c r="G135" s="481"/>
      <c r="H135" s="481"/>
      <c r="I135" s="481"/>
      <c r="J135" s="479"/>
      <c r="K135" s="480"/>
      <c r="L135" s="479"/>
      <c r="M135" s="29"/>
      <c r="N135" s="30"/>
      <c r="O135" s="31"/>
      <c r="P135" s="37"/>
      <c r="Q135" s="37"/>
      <c r="R135" s="37"/>
    </row>
    <row r="136" spans="1:18" ht="69.95" customHeight="1">
      <c r="A136" s="478">
        <v>133</v>
      </c>
      <c r="B136" s="478"/>
      <c r="C136" s="479"/>
      <c r="D136" s="479"/>
      <c r="E136" s="479"/>
      <c r="F136" s="480"/>
      <c r="G136" s="481"/>
      <c r="H136" s="481"/>
      <c r="I136" s="481"/>
      <c r="J136" s="479"/>
      <c r="K136" s="480"/>
      <c r="L136" s="479"/>
      <c r="M136" s="29"/>
      <c r="N136" s="30"/>
      <c r="O136" s="31"/>
      <c r="P136" s="37"/>
      <c r="Q136" s="37"/>
      <c r="R136" s="37"/>
    </row>
    <row r="137" spans="1:18" ht="69.95" customHeight="1">
      <c r="A137" s="478">
        <v>134</v>
      </c>
      <c r="B137" s="478"/>
      <c r="C137" s="479"/>
      <c r="D137" s="479"/>
      <c r="E137" s="479"/>
      <c r="F137" s="480"/>
      <c r="G137" s="481"/>
      <c r="H137" s="481"/>
      <c r="I137" s="481"/>
      <c r="J137" s="479"/>
      <c r="K137" s="480"/>
      <c r="L137" s="479"/>
      <c r="M137" s="29"/>
      <c r="N137" s="30"/>
      <c r="O137" s="31"/>
      <c r="P137" s="37"/>
      <c r="Q137" s="37"/>
      <c r="R137" s="37"/>
    </row>
    <row r="138" spans="1:18" ht="69.95" customHeight="1">
      <c r="A138" s="478">
        <v>135</v>
      </c>
      <c r="B138" s="478"/>
      <c r="C138" s="479"/>
      <c r="D138" s="479"/>
      <c r="E138" s="479"/>
      <c r="F138" s="480"/>
      <c r="G138" s="481"/>
      <c r="H138" s="481"/>
      <c r="I138" s="481"/>
      <c r="J138" s="479"/>
      <c r="K138" s="480"/>
      <c r="L138" s="479"/>
      <c r="M138" s="29"/>
      <c r="N138" s="30"/>
      <c r="O138" s="31"/>
      <c r="P138" s="37"/>
      <c r="Q138" s="37"/>
      <c r="R138" s="37"/>
    </row>
    <row r="139" spans="1:18" ht="69.95" customHeight="1">
      <c r="A139" s="478">
        <v>136</v>
      </c>
      <c r="B139" s="478"/>
      <c r="C139" s="479"/>
      <c r="D139" s="479"/>
      <c r="E139" s="479"/>
      <c r="F139" s="480"/>
      <c r="G139" s="481"/>
      <c r="H139" s="481"/>
      <c r="I139" s="481"/>
      <c r="J139" s="479"/>
      <c r="K139" s="480"/>
      <c r="L139" s="479"/>
      <c r="M139" s="29"/>
      <c r="N139" s="30"/>
      <c r="O139" s="31"/>
      <c r="P139" s="37"/>
      <c r="Q139" s="37"/>
      <c r="R139" s="37"/>
    </row>
    <row r="140" spans="1:18" ht="69.95" customHeight="1">
      <c r="A140" s="478">
        <v>137</v>
      </c>
      <c r="B140" s="478"/>
      <c r="C140" s="479"/>
      <c r="D140" s="479"/>
      <c r="E140" s="479"/>
      <c r="F140" s="480"/>
      <c r="G140" s="481"/>
      <c r="H140" s="481"/>
      <c r="I140" s="481"/>
      <c r="J140" s="479"/>
      <c r="K140" s="480"/>
      <c r="L140" s="479"/>
      <c r="M140" s="29"/>
      <c r="N140" s="30"/>
      <c r="O140" s="31"/>
      <c r="P140" s="37"/>
      <c r="Q140" s="37"/>
      <c r="R140" s="37"/>
    </row>
    <row r="141" spans="1:18" ht="69.95" customHeight="1">
      <c r="A141" s="478">
        <v>138</v>
      </c>
      <c r="B141" s="478"/>
      <c r="C141" s="479"/>
      <c r="D141" s="479"/>
      <c r="E141" s="479"/>
      <c r="F141" s="480"/>
      <c r="G141" s="481"/>
      <c r="H141" s="481"/>
      <c r="I141" s="481"/>
      <c r="J141" s="479"/>
      <c r="K141" s="480"/>
      <c r="L141" s="479"/>
      <c r="M141" s="29"/>
      <c r="N141" s="30"/>
      <c r="O141" s="31"/>
      <c r="P141" s="37"/>
      <c r="Q141" s="37"/>
      <c r="R141" s="37"/>
    </row>
    <row r="142" spans="1:18" ht="69.95" customHeight="1">
      <c r="A142" s="478">
        <v>139</v>
      </c>
      <c r="B142" s="478"/>
      <c r="C142" s="479"/>
      <c r="D142" s="479"/>
      <c r="E142" s="479"/>
      <c r="F142" s="480"/>
      <c r="G142" s="481"/>
      <c r="H142" s="481"/>
      <c r="I142" s="481"/>
      <c r="J142" s="479"/>
      <c r="K142" s="480"/>
      <c r="L142" s="479"/>
      <c r="M142" s="29"/>
      <c r="N142" s="30"/>
      <c r="O142" s="31"/>
      <c r="P142" s="37"/>
      <c r="Q142" s="37"/>
      <c r="R142" s="37"/>
    </row>
    <row r="143" spans="1:18" ht="69.95" customHeight="1">
      <c r="A143" s="478">
        <v>140</v>
      </c>
      <c r="B143" s="478"/>
      <c r="C143" s="479"/>
      <c r="D143" s="479"/>
      <c r="E143" s="479"/>
      <c r="F143" s="480"/>
      <c r="G143" s="481"/>
      <c r="H143" s="481"/>
      <c r="I143" s="481"/>
      <c r="J143" s="479"/>
      <c r="K143" s="480"/>
      <c r="L143" s="479"/>
      <c r="M143" s="29"/>
      <c r="N143" s="30"/>
      <c r="O143" s="31"/>
      <c r="P143" s="37"/>
      <c r="Q143" s="37"/>
      <c r="R143" s="37"/>
    </row>
    <row r="144" spans="1:18" ht="69.95" customHeight="1">
      <c r="A144" s="478">
        <v>141</v>
      </c>
      <c r="B144" s="478"/>
      <c r="C144" s="479"/>
      <c r="D144" s="479"/>
      <c r="E144" s="479"/>
      <c r="F144" s="480"/>
      <c r="G144" s="481"/>
      <c r="H144" s="481"/>
      <c r="I144" s="481"/>
      <c r="J144" s="479"/>
      <c r="K144" s="480"/>
      <c r="L144" s="479"/>
      <c r="M144" s="29"/>
      <c r="N144" s="30"/>
      <c r="O144" s="31"/>
      <c r="P144" s="37"/>
      <c r="Q144" s="37"/>
      <c r="R144" s="37"/>
    </row>
    <row r="145" spans="1:18" ht="69.95" customHeight="1">
      <c r="A145" s="478">
        <v>142</v>
      </c>
      <c r="B145" s="478"/>
      <c r="C145" s="479"/>
      <c r="D145" s="479"/>
      <c r="E145" s="479"/>
      <c r="F145" s="480"/>
      <c r="G145" s="481"/>
      <c r="H145" s="481"/>
      <c r="I145" s="481"/>
      <c r="J145" s="479"/>
      <c r="K145" s="480"/>
      <c r="L145" s="479"/>
      <c r="M145" s="29"/>
      <c r="N145" s="30"/>
      <c r="O145" s="31"/>
      <c r="P145" s="37"/>
      <c r="Q145" s="37"/>
      <c r="R145" s="37"/>
    </row>
    <row r="146" spans="1:18" ht="69.95" customHeight="1">
      <c r="A146" s="478">
        <v>143</v>
      </c>
      <c r="B146" s="478"/>
      <c r="C146" s="479"/>
      <c r="D146" s="479"/>
      <c r="E146" s="479"/>
      <c r="F146" s="480"/>
      <c r="G146" s="481"/>
      <c r="H146" s="481"/>
      <c r="I146" s="481"/>
      <c r="J146" s="479"/>
      <c r="K146" s="480"/>
      <c r="L146" s="479"/>
      <c r="M146" s="29"/>
      <c r="N146" s="30"/>
      <c r="O146" s="31"/>
      <c r="P146" s="37"/>
      <c r="Q146" s="37"/>
      <c r="R146" s="37"/>
    </row>
    <row r="147" spans="1:18" ht="69.95" customHeight="1">
      <c r="A147" s="478">
        <v>144</v>
      </c>
      <c r="B147" s="478"/>
      <c r="C147" s="479"/>
      <c r="D147" s="479"/>
      <c r="E147" s="479"/>
      <c r="F147" s="480"/>
      <c r="G147" s="481"/>
      <c r="H147" s="481"/>
      <c r="I147" s="481"/>
      <c r="J147" s="479"/>
      <c r="K147" s="480"/>
      <c r="L147" s="479"/>
      <c r="M147" s="29"/>
      <c r="N147" s="30"/>
      <c r="O147" s="31"/>
      <c r="P147" s="37"/>
      <c r="Q147" s="37"/>
      <c r="R147" s="37"/>
    </row>
    <row r="148" spans="1:18" ht="69.95" customHeight="1">
      <c r="A148" s="478">
        <v>145</v>
      </c>
      <c r="B148" s="478"/>
      <c r="C148" s="479"/>
      <c r="D148" s="479"/>
      <c r="E148" s="479"/>
      <c r="F148" s="480"/>
      <c r="G148" s="481"/>
      <c r="H148" s="481"/>
      <c r="I148" s="481"/>
      <c r="J148" s="479"/>
      <c r="K148" s="480"/>
      <c r="L148" s="479"/>
      <c r="M148" s="29"/>
      <c r="N148" s="30"/>
      <c r="O148" s="31"/>
      <c r="P148" s="37"/>
      <c r="Q148" s="37"/>
      <c r="R148" s="37"/>
    </row>
    <row r="149" spans="1:18" ht="69.95" customHeight="1">
      <c r="A149" s="478">
        <v>146</v>
      </c>
      <c r="B149" s="478"/>
      <c r="C149" s="479"/>
      <c r="D149" s="479"/>
      <c r="E149" s="479"/>
      <c r="F149" s="480"/>
      <c r="G149" s="481"/>
      <c r="H149" s="481"/>
      <c r="I149" s="481"/>
      <c r="J149" s="479"/>
      <c r="K149" s="480"/>
      <c r="L149" s="479"/>
      <c r="M149" s="29"/>
      <c r="N149" s="30"/>
      <c r="O149" s="31"/>
      <c r="P149" s="37"/>
      <c r="Q149" s="37"/>
      <c r="R149" s="37"/>
    </row>
    <row r="150" spans="1:18" ht="69.95" customHeight="1">
      <c r="A150" s="478">
        <v>147</v>
      </c>
      <c r="B150" s="478"/>
      <c r="C150" s="479"/>
      <c r="D150" s="479"/>
      <c r="E150" s="479"/>
      <c r="F150" s="480"/>
      <c r="G150" s="481"/>
      <c r="H150" s="481"/>
      <c r="I150" s="481"/>
      <c r="J150" s="479"/>
      <c r="K150" s="480"/>
      <c r="L150" s="479"/>
      <c r="M150" s="29"/>
      <c r="N150" s="30"/>
      <c r="O150" s="31"/>
      <c r="P150" s="37"/>
      <c r="Q150" s="37"/>
      <c r="R150" s="37"/>
    </row>
    <row r="151" spans="1:18" ht="69.95" customHeight="1">
      <c r="A151" s="478">
        <v>148</v>
      </c>
      <c r="B151" s="478"/>
      <c r="C151" s="479"/>
      <c r="D151" s="479"/>
      <c r="E151" s="479"/>
      <c r="F151" s="480"/>
      <c r="G151" s="481"/>
      <c r="H151" s="481"/>
      <c r="I151" s="481"/>
      <c r="J151" s="479"/>
      <c r="K151" s="480"/>
      <c r="L151" s="479"/>
      <c r="M151" s="29"/>
      <c r="N151" s="30"/>
      <c r="O151" s="31"/>
      <c r="P151" s="37"/>
      <c r="Q151" s="37"/>
      <c r="R151" s="37"/>
    </row>
    <row r="152" spans="1:18" ht="69.95" customHeight="1">
      <c r="A152" s="478">
        <v>149</v>
      </c>
      <c r="B152" s="478"/>
      <c r="C152" s="479"/>
      <c r="D152" s="479"/>
      <c r="E152" s="479"/>
      <c r="F152" s="480"/>
      <c r="G152" s="481"/>
      <c r="H152" s="481"/>
      <c r="I152" s="481"/>
      <c r="J152" s="479"/>
      <c r="K152" s="480"/>
      <c r="L152" s="479"/>
      <c r="M152" s="29"/>
      <c r="N152" s="30"/>
      <c r="O152" s="31"/>
      <c r="P152" s="37"/>
      <c r="Q152" s="37"/>
      <c r="R152" s="37"/>
    </row>
    <row r="153" spans="1:18" ht="69.95" customHeight="1">
      <c r="A153" s="478">
        <v>150</v>
      </c>
      <c r="B153" s="478"/>
      <c r="C153" s="479"/>
      <c r="D153" s="479"/>
      <c r="E153" s="479"/>
      <c r="F153" s="480"/>
      <c r="G153" s="481"/>
      <c r="H153" s="481"/>
      <c r="I153" s="481"/>
      <c r="J153" s="479"/>
      <c r="K153" s="480"/>
      <c r="L153" s="479"/>
      <c r="M153" s="29"/>
      <c r="N153" s="30"/>
      <c r="O153" s="31"/>
      <c r="P153" s="37"/>
      <c r="Q153" s="37"/>
      <c r="R153" s="37"/>
    </row>
    <row r="154" spans="1:18" ht="69.95" customHeight="1">
      <c r="A154" s="478">
        <v>151</v>
      </c>
      <c r="B154" s="478"/>
      <c r="C154" s="479"/>
      <c r="D154" s="479"/>
      <c r="E154" s="479"/>
      <c r="F154" s="480"/>
      <c r="G154" s="481"/>
      <c r="H154" s="481"/>
      <c r="I154" s="481"/>
      <c r="J154" s="479"/>
      <c r="K154" s="480"/>
      <c r="L154" s="479"/>
      <c r="M154" s="29"/>
      <c r="N154" s="30"/>
      <c r="O154" s="31"/>
      <c r="P154" s="37"/>
      <c r="Q154" s="37"/>
      <c r="R154" s="37"/>
    </row>
    <row r="155" spans="1:18" ht="69.95" customHeight="1">
      <c r="A155" s="478">
        <v>152</v>
      </c>
      <c r="B155" s="478"/>
      <c r="C155" s="479"/>
      <c r="D155" s="479"/>
      <c r="E155" s="479"/>
      <c r="F155" s="480"/>
      <c r="G155" s="481"/>
      <c r="H155" s="481"/>
      <c r="I155" s="481"/>
      <c r="J155" s="479"/>
      <c r="K155" s="480"/>
      <c r="L155" s="479"/>
      <c r="M155" s="29"/>
      <c r="N155" s="30"/>
      <c r="O155" s="31"/>
      <c r="P155" s="37"/>
      <c r="Q155" s="37"/>
      <c r="R155" s="37"/>
    </row>
    <row r="156" spans="1:18" ht="69.95" customHeight="1">
      <c r="A156" s="478">
        <v>153</v>
      </c>
      <c r="B156" s="478"/>
      <c r="C156" s="479"/>
      <c r="D156" s="479"/>
      <c r="E156" s="479"/>
      <c r="F156" s="480"/>
      <c r="G156" s="481"/>
      <c r="H156" s="481"/>
      <c r="I156" s="481"/>
      <c r="J156" s="479"/>
      <c r="K156" s="480"/>
      <c r="L156" s="479"/>
      <c r="M156" s="29"/>
      <c r="N156" s="30"/>
      <c r="O156" s="31"/>
      <c r="P156" s="37"/>
      <c r="Q156" s="37"/>
      <c r="R156" s="37"/>
    </row>
    <row r="157" spans="1:18" ht="69.95" customHeight="1">
      <c r="A157" s="478">
        <v>154</v>
      </c>
      <c r="B157" s="478"/>
      <c r="C157" s="479"/>
      <c r="D157" s="479"/>
      <c r="E157" s="479"/>
      <c r="F157" s="480"/>
      <c r="G157" s="481"/>
      <c r="H157" s="481"/>
      <c r="I157" s="481"/>
      <c r="J157" s="479"/>
      <c r="K157" s="480"/>
      <c r="L157" s="479"/>
      <c r="M157" s="29"/>
      <c r="N157" s="30"/>
      <c r="O157" s="31"/>
      <c r="P157" s="37"/>
      <c r="Q157" s="37"/>
      <c r="R157" s="37"/>
    </row>
    <row r="158" spans="1:18" ht="69.95" customHeight="1">
      <c r="A158" s="478">
        <v>155</v>
      </c>
      <c r="B158" s="478"/>
      <c r="C158" s="479"/>
      <c r="D158" s="479"/>
      <c r="E158" s="479"/>
      <c r="F158" s="480"/>
      <c r="G158" s="481"/>
      <c r="H158" s="481"/>
      <c r="I158" s="481"/>
      <c r="J158" s="479"/>
      <c r="K158" s="480"/>
      <c r="L158" s="479"/>
      <c r="M158" s="29"/>
      <c r="N158" s="30"/>
      <c r="O158" s="31"/>
      <c r="P158" s="37"/>
      <c r="Q158" s="37"/>
      <c r="R158" s="37"/>
    </row>
    <row r="159" spans="1:18" ht="69.95" customHeight="1">
      <c r="A159" s="478">
        <v>156</v>
      </c>
      <c r="B159" s="478"/>
      <c r="C159" s="479"/>
      <c r="D159" s="479"/>
      <c r="E159" s="479"/>
      <c r="F159" s="480"/>
      <c r="G159" s="481"/>
      <c r="H159" s="481"/>
      <c r="I159" s="481"/>
      <c r="J159" s="479"/>
      <c r="K159" s="480"/>
      <c r="L159" s="479"/>
      <c r="M159" s="29"/>
      <c r="N159" s="30"/>
      <c r="O159" s="31"/>
      <c r="P159" s="37"/>
      <c r="Q159" s="37"/>
      <c r="R159" s="37"/>
    </row>
    <row r="160" spans="1:18" ht="69.95" customHeight="1">
      <c r="A160" s="478">
        <v>157</v>
      </c>
      <c r="B160" s="478"/>
      <c r="C160" s="479"/>
      <c r="D160" s="479"/>
      <c r="E160" s="479"/>
      <c r="F160" s="480"/>
      <c r="G160" s="481"/>
      <c r="H160" s="481"/>
      <c r="I160" s="481"/>
      <c r="J160" s="479"/>
      <c r="K160" s="480"/>
      <c r="L160" s="479"/>
      <c r="M160" s="29"/>
      <c r="N160" s="30"/>
      <c r="O160" s="31"/>
      <c r="P160" s="37"/>
      <c r="Q160" s="37"/>
      <c r="R160" s="37"/>
    </row>
    <row r="161" spans="1:18" ht="69.95" customHeight="1">
      <c r="A161" s="478">
        <v>158</v>
      </c>
      <c r="B161" s="478"/>
      <c r="C161" s="479"/>
      <c r="D161" s="479"/>
      <c r="E161" s="479"/>
      <c r="F161" s="480"/>
      <c r="G161" s="481"/>
      <c r="H161" s="481"/>
      <c r="I161" s="481"/>
      <c r="J161" s="479"/>
      <c r="K161" s="480"/>
      <c r="L161" s="479"/>
      <c r="M161" s="29"/>
      <c r="N161" s="30"/>
      <c r="O161" s="31"/>
      <c r="P161" s="37"/>
      <c r="Q161" s="37"/>
      <c r="R161" s="37"/>
    </row>
    <row r="162" spans="1:18" ht="69.95" customHeight="1">
      <c r="A162" s="478">
        <v>159</v>
      </c>
      <c r="B162" s="478"/>
      <c r="C162" s="479"/>
      <c r="D162" s="479"/>
      <c r="E162" s="479"/>
      <c r="F162" s="480"/>
      <c r="G162" s="481"/>
      <c r="H162" s="481"/>
      <c r="I162" s="481"/>
      <c r="J162" s="479"/>
      <c r="K162" s="480"/>
      <c r="L162" s="479"/>
      <c r="M162" s="29"/>
      <c r="N162" s="30"/>
      <c r="O162" s="31"/>
      <c r="P162" s="37"/>
      <c r="Q162" s="37"/>
      <c r="R162" s="37"/>
    </row>
    <row r="163" spans="1:18" ht="69.95" customHeight="1">
      <c r="A163" s="478">
        <v>160</v>
      </c>
      <c r="B163" s="478"/>
      <c r="C163" s="479"/>
      <c r="D163" s="479"/>
      <c r="E163" s="479"/>
      <c r="F163" s="480"/>
      <c r="G163" s="481"/>
      <c r="H163" s="481"/>
      <c r="I163" s="481"/>
      <c r="J163" s="479"/>
      <c r="K163" s="480"/>
      <c r="L163" s="479"/>
      <c r="M163" s="29"/>
      <c r="N163" s="30"/>
      <c r="O163" s="31"/>
      <c r="P163" s="37"/>
      <c r="Q163" s="37"/>
      <c r="R163" s="37"/>
    </row>
    <row r="164" spans="1:18" ht="69.95" customHeight="1">
      <c r="A164" s="478">
        <v>161</v>
      </c>
      <c r="B164" s="478"/>
      <c r="C164" s="479"/>
      <c r="D164" s="479"/>
      <c r="E164" s="479"/>
      <c r="F164" s="480"/>
      <c r="G164" s="481"/>
      <c r="H164" s="481"/>
      <c r="I164" s="481"/>
      <c r="J164" s="479"/>
      <c r="K164" s="480"/>
      <c r="L164" s="479"/>
      <c r="M164" s="29"/>
      <c r="N164" s="30"/>
      <c r="O164" s="31"/>
      <c r="P164" s="37"/>
      <c r="Q164" s="37"/>
      <c r="R164" s="37"/>
    </row>
    <row r="165" spans="1:18" ht="69.95" customHeight="1">
      <c r="A165" s="478">
        <v>162</v>
      </c>
      <c r="B165" s="478"/>
      <c r="C165" s="479"/>
      <c r="D165" s="479"/>
      <c r="E165" s="479"/>
      <c r="F165" s="480"/>
      <c r="G165" s="481"/>
      <c r="H165" s="481"/>
      <c r="I165" s="481"/>
      <c r="J165" s="479"/>
      <c r="K165" s="480"/>
      <c r="L165" s="479"/>
      <c r="M165" s="29"/>
      <c r="N165" s="30"/>
      <c r="O165" s="31"/>
      <c r="P165" s="37"/>
      <c r="Q165" s="37"/>
      <c r="R165" s="37"/>
    </row>
    <row r="166" spans="1:18" ht="69.95" customHeight="1">
      <c r="A166" s="478">
        <v>163</v>
      </c>
      <c r="B166" s="478"/>
      <c r="C166" s="479"/>
      <c r="D166" s="479"/>
      <c r="E166" s="479"/>
      <c r="F166" s="480"/>
      <c r="G166" s="481"/>
      <c r="H166" s="481"/>
      <c r="I166" s="481"/>
      <c r="J166" s="479"/>
      <c r="K166" s="480"/>
      <c r="L166" s="479"/>
      <c r="M166" s="29"/>
      <c r="N166" s="30"/>
      <c r="O166" s="31"/>
      <c r="P166" s="37"/>
      <c r="Q166" s="37"/>
      <c r="R166" s="37"/>
    </row>
    <row r="167" spans="1:18" ht="69.95" customHeight="1">
      <c r="A167" s="478">
        <v>164</v>
      </c>
      <c r="B167" s="478"/>
      <c r="C167" s="479"/>
      <c r="D167" s="479"/>
      <c r="E167" s="479"/>
      <c r="F167" s="480"/>
      <c r="G167" s="481"/>
      <c r="H167" s="481"/>
      <c r="I167" s="481"/>
      <c r="J167" s="479"/>
      <c r="K167" s="480"/>
      <c r="L167" s="479"/>
      <c r="M167" s="29"/>
      <c r="N167" s="30"/>
      <c r="O167" s="31"/>
      <c r="P167" s="37"/>
      <c r="Q167" s="37"/>
      <c r="R167" s="37"/>
    </row>
    <row r="168" spans="1:18" ht="69.95" customHeight="1">
      <c r="A168" s="478">
        <v>165</v>
      </c>
      <c r="B168" s="478"/>
      <c r="C168" s="479"/>
      <c r="D168" s="479"/>
      <c r="E168" s="479"/>
      <c r="F168" s="480"/>
      <c r="G168" s="481"/>
      <c r="H168" s="481"/>
      <c r="I168" s="481"/>
      <c r="J168" s="479"/>
      <c r="K168" s="480"/>
      <c r="L168" s="479"/>
      <c r="M168" s="29"/>
      <c r="N168" s="30"/>
      <c r="O168" s="31"/>
      <c r="P168" s="37"/>
      <c r="Q168" s="37"/>
      <c r="R168" s="37"/>
    </row>
    <row r="169" spans="1:18" ht="69.95" customHeight="1">
      <c r="A169" s="478">
        <v>166</v>
      </c>
      <c r="B169" s="478"/>
      <c r="C169" s="479"/>
      <c r="D169" s="479"/>
      <c r="E169" s="479"/>
      <c r="F169" s="480"/>
      <c r="G169" s="481"/>
      <c r="H169" s="481"/>
      <c r="I169" s="481"/>
      <c r="J169" s="479"/>
      <c r="K169" s="480"/>
      <c r="L169" s="479"/>
      <c r="M169" s="29"/>
      <c r="N169" s="30"/>
      <c r="O169" s="31"/>
      <c r="P169" s="37"/>
      <c r="Q169" s="37"/>
      <c r="R169" s="37"/>
    </row>
    <row r="170" spans="1:18" ht="69.95" customHeight="1">
      <c r="A170" s="478">
        <v>167</v>
      </c>
      <c r="B170" s="478"/>
      <c r="C170" s="479"/>
      <c r="D170" s="479"/>
      <c r="E170" s="479"/>
      <c r="F170" s="480"/>
      <c r="G170" s="481"/>
      <c r="H170" s="481"/>
      <c r="I170" s="481"/>
      <c r="J170" s="479"/>
      <c r="K170" s="480"/>
      <c r="L170" s="479"/>
      <c r="M170" s="29"/>
      <c r="N170" s="30"/>
      <c r="O170" s="31"/>
      <c r="P170" s="37"/>
      <c r="Q170" s="37"/>
      <c r="R170" s="37"/>
    </row>
    <row r="171" spans="1:18" ht="69.95" customHeight="1">
      <c r="A171" s="478">
        <v>168</v>
      </c>
      <c r="B171" s="478"/>
      <c r="C171" s="479"/>
      <c r="D171" s="479"/>
      <c r="E171" s="479"/>
      <c r="F171" s="480"/>
      <c r="G171" s="481"/>
      <c r="H171" s="481"/>
      <c r="I171" s="481"/>
      <c r="J171" s="479"/>
      <c r="K171" s="480"/>
      <c r="L171" s="479"/>
      <c r="M171" s="29"/>
      <c r="N171" s="30"/>
      <c r="O171" s="31"/>
      <c r="P171" s="37"/>
      <c r="Q171" s="37"/>
      <c r="R171" s="37"/>
    </row>
    <row r="172" spans="1:18" ht="69.95" customHeight="1">
      <c r="A172" s="478">
        <v>169</v>
      </c>
      <c r="B172" s="478"/>
      <c r="C172" s="479"/>
      <c r="D172" s="479"/>
      <c r="E172" s="479"/>
      <c r="F172" s="480"/>
      <c r="G172" s="481"/>
      <c r="H172" s="481"/>
      <c r="I172" s="481"/>
      <c r="J172" s="479"/>
      <c r="K172" s="480"/>
      <c r="L172" s="479"/>
      <c r="M172" s="29"/>
      <c r="N172" s="30"/>
      <c r="O172" s="31"/>
      <c r="P172" s="37"/>
      <c r="Q172" s="37"/>
      <c r="R172" s="37"/>
    </row>
    <row r="173" spans="1:18" ht="69.95" customHeight="1">
      <c r="A173" s="478">
        <v>170</v>
      </c>
      <c r="B173" s="478"/>
      <c r="C173" s="479"/>
      <c r="D173" s="479"/>
      <c r="E173" s="479"/>
      <c r="F173" s="480"/>
      <c r="G173" s="481"/>
      <c r="H173" s="481"/>
      <c r="I173" s="481"/>
      <c r="J173" s="479"/>
      <c r="K173" s="480"/>
      <c r="L173" s="479"/>
      <c r="M173" s="29"/>
      <c r="N173" s="30"/>
      <c r="O173" s="31"/>
      <c r="P173" s="37"/>
      <c r="Q173" s="37"/>
      <c r="R173" s="37"/>
    </row>
    <row r="174" spans="1:18" ht="69.95" customHeight="1">
      <c r="A174" s="478">
        <v>171</v>
      </c>
      <c r="B174" s="478"/>
      <c r="C174" s="479"/>
      <c r="D174" s="479"/>
      <c r="E174" s="479"/>
      <c r="F174" s="480"/>
      <c r="G174" s="481"/>
      <c r="H174" s="481"/>
      <c r="I174" s="481"/>
      <c r="J174" s="479"/>
      <c r="K174" s="480"/>
      <c r="L174" s="479"/>
      <c r="M174" s="29"/>
      <c r="N174" s="30"/>
      <c r="O174" s="31"/>
      <c r="P174" s="37"/>
      <c r="Q174" s="37"/>
      <c r="R174" s="37"/>
    </row>
    <row r="175" spans="1:18" ht="69.95" customHeight="1">
      <c r="A175" s="478">
        <v>172</v>
      </c>
      <c r="B175" s="478"/>
      <c r="C175" s="479"/>
      <c r="D175" s="479"/>
      <c r="E175" s="479"/>
      <c r="F175" s="480"/>
      <c r="G175" s="481"/>
      <c r="H175" s="481"/>
      <c r="I175" s="481"/>
      <c r="J175" s="479"/>
      <c r="K175" s="480"/>
      <c r="L175" s="479"/>
      <c r="M175" s="29"/>
      <c r="N175" s="30"/>
      <c r="O175" s="31"/>
      <c r="P175" s="37"/>
      <c r="Q175" s="37"/>
      <c r="R175" s="37"/>
    </row>
    <row r="176" spans="1:18" ht="69.95" customHeight="1">
      <c r="A176" s="478">
        <v>173</v>
      </c>
      <c r="B176" s="478"/>
      <c r="C176" s="479"/>
      <c r="D176" s="479"/>
      <c r="E176" s="479"/>
      <c r="F176" s="480"/>
      <c r="G176" s="481"/>
      <c r="H176" s="481"/>
      <c r="I176" s="481"/>
      <c r="J176" s="479"/>
      <c r="K176" s="480"/>
      <c r="L176" s="479"/>
      <c r="M176" s="29"/>
      <c r="N176" s="30"/>
      <c r="O176" s="31"/>
      <c r="P176" s="37"/>
      <c r="Q176" s="37"/>
      <c r="R176" s="37"/>
    </row>
    <row r="177" spans="1:18" ht="69.95" customHeight="1">
      <c r="A177" s="478">
        <v>174</v>
      </c>
      <c r="B177" s="478"/>
      <c r="C177" s="479"/>
      <c r="D177" s="479"/>
      <c r="E177" s="479"/>
      <c r="F177" s="480"/>
      <c r="G177" s="481"/>
      <c r="H177" s="481"/>
      <c r="I177" s="481"/>
      <c r="J177" s="479"/>
      <c r="K177" s="480"/>
      <c r="L177" s="479"/>
      <c r="M177" s="29"/>
      <c r="N177" s="30"/>
      <c r="O177" s="31"/>
      <c r="P177" s="37"/>
      <c r="Q177" s="37"/>
      <c r="R177" s="37"/>
    </row>
    <row r="178" spans="1:18" ht="69.95" customHeight="1">
      <c r="A178" s="478">
        <v>175</v>
      </c>
      <c r="B178" s="478"/>
      <c r="C178" s="479"/>
      <c r="D178" s="479"/>
      <c r="E178" s="479"/>
      <c r="F178" s="480"/>
      <c r="G178" s="481"/>
      <c r="H178" s="481"/>
      <c r="I178" s="481"/>
      <c r="J178" s="479"/>
      <c r="K178" s="480"/>
      <c r="L178" s="479"/>
      <c r="M178" s="29"/>
      <c r="N178" s="30"/>
      <c r="O178" s="31"/>
      <c r="P178" s="37"/>
      <c r="Q178" s="37"/>
      <c r="R178" s="37"/>
    </row>
    <row r="179" spans="1:18" ht="69.95" customHeight="1">
      <c r="A179" s="478">
        <v>176</v>
      </c>
      <c r="B179" s="478"/>
      <c r="C179" s="479"/>
      <c r="D179" s="479"/>
      <c r="E179" s="479"/>
      <c r="F179" s="480"/>
      <c r="G179" s="481"/>
      <c r="H179" s="481"/>
      <c r="I179" s="481"/>
      <c r="J179" s="479"/>
      <c r="K179" s="480"/>
      <c r="L179" s="479"/>
      <c r="M179" s="29"/>
      <c r="N179" s="30"/>
      <c r="O179" s="31"/>
      <c r="P179" s="37"/>
      <c r="Q179" s="37"/>
      <c r="R179" s="37"/>
    </row>
    <row r="180" spans="1:18" ht="69.95" customHeight="1">
      <c r="A180" s="478">
        <v>177</v>
      </c>
      <c r="B180" s="478"/>
      <c r="C180" s="479"/>
      <c r="D180" s="479"/>
      <c r="E180" s="479"/>
      <c r="F180" s="480"/>
      <c r="G180" s="481"/>
      <c r="H180" s="481"/>
      <c r="I180" s="481"/>
      <c r="J180" s="479"/>
      <c r="K180" s="480"/>
      <c r="L180" s="479"/>
      <c r="M180" s="29"/>
      <c r="N180" s="30"/>
      <c r="O180" s="31"/>
      <c r="P180" s="37"/>
      <c r="Q180" s="37"/>
      <c r="R180" s="37"/>
    </row>
    <row r="181" spans="1:18" ht="69.95" customHeight="1">
      <c r="A181" s="478">
        <v>178</v>
      </c>
      <c r="B181" s="478"/>
      <c r="C181" s="479"/>
      <c r="D181" s="479"/>
      <c r="E181" s="479"/>
      <c r="F181" s="480"/>
      <c r="G181" s="481"/>
      <c r="H181" s="481"/>
      <c r="I181" s="481"/>
      <c r="J181" s="479"/>
      <c r="K181" s="480"/>
      <c r="L181" s="479"/>
      <c r="M181" s="29"/>
      <c r="N181" s="30"/>
      <c r="O181" s="31"/>
      <c r="P181" s="37"/>
      <c r="Q181" s="37"/>
      <c r="R181" s="37"/>
    </row>
    <row r="182" spans="1:18" ht="69.95" customHeight="1">
      <c r="A182" s="478">
        <v>179</v>
      </c>
      <c r="B182" s="478"/>
      <c r="C182" s="479"/>
      <c r="D182" s="479"/>
      <c r="E182" s="479"/>
      <c r="F182" s="480"/>
      <c r="G182" s="481"/>
      <c r="H182" s="481"/>
      <c r="I182" s="481"/>
      <c r="J182" s="479"/>
      <c r="K182" s="480"/>
      <c r="L182" s="479"/>
      <c r="M182" s="29"/>
      <c r="N182" s="30"/>
      <c r="O182" s="31"/>
      <c r="P182" s="37"/>
      <c r="Q182" s="37"/>
      <c r="R182" s="37"/>
    </row>
    <row r="183" spans="1:18" ht="69.95" customHeight="1">
      <c r="A183" s="478">
        <v>180</v>
      </c>
      <c r="B183" s="478"/>
      <c r="C183" s="479"/>
      <c r="D183" s="479"/>
      <c r="E183" s="479"/>
      <c r="F183" s="480"/>
      <c r="G183" s="481"/>
      <c r="H183" s="481"/>
      <c r="I183" s="481"/>
      <c r="J183" s="479"/>
      <c r="K183" s="480"/>
      <c r="L183" s="479"/>
      <c r="M183" s="29"/>
      <c r="N183" s="30"/>
      <c r="O183" s="31"/>
      <c r="P183" s="37"/>
      <c r="Q183" s="37"/>
      <c r="R183" s="37"/>
    </row>
    <row r="184" spans="1:18" ht="69.95" customHeight="1">
      <c r="A184" s="478">
        <v>181</v>
      </c>
      <c r="B184" s="478"/>
      <c r="C184" s="479"/>
      <c r="D184" s="479"/>
      <c r="E184" s="479"/>
      <c r="F184" s="480"/>
      <c r="G184" s="481"/>
      <c r="H184" s="481"/>
      <c r="I184" s="481"/>
      <c r="J184" s="479"/>
      <c r="K184" s="480"/>
      <c r="L184" s="479"/>
      <c r="M184" s="29"/>
      <c r="N184" s="30"/>
      <c r="O184" s="31"/>
      <c r="P184" s="37"/>
      <c r="Q184" s="37"/>
      <c r="R184" s="37"/>
    </row>
    <row r="185" spans="1:18" ht="69.95" customHeight="1">
      <c r="A185" s="478">
        <v>182</v>
      </c>
      <c r="B185" s="478"/>
      <c r="C185" s="479"/>
      <c r="D185" s="479"/>
      <c r="E185" s="479"/>
      <c r="F185" s="480"/>
      <c r="G185" s="481"/>
      <c r="H185" s="481"/>
      <c r="I185" s="481"/>
      <c r="J185" s="479"/>
      <c r="K185" s="480"/>
      <c r="L185" s="479"/>
      <c r="M185" s="29"/>
      <c r="N185" s="30"/>
      <c r="O185" s="31"/>
      <c r="P185" s="37"/>
      <c r="Q185" s="37"/>
      <c r="R185" s="37"/>
    </row>
    <row r="186" spans="1:18" ht="69.95" customHeight="1">
      <c r="A186" s="478">
        <v>183</v>
      </c>
      <c r="B186" s="478"/>
      <c r="C186" s="479"/>
      <c r="D186" s="479"/>
      <c r="E186" s="479"/>
      <c r="F186" s="480"/>
      <c r="G186" s="481"/>
      <c r="H186" s="481"/>
      <c r="I186" s="481"/>
      <c r="J186" s="479"/>
      <c r="K186" s="480"/>
      <c r="L186" s="479"/>
      <c r="M186" s="29"/>
      <c r="N186" s="30"/>
      <c r="O186" s="31"/>
      <c r="P186" s="37"/>
      <c r="Q186" s="37"/>
      <c r="R186" s="37"/>
    </row>
    <row r="187" spans="1:18" ht="69.95" customHeight="1">
      <c r="A187" s="478">
        <v>184</v>
      </c>
      <c r="B187" s="478"/>
      <c r="C187" s="479"/>
      <c r="D187" s="479"/>
      <c r="E187" s="479"/>
      <c r="F187" s="480"/>
      <c r="G187" s="481"/>
      <c r="H187" s="481"/>
      <c r="I187" s="481"/>
      <c r="J187" s="479"/>
      <c r="K187" s="480"/>
      <c r="L187" s="479"/>
      <c r="M187" s="29"/>
      <c r="N187" s="30"/>
      <c r="O187" s="31"/>
      <c r="P187" s="37"/>
      <c r="Q187" s="37"/>
      <c r="R187" s="37"/>
    </row>
    <row r="188" spans="1:18" ht="69.95" customHeight="1">
      <c r="A188" s="478">
        <v>185</v>
      </c>
      <c r="B188" s="478"/>
      <c r="C188" s="479"/>
      <c r="D188" s="479"/>
      <c r="E188" s="479"/>
      <c r="F188" s="480"/>
      <c r="G188" s="481"/>
      <c r="H188" s="481"/>
      <c r="I188" s="481"/>
      <c r="J188" s="479"/>
      <c r="K188" s="480"/>
      <c r="L188" s="479"/>
      <c r="M188" s="29"/>
      <c r="N188" s="30"/>
      <c r="O188" s="31"/>
      <c r="P188" s="37"/>
      <c r="Q188" s="37"/>
      <c r="R188" s="37"/>
    </row>
    <row r="189" spans="1:18" ht="69.95" customHeight="1">
      <c r="A189" s="478">
        <v>186</v>
      </c>
      <c r="B189" s="478"/>
      <c r="C189" s="479"/>
      <c r="D189" s="479"/>
      <c r="E189" s="479"/>
      <c r="F189" s="480"/>
      <c r="G189" s="481"/>
      <c r="H189" s="481"/>
      <c r="I189" s="481"/>
      <c r="J189" s="479"/>
      <c r="K189" s="480"/>
      <c r="L189" s="479"/>
      <c r="M189" s="29"/>
      <c r="N189" s="30"/>
      <c r="O189" s="31"/>
      <c r="P189" s="37"/>
      <c r="Q189" s="37"/>
      <c r="R189" s="37"/>
    </row>
    <row r="190" spans="1:18" ht="69.95" customHeight="1">
      <c r="A190" s="478">
        <v>187</v>
      </c>
      <c r="B190" s="478"/>
      <c r="C190" s="479"/>
      <c r="D190" s="479"/>
      <c r="E190" s="479"/>
      <c r="F190" s="480"/>
      <c r="G190" s="481"/>
      <c r="H190" s="481"/>
      <c r="I190" s="481"/>
      <c r="J190" s="479"/>
      <c r="K190" s="480"/>
      <c r="L190" s="479"/>
      <c r="M190" s="29"/>
      <c r="N190" s="30"/>
      <c r="O190" s="31"/>
      <c r="P190" s="37"/>
      <c r="Q190" s="37"/>
      <c r="R190" s="37"/>
    </row>
    <row r="191" spans="1:18" ht="69.95" customHeight="1">
      <c r="A191" s="478">
        <v>188</v>
      </c>
      <c r="B191" s="478"/>
      <c r="C191" s="479"/>
      <c r="D191" s="479"/>
      <c r="E191" s="479"/>
      <c r="F191" s="480"/>
      <c r="G191" s="481"/>
      <c r="H191" s="481"/>
      <c r="I191" s="481"/>
      <c r="J191" s="479"/>
      <c r="K191" s="480"/>
      <c r="L191" s="479"/>
      <c r="M191" s="29"/>
      <c r="N191" s="30"/>
      <c r="O191" s="31"/>
      <c r="P191" s="37"/>
      <c r="Q191" s="37"/>
      <c r="R191" s="37"/>
    </row>
    <row r="192" spans="1:18" ht="69.95" customHeight="1">
      <c r="A192" s="478">
        <v>189</v>
      </c>
      <c r="B192" s="478"/>
      <c r="C192" s="479"/>
      <c r="D192" s="479"/>
      <c r="E192" s="479"/>
      <c r="F192" s="480"/>
      <c r="G192" s="481"/>
      <c r="H192" s="481"/>
      <c r="I192" s="481"/>
      <c r="J192" s="479"/>
      <c r="K192" s="480"/>
      <c r="L192" s="479"/>
      <c r="M192" s="29"/>
      <c r="N192" s="30"/>
      <c r="O192" s="31"/>
      <c r="P192" s="37"/>
      <c r="Q192" s="37"/>
      <c r="R192" s="37"/>
    </row>
    <row r="193" spans="1:18" ht="69.95" customHeight="1">
      <c r="A193" s="478">
        <v>190</v>
      </c>
      <c r="B193" s="478"/>
      <c r="C193" s="479"/>
      <c r="D193" s="479"/>
      <c r="E193" s="479"/>
      <c r="F193" s="480"/>
      <c r="G193" s="481"/>
      <c r="H193" s="481"/>
      <c r="I193" s="481"/>
      <c r="J193" s="479"/>
      <c r="K193" s="480"/>
      <c r="L193" s="479"/>
      <c r="M193" s="29"/>
      <c r="N193" s="30"/>
      <c r="O193" s="31"/>
      <c r="P193" s="37"/>
      <c r="Q193" s="37"/>
      <c r="R193" s="37"/>
    </row>
    <row r="194" spans="1:18" ht="69.95" customHeight="1">
      <c r="A194" s="478">
        <v>191</v>
      </c>
      <c r="B194" s="478"/>
      <c r="C194" s="479"/>
      <c r="D194" s="479"/>
      <c r="E194" s="479"/>
      <c r="F194" s="480"/>
      <c r="G194" s="481"/>
      <c r="H194" s="481"/>
      <c r="I194" s="481"/>
      <c r="J194" s="479"/>
      <c r="K194" s="480"/>
      <c r="L194" s="479"/>
      <c r="M194" s="29"/>
      <c r="N194" s="30"/>
      <c r="O194" s="31"/>
      <c r="P194" s="37"/>
      <c r="Q194" s="37"/>
      <c r="R194" s="37"/>
    </row>
    <row r="195" spans="1:18" ht="69.95" customHeight="1">
      <c r="A195" s="478">
        <v>192</v>
      </c>
      <c r="B195" s="478"/>
      <c r="C195" s="479"/>
      <c r="D195" s="479"/>
      <c r="E195" s="479"/>
      <c r="F195" s="480"/>
      <c r="G195" s="481"/>
      <c r="H195" s="481"/>
      <c r="I195" s="481"/>
      <c r="J195" s="479"/>
      <c r="K195" s="480"/>
      <c r="L195" s="479"/>
      <c r="M195" s="29"/>
      <c r="N195" s="30"/>
      <c r="O195" s="31"/>
      <c r="P195" s="37"/>
      <c r="Q195" s="37"/>
      <c r="R195" s="37"/>
    </row>
    <row r="196" spans="1:18" ht="69.95" customHeight="1">
      <c r="A196" s="478">
        <v>193</v>
      </c>
      <c r="B196" s="478"/>
      <c r="C196" s="479"/>
      <c r="D196" s="479"/>
      <c r="E196" s="479"/>
      <c r="F196" s="480"/>
      <c r="G196" s="481"/>
      <c r="H196" s="481"/>
      <c r="I196" s="481"/>
      <c r="J196" s="479"/>
      <c r="K196" s="480"/>
      <c r="L196" s="479"/>
      <c r="M196" s="29"/>
      <c r="N196" s="30"/>
      <c r="O196" s="31"/>
      <c r="P196" s="37"/>
      <c r="Q196" s="37"/>
      <c r="R196" s="37"/>
    </row>
    <row r="197" spans="1:18" ht="69.95" customHeight="1">
      <c r="A197" s="478">
        <v>194</v>
      </c>
      <c r="B197" s="478"/>
      <c r="C197" s="479"/>
      <c r="D197" s="479"/>
      <c r="E197" s="479"/>
      <c r="F197" s="480"/>
      <c r="G197" s="481"/>
      <c r="H197" s="481"/>
      <c r="I197" s="481"/>
      <c r="J197" s="479"/>
      <c r="K197" s="480"/>
      <c r="L197" s="479"/>
      <c r="M197" s="29"/>
      <c r="N197" s="30"/>
      <c r="O197" s="31"/>
      <c r="P197" s="37"/>
      <c r="Q197" s="37"/>
      <c r="R197" s="37"/>
    </row>
    <row r="198" spans="1:18" ht="69.95" customHeight="1">
      <c r="A198" s="478">
        <v>195</v>
      </c>
      <c r="B198" s="478"/>
      <c r="C198" s="479"/>
      <c r="D198" s="479"/>
      <c r="E198" s="479"/>
      <c r="F198" s="480"/>
      <c r="G198" s="481"/>
      <c r="H198" s="481"/>
      <c r="I198" s="481"/>
      <c r="J198" s="479"/>
      <c r="K198" s="480"/>
      <c r="L198" s="479"/>
      <c r="M198" s="29"/>
      <c r="N198" s="30"/>
      <c r="O198" s="31"/>
      <c r="P198" s="37"/>
      <c r="Q198" s="37"/>
      <c r="R198" s="37"/>
    </row>
    <row r="199" spans="1:18" ht="69.95" customHeight="1">
      <c r="A199" s="478">
        <v>196</v>
      </c>
      <c r="B199" s="478"/>
      <c r="C199" s="479"/>
      <c r="D199" s="479"/>
      <c r="E199" s="479"/>
      <c r="F199" s="480"/>
      <c r="G199" s="481"/>
      <c r="H199" s="481"/>
      <c r="I199" s="481"/>
      <c r="J199" s="479"/>
      <c r="K199" s="480"/>
      <c r="L199" s="479"/>
      <c r="M199" s="29"/>
      <c r="N199" s="30"/>
      <c r="O199" s="31"/>
      <c r="P199" s="37"/>
      <c r="Q199" s="37"/>
      <c r="R199" s="37"/>
    </row>
    <row r="200" spans="1:18" ht="69.95" customHeight="1">
      <c r="A200" s="478">
        <v>197</v>
      </c>
      <c r="B200" s="478"/>
      <c r="C200" s="479"/>
      <c r="D200" s="479"/>
      <c r="E200" s="479"/>
      <c r="F200" s="480"/>
      <c r="G200" s="481"/>
      <c r="H200" s="481"/>
      <c r="I200" s="481"/>
      <c r="J200" s="479"/>
      <c r="K200" s="480"/>
      <c r="L200" s="479"/>
      <c r="M200" s="29"/>
      <c r="N200" s="30"/>
      <c r="O200" s="31"/>
      <c r="P200" s="37"/>
      <c r="Q200" s="37"/>
      <c r="R200" s="37"/>
    </row>
    <row r="201" spans="1:18" ht="69.95" customHeight="1">
      <c r="A201" s="478">
        <v>198</v>
      </c>
      <c r="B201" s="478"/>
      <c r="C201" s="479"/>
      <c r="D201" s="479"/>
      <c r="E201" s="479"/>
      <c r="F201" s="480"/>
      <c r="G201" s="481"/>
      <c r="H201" s="481"/>
      <c r="I201" s="481"/>
      <c r="J201" s="479"/>
      <c r="K201" s="480"/>
      <c r="L201" s="479"/>
      <c r="M201" s="29"/>
      <c r="N201" s="30"/>
      <c r="O201" s="31"/>
      <c r="P201" s="37"/>
      <c r="Q201" s="37"/>
      <c r="R201" s="37"/>
    </row>
    <row r="202" spans="1:18" ht="69.95" customHeight="1">
      <c r="A202" s="478">
        <v>199</v>
      </c>
      <c r="B202" s="478"/>
      <c r="C202" s="479"/>
      <c r="D202" s="479"/>
      <c r="E202" s="479"/>
      <c r="F202" s="480"/>
      <c r="G202" s="481"/>
      <c r="H202" s="481"/>
      <c r="I202" s="481"/>
      <c r="J202" s="479"/>
      <c r="K202" s="480"/>
      <c r="L202" s="479"/>
      <c r="M202" s="29"/>
      <c r="N202" s="30"/>
      <c r="O202" s="31"/>
      <c r="P202" s="37"/>
      <c r="Q202" s="37"/>
      <c r="R202" s="37"/>
    </row>
    <row r="203" spans="1:18" ht="69.95" customHeight="1">
      <c r="A203" s="478">
        <v>200</v>
      </c>
      <c r="B203" s="478"/>
      <c r="C203" s="479"/>
      <c r="D203" s="479"/>
      <c r="E203" s="479"/>
      <c r="F203" s="480"/>
      <c r="G203" s="481"/>
      <c r="H203" s="481"/>
      <c r="I203" s="481"/>
      <c r="J203" s="479"/>
      <c r="K203" s="480"/>
      <c r="L203" s="479"/>
      <c r="M203" s="29"/>
      <c r="N203" s="30"/>
      <c r="O203" s="31"/>
      <c r="P203" s="37"/>
      <c r="Q203" s="37"/>
      <c r="R203" s="37"/>
    </row>
    <row r="204" spans="1:18">
      <c r="A204" s="45"/>
      <c r="B204" s="45"/>
      <c r="C204" s="46"/>
      <c r="D204" s="47"/>
      <c r="E204" s="48"/>
      <c r="F204" s="48"/>
      <c r="G204" s="48"/>
      <c r="H204" s="48"/>
      <c r="I204" s="48"/>
      <c r="J204" s="48"/>
      <c r="K204" s="48"/>
      <c r="L204" s="48"/>
      <c r="M204" s="37"/>
      <c r="N204" s="37"/>
      <c r="O204" s="37"/>
      <c r="P204" s="37"/>
      <c r="Q204" s="37"/>
      <c r="R204" s="37"/>
    </row>
    <row r="205" spans="1:18" ht="15" customHeight="1">
      <c r="A205" s="37"/>
      <c r="B205" s="37"/>
      <c r="C205" s="37"/>
      <c r="D205" s="37"/>
      <c r="E205" s="37"/>
      <c r="F205" s="37"/>
      <c r="G205" s="37"/>
      <c r="H205" s="37"/>
      <c r="I205" s="37"/>
      <c r="J205" s="37"/>
      <c r="K205" s="37"/>
      <c r="L205" s="37"/>
      <c r="M205" s="37"/>
      <c r="N205" s="37"/>
      <c r="O205" s="37"/>
      <c r="P205" s="37"/>
      <c r="Q205" s="37"/>
      <c r="R205" s="37"/>
    </row>
    <row r="206" spans="1:18">
      <c r="A206" s="37"/>
      <c r="B206" s="37"/>
      <c r="C206" s="37"/>
      <c r="D206" s="37"/>
      <c r="E206" s="37"/>
      <c r="F206" s="37"/>
      <c r="G206" s="37"/>
      <c r="H206" s="37"/>
      <c r="I206" s="37"/>
      <c r="J206" s="37"/>
      <c r="K206" s="37"/>
      <c r="L206" s="37"/>
      <c r="M206" s="37"/>
      <c r="N206" s="37"/>
      <c r="O206" s="37"/>
      <c r="P206" s="37"/>
      <c r="Q206" s="37"/>
      <c r="R206" s="37"/>
    </row>
    <row r="207" spans="1:18" hidden="1"/>
    <row r="208" spans="1:1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M1:N1"/>
    <mergeCell ref="O2:O3"/>
    <mergeCell ref="B1:L1"/>
    <mergeCell ref="M2:N2"/>
  </mergeCells>
  <conditionalFormatting sqref="M3:N3">
    <cfRule type="cellIs" dxfId="261"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zoomScale="90" zoomScaleNormal="90" workbookViewId="0">
      <pane xSplit="11" ySplit="6" topLeftCell="L7" activePane="bottomRight" state="frozen"/>
      <selection pane="topRight" activeCell="J1" sqref="J1"/>
      <selection pane="bottomLeft" activeCell="A8" sqref="A8"/>
      <selection pane="bottomRight" activeCell="AY8" sqref="AY8"/>
    </sheetView>
  </sheetViews>
  <sheetFormatPr defaultColWidth="0" defaultRowHeight="20.25" zeroHeight="1"/>
  <cols>
    <col min="1" max="1" width="5.75" style="734" customWidth="1"/>
    <col min="2" max="4" width="9" style="734" customWidth="1"/>
    <col min="5" max="5" width="8.25" style="734" customWidth="1"/>
    <col min="6" max="6" width="13.875" style="734" customWidth="1"/>
    <col min="7" max="7" width="22.25" style="734" customWidth="1"/>
    <col min="8" max="8" width="22.5" style="734" customWidth="1"/>
    <col min="9" max="9" width="22" style="734" customWidth="1"/>
    <col min="10" max="10" width="5.875" style="734" customWidth="1"/>
    <col min="11" max="11" width="4.375" style="734" customWidth="1"/>
    <col min="12" max="21" width="5.75" style="734" customWidth="1"/>
    <col min="22" max="22" width="6.25" style="734" customWidth="1"/>
    <col min="23" max="32" width="5.75" style="734" customWidth="1"/>
    <col min="33" max="33" width="5.875" style="734" customWidth="1"/>
    <col min="34" max="42" width="5.75" style="734" customWidth="1"/>
    <col min="43" max="43" width="6.75" style="734" customWidth="1"/>
    <col min="44" max="50" width="5.75" style="734" customWidth="1"/>
    <col min="51" max="62" width="6.125" style="734" customWidth="1"/>
    <col min="63" max="72" width="5.875" style="734" customWidth="1"/>
    <col min="73" max="75" width="7.625" style="734" customWidth="1"/>
    <col min="76" max="78" width="6.625" style="734" customWidth="1"/>
    <col min="79" max="79" width="3.75" style="734" customWidth="1"/>
    <col min="80" max="82" width="5.75" style="734" hidden="1" customWidth="1"/>
    <col min="83" max="126" width="25.875" style="734" hidden="1" customWidth="1"/>
    <col min="127" max="16384" width="5.75" style="734" hidden="1"/>
  </cols>
  <sheetData>
    <row r="1" spans="1:83" ht="30" customHeight="1" thickTop="1" thickBot="1">
      <c r="A1" s="970" t="str">
        <f>IF('School Profile'!D12="Hindi",'School Profile'!D9,'School Profile'!D8)</f>
        <v xml:space="preserve">महात्मा गाँधी राजकीय विद्यालय (अंग्रेजी माध्यम) बर, पाली </v>
      </c>
      <c r="B1" s="971"/>
      <c r="C1" s="971"/>
      <c r="D1" s="971"/>
      <c r="E1" s="971"/>
      <c r="F1" s="971"/>
      <c r="G1" s="971"/>
      <c r="H1" s="971"/>
      <c r="I1" s="972"/>
      <c r="J1" s="1014"/>
      <c r="K1" s="1015"/>
      <c r="L1" s="1033" t="str">
        <f>IF('School Profile'!$D$12="Hindi","मुख्य 6 विषयों के अंकों की प्रविष्टि","Main 6 Subject Mark Entry")</f>
        <v>मुख्य 6 विषयों के अंकों की प्रविष्टि</v>
      </c>
      <c r="M1" s="1034"/>
      <c r="N1" s="1034"/>
      <c r="O1" s="1034"/>
      <c r="P1" s="1034"/>
      <c r="Q1" s="1034"/>
      <c r="R1" s="1034"/>
      <c r="S1" s="1034"/>
      <c r="T1" s="1034"/>
      <c r="U1" s="1034"/>
      <c r="V1" s="1034"/>
      <c r="W1" s="1034"/>
      <c r="X1" s="1034"/>
      <c r="Y1" s="1034"/>
      <c r="Z1" s="1034"/>
      <c r="AA1" s="1034"/>
      <c r="AB1" s="1034"/>
      <c r="AC1" s="1034"/>
      <c r="AD1" s="1034"/>
      <c r="AE1" s="1034"/>
      <c r="AF1" s="1034"/>
      <c r="AG1" s="1034"/>
      <c r="AH1" s="1034"/>
      <c r="AI1" s="1034"/>
      <c r="AJ1" s="1034"/>
      <c r="AK1" s="1034"/>
      <c r="AL1" s="1034"/>
      <c r="AM1" s="1034"/>
      <c r="AN1" s="1034"/>
      <c r="AO1" s="1034"/>
      <c r="AP1" s="1034"/>
      <c r="AQ1" s="988" t="str">
        <f>IF('School Profile'!$D$12="Hindi","व्यावसायिक शिक्षा के विषयाध्यापक के नाम ","Vocational Subject's Teacher Name")</f>
        <v xml:space="preserve">व्यावसायिक शिक्षा के विषयाध्यापक के नाम </v>
      </c>
      <c r="AR1" s="989"/>
      <c r="AS1" s="989"/>
      <c r="AT1" s="989"/>
      <c r="AU1" s="989"/>
      <c r="AV1" s="989"/>
      <c r="AW1" s="989"/>
      <c r="AX1" s="989"/>
      <c r="AY1" s="980" t="str">
        <f>IF('School Profile'!D12="Hindi","अतिरिक्त विषयों के परीक्षा परिणाम एंट्री","Additional Subjects Result Entry")</f>
        <v>अतिरिक्त विषयों के परीक्षा परिणाम एंट्री</v>
      </c>
      <c r="AZ1" s="981"/>
      <c r="BA1" s="981"/>
      <c r="BB1" s="981"/>
      <c r="BC1" s="981"/>
      <c r="BD1" s="981"/>
      <c r="BE1" s="981"/>
      <c r="BF1" s="981"/>
      <c r="BG1" s="981"/>
      <c r="BH1" s="981"/>
      <c r="BI1" s="981"/>
      <c r="BJ1" s="981"/>
      <c r="BK1" s="981"/>
      <c r="BL1" s="981"/>
      <c r="BM1" s="981"/>
      <c r="BN1" s="981"/>
      <c r="BO1" s="981"/>
      <c r="BP1" s="981"/>
      <c r="BQ1" s="981"/>
      <c r="BR1" s="981"/>
      <c r="BS1" s="981"/>
      <c r="BT1" s="981"/>
      <c r="BU1" s="981"/>
      <c r="BV1" s="981"/>
      <c r="BW1" s="981"/>
      <c r="BX1" s="981"/>
      <c r="BY1" s="981"/>
      <c r="BZ1" s="982"/>
      <c r="CA1" s="733"/>
    </row>
    <row r="2" spans="1:83" ht="34.5" customHeight="1" thickTop="1" thickBot="1">
      <c r="A2" s="974" t="str">
        <f>IF('School Profile'!D12="Hindi","रिजल्ट वर्कशीट","RESULT WORKSHEET")</f>
        <v>रिजल्ट वर्कशीट</v>
      </c>
      <c r="B2" s="975"/>
      <c r="C2" s="975"/>
      <c r="D2" s="975"/>
      <c r="E2" s="975"/>
      <c r="F2" s="975"/>
      <c r="G2" s="975"/>
      <c r="H2" s="975"/>
      <c r="I2" s="976"/>
      <c r="J2" s="1016"/>
      <c r="K2" s="1017"/>
      <c r="L2" s="1018" t="str">
        <f>'School Profile'!G7</f>
        <v>हिंदी</v>
      </c>
      <c r="M2" s="1019"/>
      <c r="N2" s="1019"/>
      <c r="O2" s="1019"/>
      <c r="P2" s="1019"/>
      <c r="Q2" s="1012" t="str">
        <f>'School Profile'!G8</f>
        <v>अंग्रेजी</v>
      </c>
      <c r="R2" s="1013"/>
      <c r="S2" s="1013"/>
      <c r="T2" s="1013"/>
      <c r="U2" s="1013"/>
      <c r="V2" s="1051" t="str">
        <f>'School Profile'!G9</f>
        <v>तृतीय भाषा</v>
      </c>
      <c r="W2" s="1052"/>
      <c r="X2" s="1052"/>
      <c r="Y2" s="1052"/>
      <c r="Z2" s="1052"/>
      <c r="AA2" s="1052"/>
      <c r="AB2" s="1053" t="str">
        <f>'School Profile'!G15</f>
        <v>गणित</v>
      </c>
      <c r="AC2" s="1054"/>
      <c r="AD2" s="1054"/>
      <c r="AE2" s="1054"/>
      <c r="AF2" s="1054"/>
      <c r="AG2" s="1046" t="str">
        <f>'School Profile'!G16</f>
        <v>विज्ञान</v>
      </c>
      <c r="AH2" s="1047"/>
      <c r="AI2" s="1047"/>
      <c r="AJ2" s="1047"/>
      <c r="AK2" s="1047"/>
      <c r="AL2" s="1031" t="str">
        <f>'School Profile'!G17</f>
        <v>सामाजिक विज्ञान</v>
      </c>
      <c r="AM2" s="1032"/>
      <c r="AN2" s="1032"/>
      <c r="AO2" s="1032"/>
      <c r="AP2" s="1032"/>
      <c r="AQ2" s="983" t="s">
        <v>172</v>
      </c>
      <c r="AR2" s="984"/>
      <c r="AS2" s="984"/>
      <c r="AT2" s="984"/>
      <c r="AU2" s="984"/>
      <c r="AV2" s="984"/>
      <c r="AW2" s="984"/>
      <c r="AX2" s="985"/>
      <c r="AY2" s="997" t="str">
        <f>'School Profile'!G18</f>
        <v>राजस्थान का स्वंत्रता आन्दोलन व शोर्य परम्परा</v>
      </c>
      <c r="AZ2" s="998"/>
      <c r="BA2" s="998"/>
      <c r="BB2" s="998"/>
      <c r="BC2" s="998"/>
      <c r="BD2" s="997" t="str">
        <f>'School Profile'!G19</f>
        <v>सूचना प्रोद्योगिकी की अवधारणा - I</v>
      </c>
      <c r="BE2" s="998"/>
      <c r="BF2" s="998"/>
      <c r="BG2" s="998"/>
      <c r="BH2" s="998"/>
      <c r="BI2" s="998"/>
      <c r="BJ2" s="998"/>
      <c r="BK2" s="993" t="str">
        <f>'School Profile'!G20</f>
        <v>स्वा. एवं शा. शिक्षा</v>
      </c>
      <c r="BL2" s="994"/>
      <c r="BM2" s="994"/>
      <c r="BN2" s="994"/>
      <c r="BO2" s="994"/>
      <c r="BP2" s="994"/>
      <c r="BQ2" s="994"/>
      <c r="BR2" s="994"/>
      <c r="BS2" s="994"/>
      <c r="BT2" s="994"/>
      <c r="BU2" s="997" t="str">
        <f>'School Profile'!G21</f>
        <v>समाजोपयोगी उत्पादन कार्य एवं समाज सेवा</v>
      </c>
      <c r="BV2" s="998"/>
      <c r="BW2" s="998"/>
      <c r="BX2" s="997" t="str">
        <f>'School Profile'!G22</f>
        <v>कला शिक्षा</v>
      </c>
      <c r="BY2" s="998"/>
      <c r="BZ2" s="999"/>
      <c r="CA2" s="733"/>
    </row>
    <row r="3" spans="1:83" ht="26.25" customHeight="1" thickTop="1" thickBot="1">
      <c r="A3" s="456"/>
      <c r="B3" s="457"/>
      <c r="C3" s="973" t="str">
        <f>IF('School Profile'!$D$12="Hindi","विद्यार्थी की सामान्य जानकारी","General Information of Students")</f>
        <v>विद्यार्थी की सामान्य जानकारी</v>
      </c>
      <c r="D3" s="973"/>
      <c r="E3" s="973"/>
      <c r="F3" s="973"/>
      <c r="G3" s="973"/>
      <c r="H3" s="458" t="str">
        <f>IF('School Profile'!D12="Hindi","सत्र  :-","Session :-")</f>
        <v>सत्र  :-</v>
      </c>
      <c r="I3" s="824" t="str">
        <f>IF('School Profile'!D13="","",'School Profile'!D13)</f>
        <v>2024-2025</v>
      </c>
      <c r="J3" s="964" t="str">
        <f>IF('School Profile'!D12="Hindi","वर्ग  ","Category")</f>
        <v xml:space="preserve">वर्ग  </v>
      </c>
      <c r="K3" s="1010" t="str">
        <f>IF('School Profile'!$D$12="Hindi","लिंग ","Gender")</f>
        <v xml:space="preserve">लिंग </v>
      </c>
      <c r="L3" s="1022" t="str">
        <f>IF('School Profile'!J7="","",'School Profile'!J7)</f>
        <v>Radheshyam</v>
      </c>
      <c r="M3" s="1023"/>
      <c r="N3" s="1023"/>
      <c r="O3" s="1023"/>
      <c r="P3" s="1023"/>
      <c r="Q3" s="1007" t="str">
        <f>IF('School Profile'!J8="","",'School Profile'!J8)</f>
        <v>Heeralal Jat</v>
      </c>
      <c r="R3" s="1008"/>
      <c r="S3" s="1008"/>
      <c r="T3" s="1008"/>
      <c r="U3" s="1009"/>
      <c r="V3" s="1055" t="str">
        <f>IF('School Profile'!J9="","",'School Profile'!J9)</f>
        <v>Suresh kumar Singariya</v>
      </c>
      <c r="W3" s="1056"/>
      <c r="X3" s="1056"/>
      <c r="Y3" s="1056"/>
      <c r="Z3" s="1056"/>
      <c r="AA3" s="1056"/>
      <c r="AB3" s="1044" t="str">
        <f>IF('School Profile'!J15="","",'School Profile'!J15)</f>
        <v>Yogendra</v>
      </c>
      <c r="AC3" s="1045"/>
      <c r="AD3" s="1045"/>
      <c r="AE3" s="1045"/>
      <c r="AF3" s="1045"/>
      <c r="AG3" s="966" t="str">
        <f>IF('School Profile'!J16="","",'School Profile'!J16)</f>
        <v>Rakesh kumar Sharma</v>
      </c>
      <c r="AH3" s="967"/>
      <c r="AI3" s="967"/>
      <c r="AJ3" s="967"/>
      <c r="AK3" s="967"/>
      <c r="AL3" s="968" t="str">
        <f>IF('School Profile'!J17="","",'School Profile'!J17)</f>
        <v>Sharad Sharma</v>
      </c>
      <c r="AM3" s="969"/>
      <c r="AN3" s="969"/>
      <c r="AO3" s="969"/>
      <c r="AP3" s="969"/>
      <c r="AQ3" s="983" t="s">
        <v>173</v>
      </c>
      <c r="AR3" s="986"/>
      <c r="AS3" s="986"/>
      <c r="AT3" s="986"/>
      <c r="AU3" s="984"/>
      <c r="AV3" s="984"/>
      <c r="AW3" s="984"/>
      <c r="AX3" s="987"/>
      <c r="AY3" s="1001" t="str">
        <f>IF('School Profile'!J18="","",'School Profile'!J18)</f>
        <v>Lalit Kumar</v>
      </c>
      <c r="AZ3" s="1001"/>
      <c r="BA3" s="1001"/>
      <c r="BB3" s="1001"/>
      <c r="BC3" s="1001"/>
      <c r="BD3" s="1001" t="str">
        <f>IF('School Profile'!J19="","",'School Profile'!J19)</f>
        <v>Ghanshyam Singh</v>
      </c>
      <c r="BE3" s="1001"/>
      <c r="BF3" s="1001"/>
      <c r="BG3" s="1000"/>
      <c r="BH3" s="1000"/>
      <c r="BI3" s="1001"/>
      <c r="BJ3" s="1001"/>
      <c r="BK3" s="995" t="str">
        <f>IF('School Profile'!J20="","",'School Profile'!J20)</f>
        <v>Lalit Kumar</v>
      </c>
      <c r="BL3" s="995"/>
      <c r="BM3" s="995"/>
      <c r="BN3" s="995"/>
      <c r="BO3" s="995"/>
      <c r="BP3" s="995"/>
      <c r="BQ3" s="996"/>
      <c r="BR3" s="996"/>
      <c r="BS3" s="996"/>
      <c r="BT3" s="996"/>
      <c r="BU3" s="1000" t="str">
        <f>IF('School Profile'!J21="","",'School Profile'!J21)</f>
        <v>Mukesh Kumar</v>
      </c>
      <c r="BV3" s="1000"/>
      <c r="BW3" s="1000"/>
      <c r="BX3" s="1000" t="str">
        <f>IF('School Profile'!J22="","",'School Profile'!J22)</f>
        <v>Sharda Choudhary</v>
      </c>
      <c r="BY3" s="1001"/>
      <c r="BZ3" s="1000"/>
      <c r="CA3" s="733"/>
      <c r="CE3" s="735" t="s">
        <v>12</v>
      </c>
    </row>
    <row r="4" spans="1:83" ht="30.75" customHeight="1" thickTop="1" thickBot="1">
      <c r="A4" s="964" t="str">
        <f>IF('School Profile'!$D$12="Hindi",'Student DATA Entry'!A3,'Student DATA Entry'!A2)</f>
        <v xml:space="preserve">क्र. स. </v>
      </c>
      <c r="B4" s="964" t="str">
        <f>IF('School Profile'!$D$12="Hindi",'Student DATA Entry'!B3,'Student DATA Entry'!B2)</f>
        <v>रोल न.</v>
      </c>
      <c r="C4" s="964" t="str">
        <f>IF('School Profile'!$D$12="Hindi",'Student DATA Entry'!C3,'Student DATA Entry'!C2)</f>
        <v xml:space="preserve">कक्षा </v>
      </c>
      <c r="D4" s="964" t="str">
        <f>IF('School Profile'!$D$12="Hindi",'Student DATA Entry'!D3,'Student DATA Entry'!D2)</f>
        <v>सेक्शन</v>
      </c>
      <c r="E4" s="964" t="str">
        <f>IF('School Profile'!$D$12="Hindi",'Student DATA Entry'!E3,'Student DATA Entry'!E2)</f>
        <v>प्रवेशांक</v>
      </c>
      <c r="F4" s="964" t="str">
        <f>IF('School Profile'!$D$12="Hindi",'Student DATA Entry'!K3,'Student DATA Entry'!K2)</f>
        <v xml:space="preserve">जन्मतिथि </v>
      </c>
      <c r="G4" s="977" t="str">
        <f>IF('School Profile'!$D$12="Hindi",'Student DATA Entry'!G3,'Student DATA Entry'!G2)</f>
        <v xml:space="preserve">विद्यार्थी का नाम </v>
      </c>
      <c r="H4" s="977" t="str">
        <f>IF('School Profile'!$D$12="Hindi",'Student DATA Entry'!H3,'Student DATA Entry'!H2)</f>
        <v xml:space="preserve">पिता का नाम </v>
      </c>
      <c r="I4" s="977" t="str">
        <f>IF('School Profile'!$D$12="Hindi",'Student DATA Entry'!I3,'Student DATA Entry'!I2)</f>
        <v xml:space="preserve">माता का नाम </v>
      </c>
      <c r="J4" s="964"/>
      <c r="K4" s="1010"/>
      <c r="L4" s="1020" t="str">
        <f>IF('School Profile'!$D$12="Hindi","सामयिक परख","Seasonal Exam")</f>
        <v>सामयिक परख</v>
      </c>
      <c r="M4" s="1021"/>
      <c r="N4" s="1021"/>
      <c r="O4" s="1058" t="str">
        <f>IF('School Profile'!$D$12="Hindi","अर्द्धवार्षिक","Half Yearly")</f>
        <v>अर्द्धवार्षिक</v>
      </c>
      <c r="P4" s="1059" t="str">
        <f>IF('School Profile'!$D$12="Hindi","वार्षिक","Yearly")</f>
        <v>वार्षिक</v>
      </c>
      <c r="Q4" s="1035" t="str">
        <f>IF('School Profile'!$D$12="Hindi","सामयिक परख","Seasonal Exam")</f>
        <v>सामयिक परख</v>
      </c>
      <c r="R4" s="1036"/>
      <c r="S4" s="1037"/>
      <c r="T4" s="1061" t="str">
        <f>IF('School Profile'!$D$12="Hindi","अर्द्धवार्षिक","Half Yearly")</f>
        <v>अर्द्धवार्षिक</v>
      </c>
      <c r="U4" s="1061" t="str">
        <f>IF('School Profile'!$D$12="Hindi","वार्षिक","Yearly")</f>
        <v>वार्षिक</v>
      </c>
      <c r="V4" s="1041" t="str">
        <f>IF('School Profile'!$D$12="Hindi","विषय कोड","Subject Code")</f>
        <v>विषय कोड</v>
      </c>
      <c r="W4" s="1038" t="str">
        <f>IF('School Profile'!$D$12="Hindi","सामयिक परख","Seasonal Exam")</f>
        <v>सामयिक परख</v>
      </c>
      <c r="X4" s="1039"/>
      <c r="Y4" s="1040"/>
      <c r="Z4" s="1062" t="str">
        <f>IF('School Profile'!$D$12="Hindi","अर्द्धवार्षिक","Half Yearly")</f>
        <v>अर्द्धवार्षिक</v>
      </c>
      <c r="AA4" s="1062" t="str">
        <f>IF('School Profile'!$D$12="Hindi","वार्षिक","Yearly")</f>
        <v>वार्षिक</v>
      </c>
      <c r="AB4" s="1002" t="str">
        <f>IF('School Profile'!$D$12="Hindi","सामयिक परख","Seasonal Exam")</f>
        <v>सामयिक परख</v>
      </c>
      <c r="AC4" s="1003"/>
      <c r="AD4" s="1004"/>
      <c r="AE4" s="962" t="str">
        <f>IF('School Profile'!$D$12="Hindi","अर्द्धवार्षिक","Half Yearly")</f>
        <v>अर्द्धवार्षिक</v>
      </c>
      <c r="AF4" s="962" t="str">
        <f>IF('School Profile'!$D$12="Hindi","वार्षिक","Yearly")</f>
        <v>वार्षिक</v>
      </c>
      <c r="AG4" s="990" t="str">
        <f>IF('School Profile'!$D$12="Hindi","सामयिक परख","Seasonal Exam")</f>
        <v>सामयिक परख</v>
      </c>
      <c r="AH4" s="991"/>
      <c r="AI4" s="992"/>
      <c r="AJ4" s="1063" t="str">
        <f>IF('School Profile'!$D$12="Hindi","अर्द्धवार्षिक","Half Yearly")</f>
        <v>अर्द्धवार्षिक</v>
      </c>
      <c r="AK4" s="1063" t="str">
        <f>IF('School Profile'!$D$12="Hindi","वार्षिक","Yearly")</f>
        <v>वार्षिक</v>
      </c>
      <c r="AL4" s="1048" t="str">
        <f>IF('School Profile'!$D$12="Hindi","सामयिक परख","Seasonal Exam")</f>
        <v>सामयिक परख</v>
      </c>
      <c r="AM4" s="1049"/>
      <c r="AN4" s="1050"/>
      <c r="AO4" s="1064" t="str">
        <f>IF('School Profile'!$D$12="Hindi","अर्द्धवार्षिक","Half Yearly")</f>
        <v>अर्द्धवार्षिक</v>
      </c>
      <c r="AP4" s="1064" t="str">
        <f>IF('School Profile'!$D$12="Hindi","वार्षिक","Yearly")</f>
        <v>वार्षिक</v>
      </c>
      <c r="AQ4" s="1024" t="str">
        <f>IF('School Profile'!$D$12="Hindi","विषय कोड","Subject Code")</f>
        <v>विषय कोड</v>
      </c>
      <c r="AR4" s="990" t="str">
        <f>IF('School Profile'!$D$12="Hindi","सामयिक परख","Seasonal Exam")</f>
        <v>सामयिक परख</v>
      </c>
      <c r="AS4" s="991"/>
      <c r="AT4" s="992"/>
      <c r="AU4" s="1027" t="str">
        <f>IF('School Profile'!$D$12="Hindi","अर्द्धवार्षिक","Half Yearly")</f>
        <v>अर्द्धवार्षिक</v>
      </c>
      <c r="AV4" s="1028"/>
      <c r="AW4" s="1029" t="str">
        <f>IF('School Profile'!$D$12="Hindi","वार्षिक","Yearly")</f>
        <v>वार्षिक</v>
      </c>
      <c r="AX4" s="1030"/>
      <c r="AY4" s="1002" t="str">
        <f>IF('School Profile'!$D$12="Hindi","सामयिक परख","Seasonal Exam")</f>
        <v>सामयिक परख</v>
      </c>
      <c r="AZ4" s="1003"/>
      <c r="BA4" s="1004"/>
      <c r="BB4" s="962" t="str">
        <f>IF('School Profile'!$D$12="Hindi","अर्द्धवार्षिक","Half Yearly")</f>
        <v>अर्द्धवार्षिक</v>
      </c>
      <c r="BC4" s="962" t="str">
        <f>IF('School Profile'!$D$12="Hindi","वार्षिक","Yearly")</f>
        <v>वार्षिक</v>
      </c>
      <c r="BD4" s="1002" t="str">
        <f>IF('School Profile'!$D$12="Hindi","सामयिक परख","Seasonal Exam")</f>
        <v>सामयिक परख</v>
      </c>
      <c r="BE4" s="1003"/>
      <c r="BF4" s="1004"/>
      <c r="BG4" s="963" t="str">
        <f>IF('School Profile'!$D$12="Hindi","अर्द्धवार्षिक","Half Yearly")</f>
        <v>अर्द्धवार्षिक</v>
      </c>
      <c r="BH4" s="963"/>
      <c r="BI4" s="1005" t="str">
        <f>IF('School Profile'!$D$12="Hindi","वार्षिक","Yearly")</f>
        <v>वार्षिक</v>
      </c>
      <c r="BJ4" s="1006"/>
      <c r="BK4" s="963" t="str">
        <f>IF('School Profile'!$D$12="Hindi","प्रथम परख ","First Test")</f>
        <v xml:space="preserve">प्रथम परख </v>
      </c>
      <c r="BL4" s="963"/>
      <c r="BM4" s="963" t="str">
        <f>IF('School Profile'!$D$12="Hindi","द्वितीय परख","Second Test")</f>
        <v>द्वितीय परख</v>
      </c>
      <c r="BN4" s="963"/>
      <c r="BO4" s="963" t="str">
        <f>IF('School Profile'!$D$12="Hindi","तृतीय परख","Third Test")</f>
        <v>तृतीय परख</v>
      </c>
      <c r="BP4" s="963"/>
      <c r="BQ4" s="1065" t="str">
        <f>IF('School Profile'!$D$12="Hindi","अर्द्धवार्षिक","Half Yearly")</f>
        <v>अर्द्धवार्षिक</v>
      </c>
      <c r="BR4" s="1066"/>
      <c r="BS4" s="1057" t="str">
        <f>IF('School Profile'!$D$12="Hindi","वार्षिक","Yearly")</f>
        <v>वार्षिक</v>
      </c>
      <c r="BT4" s="1005"/>
      <c r="BU4" s="962" t="str">
        <f>IF('School Profile'!$D$12="Hindi","अनिवार्य प्रवृति","Compulsory Tendency")</f>
        <v>अनिवार्य प्रवृति</v>
      </c>
      <c r="BV4" s="962" t="str">
        <f>IF('School Profile'!$D$12="Hindi","वैकल्पिक प्रवृति","Alternative Tendency")</f>
        <v>वैकल्पिक प्रवृति</v>
      </c>
      <c r="BW4" s="962" t="str">
        <f>IF('School Profile'!$D$12="Hindi","शिविर","Camp")</f>
        <v>शिविर</v>
      </c>
      <c r="BX4" s="962" t="str">
        <f>IF('School Profile'!$D$12="Hindi","सैद्धान्तिक","Theoretical")</f>
        <v>सैद्धान्तिक</v>
      </c>
      <c r="BY4" s="962" t="str">
        <f>IF('School Profile'!$D$12="Hindi","प्रायोगिक","Practical")</f>
        <v>प्रायोगिक</v>
      </c>
      <c r="BZ4" s="962" t="str">
        <f>IF('School Profile'!$D$12="Hindi","प्रस्तुति कार्य","Presentation Work")</f>
        <v>प्रस्तुति कार्य</v>
      </c>
      <c r="CA4" s="733"/>
      <c r="CE4" s="736" t="e">
        <f>IF('School Profile'!#REF!="","",'School Profile'!#REF!)</f>
        <v>#REF!</v>
      </c>
    </row>
    <row r="5" spans="1:83" s="750" customFormat="1" ht="81" customHeight="1" thickTop="1" thickBot="1">
      <c r="A5" s="964"/>
      <c r="B5" s="964"/>
      <c r="C5" s="964"/>
      <c r="D5" s="964"/>
      <c r="E5" s="964"/>
      <c r="F5" s="964"/>
      <c r="G5" s="978"/>
      <c r="H5" s="978"/>
      <c r="I5" s="978"/>
      <c r="J5" s="964"/>
      <c r="K5" s="1010"/>
      <c r="L5" s="482" t="str">
        <f>IF('School Profile'!$D$12="Hindi","प्रथम परख ","First Test")</f>
        <v xml:space="preserve">प्रथम परख </v>
      </c>
      <c r="M5" s="482" t="str">
        <f>IF('School Profile'!$D$12="Hindi","द्वितीय परख","Second Test")</f>
        <v>द्वितीय परख</v>
      </c>
      <c r="N5" s="483" t="str">
        <f>IF('School Profile'!$D$12="Hindi","तृतीय परख","Third Test")</f>
        <v>तृतीय परख</v>
      </c>
      <c r="O5" s="1058"/>
      <c r="P5" s="1060"/>
      <c r="Q5" s="485" t="str">
        <f>IF('School Profile'!$D$12="Hindi","प्रथम परख ","First Test")</f>
        <v xml:space="preserve">प्रथम परख </v>
      </c>
      <c r="R5" s="485" t="str">
        <f>IF('School Profile'!$D$12="Hindi","द्वितीय परख","Second Test")</f>
        <v>द्वितीय परख</v>
      </c>
      <c r="S5" s="485" t="str">
        <f>IF('School Profile'!$D$12="Hindi","तृतीय परख","Third Test")</f>
        <v>तृतीय परख</v>
      </c>
      <c r="T5" s="1061"/>
      <c r="U5" s="1061"/>
      <c r="V5" s="1042"/>
      <c r="W5" s="737" t="str">
        <f>IF('School Profile'!$D$12="Hindi","प्रथम परख ","First Test")</f>
        <v xml:space="preserve">प्रथम परख </v>
      </c>
      <c r="X5" s="738" t="str">
        <f>IF('School Profile'!$D$12="Hindi","द्वितीय परख","Second Test")</f>
        <v>द्वितीय परख</v>
      </c>
      <c r="Y5" s="738" t="str">
        <f>IF('School Profile'!$D$12="Hindi","तृतीय परख","Third Test")</f>
        <v>तृतीय परख</v>
      </c>
      <c r="Z5" s="1062"/>
      <c r="AA5" s="1062"/>
      <c r="AB5" s="739" t="str">
        <f>IF('School Profile'!$D$12="Hindi","प्रथम परख ","First Test")</f>
        <v xml:space="preserve">प्रथम परख </v>
      </c>
      <c r="AC5" s="740" t="str">
        <f>IF('School Profile'!$D$12="Hindi","द्वितीय परख","Second Test")</f>
        <v>द्वितीय परख</v>
      </c>
      <c r="AD5" s="740" t="str">
        <f>IF('School Profile'!$D$12="Hindi","तृतीय परख","Third Test")</f>
        <v>तृतीय परख</v>
      </c>
      <c r="AE5" s="962"/>
      <c r="AF5" s="962"/>
      <c r="AG5" s="741" t="str">
        <f>IF('School Profile'!$D$12="Hindi","प्रथम परख ","First Test")</f>
        <v xml:space="preserve">प्रथम परख </v>
      </c>
      <c r="AH5" s="742" t="str">
        <f>IF('School Profile'!$D$12="Hindi","द्वितीय परख","Second Test")</f>
        <v>द्वितीय परख</v>
      </c>
      <c r="AI5" s="742" t="str">
        <f>IF('School Profile'!$D$12="Hindi","तृतीय परख","Third Test")</f>
        <v>तृतीय परख</v>
      </c>
      <c r="AJ5" s="1063"/>
      <c r="AK5" s="1063"/>
      <c r="AL5" s="743" t="str">
        <f>IF('School Profile'!$D$12="Hindi","प्रथम परख ","First Test")</f>
        <v xml:space="preserve">प्रथम परख </v>
      </c>
      <c r="AM5" s="744" t="str">
        <f>IF('School Profile'!$D$12="Hindi","द्वितीय परख","Second Test")</f>
        <v>द्वितीय परख</v>
      </c>
      <c r="AN5" s="744" t="str">
        <f>IF('School Profile'!$D$12="Hindi","तृतीय परख","Third Test")</f>
        <v>तृतीय परख</v>
      </c>
      <c r="AO5" s="1064"/>
      <c r="AP5" s="1064"/>
      <c r="AQ5" s="1025"/>
      <c r="AR5" s="741" t="str">
        <f>IF('School Profile'!$D$12="Hindi","प्रथम परख ","First Test")</f>
        <v xml:space="preserve">प्रथम परख </v>
      </c>
      <c r="AS5" s="742" t="str">
        <f>IF('School Profile'!$D$12="Hindi","द्वितीय परख","Second Test")</f>
        <v>द्वितीय परख</v>
      </c>
      <c r="AT5" s="742" t="str">
        <f>IF('School Profile'!$D$12="Hindi","तृतीय परख","Third Test")</f>
        <v>तृतीय परख</v>
      </c>
      <c r="AU5" s="745" t="str">
        <f>IF('School Profile'!$D$12="Hindi","सैद्धान्तिक","Theoretical")</f>
        <v>सैद्धान्तिक</v>
      </c>
      <c r="AV5" s="745" t="str">
        <f>IF('School Profile'!$D$12="Hindi","प्रायोगिक","Practical")</f>
        <v>प्रायोगिक</v>
      </c>
      <c r="AW5" s="745" t="str">
        <f>IF('School Profile'!$D$12="Hindi","सैद्धान्तिक","Theoretical")</f>
        <v>सैद्धान्तिक</v>
      </c>
      <c r="AX5" s="745" t="str">
        <f>IF('School Profile'!$D$12="Hindi","प्रायोगिक","Practical")</f>
        <v>प्रायोगिक</v>
      </c>
      <c r="AY5" s="739" t="str">
        <f>IF('School Profile'!$D$12="Hindi","प्रथम परख ","First Test")</f>
        <v xml:space="preserve">प्रथम परख </v>
      </c>
      <c r="AZ5" s="740" t="str">
        <f>IF('School Profile'!$D$12="Hindi","द्वितीय परख","Second Test")</f>
        <v>द्वितीय परख</v>
      </c>
      <c r="BA5" s="740" t="str">
        <f>IF('School Profile'!$D$12="Hindi","तृतीय परख","Third Test")</f>
        <v>तृतीय परख</v>
      </c>
      <c r="BB5" s="962"/>
      <c r="BC5" s="962"/>
      <c r="BD5" s="739" t="str">
        <f>IF('School Profile'!$D$12="Hindi","प्रथम परख ","First Test")</f>
        <v xml:space="preserve">प्रथम परख </v>
      </c>
      <c r="BE5" s="740" t="str">
        <f>IF('School Profile'!$D$12="Hindi","द्वितीय परख","Second Test")</f>
        <v>द्वितीय परख</v>
      </c>
      <c r="BF5" s="740" t="str">
        <f>IF('School Profile'!$D$12="Hindi","तृतीय परख","Third Test")</f>
        <v>तृतीय परख</v>
      </c>
      <c r="BG5" s="746" t="str">
        <f>IF('School Profile'!$D$12="Hindi","सैद्धान्तिक","Theoretical")</f>
        <v>सैद्धान्तिक</v>
      </c>
      <c r="BH5" s="746" t="str">
        <f>IF('School Profile'!$D$12="Hindi","प्रायोगिक","Practical")</f>
        <v>प्रायोगिक</v>
      </c>
      <c r="BI5" s="747" t="str">
        <f>IF('School Profile'!$D$12="Hindi","सैद्धान्तिक","Theoretical")</f>
        <v>सैद्धान्तिक</v>
      </c>
      <c r="BJ5" s="747" t="str">
        <f>IF('School Profile'!$D$12="Hindi","प्रायोगिक","Practical")</f>
        <v>प्रायोगिक</v>
      </c>
      <c r="BK5" s="747" t="str">
        <f>IF('School Profile'!$D$12="Hindi","सैद्धान्तिक","Theoretical")</f>
        <v>सैद्धान्तिक</v>
      </c>
      <c r="BL5" s="747" t="str">
        <f>IF('School Profile'!$D$12="Hindi","प्रायोगिक","Practical")</f>
        <v>प्रायोगिक</v>
      </c>
      <c r="BM5" s="747" t="str">
        <f>IF('School Profile'!$D$12="Hindi","सैद्धान्तिक","Theoretical")</f>
        <v>सैद्धान्तिक</v>
      </c>
      <c r="BN5" s="747" t="str">
        <f>IF('School Profile'!$D$12="Hindi","प्रायोगिक","Practical")</f>
        <v>प्रायोगिक</v>
      </c>
      <c r="BO5" s="747" t="str">
        <f>IF('School Profile'!$D$12="Hindi","सैद्धान्तिक","Theoretical")</f>
        <v>सैद्धान्तिक</v>
      </c>
      <c r="BP5" s="747" t="str">
        <f>IF('School Profile'!$D$12="Hindi","प्रायोगिक","Practical")</f>
        <v>प्रायोगिक</v>
      </c>
      <c r="BQ5" s="747" t="str">
        <f>IF('School Profile'!$D$12="Hindi","सैद्धान्तिक","Theoretical")</f>
        <v>सैद्धान्तिक</v>
      </c>
      <c r="BR5" s="747" t="str">
        <f>IF('School Profile'!$D$12="Hindi","प्रायोगिक","Practical")</f>
        <v>प्रायोगिक</v>
      </c>
      <c r="BS5" s="747" t="str">
        <f>IF('School Profile'!$D$12="Hindi","सैद्धान्तिक","Theoretical")</f>
        <v>सैद्धान्तिक</v>
      </c>
      <c r="BT5" s="748" t="str">
        <f>IF('School Profile'!$D$12="Hindi","प्रायोगिक","Practical")</f>
        <v>प्रायोगिक</v>
      </c>
      <c r="BU5" s="962"/>
      <c r="BV5" s="962"/>
      <c r="BW5" s="962"/>
      <c r="BX5" s="962"/>
      <c r="BY5" s="962"/>
      <c r="BZ5" s="962"/>
      <c r="CA5" s="749"/>
      <c r="CE5" s="736" t="e">
        <f>IF('School Profile'!#REF!="","",'School Profile'!#REF!)</f>
        <v>#REF!</v>
      </c>
    </row>
    <row r="6" spans="1:83" ht="21" customHeight="1" thickTop="1" thickBot="1">
      <c r="A6" s="965"/>
      <c r="B6" s="965"/>
      <c r="C6" s="965"/>
      <c r="D6" s="965"/>
      <c r="E6" s="965"/>
      <c r="F6" s="965"/>
      <c r="G6" s="979"/>
      <c r="H6" s="979"/>
      <c r="I6" s="979"/>
      <c r="J6" s="964"/>
      <c r="K6" s="1011"/>
      <c r="L6" s="477">
        <v>10</v>
      </c>
      <c r="M6" s="477">
        <v>10</v>
      </c>
      <c r="N6" s="477">
        <v>10</v>
      </c>
      <c r="O6" s="484">
        <v>70</v>
      </c>
      <c r="P6" s="477">
        <v>100</v>
      </c>
      <c r="Q6" s="477">
        <v>10</v>
      </c>
      <c r="R6" s="477">
        <v>10</v>
      </c>
      <c r="S6" s="477">
        <v>10</v>
      </c>
      <c r="T6" s="484">
        <v>70</v>
      </c>
      <c r="U6" s="477">
        <v>100</v>
      </c>
      <c r="V6" s="1043"/>
      <c r="W6" s="477">
        <v>10</v>
      </c>
      <c r="X6" s="477">
        <v>10</v>
      </c>
      <c r="Y6" s="477">
        <v>10</v>
      </c>
      <c r="Z6" s="484">
        <v>70</v>
      </c>
      <c r="AA6" s="477">
        <v>100</v>
      </c>
      <c r="AB6" s="477">
        <v>10</v>
      </c>
      <c r="AC6" s="477">
        <v>10</v>
      </c>
      <c r="AD6" s="477">
        <v>10</v>
      </c>
      <c r="AE6" s="484">
        <v>70</v>
      </c>
      <c r="AF6" s="477">
        <v>100</v>
      </c>
      <c r="AG6" s="477">
        <v>10</v>
      </c>
      <c r="AH6" s="477">
        <v>10</v>
      </c>
      <c r="AI6" s="477">
        <v>10</v>
      </c>
      <c r="AJ6" s="484">
        <v>70</v>
      </c>
      <c r="AK6" s="477">
        <v>100</v>
      </c>
      <c r="AL6" s="477">
        <v>10</v>
      </c>
      <c r="AM6" s="477">
        <v>10</v>
      </c>
      <c r="AN6" s="477">
        <v>10</v>
      </c>
      <c r="AO6" s="484">
        <v>70</v>
      </c>
      <c r="AP6" s="477">
        <v>100</v>
      </c>
      <c r="AQ6" s="1026"/>
      <c r="AR6" s="477">
        <v>10</v>
      </c>
      <c r="AS6" s="477">
        <v>10</v>
      </c>
      <c r="AT6" s="477">
        <v>10</v>
      </c>
      <c r="AU6" s="477">
        <v>35</v>
      </c>
      <c r="AV6" s="477">
        <v>35</v>
      </c>
      <c r="AW6" s="477">
        <v>50</v>
      </c>
      <c r="AX6" s="477">
        <v>50</v>
      </c>
      <c r="AY6" s="477">
        <v>10</v>
      </c>
      <c r="AZ6" s="477">
        <v>10</v>
      </c>
      <c r="BA6" s="477">
        <v>10</v>
      </c>
      <c r="BB6" s="484">
        <v>70</v>
      </c>
      <c r="BC6" s="477">
        <v>100</v>
      </c>
      <c r="BD6" s="477">
        <v>10</v>
      </c>
      <c r="BE6" s="477">
        <v>10</v>
      </c>
      <c r="BF6" s="477">
        <v>10</v>
      </c>
      <c r="BG6" s="477">
        <v>50</v>
      </c>
      <c r="BH6" s="477">
        <v>20</v>
      </c>
      <c r="BI6" s="477">
        <v>70</v>
      </c>
      <c r="BJ6" s="477">
        <v>30</v>
      </c>
      <c r="BK6" s="477">
        <v>10</v>
      </c>
      <c r="BL6" s="477">
        <v>8</v>
      </c>
      <c r="BM6" s="477">
        <v>10</v>
      </c>
      <c r="BN6" s="477">
        <v>7</v>
      </c>
      <c r="BO6" s="477">
        <v>10</v>
      </c>
      <c r="BP6" s="477">
        <v>15</v>
      </c>
      <c r="BQ6" s="477">
        <v>25</v>
      </c>
      <c r="BR6" s="477">
        <v>15</v>
      </c>
      <c r="BS6" s="477">
        <v>30</v>
      </c>
      <c r="BT6" s="477">
        <v>70</v>
      </c>
      <c r="BU6" s="484">
        <v>25</v>
      </c>
      <c r="BV6" s="484">
        <v>45</v>
      </c>
      <c r="BW6" s="484">
        <v>30</v>
      </c>
      <c r="BX6" s="484">
        <v>25</v>
      </c>
      <c r="BY6" s="477">
        <v>60</v>
      </c>
      <c r="BZ6" s="484">
        <v>15</v>
      </c>
      <c r="CA6" s="751"/>
      <c r="CE6" s="736" t="e">
        <f>IF('School Profile'!#REF!="","",'School Profile'!#REF!)</f>
        <v>#REF!</v>
      </c>
    </row>
    <row r="7" spans="1:83" ht="24.95" customHeight="1" thickTop="1">
      <c r="A7" s="464">
        <f>IF('Student DATA Entry'!A4="","",'Student DATA Entry'!A4)</f>
        <v>1</v>
      </c>
      <c r="B7" s="465">
        <f>IF('Student DATA Entry'!B4="","",'Student DATA Entry'!B4)</f>
        <v>901</v>
      </c>
      <c r="C7" s="465">
        <f>IF('Student DATA Entry'!C4="","",'Student DATA Entry'!C4)</f>
        <v>9</v>
      </c>
      <c r="D7" s="465" t="str">
        <f>IF('Student DATA Entry'!D4="","",'Student DATA Entry'!D4)</f>
        <v>A</v>
      </c>
      <c r="E7" s="465">
        <f>IF('Student DATA Entry'!E4="","",'Student DATA Entry'!E4)</f>
        <v>521</v>
      </c>
      <c r="F7" s="466">
        <f>IF('Student DATA Entry'!K4="","",'Student DATA Entry'!K4)</f>
        <v>40461</v>
      </c>
      <c r="G7" s="461" t="str">
        <f>IF('Student DATA Entry'!G4="","",UPPER('Student DATA Entry'!G4))</f>
        <v>RAHUL JAT</v>
      </c>
      <c r="H7" s="461" t="str">
        <f>IF('Student DATA Entry'!H4="","",UPPER('Student DATA Entry'!H4))</f>
        <v>HL JAT</v>
      </c>
      <c r="I7" s="461" t="str">
        <f>IF('Student DATA Entry'!I4="","",UPPER('Student DATA Entry'!I4))</f>
        <v>LALI</v>
      </c>
      <c r="J7" s="825" t="str">
        <f>IF('Student DATA Entry'!L4="","",UPPER('Student DATA Entry'!L4))</f>
        <v>OBC</v>
      </c>
      <c r="K7" s="467" t="str">
        <f>IF('Student DATA Entry'!J4="","",UPPER('Student DATA Entry'!J4))</f>
        <v>M</v>
      </c>
      <c r="L7" s="486">
        <v>8</v>
      </c>
      <c r="M7" s="487">
        <v>10</v>
      </c>
      <c r="N7" s="487">
        <v>8</v>
      </c>
      <c r="O7" s="488">
        <v>46</v>
      </c>
      <c r="P7" s="490">
        <v>70</v>
      </c>
      <c r="Q7" s="486">
        <v>8</v>
      </c>
      <c r="R7" s="487">
        <v>10</v>
      </c>
      <c r="S7" s="487">
        <v>10</v>
      </c>
      <c r="T7" s="488">
        <v>46</v>
      </c>
      <c r="U7" s="490">
        <v>70</v>
      </c>
      <c r="V7" s="498">
        <v>1</v>
      </c>
      <c r="W7" s="499">
        <v>8</v>
      </c>
      <c r="X7" s="487">
        <v>7</v>
      </c>
      <c r="Y7" s="487">
        <v>10</v>
      </c>
      <c r="Z7" s="488">
        <v>46</v>
      </c>
      <c r="AA7" s="490">
        <v>70</v>
      </c>
      <c r="AB7" s="486">
        <v>8</v>
      </c>
      <c r="AC7" s="487">
        <v>10</v>
      </c>
      <c r="AD7" s="487">
        <v>8</v>
      </c>
      <c r="AE7" s="488">
        <v>46</v>
      </c>
      <c r="AF7" s="490">
        <v>70</v>
      </c>
      <c r="AG7" s="486">
        <v>8</v>
      </c>
      <c r="AH7" s="487">
        <v>10</v>
      </c>
      <c r="AI7" s="487">
        <v>9</v>
      </c>
      <c r="AJ7" s="488">
        <v>46</v>
      </c>
      <c r="AK7" s="490">
        <v>70</v>
      </c>
      <c r="AL7" s="486">
        <v>9</v>
      </c>
      <c r="AM7" s="487">
        <v>9</v>
      </c>
      <c r="AN7" s="487">
        <v>9</v>
      </c>
      <c r="AO7" s="488">
        <v>46</v>
      </c>
      <c r="AP7" s="490">
        <v>70</v>
      </c>
      <c r="AQ7" s="505">
        <v>2</v>
      </c>
      <c r="AR7" s="486">
        <v>8</v>
      </c>
      <c r="AS7" s="487">
        <v>8</v>
      </c>
      <c r="AT7" s="487">
        <v>8</v>
      </c>
      <c r="AU7" s="488">
        <v>31</v>
      </c>
      <c r="AV7" s="488">
        <v>32</v>
      </c>
      <c r="AW7" s="489">
        <v>43</v>
      </c>
      <c r="AX7" s="490">
        <v>44</v>
      </c>
      <c r="AY7" s="486">
        <v>10</v>
      </c>
      <c r="AZ7" s="499">
        <v>10</v>
      </c>
      <c r="BA7" s="488">
        <v>10</v>
      </c>
      <c r="BB7" s="488">
        <v>70</v>
      </c>
      <c r="BC7" s="490">
        <v>90</v>
      </c>
      <c r="BD7" s="486">
        <v>10</v>
      </c>
      <c r="BE7" s="499">
        <v>10</v>
      </c>
      <c r="BF7" s="499">
        <v>10</v>
      </c>
      <c r="BG7" s="499">
        <v>45</v>
      </c>
      <c r="BH7" s="488">
        <v>12</v>
      </c>
      <c r="BI7" s="488">
        <v>63</v>
      </c>
      <c r="BJ7" s="490">
        <v>25</v>
      </c>
      <c r="BK7" s="486">
        <v>10</v>
      </c>
      <c r="BL7" s="499">
        <v>7</v>
      </c>
      <c r="BM7" s="499">
        <v>9</v>
      </c>
      <c r="BN7" s="499">
        <v>7</v>
      </c>
      <c r="BO7" s="499">
        <v>10</v>
      </c>
      <c r="BP7" s="499">
        <v>14</v>
      </c>
      <c r="BQ7" s="499">
        <v>20</v>
      </c>
      <c r="BR7" s="487">
        <v>14</v>
      </c>
      <c r="BS7" s="487">
        <v>12</v>
      </c>
      <c r="BT7" s="508">
        <v>50</v>
      </c>
      <c r="BU7" s="486">
        <v>21</v>
      </c>
      <c r="BV7" s="487">
        <v>41</v>
      </c>
      <c r="BW7" s="508">
        <v>29</v>
      </c>
      <c r="BX7" s="486">
        <v>14</v>
      </c>
      <c r="BY7" s="487">
        <v>42</v>
      </c>
      <c r="BZ7" s="508">
        <v>10</v>
      </c>
      <c r="CA7" s="752"/>
      <c r="CE7" s="736" t="e">
        <f>IF('School Profile'!#REF!="","",'School Profile'!#REF!)</f>
        <v>#REF!</v>
      </c>
    </row>
    <row r="8" spans="1:83" ht="24.95" customHeight="1">
      <c r="A8" s="468">
        <f>IF('Student DATA Entry'!A5="","",'Student DATA Entry'!A5)</f>
        <v>2</v>
      </c>
      <c r="B8" s="459">
        <f>IF('Student DATA Entry'!B5="","",'Student DATA Entry'!B5)</f>
        <v>902</v>
      </c>
      <c r="C8" s="459">
        <f>IF('Student DATA Entry'!C5="","",'Student DATA Entry'!C5)</f>
        <v>9</v>
      </c>
      <c r="D8" s="459" t="str">
        <f>IF('Student DATA Entry'!D5="","",'Student DATA Entry'!D5)</f>
        <v>A</v>
      </c>
      <c r="E8" s="459">
        <f>IF('Student DATA Entry'!E5="","",'Student DATA Entry'!E5)</f>
        <v>501</v>
      </c>
      <c r="F8" s="460">
        <f>IF('Student DATA Entry'!K5="","",'Student DATA Entry'!K5)</f>
        <v>40065</v>
      </c>
      <c r="G8" s="461" t="str">
        <f>IF('Student DATA Entry'!G5="","",UPPER('Student DATA Entry'!G5))</f>
        <v>RAM</v>
      </c>
      <c r="H8" s="461" t="str">
        <f>IF('Student DATA Entry'!H5="","",UPPER('Student DATA Entry'!H5))</f>
        <v>SHYAM</v>
      </c>
      <c r="I8" s="462" t="str">
        <f>IF('Student DATA Entry'!I5="","",UPPER('Student DATA Entry'!I5))</f>
        <v>SITA</v>
      </c>
      <c r="J8" s="463" t="str">
        <f>IF('Student DATA Entry'!L5="","",UPPER('Student DATA Entry'!L5))</f>
        <v>OBC</v>
      </c>
      <c r="K8" s="469" t="str">
        <f>IF('Student DATA Entry'!J5="","",UPPER('Student DATA Entry'!J5))</f>
        <v>M</v>
      </c>
      <c r="L8" s="491">
        <v>8</v>
      </c>
      <c r="M8" s="8">
        <v>9</v>
      </c>
      <c r="N8" s="8">
        <v>9</v>
      </c>
      <c r="O8" s="9">
        <v>46</v>
      </c>
      <c r="P8" s="492">
        <v>65</v>
      </c>
      <c r="Q8" s="491">
        <v>8</v>
      </c>
      <c r="R8" s="8">
        <v>9</v>
      </c>
      <c r="S8" s="8">
        <v>10</v>
      </c>
      <c r="T8" s="9">
        <v>66</v>
      </c>
      <c r="U8" s="492">
        <v>95</v>
      </c>
      <c r="V8" s="500">
        <v>1</v>
      </c>
      <c r="W8" s="7">
        <v>8</v>
      </c>
      <c r="X8" s="8">
        <v>9</v>
      </c>
      <c r="Y8" s="8">
        <v>9</v>
      </c>
      <c r="Z8" s="9">
        <v>62</v>
      </c>
      <c r="AA8" s="492">
        <v>92</v>
      </c>
      <c r="AB8" s="491">
        <v>8</v>
      </c>
      <c r="AC8" s="8">
        <v>9</v>
      </c>
      <c r="AD8" s="8">
        <v>8</v>
      </c>
      <c r="AE8" s="9">
        <v>46</v>
      </c>
      <c r="AF8" s="492">
        <v>45</v>
      </c>
      <c r="AG8" s="491">
        <v>8</v>
      </c>
      <c r="AH8" s="8">
        <v>9</v>
      </c>
      <c r="AI8" s="8">
        <v>9</v>
      </c>
      <c r="AJ8" s="9">
        <v>46</v>
      </c>
      <c r="AK8" s="492">
        <v>45</v>
      </c>
      <c r="AL8" s="491">
        <v>10</v>
      </c>
      <c r="AM8" s="8">
        <v>10</v>
      </c>
      <c r="AN8" s="8">
        <v>10</v>
      </c>
      <c r="AO8" s="9">
        <v>46</v>
      </c>
      <c r="AP8" s="492">
        <v>45</v>
      </c>
      <c r="AQ8" s="506">
        <v>1</v>
      </c>
      <c r="AR8" s="491">
        <v>4</v>
      </c>
      <c r="AS8" s="8">
        <v>4</v>
      </c>
      <c r="AT8" s="8">
        <v>4</v>
      </c>
      <c r="AU8" s="9">
        <v>15</v>
      </c>
      <c r="AV8" s="9">
        <v>15</v>
      </c>
      <c r="AW8" s="17">
        <v>30</v>
      </c>
      <c r="AX8" s="492">
        <v>30</v>
      </c>
      <c r="AY8" s="491">
        <v>9</v>
      </c>
      <c r="AZ8" s="7">
        <v>9</v>
      </c>
      <c r="BA8" s="9">
        <v>9</v>
      </c>
      <c r="BB8" s="9">
        <v>65</v>
      </c>
      <c r="BC8" s="492">
        <v>85</v>
      </c>
      <c r="BD8" s="491">
        <v>9</v>
      </c>
      <c r="BE8" s="7">
        <v>9</v>
      </c>
      <c r="BF8" s="7">
        <v>9</v>
      </c>
      <c r="BG8" s="7">
        <v>46</v>
      </c>
      <c r="BH8" s="9">
        <v>13</v>
      </c>
      <c r="BI8" s="9">
        <v>65</v>
      </c>
      <c r="BJ8" s="492">
        <v>26</v>
      </c>
      <c r="BK8" s="491">
        <v>9</v>
      </c>
      <c r="BL8" s="7">
        <v>7</v>
      </c>
      <c r="BM8" s="7">
        <v>9</v>
      </c>
      <c r="BN8" s="7">
        <v>6</v>
      </c>
      <c r="BO8" s="7">
        <v>9</v>
      </c>
      <c r="BP8" s="7">
        <v>14</v>
      </c>
      <c r="BQ8" s="7">
        <v>21</v>
      </c>
      <c r="BR8" s="8">
        <v>10</v>
      </c>
      <c r="BS8" s="8">
        <v>11</v>
      </c>
      <c r="BT8" s="509">
        <v>52</v>
      </c>
      <c r="BU8" s="491">
        <v>24</v>
      </c>
      <c r="BV8" s="8">
        <v>42</v>
      </c>
      <c r="BW8" s="509">
        <v>28</v>
      </c>
      <c r="BX8" s="491">
        <v>20</v>
      </c>
      <c r="BY8" s="8">
        <v>45</v>
      </c>
      <c r="BZ8" s="509">
        <v>10</v>
      </c>
      <c r="CA8" s="752"/>
      <c r="CE8" s="736" t="e">
        <f>IF('School Profile'!#REF!="","",'School Profile'!#REF!)</f>
        <v>#REF!</v>
      </c>
    </row>
    <row r="9" spans="1:83" ht="24.95" customHeight="1">
      <c r="A9" s="468">
        <f>IF('Student DATA Entry'!A6="","",'Student DATA Entry'!A6)</f>
        <v>3</v>
      </c>
      <c r="B9" s="459">
        <f>IF('Student DATA Entry'!B6="","",'Student DATA Entry'!B6)</f>
        <v>903</v>
      </c>
      <c r="C9" s="459">
        <f>IF('Student DATA Entry'!C6="","",'Student DATA Entry'!C6)</f>
        <v>9</v>
      </c>
      <c r="D9" s="459" t="str">
        <f>IF('Student DATA Entry'!D6="","",'Student DATA Entry'!D6)</f>
        <v>A</v>
      </c>
      <c r="E9" s="459" t="str">
        <f>IF('Student DATA Entry'!E6="","",'Student DATA Entry'!E6)</f>
        <v/>
      </c>
      <c r="F9" s="460">
        <f>IF('Student DATA Entry'!K6="","",'Student DATA Entry'!K6)</f>
        <v>41192</v>
      </c>
      <c r="G9" s="461" t="str">
        <f>IF('Student DATA Entry'!G6="","",UPPER('Student DATA Entry'!G6))</f>
        <v>DINESH</v>
      </c>
      <c r="H9" s="461" t="str">
        <f>IF('Student DATA Entry'!H6="","",UPPER('Student DATA Entry'!H6))</f>
        <v/>
      </c>
      <c r="I9" s="462" t="str">
        <f>IF('Student DATA Entry'!I6="","",UPPER('Student DATA Entry'!I6))</f>
        <v/>
      </c>
      <c r="J9" s="463" t="str">
        <f>IF('Student DATA Entry'!L6="","",UPPER('Student DATA Entry'!L6))</f>
        <v>GEN</v>
      </c>
      <c r="K9" s="469" t="str">
        <f>IF('Student DATA Entry'!J6="","",UPPER('Student DATA Entry'!J6))</f>
        <v>M</v>
      </c>
      <c r="L9" s="491">
        <v>8</v>
      </c>
      <c r="M9" s="8">
        <v>9</v>
      </c>
      <c r="N9" s="8">
        <v>7</v>
      </c>
      <c r="O9" s="9">
        <v>46</v>
      </c>
      <c r="P9" s="492">
        <v>13</v>
      </c>
      <c r="Q9" s="491">
        <v>8</v>
      </c>
      <c r="R9" s="8">
        <v>9</v>
      </c>
      <c r="S9" s="8">
        <v>10</v>
      </c>
      <c r="T9" s="9">
        <v>65</v>
      </c>
      <c r="U9" s="492">
        <v>95</v>
      </c>
      <c r="V9" s="500">
        <v>1</v>
      </c>
      <c r="W9" s="7">
        <v>8</v>
      </c>
      <c r="X9" s="8">
        <v>9</v>
      </c>
      <c r="Y9" s="8">
        <v>9</v>
      </c>
      <c r="Z9" s="9">
        <v>46</v>
      </c>
      <c r="AA9" s="492">
        <v>45</v>
      </c>
      <c r="AB9" s="491">
        <v>8</v>
      </c>
      <c r="AC9" s="8">
        <v>9</v>
      </c>
      <c r="AD9" s="8">
        <v>8</v>
      </c>
      <c r="AE9" s="9">
        <v>68</v>
      </c>
      <c r="AF9" s="492">
        <v>95</v>
      </c>
      <c r="AG9" s="491">
        <v>8</v>
      </c>
      <c r="AH9" s="8">
        <v>9</v>
      </c>
      <c r="AI9" s="8">
        <v>8</v>
      </c>
      <c r="AJ9" s="9">
        <v>46</v>
      </c>
      <c r="AK9" s="492">
        <v>45</v>
      </c>
      <c r="AL9" s="491">
        <v>8</v>
      </c>
      <c r="AM9" s="8">
        <v>8</v>
      </c>
      <c r="AN9" s="8">
        <v>8</v>
      </c>
      <c r="AO9" s="9">
        <v>46</v>
      </c>
      <c r="AP9" s="492">
        <v>45</v>
      </c>
      <c r="AQ9" s="506">
        <v>4</v>
      </c>
      <c r="AR9" s="491">
        <v>10</v>
      </c>
      <c r="AS9" s="8">
        <v>10</v>
      </c>
      <c r="AT9" s="8">
        <v>10</v>
      </c>
      <c r="AU9" s="9">
        <v>35</v>
      </c>
      <c r="AV9" s="9">
        <v>34</v>
      </c>
      <c r="AW9" s="17">
        <v>45</v>
      </c>
      <c r="AX9" s="492">
        <v>46</v>
      </c>
      <c r="AY9" s="491">
        <v>9</v>
      </c>
      <c r="AZ9" s="7">
        <v>9</v>
      </c>
      <c r="BA9" s="9">
        <v>9</v>
      </c>
      <c r="BB9" s="9">
        <v>66</v>
      </c>
      <c r="BC9" s="492">
        <v>91</v>
      </c>
      <c r="BD9" s="491">
        <v>8</v>
      </c>
      <c r="BE9" s="7">
        <v>8</v>
      </c>
      <c r="BF9" s="7">
        <v>8</v>
      </c>
      <c r="BG9" s="7">
        <v>47</v>
      </c>
      <c r="BH9" s="9">
        <v>16</v>
      </c>
      <c r="BI9" s="9">
        <v>64</v>
      </c>
      <c r="BJ9" s="492">
        <v>24</v>
      </c>
      <c r="BK9" s="491">
        <v>9</v>
      </c>
      <c r="BL9" s="7">
        <v>7</v>
      </c>
      <c r="BM9" s="7">
        <v>9</v>
      </c>
      <c r="BN9" s="7">
        <v>6</v>
      </c>
      <c r="BO9" s="7">
        <v>9</v>
      </c>
      <c r="BP9" s="7">
        <v>14</v>
      </c>
      <c r="BQ9" s="7">
        <v>21</v>
      </c>
      <c r="BR9" s="8">
        <v>12</v>
      </c>
      <c r="BS9" s="8">
        <v>20</v>
      </c>
      <c r="BT9" s="509">
        <v>54</v>
      </c>
      <c r="BU9" s="491">
        <v>23</v>
      </c>
      <c r="BV9" s="8">
        <v>40</v>
      </c>
      <c r="BW9" s="509">
        <v>29</v>
      </c>
      <c r="BX9" s="491">
        <v>21</v>
      </c>
      <c r="BY9" s="8">
        <v>48</v>
      </c>
      <c r="BZ9" s="509">
        <v>10</v>
      </c>
      <c r="CA9" s="752"/>
      <c r="CE9" s="736" t="e">
        <f>IF('School Profile'!#REF!="","",'School Profile'!#REF!)</f>
        <v>#REF!</v>
      </c>
    </row>
    <row r="10" spans="1:83" ht="24.95" customHeight="1">
      <c r="A10" s="468">
        <f>IF('Student DATA Entry'!A7="","",'Student DATA Entry'!A7)</f>
        <v>4</v>
      </c>
      <c r="B10" s="459">
        <f>IF('Student DATA Entry'!B7="","",'Student DATA Entry'!B7)</f>
        <v>904</v>
      </c>
      <c r="C10" s="459">
        <f>IF('Student DATA Entry'!C7="","",'Student DATA Entry'!C7)</f>
        <v>9</v>
      </c>
      <c r="D10" s="459" t="str">
        <f>IF('Student DATA Entry'!D7="","",'Student DATA Entry'!D7)</f>
        <v>A</v>
      </c>
      <c r="E10" s="459" t="str">
        <f>IF('Student DATA Entry'!E7="","",'Student DATA Entry'!E7)</f>
        <v/>
      </c>
      <c r="F10" s="460">
        <f>IF('Student DATA Entry'!K7="","",'Student DATA Entry'!K7)</f>
        <v>40670</v>
      </c>
      <c r="G10" s="461" t="str">
        <f>IF('Student DATA Entry'!G7="","",UPPER('Student DATA Entry'!G7))</f>
        <v>RAMESH</v>
      </c>
      <c r="H10" s="461" t="str">
        <f>IF('Student DATA Entry'!H7="","",UPPER('Student DATA Entry'!H7))</f>
        <v/>
      </c>
      <c r="I10" s="462" t="str">
        <f>IF('Student DATA Entry'!I7="","",UPPER('Student DATA Entry'!I7))</f>
        <v/>
      </c>
      <c r="J10" s="463" t="str">
        <f>IF('Student DATA Entry'!L7="","",UPPER('Student DATA Entry'!L7))</f>
        <v>SBC</v>
      </c>
      <c r="K10" s="469" t="str">
        <f>IF('Student DATA Entry'!J7="","",UPPER('Student DATA Entry'!J7))</f>
        <v>M</v>
      </c>
      <c r="L10" s="491" t="s">
        <v>227</v>
      </c>
      <c r="M10" s="8">
        <v>9</v>
      </c>
      <c r="N10" s="8">
        <v>4</v>
      </c>
      <c r="O10" s="9">
        <v>46</v>
      </c>
      <c r="P10" s="492">
        <v>65</v>
      </c>
      <c r="Q10" s="491">
        <v>8</v>
      </c>
      <c r="R10" s="8">
        <v>9</v>
      </c>
      <c r="S10" s="8">
        <v>10</v>
      </c>
      <c r="T10" s="9">
        <v>30</v>
      </c>
      <c r="U10" s="492">
        <v>95</v>
      </c>
      <c r="V10" s="501">
        <v>1</v>
      </c>
      <c r="W10" s="7">
        <v>8</v>
      </c>
      <c r="X10" s="8">
        <v>9</v>
      </c>
      <c r="Y10" s="8">
        <v>9</v>
      </c>
      <c r="Z10" s="9">
        <v>46</v>
      </c>
      <c r="AA10" s="492">
        <v>45</v>
      </c>
      <c r="AB10" s="491">
        <v>8</v>
      </c>
      <c r="AC10" s="8">
        <v>9</v>
      </c>
      <c r="AD10" s="8">
        <v>8</v>
      </c>
      <c r="AE10" s="9">
        <v>12</v>
      </c>
      <c r="AF10" s="492">
        <v>34</v>
      </c>
      <c r="AG10" s="491">
        <v>8</v>
      </c>
      <c r="AH10" s="8">
        <v>9</v>
      </c>
      <c r="AI10" s="8">
        <v>9</v>
      </c>
      <c r="AJ10" s="9">
        <v>46</v>
      </c>
      <c r="AK10" s="492">
        <v>45</v>
      </c>
      <c r="AL10" s="491">
        <v>7</v>
      </c>
      <c r="AM10" s="8">
        <v>7</v>
      </c>
      <c r="AN10" s="8">
        <v>7</v>
      </c>
      <c r="AO10" s="9">
        <v>46</v>
      </c>
      <c r="AP10" s="492">
        <v>45</v>
      </c>
      <c r="AQ10" s="506"/>
      <c r="AR10" s="491"/>
      <c r="AS10" s="8"/>
      <c r="AT10" s="8"/>
      <c r="AU10" s="9"/>
      <c r="AV10" s="9"/>
      <c r="AW10" s="17"/>
      <c r="AX10" s="492"/>
      <c r="AY10" s="491">
        <v>9</v>
      </c>
      <c r="AZ10" s="7">
        <v>9</v>
      </c>
      <c r="BA10" s="9">
        <v>9</v>
      </c>
      <c r="BB10" s="9">
        <v>66</v>
      </c>
      <c r="BC10" s="492">
        <v>91</v>
      </c>
      <c r="BD10" s="491">
        <v>8</v>
      </c>
      <c r="BE10" s="7">
        <v>8</v>
      </c>
      <c r="BF10" s="7">
        <v>8</v>
      </c>
      <c r="BG10" s="7">
        <v>48</v>
      </c>
      <c r="BH10" s="9">
        <v>15</v>
      </c>
      <c r="BI10" s="9">
        <v>62</v>
      </c>
      <c r="BJ10" s="492">
        <v>27</v>
      </c>
      <c r="BK10" s="491">
        <v>9</v>
      </c>
      <c r="BL10" s="7">
        <v>7</v>
      </c>
      <c r="BM10" s="7">
        <v>9</v>
      </c>
      <c r="BN10" s="7">
        <v>6</v>
      </c>
      <c r="BO10" s="7">
        <v>9</v>
      </c>
      <c r="BP10" s="7">
        <v>14</v>
      </c>
      <c r="BQ10" s="7">
        <v>21</v>
      </c>
      <c r="BR10" s="8">
        <v>13</v>
      </c>
      <c r="BS10" s="8">
        <v>23</v>
      </c>
      <c r="BT10" s="509">
        <v>56</v>
      </c>
      <c r="BU10" s="491">
        <v>24</v>
      </c>
      <c r="BV10" s="8">
        <v>44</v>
      </c>
      <c r="BW10" s="509">
        <v>28</v>
      </c>
      <c r="BX10" s="491">
        <v>25</v>
      </c>
      <c r="BY10" s="8">
        <v>47</v>
      </c>
      <c r="BZ10" s="509">
        <v>9</v>
      </c>
      <c r="CA10" s="752"/>
      <c r="CE10" s="736" t="e">
        <f>IF('School Profile'!#REF!="","",'School Profile'!#REF!)</f>
        <v>#REF!</v>
      </c>
    </row>
    <row r="11" spans="1:83" ht="24.95" customHeight="1">
      <c r="A11" s="468">
        <f>IF('Student DATA Entry'!A8="","",'Student DATA Entry'!A8)</f>
        <v>5</v>
      </c>
      <c r="B11" s="459">
        <f>IF('Student DATA Entry'!B8="","",'Student DATA Entry'!B8)</f>
        <v>905</v>
      </c>
      <c r="C11" s="459">
        <f>IF('Student DATA Entry'!C8="","",'Student DATA Entry'!C8)</f>
        <v>9</v>
      </c>
      <c r="D11" s="459" t="str">
        <f>IF('Student DATA Entry'!D8="","",'Student DATA Entry'!D8)</f>
        <v>A</v>
      </c>
      <c r="E11" s="459" t="str">
        <f>IF('Student DATA Entry'!E8="","",'Student DATA Entry'!E8)</f>
        <v/>
      </c>
      <c r="F11" s="460">
        <f>IF('Student DATA Entry'!K8="","",'Student DATA Entry'!K8)</f>
        <v>41525</v>
      </c>
      <c r="G11" s="461" t="str">
        <f>IF('Student DATA Entry'!G8="","",UPPER('Student DATA Entry'!G8))</f>
        <v>SHYAM</v>
      </c>
      <c r="H11" s="461" t="str">
        <f>IF('Student DATA Entry'!H8="","",UPPER('Student DATA Entry'!H8))</f>
        <v/>
      </c>
      <c r="I11" s="462" t="str">
        <f>IF('Student DATA Entry'!I8="","",UPPER('Student DATA Entry'!I8))</f>
        <v/>
      </c>
      <c r="J11" s="463" t="str">
        <f>IF('Student DATA Entry'!L8="","",UPPER('Student DATA Entry'!L8))</f>
        <v>SC</v>
      </c>
      <c r="K11" s="469" t="str">
        <f>IF('Student DATA Entry'!J8="","",UPPER('Student DATA Entry'!J8))</f>
        <v>M</v>
      </c>
      <c r="L11" s="491">
        <v>8</v>
      </c>
      <c r="M11" s="8">
        <v>9</v>
      </c>
      <c r="N11" s="8">
        <v>8</v>
      </c>
      <c r="O11" s="9">
        <v>46</v>
      </c>
      <c r="P11" s="492">
        <v>65</v>
      </c>
      <c r="Q11" s="491">
        <v>8</v>
      </c>
      <c r="R11" s="8">
        <v>9</v>
      </c>
      <c r="S11" s="8">
        <v>10</v>
      </c>
      <c r="T11" s="9">
        <v>61</v>
      </c>
      <c r="U11" s="492">
        <v>45</v>
      </c>
      <c r="V11" s="502">
        <v>2</v>
      </c>
      <c r="W11" s="7">
        <v>8</v>
      </c>
      <c r="X11" s="8">
        <v>9</v>
      </c>
      <c r="Y11" s="8">
        <v>8</v>
      </c>
      <c r="Z11" s="9">
        <v>46</v>
      </c>
      <c r="AA11" s="492">
        <v>45</v>
      </c>
      <c r="AB11" s="491">
        <v>8</v>
      </c>
      <c r="AC11" s="8">
        <v>9</v>
      </c>
      <c r="AD11" s="8">
        <v>9</v>
      </c>
      <c r="AE11" s="9">
        <v>46</v>
      </c>
      <c r="AF11" s="492">
        <v>45</v>
      </c>
      <c r="AG11" s="491">
        <v>8</v>
      </c>
      <c r="AH11" s="8">
        <v>9</v>
      </c>
      <c r="AI11" s="8">
        <v>10</v>
      </c>
      <c r="AJ11" s="9">
        <v>46</v>
      </c>
      <c r="AK11" s="492">
        <v>45</v>
      </c>
      <c r="AL11" s="491">
        <v>6</v>
      </c>
      <c r="AM11" s="8">
        <v>6</v>
      </c>
      <c r="AN11" s="8">
        <v>6</v>
      </c>
      <c r="AO11" s="9">
        <v>46</v>
      </c>
      <c r="AP11" s="492">
        <v>45</v>
      </c>
      <c r="AQ11" s="506"/>
      <c r="AR11" s="491"/>
      <c r="AS11" s="8"/>
      <c r="AT11" s="8"/>
      <c r="AU11" s="9"/>
      <c r="AV11" s="9"/>
      <c r="AW11" s="17"/>
      <c r="AX11" s="492"/>
      <c r="AY11" s="491">
        <v>9</v>
      </c>
      <c r="AZ11" s="7">
        <v>9</v>
      </c>
      <c r="BA11" s="9">
        <v>9</v>
      </c>
      <c r="BB11" s="9">
        <v>66</v>
      </c>
      <c r="BC11" s="492">
        <v>91</v>
      </c>
      <c r="BD11" s="491">
        <v>8</v>
      </c>
      <c r="BE11" s="7">
        <v>8</v>
      </c>
      <c r="BF11" s="7">
        <v>8</v>
      </c>
      <c r="BG11" s="7">
        <v>49</v>
      </c>
      <c r="BH11" s="9">
        <v>14</v>
      </c>
      <c r="BI11" s="9">
        <v>63</v>
      </c>
      <c r="BJ11" s="492">
        <v>27</v>
      </c>
      <c r="BK11" s="491">
        <v>9</v>
      </c>
      <c r="BL11" s="7">
        <v>7</v>
      </c>
      <c r="BM11" s="7">
        <v>9</v>
      </c>
      <c r="BN11" s="7">
        <v>6</v>
      </c>
      <c r="BO11" s="7">
        <v>9</v>
      </c>
      <c r="BP11" s="7">
        <v>14</v>
      </c>
      <c r="BQ11" s="7">
        <v>21</v>
      </c>
      <c r="BR11" s="8">
        <v>14</v>
      </c>
      <c r="BS11" s="8">
        <v>26</v>
      </c>
      <c r="BT11" s="509">
        <v>58</v>
      </c>
      <c r="BU11" s="491">
        <v>21</v>
      </c>
      <c r="BV11" s="8">
        <v>41</v>
      </c>
      <c r="BW11" s="509">
        <v>25</v>
      </c>
      <c r="BX11" s="491">
        <v>24</v>
      </c>
      <c r="BY11" s="8">
        <v>56</v>
      </c>
      <c r="BZ11" s="509">
        <v>11</v>
      </c>
      <c r="CA11" s="752"/>
      <c r="CE11" s="736" t="e">
        <f>IF('School Profile'!#REF!="","",'School Profile'!#REF!)</f>
        <v>#REF!</v>
      </c>
    </row>
    <row r="12" spans="1:83" ht="24.95" customHeight="1">
      <c r="A12" s="468">
        <f>IF('Student DATA Entry'!A9="","",'Student DATA Entry'!A9)</f>
        <v>6</v>
      </c>
      <c r="B12" s="459">
        <f>IF('Student DATA Entry'!B9="","",'Student DATA Entry'!B9)</f>
        <v>906</v>
      </c>
      <c r="C12" s="459">
        <f>IF('Student DATA Entry'!C9="","",'Student DATA Entry'!C9)</f>
        <v>9</v>
      </c>
      <c r="D12" s="459" t="str">
        <f>IF('Student DATA Entry'!D9="","",'Student DATA Entry'!D9)</f>
        <v>A</v>
      </c>
      <c r="E12" s="459" t="str">
        <f>IF('Student DATA Entry'!E9="","",'Student DATA Entry'!E9)</f>
        <v/>
      </c>
      <c r="F12" s="460">
        <f>IF('Student DATA Entry'!K9="","",'Student DATA Entry'!K9)</f>
        <v>40933</v>
      </c>
      <c r="G12" s="461" t="str">
        <f>IF('Student DATA Entry'!G9="","",UPPER('Student DATA Entry'!G9))</f>
        <v>GITA</v>
      </c>
      <c r="H12" s="461" t="str">
        <f>IF('Student DATA Entry'!H9="","",UPPER('Student DATA Entry'!H9))</f>
        <v/>
      </c>
      <c r="I12" s="462" t="str">
        <f>IF('Student DATA Entry'!I9="","",UPPER('Student DATA Entry'!I9))</f>
        <v/>
      </c>
      <c r="J12" s="463" t="str">
        <f>IF('Student DATA Entry'!L9="","",UPPER('Student DATA Entry'!L9))</f>
        <v>OBC</v>
      </c>
      <c r="K12" s="469" t="str">
        <f>IF('Student DATA Entry'!J9="","",UPPER('Student DATA Entry'!J9))</f>
        <v>F</v>
      </c>
      <c r="L12" s="491" t="s">
        <v>228</v>
      </c>
      <c r="M12" s="8">
        <v>9</v>
      </c>
      <c r="N12" s="8">
        <v>7</v>
      </c>
      <c r="O12" s="9">
        <v>46</v>
      </c>
      <c r="P12" s="492">
        <v>65</v>
      </c>
      <c r="Q12" s="491">
        <v>8</v>
      </c>
      <c r="R12" s="8">
        <v>9</v>
      </c>
      <c r="S12" s="8">
        <v>10</v>
      </c>
      <c r="T12" s="9">
        <v>62</v>
      </c>
      <c r="U12" s="492">
        <v>95</v>
      </c>
      <c r="V12" s="502">
        <v>2</v>
      </c>
      <c r="W12" s="7">
        <v>8</v>
      </c>
      <c r="X12" s="8">
        <v>9</v>
      </c>
      <c r="Y12" s="8">
        <v>8</v>
      </c>
      <c r="Z12" s="9">
        <v>46</v>
      </c>
      <c r="AA12" s="492">
        <v>45</v>
      </c>
      <c r="AB12" s="491">
        <v>8</v>
      </c>
      <c r="AC12" s="8">
        <v>9</v>
      </c>
      <c r="AD12" s="8">
        <v>9</v>
      </c>
      <c r="AE12" s="9">
        <v>46</v>
      </c>
      <c r="AF12" s="492">
        <v>45</v>
      </c>
      <c r="AG12" s="491">
        <v>8</v>
      </c>
      <c r="AH12" s="8">
        <v>9</v>
      </c>
      <c r="AI12" s="8">
        <v>10</v>
      </c>
      <c r="AJ12" s="9">
        <v>46</v>
      </c>
      <c r="AK12" s="492">
        <v>45</v>
      </c>
      <c r="AL12" s="491">
        <v>8</v>
      </c>
      <c r="AM12" s="8">
        <v>8</v>
      </c>
      <c r="AN12" s="8">
        <v>8</v>
      </c>
      <c r="AO12" s="9">
        <v>46</v>
      </c>
      <c r="AP12" s="492">
        <v>45</v>
      </c>
      <c r="AQ12" s="506"/>
      <c r="AR12" s="491"/>
      <c r="AS12" s="8"/>
      <c r="AT12" s="8"/>
      <c r="AU12" s="9"/>
      <c r="AV12" s="9"/>
      <c r="AW12" s="17"/>
      <c r="AX12" s="492"/>
      <c r="AY12" s="491">
        <v>9</v>
      </c>
      <c r="AZ12" s="7">
        <v>9</v>
      </c>
      <c r="BA12" s="9">
        <v>9</v>
      </c>
      <c r="BB12" s="9">
        <v>66</v>
      </c>
      <c r="BC12" s="492">
        <v>91</v>
      </c>
      <c r="BD12" s="491">
        <v>8</v>
      </c>
      <c r="BE12" s="7">
        <v>8</v>
      </c>
      <c r="BF12" s="7">
        <v>8</v>
      </c>
      <c r="BG12" s="7">
        <v>41</v>
      </c>
      <c r="BH12" s="9">
        <v>19</v>
      </c>
      <c r="BI12" s="9">
        <v>61</v>
      </c>
      <c r="BJ12" s="492">
        <v>27</v>
      </c>
      <c r="BK12" s="491">
        <v>9</v>
      </c>
      <c r="BL12" s="7">
        <v>7</v>
      </c>
      <c r="BM12" s="7">
        <v>9</v>
      </c>
      <c r="BN12" s="7">
        <v>6</v>
      </c>
      <c r="BO12" s="7">
        <v>9</v>
      </c>
      <c r="BP12" s="7">
        <v>14</v>
      </c>
      <c r="BQ12" s="7">
        <v>21</v>
      </c>
      <c r="BR12" s="8">
        <v>15</v>
      </c>
      <c r="BS12" s="8">
        <v>29</v>
      </c>
      <c r="BT12" s="509">
        <v>59</v>
      </c>
      <c r="BU12" s="491">
        <v>20</v>
      </c>
      <c r="BV12" s="8">
        <v>40</v>
      </c>
      <c r="BW12" s="509">
        <v>20</v>
      </c>
      <c r="BX12" s="491">
        <v>21</v>
      </c>
      <c r="BY12" s="8">
        <v>52</v>
      </c>
      <c r="BZ12" s="509">
        <v>12</v>
      </c>
      <c r="CA12" s="752"/>
      <c r="CE12" s="736" t="e">
        <f>IF('School Profile'!#REF!="","",'School Profile'!#REF!)</f>
        <v>#REF!</v>
      </c>
    </row>
    <row r="13" spans="1:83" ht="24.95" customHeight="1">
      <c r="A13" s="468">
        <f>IF('Student DATA Entry'!A10="","",'Student DATA Entry'!A10)</f>
        <v>7</v>
      </c>
      <c r="B13" s="459">
        <f>IF('Student DATA Entry'!B10="","",'Student DATA Entry'!B10)</f>
        <v>907</v>
      </c>
      <c r="C13" s="459">
        <f>IF('Student DATA Entry'!C10="","",'Student DATA Entry'!C10)</f>
        <v>9</v>
      </c>
      <c r="D13" s="459" t="str">
        <f>IF('Student DATA Entry'!D10="","",'Student DATA Entry'!D10)</f>
        <v>A</v>
      </c>
      <c r="E13" s="459" t="str">
        <f>IF('Student DATA Entry'!E10="","",'Student DATA Entry'!E10)</f>
        <v/>
      </c>
      <c r="F13" s="460">
        <f>IF('Student DATA Entry'!K10="","",'Student DATA Entry'!K10)</f>
        <v>41317</v>
      </c>
      <c r="G13" s="461" t="str">
        <f>IF('Student DATA Entry'!G10="","",UPPER('Student DATA Entry'!G10))</f>
        <v>MITA</v>
      </c>
      <c r="H13" s="461" t="str">
        <f>IF('Student DATA Entry'!H10="","",UPPER('Student DATA Entry'!H10))</f>
        <v/>
      </c>
      <c r="I13" s="462" t="str">
        <f>IF('Student DATA Entry'!I10="","",UPPER('Student DATA Entry'!I10))</f>
        <v/>
      </c>
      <c r="J13" s="463" t="str">
        <f>IF('Student DATA Entry'!L10="","",UPPER('Student DATA Entry'!L10))</f>
        <v>GEN</v>
      </c>
      <c r="K13" s="469" t="str">
        <f>IF('Student DATA Entry'!J10="","",UPPER('Student DATA Entry'!J10))</f>
        <v>F</v>
      </c>
      <c r="L13" s="491">
        <v>8</v>
      </c>
      <c r="M13" s="8" t="s">
        <v>229</v>
      </c>
      <c r="N13" s="8">
        <v>8</v>
      </c>
      <c r="O13" s="9">
        <v>46</v>
      </c>
      <c r="P13" s="492">
        <v>65</v>
      </c>
      <c r="Q13" s="491">
        <v>8</v>
      </c>
      <c r="R13" s="8">
        <v>9</v>
      </c>
      <c r="S13" s="8">
        <v>9</v>
      </c>
      <c r="T13" s="9">
        <v>60</v>
      </c>
      <c r="U13" s="492">
        <v>60</v>
      </c>
      <c r="V13" s="502">
        <v>3</v>
      </c>
      <c r="W13" s="7">
        <v>8</v>
      </c>
      <c r="X13" s="8">
        <v>9</v>
      </c>
      <c r="Y13" s="8">
        <v>8</v>
      </c>
      <c r="Z13" s="9">
        <v>46</v>
      </c>
      <c r="AA13" s="492">
        <v>45</v>
      </c>
      <c r="AB13" s="491">
        <v>4</v>
      </c>
      <c r="AC13" s="8">
        <v>4</v>
      </c>
      <c r="AD13" s="8">
        <v>9</v>
      </c>
      <c r="AE13" s="9">
        <v>9</v>
      </c>
      <c r="AF13" s="492">
        <v>34</v>
      </c>
      <c r="AG13" s="491">
        <v>8</v>
      </c>
      <c r="AH13" s="8">
        <v>9</v>
      </c>
      <c r="AI13" s="8">
        <v>10</v>
      </c>
      <c r="AJ13" s="9">
        <v>46</v>
      </c>
      <c r="AK13" s="492">
        <v>45</v>
      </c>
      <c r="AL13" s="491">
        <v>10</v>
      </c>
      <c r="AM13" s="8">
        <v>10</v>
      </c>
      <c r="AN13" s="8">
        <v>10</v>
      </c>
      <c r="AO13" s="9">
        <v>46</v>
      </c>
      <c r="AP13" s="492">
        <v>45</v>
      </c>
      <c r="AQ13" s="506"/>
      <c r="AR13" s="491"/>
      <c r="AS13" s="8"/>
      <c r="AT13" s="8"/>
      <c r="AU13" s="9"/>
      <c r="AV13" s="9"/>
      <c r="AW13" s="17"/>
      <c r="AX13" s="492"/>
      <c r="AY13" s="491">
        <v>9</v>
      </c>
      <c r="AZ13" s="7">
        <v>9</v>
      </c>
      <c r="BA13" s="9">
        <v>9</v>
      </c>
      <c r="BB13" s="9">
        <v>66</v>
      </c>
      <c r="BC13" s="492">
        <v>91</v>
      </c>
      <c r="BD13" s="491">
        <v>8</v>
      </c>
      <c r="BE13" s="7">
        <v>8</v>
      </c>
      <c r="BF13" s="7">
        <v>8</v>
      </c>
      <c r="BG13" s="7">
        <v>40</v>
      </c>
      <c r="BH13" s="9">
        <v>17</v>
      </c>
      <c r="BI13" s="9">
        <v>60</v>
      </c>
      <c r="BJ13" s="492">
        <v>27</v>
      </c>
      <c r="BK13" s="491">
        <v>9</v>
      </c>
      <c r="BL13" s="7">
        <v>7</v>
      </c>
      <c r="BM13" s="7">
        <v>9</v>
      </c>
      <c r="BN13" s="7">
        <v>6</v>
      </c>
      <c r="BO13" s="7">
        <v>9</v>
      </c>
      <c r="BP13" s="7">
        <v>14</v>
      </c>
      <c r="BQ13" s="7">
        <v>21</v>
      </c>
      <c r="BR13" s="8">
        <v>12</v>
      </c>
      <c r="BS13" s="8">
        <v>27</v>
      </c>
      <c r="BT13" s="509">
        <v>57</v>
      </c>
      <c r="BU13" s="491">
        <v>20</v>
      </c>
      <c r="BV13" s="8">
        <v>40</v>
      </c>
      <c r="BW13" s="509">
        <v>20</v>
      </c>
      <c r="BX13" s="491">
        <v>20</v>
      </c>
      <c r="BY13" s="8">
        <v>54</v>
      </c>
      <c r="BZ13" s="509">
        <v>14</v>
      </c>
      <c r="CA13" s="752"/>
      <c r="CE13" s="736" t="e">
        <f>IF('School Profile'!#REF!="","",'School Profile'!#REF!)</f>
        <v>#REF!</v>
      </c>
    </row>
    <row r="14" spans="1:83" ht="24.95" customHeight="1">
      <c r="A14" s="468">
        <f>IF('Student DATA Entry'!A11="","",'Student DATA Entry'!A11)</f>
        <v>8</v>
      </c>
      <c r="B14" s="459">
        <f>IF('Student DATA Entry'!B11="","",'Student DATA Entry'!B11)</f>
        <v>908</v>
      </c>
      <c r="C14" s="459">
        <f>IF('Student DATA Entry'!C11="","",'Student DATA Entry'!C11)</f>
        <v>9</v>
      </c>
      <c r="D14" s="459" t="str">
        <f>IF('Student DATA Entry'!D11="","",'Student DATA Entry'!D11)</f>
        <v>A</v>
      </c>
      <c r="E14" s="459" t="str">
        <f>IF('Student DATA Entry'!E11="","",'Student DATA Entry'!E11)</f>
        <v/>
      </c>
      <c r="F14" s="460">
        <f>IF('Student DATA Entry'!K11="","",'Student DATA Entry'!K11)</f>
        <v>40282</v>
      </c>
      <c r="G14" s="461" t="str">
        <f>IF('Student DATA Entry'!G11="","",UPPER('Student DATA Entry'!G11))</f>
        <v>SITA</v>
      </c>
      <c r="H14" s="461" t="str">
        <f>IF('Student DATA Entry'!H11="","",UPPER('Student DATA Entry'!H11))</f>
        <v/>
      </c>
      <c r="I14" s="462" t="str">
        <f>IF('Student DATA Entry'!I11="","",UPPER('Student DATA Entry'!I11))</f>
        <v/>
      </c>
      <c r="J14" s="463" t="str">
        <f>IF('Student DATA Entry'!L11="","",UPPER('Student DATA Entry'!L11))</f>
        <v>MIN</v>
      </c>
      <c r="K14" s="469" t="str">
        <f>IF('Student DATA Entry'!J11="","",UPPER('Student DATA Entry'!J11))</f>
        <v>F</v>
      </c>
      <c r="L14" s="491">
        <v>8</v>
      </c>
      <c r="M14" s="8">
        <v>9</v>
      </c>
      <c r="N14" s="8">
        <v>9</v>
      </c>
      <c r="O14" s="9">
        <v>46</v>
      </c>
      <c r="P14" s="492">
        <v>65</v>
      </c>
      <c r="Q14" s="491">
        <v>8</v>
      </c>
      <c r="R14" s="8">
        <v>9</v>
      </c>
      <c r="S14" s="8">
        <v>9</v>
      </c>
      <c r="T14" s="9">
        <v>60</v>
      </c>
      <c r="U14" s="492">
        <v>95</v>
      </c>
      <c r="V14" s="502">
        <v>3</v>
      </c>
      <c r="W14" s="7">
        <v>8</v>
      </c>
      <c r="X14" s="8">
        <v>9</v>
      </c>
      <c r="Y14" s="8">
        <v>8</v>
      </c>
      <c r="Z14" s="9">
        <v>58</v>
      </c>
      <c r="AA14" s="492">
        <v>95</v>
      </c>
      <c r="AB14" s="491">
        <v>8</v>
      </c>
      <c r="AC14" s="8">
        <v>9</v>
      </c>
      <c r="AD14" s="8">
        <v>9</v>
      </c>
      <c r="AE14" s="9">
        <v>46</v>
      </c>
      <c r="AF14" s="492">
        <v>45</v>
      </c>
      <c r="AG14" s="491">
        <v>8</v>
      </c>
      <c r="AH14" s="8">
        <v>9</v>
      </c>
      <c r="AI14" s="8">
        <v>10</v>
      </c>
      <c r="AJ14" s="9">
        <v>46</v>
      </c>
      <c r="AK14" s="492">
        <v>45</v>
      </c>
      <c r="AL14" s="491">
        <v>8</v>
      </c>
      <c r="AM14" s="8">
        <v>8</v>
      </c>
      <c r="AN14" s="8">
        <v>8</v>
      </c>
      <c r="AO14" s="9">
        <v>46</v>
      </c>
      <c r="AP14" s="492">
        <v>45</v>
      </c>
      <c r="AQ14" s="506"/>
      <c r="AR14" s="491"/>
      <c r="AS14" s="8"/>
      <c r="AT14" s="8"/>
      <c r="AU14" s="9"/>
      <c r="AV14" s="9"/>
      <c r="AW14" s="17"/>
      <c r="AX14" s="492"/>
      <c r="AY14" s="491">
        <v>9</v>
      </c>
      <c r="AZ14" s="7">
        <v>9</v>
      </c>
      <c r="BA14" s="9">
        <v>9</v>
      </c>
      <c r="BB14" s="9">
        <v>66</v>
      </c>
      <c r="BC14" s="492">
        <v>91</v>
      </c>
      <c r="BD14" s="491">
        <v>8</v>
      </c>
      <c r="BE14" s="7">
        <v>8</v>
      </c>
      <c r="BF14" s="7">
        <v>8</v>
      </c>
      <c r="BG14" s="7">
        <v>45</v>
      </c>
      <c r="BH14" s="9">
        <v>18</v>
      </c>
      <c r="BI14" s="9">
        <v>69</v>
      </c>
      <c r="BJ14" s="492">
        <v>27</v>
      </c>
      <c r="BK14" s="491">
        <v>9</v>
      </c>
      <c r="BL14" s="7">
        <v>7</v>
      </c>
      <c r="BM14" s="7">
        <v>9</v>
      </c>
      <c r="BN14" s="7">
        <v>6</v>
      </c>
      <c r="BO14" s="7">
        <v>9</v>
      </c>
      <c r="BP14" s="7">
        <v>14</v>
      </c>
      <c r="BQ14" s="7">
        <v>21</v>
      </c>
      <c r="BR14" s="8">
        <v>10</v>
      </c>
      <c r="BS14" s="8">
        <v>28</v>
      </c>
      <c r="BT14" s="509">
        <v>62</v>
      </c>
      <c r="BU14" s="491">
        <v>20</v>
      </c>
      <c r="BV14" s="8">
        <v>40</v>
      </c>
      <c r="BW14" s="509">
        <v>20</v>
      </c>
      <c r="BX14" s="491">
        <v>23</v>
      </c>
      <c r="BY14" s="8">
        <v>58</v>
      </c>
      <c r="BZ14" s="509">
        <v>15</v>
      </c>
      <c r="CA14" s="752"/>
      <c r="CE14" s="736" t="e">
        <f>IF('School Profile'!#REF!="","",'School Profile'!#REF!)</f>
        <v>#REF!</v>
      </c>
    </row>
    <row r="15" spans="1:83" ht="24.95" customHeight="1">
      <c r="A15" s="468">
        <f>IF('Student DATA Entry'!A12="","",'Student DATA Entry'!A12)</f>
        <v>9</v>
      </c>
      <c r="B15" s="459">
        <f>IF('Student DATA Entry'!B12="","",'Student DATA Entry'!B12)</f>
        <v>909</v>
      </c>
      <c r="C15" s="459">
        <f>IF('Student DATA Entry'!C12="","",'Student DATA Entry'!C12)</f>
        <v>9</v>
      </c>
      <c r="D15" s="459" t="str">
        <f>IF('Student DATA Entry'!D12="","",'Student DATA Entry'!D12)</f>
        <v>A</v>
      </c>
      <c r="E15" s="459" t="str">
        <f>IF('Student DATA Entry'!E12="","",'Student DATA Entry'!E12)</f>
        <v/>
      </c>
      <c r="F15" s="460">
        <f>IF('Student DATA Entry'!K12="","",'Student DATA Entry'!K12)</f>
        <v>40065</v>
      </c>
      <c r="G15" s="461" t="str">
        <f>IF('Student DATA Entry'!G12="","",UPPER('Student DATA Entry'!G12))</f>
        <v>RITA</v>
      </c>
      <c r="H15" s="461" t="str">
        <f>IF('Student DATA Entry'!H12="","",UPPER('Student DATA Entry'!H12))</f>
        <v/>
      </c>
      <c r="I15" s="462" t="str">
        <f>IF('Student DATA Entry'!I12="","",UPPER('Student DATA Entry'!I12))</f>
        <v/>
      </c>
      <c r="J15" s="463" t="str">
        <f>IF('Student DATA Entry'!L12="","",UPPER('Student DATA Entry'!L12))</f>
        <v>SBC</v>
      </c>
      <c r="K15" s="469" t="str">
        <f>IF('Student DATA Entry'!J12="","",UPPER('Student DATA Entry'!J12))</f>
        <v>F</v>
      </c>
      <c r="L15" s="491"/>
      <c r="M15" s="8"/>
      <c r="N15" s="8">
        <v>8</v>
      </c>
      <c r="O15" s="9">
        <v>46</v>
      </c>
      <c r="P15" s="492">
        <v>65</v>
      </c>
      <c r="Q15" s="491">
        <v>8</v>
      </c>
      <c r="R15" s="8">
        <v>9</v>
      </c>
      <c r="S15" s="8">
        <v>9</v>
      </c>
      <c r="T15" s="9">
        <v>60</v>
      </c>
      <c r="U15" s="492">
        <v>85</v>
      </c>
      <c r="V15" s="502">
        <v>2</v>
      </c>
      <c r="W15" s="7">
        <v>8</v>
      </c>
      <c r="X15" s="8">
        <v>9</v>
      </c>
      <c r="Y15" s="8">
        <v>8</v>
      </c>
      <c r="Z15" s="9">
        <v>46</v>
      </c>
      <c r="AA15" s="492">
        <v>45</v>
      </c>
      <c r="AB15" s="491">
        <v>8</v>
      </c>
      <c r="AC15" s="8">
        <v>9</v>
      </c>
      <c r="AD15" s="8">
        <v>9</v>
      </c>
      <c r="AE15" s="9">
        <v>16</v>
      </c>
      <c r="AF15" s="492">
        <v>45</v>
      </c>
      <c r="AG15" s="491">
        <v>8</v>
      </c>
      <c r="AH15" s="8">
        <v>9</v>
      </c>
      <c r="AI15" s="8">
        <v>8</v>
      </c>
      <c r="AJ15" s="9">
        <v>46</v>
      </c>
      <c r="AK15" s="492">
        <v>45</v>
      </c>
      <c r="AL15" s="491">
        <v>8</v>
      </c>
      <c r="AM15" s="8">
        <v>8</v>
      </c>
      <c r="AN15" s="8">
        <v>8</v>
      </c>
      <c r="AO15" s="9">
        <v>46</v>
      </c>
      <c r="AP15" s="492">
        <v>45</v>
      </c>
      <c r="AQ15" s="506"/>
      <c r="AR15" s="491"/>
      <c r="AS15" s="8"/>
      <c r="AT15" s="8"/>
      <c r="AU15" s="9"/>
      <c r="AV15" s="9"/>
      <c r="AW15" s="17"/>
      <c r="AX15" s="492"/>
      <c r="AY15" s="491">
        <v>9</v>
      </c>
      <c r="AZ15" s="7">
        <v>9</v>
      </c>
      <c r="BA15" s="9">
        <v>9</v>
      </c>
      <c r="BB15" s="9">
        <v>66</v>
      </c>
      <c r="BC15" s="492">
        <v>91</v>
      </c>
      <c r="BD15" s="491">
        <v>8</v>
      </c>
      <c r="BE15" s="7">
        <v>8</v>
      </c>
      <c r="BF15" s="7">
        <v>8</v>
      </c>
      <c r="BG15" s="7">
        <v>46</v>
      </c>
      <c r="BH15" s="9">
        <v>14</v>
      </c>
      <c r="BI15" s="9">
        <v>68</v>
      </c>
      <c r="BJ15" s="492">
        <v>27</v>
      </c>
      <c r="BK15" s="491">
        <v>9</v>
      </c>
      <c r="BL15" s="7">
        <v>7</v>
      </c>
      <c r="BM15" s="7">
        <v>9</v>
      </c>
      <c r="BN15" s="7">
        <v>6</v>
      </c>
      <c r="BO15" s="7">
        <v>9</v>
      </c>
      <c r="BP15" s="7">
        <v>14</v>
      </c>
      <c r="BQ15" s="7">
        <v>21</v>
      </c>
      <c r="BR15" s="8">
        <v>12</v>
      </c>
      <c r="BS15" s="8">
        <v>24</v>
      </c>
      <c r="BT15" s="509">
        <v>63</v>
      </c>
      <c r="BU15" s="491">
        <v>20</v>
      </c>
      <c r="BV15" s="8">
        <v>40</v>
      </c>
      <c r="BW15" s="509">
        <v>20</v>
      </c>
      <c r="BX15" s="491">
        <v>20</v>
      </c>
      <c r="BY15" s="8">
        <v>59</v>
      </c>
      <c r="BZ15" s="509">
        <v>10</v>
      </c>
      <c r="CA15" s="752"/>
      <c r="CE15" s="736" t="e">
        <f>IF('School Profile'!#REF!="","",'School Profile'!#REF!)</f>
        <v>#REF!</v>
      </c>
    </row>
    <row r="16" spans="1:83" ht="24.95" customHeight="1">
      <c r="A16" s="468">
        <f>IF('Student DATA Entry'!A13="","",'Student DATA Entry'!A13)</f>
        <v>10</v>
      </c>
      <c r="B16" s="459">
        <f>IF('Student DATA Entry'!B13="","",'Student DATA Entry'!B13)</f>
        <v>910</v>
      </c>
      <c r="C16" s="459">
        <f>IF('Student DATA Entry'!C13="","",'Student DATA Entry'!C13)</f>
        <v>9</v>
      </c>
      <c r="D16" s="459" t="str">
        <f>IF('Student DATA Entry'!D13="","",'Student DATA Entry'!D13)</f>
        <v>A</v>
      </c>
      <c r="E16" s="459" t="str">
        <f>IF('Student DATA Entry'!E13="","",'Student DATA Entry'!E13)</f>
        <v/>
      </c>
      <c r="F16" s="460">
        <f>IF('Student DATA Entry'!K13="","",'Student DATA Entry'!K13)</f>
        <v>40737</v>
      </c>
      <c r="G16" s="461" t="str">
        <f>IF('Student DATA Entry'!G13="","",UPPER('Student DATA Entry'!G13))</f>
        <v>SONU</v>
      </c>
      <c r="H16" s="461" t="str">
        <f>IF('Student DATA Entry'!H13="","",UPPER('Student DATA Entry'!H13))</f>
        <v/>
      </c>
      <c r="I16" s="462" t="str">
        <f>IF('Student DATA Entry'!I13="","",UPPER('Student DATA Entry'!I13))</f>
        <v/>
      </c>
      <c r="J16" s="463" t="str">
        <f>IF('Student DATA Entry'!L13="","",UPPER('Student DATA Entry'!L13))</f>
        <v>ST</v>
      </c>
      <c r="K16" s="469" t="str">
        <f>IF('Student DATA Entry'!J13="","",UPPER('Student DATA Entry'!J13))</f>
        <v>F</v>
      </c>
      <c r="L16" s="491">
        <v>8</v>
      </c>
      <c r="M16" s="8">
        <v>9</v>
      </c>
      <c r="N16" s="8">
        <v>7</v>
      </c>
      <c r="O16" s="9">
        <v>46</v>
      </c>
      <c r="P16" s="492">
        <v>65</v>
      </c>
      <c r="Q16" s="491">
        <v>8</v>
      </c>
      <c r="R16" s="8">
        <v>9</v>
      </c>
      <c r="S16" s="8">
        <v>9</v>
      </c>
      <c r="T16" s="9">
        <v>30</v>
      </c>
      <c r="U16" s="492">
        <v>30</v>
      </c>
      <c r="V16" s="502">
        <v>1</v>
      </c>
      <c r="W16" s="7">
        <v>8</v>
      </c>
      <c r="X16" s="8">
        <v>9</v>
      </c>
      <c r="Y16" s="8">
        <v>7</v>
      </c>
      <c r="Z16" s="9">
        <v>46</v>
      </c>
      <c r="AA16" s="492">
        <v>45</v>
      </c>
      <c r="AB16" s="491">
        <v>8</v>
      </c>
      <c r="AC16" s="8">
        <v>9</v>
      </c>
      <c r="AD16" s="8">
        <v>10</v>
      </c>
      <c r="AE16" s="9">
        <v>15</v>
      </c>
      <c r="AF16" s="492">
        <v>25</v>
      </c>
      <c r="AG16" s="491">
        <v>8</v>
      </c>
      <c r="AH16" s="8">
        <v>9</v>
      </c>
      <c r="AI16" s="8">
        <v>7</v>
      </c>
      <c r="AJ16" s="9">
        <v>46</v>
      </c>
      <c r="AK16" s="492">
        <v>45</v>
      </c>
      <c r="AL16" s="491">
        <v>8</v>
      </c>
      <c r="AM16" s="8">
        <v>8</v>
      </c>
      <c r="AN16" s="8">
        <v>8</v>
      </c>
      <c r="AO16" s="9">
        <v>46</v>
      </c>
      <c r="AP16" s="492">
        <v>45</v>
      </c>
      <c r="AQ16" s="506"/>
      <c r="AR16" s="491"/>
      <c r="AS16" s="8"/>
      <c r="AT16" s="8"/>
      <c r="AU16" s="9"/>
      <c r="AV16" s="9"/>
      <c r="AW16" s="17"/>
      <c r="AX16" s="492"/>
      <c r="AY16" s="491">
        <v>9</v>
      </c>
      <c r="AZ16" s="7">
        <v>9</v>
      </c>
      <c r="BA16" s="9">
        <v>9</v>
      </c>
      <c r="BB16" s="9">
        <v>66</v>
      </c>
      <c r="BC16" s="492">
        <v>91</v>
      </c>
      <c r="BD16" s="491">
        <v>8</v>
      </c>
      <c r="BE16" s="7">
        <v>8</v>
      </c>
      <c r="BF16" s="7">
        <v>8</v>
      </c>
      <c r="BG16" s="7">
        <v>41</v>
      </c>
      <c r="BH16" s="9">
        <v>15</v>
      </c>
      <c r="BI16" s="9">
        <v>56</v>
      </c>
      <c r="BJ16" s="492">
        <v>27</v>
      </c>
      <c r="BK16" s="491">
        <v>9</v>
      </c>
      <c r="BL16" s="7">
        <v>7</v>
      </c>
      <c r="BM16" s="7">
        <v>9</v>
      </c>
      <c r="BN16" s="7">
        <v>6</v>
      </c>
      <c r="BO16" s="7">
        <v>9</v>
      </c>
      <c r="BP16" s="7">
        <v>14</v>
      </c>
      <c r="BQ16" s="7">
        <v>21</v>
      </c>
      <c r="BR16" s="8">
        <v>13</v>
      </c>
      <c r="BS16" s="8">
        <v>25</v>
      </c>
      <c r="BT16" s="509">
        <v>69</v>
      </c>
      <c r="BU16" s="491">
        <v>20</v>
      </c>
      <c r="BV16" s="8">
        <v>40</v>
      </c>
      <c r="BW16" s="509">
        <v>20</v>
      </c>
      <c r="BX16" s="491">
        <v>20</v>
      </c>
      <c r="BY16" s="8">
        <v>45</v>
      </c>
      <c r="BZ16" s="509">
        <v>15</v>
      </c>
      <c r="CA16" s="752"/>
      <c r="CE16" s="736" t="e">
        <f>IF('School Profile'!#REF!="","",'School Profile'!#REF!)</f>
        <v>#REF!</v>
      </c>
    </row>
    <row r="17" spans="1:83" ht="24.95" customHeight="1">
      <c r="A17" s="468">
        <f>IF('Student DATA Entry'!A14="","",'Student DATA Entry'!A14)</f>
        <v>11</v>
      </c>
      <c r="B17" s="459">
        <f>IF('Student DATA Entry'!B14="","",'Student DATA Entry'!B14)</f>
        <v>911</v>
      </c>
      <c r="C17" s="459">
        <f>IF('Student DATA Entry'!C14="","",'Student DATA Entry'!C14)</f>
        <v>9</v>
      </c>
      <c r="D17" s="459" t="str">
        <f>IF('Student DATA Entry'!D14="","",'Student DATA Entry'!D14)</f>
        <v>A</v>
      </c>
      <c r="E17" s="459" t="str">
        <f>IF('Student DATA Entry'!E14="","",'Student DATA Entry'!E14)</f>
        <v/>
      </c>
      <c r="F17" s="460">
        <f>IF('Student DATA Entry'!K14="","",'Student DATA Entry'!K14)</f>
        <v>41878</v>
      </c>
      <c r="G17" s="461" t="str">
        <f>IF('Student DATA Entry'!G14="","",UPPER('Student DATA Entry'!G14))</f>
        <v>MONU</v>
      </c>
      <c r="H17" s="461" t="str">
        <f>IF('Student DATA Entry'!H14="","",UPPER('Student DATA Entry'!H14))</f>
        <v/>
      </c>
      <c r="I17" s="462" t="str">
        <f>IF('Student DATA Entry'!I14="","",UPPER('Student DATA Entry'!I14))</f>
        <v/>
      </c>
      <c r="J17" s="463" t="str">
        <f>IF('Student DATA Entry'!L14="","",UPPER('Student DATA Entry'!L14))</f>
        <v>SC</v>
      </c>
      <c r="K17" s="469" t="str">
        <f>IF('Student DATA Entry'!J14="","",UPPER('Student DATA Entry'!J14))</f>
        <v>M</v>
      </c>
      <c r="L17" s="491"/>
      <c r="M17" s="8"/>
      <c r="N17" s="8"/>
      <c r="O17" s="9">
        <v>46</v>
      </c>
      <c r="P17" s="492">
        <v>65</v>
      </c>
      <c r="Q17" s="491">
        <v>8</v>
      </c>
      <c r="R17" s="8">
        <v>9</v>
      </c>
      <c r="S17" s="8">
        <v>9</v>
      </c>
      <c r="T17" s="9">
        <v>60</v>
      </c>
      <c r="U17" s="492">
        <v>85</v>
      </c>
      <c r="V17" s="502">
        <v>1</v>
      </c>
      <c r="W17" s="7">
        <v>8</v>
      </c>
      <c r="X17" s="8">
        <v>9</v>
      </c>
      <c r="Y17" s="8">
        <v>7</v>
      </c>
      <c r="Z17" s="9">
        <v>46</v>
      </c>
      <c r="AA17" s="492">
        <v>45</v>
      </c>
      <c r="AB17" s="491">
        <v>8</v>
      </c>
      <c r="AC17" s="8">
        <v>9</v>
      </c>
      <c r="AD17" s="8">
        <v>10</v>
      </c>
      <c r="AE17" s="9">
        <v>46</v>
      </c>
      <c r="AF17" s="492">
        <v>45</v>
      </c>
      <c r="AG17" s="491">
        <v>8</v>
      </c>
      <c r="AH17" s="8">
        <v>9</v>
      </c>
      <c r="AI17" s="8">
        <v>7</v>
      </c>
      <c r="AJ17" s="9">
        <v>46</v>
      </c>
      <c r="AK17" s="492">
        <v>45</v>
      </c>
      <c r="AL17" s="491">
        <v>8</v>
      </c>
      <c r="AM17" s="8">
        <v>8</v>
      </c>
      <c r="AN17" s="8">
        <v>8</v>
      </c>
      <c r="AO17" s="9">
        <v>46</v>
      </c>
      <c r="AP17" s="492">
        <v>45</v>
      </c>
      <c r="AQ17" s="506"/>
      <c r="AR17" s="491"/>
      <c r="AS17" s="8"/>
      <c r="AT17" s="8"/>
      <c r="AU17" s="9"/>
      <c r="AV17" s="9"/>
      <c r="AW17" s="17"/>
      <c r="AX17" s="492"/>
      <c r="AY17" s="491">
        <v>9</v>
      </c>
      <c r="AZ17" s="7">
        <v>9</v>
      </c>
      <c r="BA17" s="9">
        <v>9</v>
      </c>
      <c r="BB17" s="9">
        <v>66</v>
      </c>
      <c r="BC17" s="492">
        <v>91</v>
      </c>
      <c r="BD17" s="491">
        <v>8</v>
      </c>
      <c r="BE17" s="7">
        <v>8</v>
      </c>
      <c r="BF17" s="7">
        <v>8</v>
      </c>
      <c r="BG17" s="7">
        <v>42</v>
      </c>
      <c r="BH17" s="9">
        <v>18</v>
      </c>
      <c r="BI17" s="9">
        <v>58</v>
      </c>
      <c r="BJ17" s="492">
        <v>27</v>
      </c>
      <c r="BK17" s="491">
        <v>9</v>
      </c>
      <c r="BL17" s="7">
        <v>7</v>
      </c>
      <c r="BM17" s="7">
        <v>9</v>
      </c>
      <c r="BN17" s="7">
        <v>6</v>
      </c>
      <c r="BO17" s="7">
        <v>9</v>
      </c>
      <c r="BP17" s="7">
        <v>14</v>
      </c>
      <c r="BQ17" s="7">
        <v>21</v>
      </c>
      <c r="BR17" s="8">
        <v>12</v>
      </c>
      <c r="BS17" s="8">
        <v>20</v>
      </c>
      <c r="BT17" s="509">
        <v>68</v>
      </c>
      <c r="BU17" s="491">
        <v>20</v>
      </c>
      <c r="BV17" s="8">
        <v>40</v>
      </c>
      <c r="BW17" s="509">
        <v>20</v>
      </c>
      <c r="BX17" s="491">
        <v>20</v>
      </c>
      <c r="BY17" s="8">
        <v>45</v>
      </c>
      <c r="BZ17" s="509">
        <v>14</v>
      </c>
      <c r="CA17" s="752"/>
      <c r="CE17" s="736" t="e">
        <f>IF('School Profile'!#REF!="","",'School Profile'!#REF!)</f>
        <v>#REF!</v>
      </c>
    </row>
    <row r="18" spans="1:83" ht="24.95" customHeight="1">
      <c r="A18" s="468">
        <f>IF('Student DATA Entry'!A15="","",'Student DATA Entry'!A15)</f>
        <v>12</v>
      </c>
      <c r="B18" s="459">
        <f>IF('Student DATA Entry'!B15="","",'Student DATA Entry'!B15)</f>
        <v>912</v>
      </c>
      <c r="C18" s="459">
        <f>IF('Student DATA Entry'!C15="","",'Student DATA Entry'!C15)</f>
        <v>9</v>
      </c>
      <c r="D18" s="459" t="str">
        <f>IF('Student DATA Entry'!D15="","",'Student DATA Entry'!D15)</f>
        <v>A</v>
      </c>
      <c r="E18" s="459" t="str">
        <f>IF('Student DATA Entry'!E15="","",'Student DATA Entry'!E15)</f>
        <v/>
      </c>
      <c r="F18" s="460" t="str">
        <f>IF('Student DATA Entry'!K15="","",'Student DATA Entry'!K15)</f>
        <v/>
      </c>
      <c r="G18" s="461" t="str">
        <f>IF('Student DATA Entry'!G15="","",UPPER('Student DATA Entry'!G15))</f>
        <v>JAY</v>
      </c>
      <c r="H18" s="461" t="str">
        <f>IF('Student DATA Entry'!H15="","",UPPER('Student DATA Entry'!H15))</f>
        <v/>
      </c>
      <c r="I18" s="462" t="str">
        <f>IF('Student DATA Entry'!I15="","",UPPER('Student DATA Entry'!I15))</f>
        <v/>
      </c>
      <c r="J18" s="463" t="str">
        <f>IF('Student DATA Entry'!L15="","",UPPER('Student DATA Entry'!L15))</f>
        <v/>
      </c>
      <c r="K18" s="469" t="str">
        <f>IF('Student DATA Entry'!J15="","",UPPER('Student DATA Entry'!J15))</f>
        <v/>
      </c>
      <c r="L18" s="491">
        <v>7</v>
      </c>
      <c r="M18" s="8">
        <v>8</v>
      </c>
      <c r="N18" s="8">
        <v>7</v>
      </c>
      <c r="O18" s="9">
        <v>47</v>
      </c>
      <c r="P18" s="492">
        <v>65</v>
      </c>
      <c r="Q18" s="491">
        <v>8</v>
      </c>
      <c r="R18" s="8">
        <v>9</v>
      </c>
      <c r="S18" s="8">
        <v>9</v>
      </c>
      <c r="T18" s="9">
        <v>60</v>
      </c>
      <c r="U18" s="492">
        <v>85</v>
      </c>
      <c r="V18" s="502">
        <v>1</v>
      </c>
      <c r="W18" s="7">
        <v>8</v>
      </c>
      <c r="X18" s="8">
        <v>9</v>
      </c>
      <c r="Y18" s="8">
        <v>7</v>
      </c>
      <c r="Z18" s="9">
        <v>46</v>
      </c>
      <c r="AA18" s="492">
        <v>45</v>
      </c>
      <c r="AB18" s="491">
        <v>8</v>
      </c>
      <c r="AC18" s="8">
        <v>9</v>
      </c>
      <c r="AD18" s="8">
        <v>10</v>
      </c>
      <c r="AE18" s="9">
        <v>20</v>
      </c>
      <c r="AF18" s="492">
        <v>21</v>
      </c>
      <c r="AG18" s="491">
        <v>8</v>
      </c>
      <c r="AH18" s="8">
        <v>9</v>
      </c>
      <c r="AI18" s="8">
        <v>7</v>
      </c>
      <c r="AJ18" s="9">
        <v>46</v>
      </c>
      <c r="AK18" s="492">
        <v>45</v>
      </c>
      <c r="AL18" s="491">
        <v>8</v>
      </c>
      <c r="AM18" s="8">
        <v>8</v>
      </c>
      <c r="AN18" s="8">
        <v>8</v>
      </c>
      <c r="AO18" s="9">
        <v>46</v>
      </c>
      <c r="AP18" s="492">
        <v>45</v>
      </c>
      <c r="AQ18" s="506"/>
      <c r="AR18" s="491"/>
      <c r="AS18" s="8"/>
      <c r="AT18" s="8"/>
      <c r="AU18" s="9"/>
      <c r="AV18" s="9"/>
      <c r="AW18" s="17"/>
      <c r="AX18" s="492"/>
      <c r="AY18" s="491">
        <v>9</v>
      </c>
      <c r="AZ18" s="7">
        <v>9</v>
      </c>
      <c r="BA18" s="9">
        <v>9</v>
      </c>
      <c r="BB18" s="9">
        <v>66</v>
      </c>
      <c r="BC18" s="492">
        <v>91</v>
      </c>
      <c r="BD18" s="491">
        <v>8</v>
      </c>
      <c r="BE18" s="7">
        <v>8</v>
      </c>
      <c r="BF18" s="7">
        <v>8</v>
      </c>
      <c r="BG18" s="7">
        <v>20</v>
      </c>
      <c r="BH18" s="9">
        <v>15</v>
      </c>
      <c r="BI18" s="9">
        <v>54</v>
      </c>
      <c r="BJ18" s="492">
        <v>27</v>
      </c>
      <c r="BK18" s="491">
        <v>9</v>
      </c>
      <c r="BL18" s="7">
        <v>7</v>
      </c>
      <c r="BM18" s="7">
        <v>9</v>
      </c>
      <c r="BN18" s="7">
        <v>6</v>
      </c>
      <c r="BO18" s="7">
        <v>9</v>
      </c>
      <c r="BP18" s="7">
        <v>14</v>
      </c>
      <c r="BQ18" s="7">
        <v>21</v>
      </c>
      <c r="BR18" s="8">
        <v>14</v>
      </c>
      <c r="BS18" s="8">
        <v>21</v>
      </c>
      <c r="BT18" s="509">
        <v>65</v>
      </c>
      <c r="BU18" s="491">
        <v>20</v>
      </c>
      <c r="BV18" s="8">
        <v>40</v>
      </c>
      <c r="BW18" s="509">
        <v>20</v>
      </c>
      <c r="BX18" s="491">
        <v>20</v>
      </c>
      <c r="BY18" s="8">
        <v>35</v>
      </c>
      <c r="BZ18" s="509">
        <v>10</v>
      </c>
      <c r="CA18" s="752"/>
      <c r="CE18" s="736" t="e">
        <f>IF('School Profile'!#REF!="","",'School Profile'!#REF!)</f>
        <v>#REF!</v>
      </c>
    </row>
    <row r="19" spans="1:83" ht="24.95" customHeight="1">
      <c r="A19" s="468">
        <f>IF('Student DATA Entry'!A16="","",'Student DATA Entry'!A16)</f>
        <v>13</v>
      </c>
      <c r="B19" s="459">
        <f>IF('Student DATA Entry'!B16="","",'Student DATA Entry'!B16)</f>
        <v>913</v>
      </c>
      <c r="C19" s="459">
        <f>IF('Student DATA Entry'!C16="","",'Student DATA Entry'!C16)</f>
        <v>9</v>
      </c>
      <c r="D19" s="459" t="str">
        <f>IF('Student DATA Entry'!D16="","",'Student DATA Entry'!D16)</f>
        <v>A</v>
      </c>
      <c r="E19" s="459" t="str">
        <f>IF('Student DATA Entry'!E16="","",'Student DATA Entry'!E16)</f>
        <v/>
      </c>
      <c r="F19" s="460" t="str">
        <f>IF('Student DATA Entry'!K16="","",'Student DATA Entry'!K16)</f>
        <v/>
      </c>
      <c r="G19" s="461" t="str">
        <f>IF('Student DATA Entry'!G16="","",UPPER('Student DATA Entry'!G16))</f>
        <v>VIRU</v>
      </c>
      <c r="H19" s="461" t="str">
        <f>IF('Student DATA Entry'!H16="","",UPPER('Student DATA Entry'!H16))</f>
        <v/>
      </c>
      <c r="I19" s="462" t="str">
        <f>IF('Student DATA Entry'!I16="","",UPPER('Student DATA Entry'!I16))</f>
        <v/>
      </c>
      <c r="J19" s="463" t="str">
        <f>IF('Student DATA Entry'!L16="","",UPPER('Student DATA Entry'!L16))</f>
        <v/>
      </c>
      <c r="K19" s="469" t="str">
        <f>IF('Student DATA Entry'!J16="","",UPPER('Student DATA Entry'!J16))</f>
        <v/>
      </c>
      <c r="L19" s="491">
        <v>8</v>
      </c>
      <c r="M19" s="8">
        <v>9</v>
      </c>
      <c r="N19" s="8">
        <v>5</v>
      </c>
      <c r="O19" s="9"/>
      <c r="P19" s="492">
        <v>65</v>
      </c>
      <c r="Q19" s="491">
        <v>8</v>
      </c>
      <c r="R19" s="8">
        <v>9</v>
      </c>
      <c r="S19" s="8">
        <v>9</v>
      </c>
      <c r="T19" s="9">
        <v>60</v>
      </c>
      <c r="U19" s="492">
        <v>85</v>
      </c>
      <c r="V19" s="502">
        <v>2</v>
      </c>
      <c r="W19" s="7">
        <v>8</v>
      </c>
      <c r="X19" s="8">
        <v>9</v>
      </c>
      <c r="Y19" s="8">
        <v>7</v>
      </c>
      <c r="Z19" s="9">
        <v>46</v>
      </c>
      <c r="AA19" s="492">
        <v>45</v>
      </c>
      <c r="AB19" s="491">
        <v>8</v>
      </c>
      <c r="AC19" s="8">
        <v>9</v>
      </c>
      <c r="AD19" s="8">
        <v>10</v>
      </c>
      <c r="AE19" s="9">
        <v>46</v>
      </c>
      <c r="AF19" s="492">
        <v>45</v>
      </c>
      <c r="AG19" s="491">
        <v>8</v>
      </c>
      <c r="AH19" s="8">
        <v>9</v>
      </c>
      <c r="AI19" s="8">
        <v>7</v>
      </c>
      <c r="AJ19" s="9">
        <v>46</v>
      </c>
      <c r="AK19" s="492">
        <v>45</v>
      </c>
      <c r="AL19" s="491">
        <v>8</v>
      </c>
      <c r="AM19" s="8">
        <v>8</v>
      </c>
      <c r="AN19" s="8">
        <v>8</v>
      </c>
      <c r="AO19" s="9">
        <v>46</v>
      </c>
      <c r="AP19" s="492">
        <v>45</v>
      </c>
      <c r="AQ19" s="506"/>
      <c r="AR19" s="491"/>
      <c r="AS19" s="8"/>
      <c r="AT19" s="8"/>
      <c r="AU19" s="9"/>
      <c r="AV19" s="9"/>
      <c r="AW19" s="17"/>
      <c r="AX19" s="492"/>
      <c r="AY19" s="491">
        <v>9</v>
      </c>
      <c r="AZ19" s="7">
        <v>9</v>
      </c>
      <c r="BA19" s="9">
        <v>9</v>
      </c>
      <c r="BB19" s="9">
        <v>66</v>
      </c>
      <c r="BC19" s="492">
        <v>91</v>
      </c>
      <c r="BD19" s="491">
        <v>8</v>
      </c>
      <c r="BE19" s="7">
        <v>8</v>
      </c>
      <c r="BF19" s="7">
        <v>8</v>
      </c>
      <c r="BG19" s="7">
        <v>26</v>
      </c>
      <c r="BH19" s="9">
        <v>14</v>
      </c>
      <c r="BI19" s="9">
        <v>59</v>
      </c>
      <c r="BJ19" s="492">
        <v>27</v>
      </c>
      <c r="BK19" s="491">
        <v>9</v>
      </c>
      <c r="BL19" s="7">
        <v>7</v>
      </c>
      <c r="BM19" s="7">
        <v>9</v>
      </c>
      <c r="BN19" s="7">
        <v>6</v>
      </c>
      <c r="BO19" s="7">
        <v>9</v>
      </c>
      <c r="BP19" s="7">
        <v>14</v>
      </c>
      <c r="BQ19" s="7">
        <v>21</v>
      </c>
      <c r="BR19" s="8">
        <v>15</v>
      </c>
      <c r="BS19" s="8">
        <v>25</v>
      </c>
      <c r="BT19" s="509">
        <v>62</v>
      </c>
      <c r="BU19" s="491">
        <v>20</v>
      </c>
      <c r="BV19" s="8">
        <v>40</v>
      </c>
      <c r="BW19" s="509">
        <v>20</v>
      </c>
      <c r="BX19" s="491">
        <v>20</v>
      </c>
      <c r="BY19" s="8">
        <v>36</v>
      </c>
      <c r="BZ19" s="509">
        <v>10</v>
      </c>
      <c r="CA19" s="752"/>
      <c r="CE19" s="736" t="e">
        <f>IF('School Profile'!#REF!="","",'School Profile'!#REF!)</f>
        <v>#REF!</v>
      </c>
    </row>
    <row r="20" spans="1:83" ht="24.95" customHeight="1">
      <c r="A20" s="468">
        <f>IF('Student DATA Entry'!A17="","",'Student DATA Entry'!A17)</f>
        <v>14</v>
      </c>
      <c r="B20" s="459">
        <f>IF('Student DATA Entry'!B17="","",'Student DATA Entry'!B17)</f>
        <v>914</v>
      </c>
      <c r="C20" s="459">
        <f>IF('Student DATA Entry'!C17="","",'Student DATA Entry'!C17)</f>
        <v>9</v>
      </c>
      <c r="D20" s="459" t="str">
        <f>IF('Student DATA Entry'!D17="","",'Student DATA Entry'!D17)</f>
        <v>A</v>
      </c>
      <c r="E20" s="459" t="str">
        <f>IF('Student DATA Entry'!E17="","",'Student DATA Entry'!E17)</f>
        <v/>
      </c>
      <c r="F20" s="460" t="str">
        <f>IF('Student DATA Entry'!K17="","",'Student DATA Entry'!K17)</f>
        <v/>
      </c>
      <c r="G20" s="461" t="str">
        <f>IF('Student DATA Entry'!G17="","",UPPER('Student DATA Entry'!G17))</f>
        <v>ANIL</v>
      </c>
      <c r="H20" s="461" t="str">
        <f>IF('Student DATA Entry'!H17="","",UPPER('Student DATA Entry'!H17))</f>
        <v/>
      </c>
      <c r="I20" s="462" t="str">
        <f>IF('Student DATA Entry'!I17="","",UPPER('Student DATA Entry'!I17))</f>
        <v/>
      </c>
      <c r="J20" s="463" t="str">
        <f>IF('Student DATA Entry'!L17="","",UPPER('Student DATA Entry'!L17))</f>
        <v/>
      </c>
      <c r="K20" s="469" t="str">
        <f>IF('Student DATA Entry'!J17="","",UPPER('Student DATA Entry'!J17))</f>
        <v/>
      </c>
      <c r="L20" s="491">
        <v>8</v>
      </c>
      <c r="M20" s="8">
        <v>9</v>
      </c>
      <c r="N20" s="8">
        <v>7</v>
      </c>
      <c r="O20" s="9">
        <v>46</v>
      </c>
      <c r="P20" s="492">
        <v>65</v>
      </c>
      <c r="Q20" s="491">
        <v>8</v>
      </c>
      <c r="R20" s="8">
        <v>9</v>
      </c>
      <c r="S20" s="8">
        <v>8</v>
      </c>
      <c r="T20" s="9">
        <v>60</v>
      </c>
      <c r="U20" s="492">
        <v>85</v>
      </c>
      <c r="V20" s="502">
        <v>4</v>
      </c>
      <c r="W20" s="7">
        <v>8</v>
      </c>
      <c r="X20" s="8">
        <v>9</v>
      </c>
      <c r="Y20" s="8">
        <v>8</v>
      </c>
      <c r="Z20" s="9">
        <v>46</v>
      </c>
      <c r="AA20" s="492">
        <v>45</v>
      </c>
      <c r="AB20" s="491">
        <v>8</v>
      </c>
      <c r="AC20" s="8">
        <v>9</v>
      </c>
      <c r="AD20" s="8">
        <v>8</v>
      </c>
      <c r="AE20" s="9">
        <v>20</v>
      </c>
      <c r="AF20" s="492">
        <v>26</v>
      </c>
      <c r="AG20" s="491">
        <v>8</v>
      </c>
      <c r="AH20" s="8">
        <v>9</v>
      </c>
      <c r="AI20" s="8">
        <v>7</v>
      </c>
      <c r="AJ20" s="9">
        <v>20</v>
      </c>
      <c r="AK20" s="492">
        <v>27</v>
      </c>
      <c r="AL20" s="491">
        <v>8</v>
      </c>
      <c r="AM20" s="8">
        <v>8</v>
      </c>
      <c r="AN20" s="8">
        <v>8</v>
      </c>
      <c r="AO20" s="9">
        <v>46</v>
      </c>
      <c r="AP20" s="492">
        <v>45</v>
      </c>
      <c r="AQ20" s="506"/>
      <c r="AR20" s="491"/>
      <c r="AS20" s="8"/>
      <c r="AT20" s="8"/>
      <c r="AU20" s="9"/>
      <c r="AV20" s="9"/>
      <c r="AW20" s="17"/>
      <c r="AX20" s="492"/>
      <c r="AY20" s="491">
        <v>9</v>
      </c>
      <c r="AZ20" s="7">
        <v>9</v>
      </c>
      <c r="BA20" s="9">
        <v>9</v>
      </c>
      <c r="BB20" s="9">
        <v>66</v>
      </c>
      <c r="BC20" s="492">
        <v>91</v>
      </c>
      <c r="BD20" s="491">
        <v>8</v>
      </c>
      <c r="BE20" s="7">
        <v>8</v>
      </c>
      <c r="BF20" s="7">
        <v>8</v>
      </c>
      <c r="BG20" s="7">
        <v>48</v>
      </c>
      <c r="BH20" s="9">
        <v>16</v>
      </c>
      <c r="BI20" s="9">
        <v>58</v>
      </c>
      <c r="BJ20" s="492">
        <v>27</v>
      </c>
      <c r="BK20" s="491">
        <v>9</v>
      </c>
      <c r="BL20" s="7">
        <v>7</v>
      </c>
      <c r="BM20" s="7">
        <v>9</v>
      </c>
      <c r="BN20" s="7">
        <v>6</v>
      </c>
      <c r="BO20" s="7">
        <v>9</v>
      </c>
      <c r="BP20" s="7">
        <v>14</v>
      </c>
      <c r="BQ20" s="7">
        <v>21</v>
      </c>
      <c r="BR20" s="8">
        <v>12</v>
      </c>
      <c r="BS20" s="8">
        <v>26</v>
      </c>
      <c r="BT20" s="509">
        <v>61</v>
      </c>
      <c r="BU20" s="491">
        <v>20</v>
      </c>
      <c r="BV20" s="8">
        <v>40</v>
      </c>
      <c r="BW20" s="509">
        <v>20</v>
      </c>
      <c r="BX20" s="491">
        <v>20</v>
      </c>
      <c r="BY20" s="8">
        <v>39</v>
      </c>
      <c r="BZ20" s="509">
        <v>10</v>
      </c>
      <c r="CA20" s="752"/>
      <c r="CE20" s="736" t="e">
        <f>IF('School Profile'!#REF!="","",'School Profile'!#REF!)</f>
        <v>#REF!</v>
      </c>
    </row>
    <row r="21" spans="1:83" ht="24.95" customHeight="1">
      <c r="A21" s="468">
        <f>IF('Student DATA Entry'!A18="","",'Student DATA Entry'!A18)</f>
        <v>15</v>
      </c>
      <c r="B21" s="459">
        <f>IF('Student DATA Entry'!B18="","",'Student DATA Entry'!B18)</f>
        <v>915</v>
      </c>
      <c r="C21" s="459">
        <f>IF('Student DATA Entry'!C18="","",'Student DATA Entry'!C18)</f>
        <v>9</v>
      </c>
      <c r="D21" s="459" t="str">
        <f>IF('Student DATA Entry'!D18="","",'Student DATA Entry'!D18)</f>
        <v>A</v>
      </c>
      <c r="E21" s="459" t="str">
        <f>IF('Student DATA Entry'!E18="","",'Student DATA Entry'!E18)</f>
        <v/>
      </c>
      <c r="F21" s="460" t="str">
        <f>IF('Student DATA Entry'!K18="","",'Student DATA Entry'!K18)</f>
        <v/>
      </c>
      <c r="G21" s="461" t="str">
        <f>IF('Student DATA Entry'!G18="","",UPPER('Student DATA Entry'!G18))</f>
        <v>RAHIM</v>
      </c>
      <c r="H21" s="461" t="str">
        <f>IF('Student DATA Entry'!H18="","",UPPER('Student DATA Entry'!H18))</f>
        <v/>
      </c>
      <c r="I21" s="462" t="str">
        <f>IF('Student DATA Entry'!I18="","",UPPER('Student DATA Entry'!I18))</f>
        <v/>
      </c>
      <c r="J21" s="463" t="str">
        <f>IF('Student DATA Entry'!L18="","",UPPER('Student DATA Entry'!L18))</f>
        <v/>
      </c>
      <c r="K21" s="469" t="str">
        <f>IF('Student DATA Entry'!J18="","",UPPER('Student DATA Entry'!J18))</f>
        <v/>
      </c>
      <c r="L21" s="491">
        <v>8</v>
      </c>
      <c r="M21" s="8">
        <v>9</v>
      </c>
      <c r="N21" s="8">
        <v>8</v>
      </c>
      <c r="O21" s="9">
        <v>46</v>
      </c>
      <c r="P21" s="492">
        <v>25</v>
      </c>
      <c r="Q21" s="491">
        <v>8</v>
      </c>
      <c r="R21" s="8">
        <v>9</v>
      </c>
      <c r="S21" s="8">
        <v>8</v>
      </c>
      <c r="T21" s="9">
        <v>60</v>
      </c>
      <c r="U21" s="492">
        <v>85</v>
      </c>
      <c r="V21" s="502">
        <v>4</v>
      </c>
      <c r="W21" s="7">
        <v>8</v>
      </c>
      <c r="X21" s="8">
        <v>9</v>
      </c>
      <c r="Y21" s="8">
        <v>8</v>
      </c>
      <c r="Z21" s="9">
        <v>46</v>
      </c>
      <c r="AA21" s="492">
        <v>45</v>
      </c>
      <c r="AB21" s="491">
        <v>8</v>
      </c>
      <c r="AC21" s="8">
        <v>9</v>
      </c>
      <c r="AD21" s="8">
        <v>8</v>
      </c>
      <c r="AE21" s="9">
        <v>20</v>
      </c>
      <c r="AF21" s="492">
        <v>30</v>
      </c>
      <c r="AG21" s="491">
        <v>8</v>
      </c>
      <c r="AH21" s="8">
        <v>9</v>
      </c>
      <c r="AI21" s="8">
        <v>7</v>
      </c>
      <c r="AJ21" s="9">
        <v>46</v>
      </c>
      <c r="AK21" s="492">
        <v>45</v>
      </c>
      <c r="AL21" s="491">
        <v>8</v>
      </c>
      <c r="AM21" s="8">
        <v>8</v>
      </c>
      <c r="AN21" s="8">
        <v>8</v>
      </c>
      <c r="AO21" s="9">
        <v>46</v>
      </c>
      <c r="AP21" s="492">
        <v>45</v>
      </c>
      <c r="AQ21" s="506"/>
      <c r="AR21" s="491"/>
      <c r="AS21" s="8"/>
      <c r="AT21" s="8"/>
      <c r="AU21" s="9"/>
      <c r="AV21" s="9"/>
      <c r="AW21" s="17"/>
      <c r="AX21" s="492"/>
      <c r="AY21" s="491">
        <v>9</v>
      </c>
      <c r="AZ21" s="7">
        <v>9</v>
      </c>
      <c r="BA21" s="9">
        <v>9</v>
      </c>
      <c r="BB21" s="9">
        <v>66</v>
      </c>
      <c r="BC21" s="492">
        <v>91</v>
      </c>
      <c r="BD21" s="491">
        <v>8</v>
      </c>
      <c r="BE21" s="7">
        <v>8</v>
      </c>
      <c r="BF21" s="7">
        <v>8</v>
      </c>
      <c r="BG21" s="7">
        <v>36</v>
      </c>
      <c r="BH21" s="9">
        <v>20</v>
      </c>
      <c r="BI21" s="9">
        <v>57</v>
      </c>
      <c r="BJ21" s="492">
        <v>27</v>
      </c>
      <c r="BK21" s="491">
        <v>9</v>
      </c>
      <c r="BL21" s="7">
        <v>7</v>
      </c>
      <c r="BM21" s="7">
        <v>9</v>
      </c>
      <c r="BN21" s="7">
        <v>6</v>
      </c>
      <c r="BO21" s="7">
        <v>9</v>
      </c>
      <c r="BP21" s="7">
        <v>14</v>
      </c>
      <c r="BQ21" s="7">
        <v>21</v>
      </c>
      <c r="BR21" s="8">
        <v>10</v>
      </c>
      <c r="BS21" s="8">
        <v>25</v>
      </c>
      <c r="BT21" s="509">
        <v>28</v>
      </c>
      <c r="BU21" s="491">
        <v>20</v>
      </c>
      <c r="BV21" s="8">
        <v>40</v>
      </c>
      <c r="BW21" s="509">
        <v>20</v>
      </c>
      <c r="BX21" s="491">
        <v>20</v>
      </c>
      <c r="BY21" s="8">
        <v>38</v>
      </c>
      <c r="BZ21" s="509">
        <v>10</v>
      </c>
      <c r="CA21" s="752"/>
      <c r="CE21" s="736" t="e">
        <f>IF('School Profile'!#REF!="","",'School Profile'!#REF!)</f>
        <v>#REF!</v>
      </c>
    </row>
    <row r="22" spans="1:83" ht="24.95" customHeight="1">
      <c r="A22" s="468">
        <f>IF('Student DATA Entry'!A19="","",'Student DATA Entry'!A19)</f>
        <v>16</v>
      </c>
      <c r="B22" s="459">
        <f>IF('Student DATA Entry'!B19="","",'Student DATA Entry'!B19)</f>
        <v>916</v>
      </c>
      <c r="C22" s="459">
        <f>IF('Student DATA Entry'!C19="","",'Student DATA Entry'!C19)</f>
        <v>9</v>
      </c>
      <c r="D22" s="459" t="str">
        <f>IF('Student DATA Entry'!D19="","",'Student DATA Entry'!D19)</f>
        <v>A</v>
      </c>
      <c r="E22" s="459" t="str">
        <f>IF('Student DATA Entry'!E19="","",'Student DATA Entry'!E19)</f>
        <v/>
      </c>
      <c r="F22" s="460" t="str">
        <f>IF('Student DATA Entry'!K19="","",'Student DATA Entry'!K19)</f>
        <v/>
      </c>
      <c r="G22" s="461" t="str">
        <f>IF('Student DATA Entry'!G19="","",UPPER('Student DATA Entry'!G19))</f>
        <v>KARIM</v>
      </c>
      <c r="H22" s="461" t="str">
        <f>IF('Student DATA Entry'!H19="","",UPPER('Student DATA Entry'!H19))</f>
        <v/>
      </c>
      <c r="I22" s="462" t="str">
        <f>IF('Student DATA Entry'!I19="","",UPPER('Student DATA Entry'!I19))</f>
        <v/>
      </c>
      <c r="J22" s="463" t="str">
        <f>IF('Student DATA Entry'!L19="","",UPPER('Student DATA Entry'!L19))</f>
        <v/>
      </c>
      <c r="K22" s="469" t="str">
        <f>IF('Student DATA Entry'!J19="","",UPPER('Student DATA Entry'!J19))</f>
        <v/>
      </c>
      <c r="L22" s="491">
        <v>8</v>
      </c>
      <c r="M22" s="8">
        <v>9</v>
      </c>
      <c r="N22" s="8">
        <v>8</v>
      </c>
      <c r="O22" s="9">
        <v>46</v>
      </c>
      <c r="P22" s="492">
        <v>65</v>
      </c>
      <c r="Q22" s="491">
        <v>8</v>
      </c>
      <c r="R22" s="8">
        <v>9</v>
      </c>
      <c r="S22" s="8">
        <v>8</v>
      </c>
      <c r="T22" s="9">
        <v>60</v>
      </c>
      <c r="U22" s="492">
        <v>85</v>
      </c>
      <c r="V22" s="502">
        <v>5</v>
      </c>
      <c r="W22" s="7">
        <v>8</v>
      </c>
      <c r="X22" s="8">
        <v>9</v>
      </c>
      <c r="Y22" s="8">
        <v>8</v>
      </c>
      <c r="Z22" s="9">
        <v>46</v>
      </c>
      <c r="AA22" s="492">
        <v>45</v>
      </c>
      <c r="AB22" s="491">
        <v>8</v>
      </c>
      <c r="AC22" s="8">
        <v>9</v>
      </c>
      <c r="AD22" s="8">
        <v>8</v>
      </c>
      <c r="AE22" s="9">
        <v>46</v>
      </c>
      <c r="AF22" s="492">
        <v>45</v>
      </c>
      <c r="AG22" s="491">
        <v>8</v>
      </c>
      <c r="AH22" s="8">
        <v>9</v>
      </c>
      <c r="AI22" s="8">
        <v>7</v>
      </c>
      <c r="AJ22" s="9">
        <v>46</v>
      </c>
      <c r="AK22" s="492">
        <v>45</v>
      </c>
      <c r="AL22" s="491">
        <v>8</v>
      </c>
      <c r="AM22" s="8">
        <v>8</v>
      </c>
      <c r="AN22" s="8">
        <v>8</v>
      </c>
      <c r="AO22" s="9">
        <v>46</v>
      </c>
      <c r="AP22" s="492">
        <v>45</v>
      </c>
      <c r="AQ22" s="506"/>
      <c r="AR22" s="491"/>
      <c r="AS22" s="8"/>
      <c r="AT22" s="8"/>
      <c r="AU22" s="9"/>
      <c r="AV22" s="9"/>
      <c r="AW22" s="17"/>
      <c r="AX22" s="492"/>
      <c r="AY22" s="491"/>
      <c r="AZ22" s="7"/>
      <c r="BA22" s="9"/>
      <c r="BB22" s="9"/>
      <c r="BC22" s="492"/>
      <c r="BD22" s="491"/>
      <c r="BE22" s="7"/>
      <c r="BF22" s="7"/>
      <c r="BG22" s="7"/>
      <c r="BH22" s="9"/>
      <c r="BI22" s="9"/>
      <c r="BJ22" s="492"/>
      <c r="BK22" s="491"/>
      <c r="BL22" s="7"/>
      <c r="BM22" s="7"/>
      <c r="BN22" s="7"/>
      <c r="BO22" s="7"/>
      <c r="BP22" s="7"/>
      <c r="BQ22" s="7"/>
      <c r="BR22" s="8"/>
      <c r="BS22" s="8"/>
      <c r="BT22" s="509"/>
      <c r="BU22" s="491"/>
      <c r="BV22" s="8"/>
      <c r="BW22" s="509"/>
      <c r="BX22" s="491"/>
      <c r="BY22" s="8"/>
      <c r="BZ22" s="509"/>
      <c r="CA22" s="752"/>
      <c r="CE22" s="736" t="e">
        <f>IF('School Profile'!#REF!="","",'School Profile'!#REF!)</f>
        <v>#REF!</v>
      </c>
    </row>
    <row r="23" spans="1:83" ht="24.95" customHeight="1">
      <c r="A23" s="468">
        <f>IF('Student DATA Entry'!A20="","",'Student DATA Entry'!A20)</f>
        <v>17</v>
      </c>
      <c r="B23" s="459">
        <f>IF('Student DATA Entry'!B20="","",'Student DATA Entry'!B20)</f>
        <v>917</v>
      </c>
      <c r="C23" s="459">
        <f>IF('Student DATA Entry'!C20="","",'Student DATA Entry'!C20)</f>
        <v>9</v>
      </c>
      <c r="D23" s="459" t="str">
        <f>IF('Student DATA Entry'!D20="","",'Student DATA Entry'!D20)</f>
        <v>A</v>
      </c>
      <c r="E23" s="459" t="str">
        <f>IF('Student DATA Entry'!E20="","",'Student DATA Entry'!E20)</f>
        <v/>
      </c>
      <c r="F23" s="460" t="str">
        <f>IF('Student DATA Entry'!K20="","",'Student DATA Entry'!K20)</f>
        <v/>
      </c>
      <c r="G23" s="461" t="str">
        <f>IF('Student DATA Entry'!G20="","",UPPER('Student DATA Entry'!G20))</f>
        <v>FATIMA</v>
      </c>
      <c r="H23" s="461" t="str">
        <f>IF('Student DATA Entry'!H20="","",UPPER('Student DATA Entry'!H20))</f>
        <v/>
      </c>
      <c r="I23" s="462" t="str">
        <f>IF('Student DATA Entry'!I20="","",UPPER('Student DATA Entry'!I20))</f>
        <v/>
      </c>
      <c r="J23" s="463" t="str">
        <f>IF('Student DATA Entry'!L20="","",UPPER('Student DATA Entry'!L20))</f>
        <v/>
      </c>
      <c r="K23" s="469" t="str">
        <f>IF('Student DATA Entry'!J20="","",UPPER('Student DATA Entry'!J20))</f>
        <v/>
      </c>
      <c r="L23" s="491">
        <v>8</v>
      </c>
      <c r="M23" s="8">
        <v>9</v>
      </c>
      <c r="N23" s="8">
        <v>8</v>
      </c>
      <c r="O23" s="9">
        <v>46</v>
      </c>
      <c r="P23" s="492">
        <v>65</v>
      </c>
      <c r="Q23" s="491">
        <v>8</v>
      </c>
      <c r="R23" s="8">
        <v>9</v>
      </c>
      <c r="S23" s="8">
        <v>8</v>
      </c>
      <c r="T23" s="9">
        <v>60</v>
      </c>
      <c r="U23" s="492">
        <v>85</v>
      </c>
      <c r="V23" s="502">
        <v>5</v>
      </c>
      <c r="W23" s="7">
        <v>8</v>
      </c>
      <c r="X23" s="8">
        <v>9</v>
      </c>
      <c r="Y23" s="8">
        <v>9</v>
      </c>
      <c r="Z23" s="9">
        <v>46</v>
      </c>
      <c r="AA23" s="492">
        <v>45</v>
      </c>
      <c r="AB23" s="491">
        <v>8</v>
      </c>
      <c r="AC23" s="8">
        <v>9</v>
      </c>
      <c r="AD23" s="8">
        <v>8</v>
      </c>
      <c r="AE23" s="9">
        <v>46</v>
      </c>
      <c r="AF23" s="492">
        <v>45</v>
      </c>
      <c r="AG23" s="491">
        <v>8</v>
      </c>
      <c r="AH23" s="8">
        <v>9</v>
      </c>
      <c r="AI23" s="8">
        <v>7</v>
      </c>
      <c r="AJ23" s="9">
        <v>46</v>
      </c>
      <c r="AK23" s="492">
        <v>45</v>
      </c>
      <c r="AL23" s="491">
        <v>8</v>
      </c>
      <c r="AM23" s="8">
        <v>8</v>
      </c>
      <c r="AN23" s="8">
        <v>8</v>
      </c>
      <c r="AO23" s="9">
        <v>46</v>
      </c>
      <c r="AP23" s="492">
        <v>45</v>
      </c>
      <c r="AQ23" s="506"/>
      <c r="AR23" s="491"/>
      <c r="AS23" s="8"/>
      <c r="AT23" s="8"/>
      <c r="AU23" s="9"/>
      <c r="AV23" s="9"/>
      <c r="AW23" s="17"/>
      <c r="AX23" s="492"/>
      <c r="AY23" s="491"/>
      <c r="AZ23" s="7"/>
      <c r="BA23" s="9"/>
      <c r="BB23" s="9"/>
      <c r="BC23" s="492"/>
      <c r="BD23" s="491"/>
      <c r="BE23" s="7"/>
      <c r="BF23" s="7"/>
      <c r="BG23" s="7"/>
      <c r="BH23" s="9"/>
      <c r="BI23" s="9"/>
      <c r="BJ23" s="492"/>
      <c r="BK23" s="491"/>
      <c r="BL23" s="7"/>
      <c r="BM23" s="7"/>
      <c r="BN23" s="7"/>
      <c r="BO23" s="7"/>
      <c r="BP23" s="7"/>
      <c r="BQ23" s="7"/>
      <c r="BR23" s="8"/>
      <c r="BS23" s="8"/>
      <c r="BT23" s="509"/>
      <c r="BU23" s="491"/>
      <c r="BV23" s="8"/>
      <c r="BW23" s="509"/>
      <c r="BX23" s="491"/>
      <c r="BY23" s="8"/>
      <c r="BZ23" s="509"/>
      <c r="CA23" s="752"/>
      <c r="CE23" s="736" t="e">
        <f>IF('School Profile'!#REF!="","",'School Profile'!#REF!)</f>
        <v>#REF!</v>
      </c>
    </row>
    <row r="24" spans="1:83" ht="24.95" customHeight="1">
      <c r="A24" s="468">
        <f>IF('Student DATA Entry'!A21="","",'Student DATA Entry'!A21)</f>
        <v>18</v>
      </c>
      <c r="B24" s="459">
        <f>IF('Student DATA Entry'!B21="","",'Student DATA Entry'!B21)</f>
        <v>918</v>
      </c>
      <c r="C24" s="459">
        <f>IF('Student DATA Entry'!C21="","",'Student DATA Entry'!C21)</f>
        <v>9</v>
      </c>
      <c r="D24" s="459" t="str">
        <f>IF('Student DATA Entry'!D21="","",'Student DATA Entry'!D21)</f>
        <v>A</v>
      </c>
      <c r="E24" s="459" t="str">
        <f>IF('Student DATA Entry'!E21="","",'Student DATA Entry'!E21)</f>
        <v/>
      </c>
      <c r="F24" s="460" t="str">
        <f>IF('Student DATA Entry'!K21="","",'Student DATA Entry'!K21)</f>
        <v/>
      </c>
      <c r="G24" s="461" t="str">
        <f>IF('Student DATA Entry'!G21="","",UPPER('Student DATA Entry'!G21))</f>
        <v>LAXMI</v>
      </c>
      <c r="H24" s="461" t="str">
        <f>IF('Student DATA Entry'!H21="","",UPPER('Student DATA Entry'!H21))</f>
        <v/>
      </c>
      <c r="I24" s="462" t="str">
        <f>IF('Student DATA Entry'!I21="","",UPPER('Student DATA Entry'!I21))</f>
        <v/>
      </c>
      <c r="J24" s="463" t="str">
        <f>IF('Student DATA Entry'!L21="","",UPPER('Student DATA Entry'!L21))</f>
        <v/>
      </c>
      <c r="K24" s="469" t="str">
        <f>IF('Student DATA Entry'!J21="","",UPPER('Student DATA Entry'!J21))</f>
        <v/>
      </c>
      <c r="L24" s="491">
        <v>8</v>
      </c>
      <c r="M24" s="8">
        <v>9</v>
      </c>
      <c r="N24" s="8">
        <v>8</v>
      </c>
      <c r="O24" s="9">
        <v>46</v>
      </c>
      <c r="P24" s="492">
        <v>65</v>
      </c>
      <c r="Q24" s="491">
        <v>8</v>
      </c>
      <c r="R24" s="8">
        <v>9</v>
      </c>
      <c r="S24" s="8">
        <v>8</v>
      </c>
      <c r="T24" s="9">
        <v>60</v>
      </c>
      <c r="U24" s="492">
        <v>85</v>
      </c>
      <c r="V24" s="502">
        <v>2</v>
      </c>
      <c r="W24" s="7">
        <v>8</v>
      </c>
      <c r="X24" s="8">
        <v>9</v>
      </c>
      <c r="Y24" s="8">
        <v>9</v>
      </c>
      <c r="Z24" s="9">
        <v>46</v>
      </c>
      <c r="AA24" s="492">
        <v>45</v>
      </c>
      <c r="AB24" s="491">
        <v>8</v>
      </c>
      <c r="AC24" s="8">
        <v>9</v>
      </c>
      <c r="AD24" s="8">
        <v>7</v>
      </c>
      <c r="AE24" s="9">
        <v>46</v>
      </c>
      <c r="AF24" s="492">
        <v>45</v>
      </c>
      <c r="AG24" s="491">
        <v>8</v>
      </c>
      <c r="AH24" s="8">
        <v>9</v>
      </c>
      <c r="AI24" s="8">
        <v>7</v>
      </c>
      <c r="AJ24" s="9">
        <v>46</v>
      </c>
      <c r="AK24" s="492">
        <v>45</v>
      </c>
      <c r="AL24" s="491">
        <v>8</v>
      </c>
      <c r="AM24" s="8">
        <v>8</v>
      </c>
      <c r="AN24" s="8">
        <v>8</v>
      </c>
      <c r="AO24" s="9">
        <v>46</v>
      </c>
      <c r="AP24" s="492">
        <v>45</v>
      </c>
      <c r="AQ24" s="506"/>
      <c r="AR24" s="491"/>
      <c r="AS24" s="8"/>
      <c r="AT24" s="8"/>
      <c r="AU24" s="9"/>
      <c r="AV24" s="9"/>
      <c r="AW24" s="17"/>
      <c r="AX24" s="492"/>
      <c r="AY24" s="491"/>
      <c r="AZ24" s="7"/>
      <c r="BA24" s="9"/>
      <c r="BB24" s="9"/>
      <c r="BC24" s="492"/>
      <c r="BD24" s="491"/>
      <c r="BE24" s="7"/>
      <c r="BF24" s="7"/>
      <c r="BG24" s="7"/>
      <c r="BH24" s="9"/>
      <c r="BI24" s="9"/>
      <c r="BJ24" s="492"/>
      <c r="BK24" s="491"/>
      <c r="BL24" s="7"/>
      <c r="BM24" s="7"/>
      <c r="BN24" s="7"/>
      <c r="BO24" s="7"/>
      <c r="BP24" s="7"/>
      <c r="BQ24" s="7"/>
      <c r="BR24" s="8"/>
      <c r="BS24" s="8"/>
      <c r="BT24" s="509"/>
      <c r="BU24" s="491"/>
      <c r="BV24" s="8"/>
      <c r="BW24" s="509"/>
      <c r="BX24" s="491"/>
      <c r="BY24" s="8"/>
      <c r="BZ24" s="509"/>
      <c r="CA24" s="752"/>
      <c r="CE24" s="736" t="e">
        <f>IF('School Profile'!#REF!="","",'School Profile'!#REF!)</f>
        <v>#REF!</v>
      </c>
    </row>
    <row r="25" spans="1:83" ht="24.95" customHeight="1">
      <c r="A25" s="468">
        <f>IF('Student DATA Entry'!A22="","",'Student DATA Entry'!A22)</f>
        <v>19</v>
      </c>
      <c r="B25" s="459">
        <f>IF('Student DATA Entry'!B22="","",'Student DATA Entry'!B22)</f>
        <v>919</v>
      </c>
      <c r="C25" s="459">
        <f>IF('Student DATA Entry'!C22="","",'Student DATA Entry'!C22)</f>
        <v>9</v>
      </c>
      <c r="D25" s="459" t="str">
        <f>IF('Student DATA Entry'!D22="","",'Student DATA Entry'!D22)</f>
        <v>A</v>
      </c>
      <c r="E25" s="459" t="str">
        <f>IF('Student DATA Entry'!E22="","",'Student DATA Entry'!E22)</f>
        <v/>
      </c>
      <c r="F25" s="460" t="str">
        <f>IF('Student DATA Entry'!K22="","",'Student DATA Entry'!K22)</f>
        <v/>
      </c>
      <c r="G25" s="461" t="str">
        <f>IF('Student DATA Entry'!G22="","",UPPER('Student DATA Entry'!G22))</f>
        <v>RAZA</v>
      </c>
      <c r="H25" s="461" t="str">
        <f>IF('Student DATA Entry'!H22="","",UPPER('Student DATA Entry'!H22))</f>
        <v/>
      </c>
      <c r="I25" s="462" t="str">
        <f>IF('Student DATA Entry'!I22="","",UPPER('Student DATA Entry'!I22))</f>
        <v/>
      </c>
      <c r="J25" s="463" t="str">
        <f>IF('Student DATA Entry'!L22="","",UPPER('Student DATA Entry'!L22))</f>
        <v/>
      </c>
      <c r="K25" s="469" t="str">
        <f>IF('Student DATA Entry'!J22="","",UPPER('Student DATA Entry'!J22))</f>
        <v/>
      </c>
      <c r="L25" s="491">
        <v>8</v>
      </c>
      <c r="M25" s="8">
        <v>9</v>
      </c>
      <c r="N25" s="8">
        <v>8</v>
      </c>
      <c r="O25" s="9">
        <v>46</v>
      </c>
      <c r="P25" s="492">
        <v>65</v>
      </c>
      <c r="Q25" s="491">
        <v>8</v>
      </c>
      <c r="R25" s="8">
        <v>9</v>
      </c>
      <c r="S25" s="8">
        <v>8</v>
      </c>
      <c r="T25" s="9">
        <v>60</v>
      </c>
      <c r="U25" s="492">
        <v>85</v>
      </c>
      <c r="V25" s="502">
        <v>2</v>
      </c>
      <c r="W25" s="7">
        <v>8</v>
      </c>
      <c r="X25" s="8">
        <v>9</v>
      </c>
      <c r="Y25" s="8">
        <v>9</v>
      </c>
      <c r="Z25" s="9">
        <v>46</v>
      </c>
      <c r="AA25" s="492">
        <v>45</v>
      </c>
      <c r="AB25" s="491">
        <v>8</v>
      </c>
      <c r="AC25" s="8">
        <v>9</v>
      </c>
      <c r="AD25" s="8">
        <v>7</v>
      </c>
      <c r="AE25" s="9">
        <v>46</v>
      </c>
      <c r="AF25" s="492">
        <v>45</v>
      </c>
      <c r="AG25" s="491">
        <v>8</v>
      </c>
      <c r="AH25" s="8">
        <v>9</v>
      </c>
      <c r="AI25" s="8">
        <v>7</v>
      </c>
      <c r="AJ25" s="9">
        <v>46</v>
      </c>
      <c r="AK25" s="492">
        <v>45</v>
      </c>
      <c r="AL25" s="491">
        <v>8</v>
      </c>
      <c r="AM25" s="8">
        <v>8</v>
      </c>
      <c r="AN25" s="8">
        <v>8</v>
      </c>
      <c r="AO25" s="9">
        <v>46</v>
      </c>
      <c r="AP25" s="492">
        <v>45</v>
      </c>
      <c r="AQ25" s="506"/>
      <c r="AR25" s="491"/>
      <c r="AS25" s="8"/>
      <c r="AT25" s="8"/>
      <c r="AU25" s="9"/>
      <c r="AV25" s="9"/>
      <c r="AW25" s="17"/>
      <c r="AX25" s="492"/>
      <c r="AY25" s="491"/>
      <c r="AZ25" s="7"/>
      <c r="BA25" s="9"/>
      <c r="BB25" s="9"/>
      <c r="BC25" s="492"/>
      <c r="BD25" s="491"/>
      <c r="BE25" s="7"/>
      <c r="BF25" s="7"/>
      <c r="BG25" s="7"/>
      <c r="BH25" s="9"/>
      <c r="BI25" s="9"/>
      <c r="BJ25" s="492"/>
      <c r="BK25" s="491"/>
      <c r="BL25" s="7"/>
      <c r="BM25" s="7"/>
      <c r="BN25" s="7"/>
      <c r="BO25" s="7"/>
      <c r="BP25" s="7"/>
      <c r="BQ25" s="7"/>
      <c r="BR25" s="8"/>
      <c r="BS25" s="8"/>
      <c r="BT25" s="509"/>
      <c r="BU25" s="491"/>
      <c r="BV25" s="8"/>
      <c r="BW25" s="509"/>
      <c r="BX25" s="491"/>
      <c r="BY25" s="8"/>
      <c r="BZ25" s="509"/>
      <c r="CA25" s="752"/>
      <c r="CE25" s="736" t="e">
        <f>IF('School Profile'!#REF!="","",'School Profile'!#REF!)</f>
        <v>#REF!</v>
      </c>
    </row>
    <row r="26" spans="1:83" ht="24.95" customHeight="1">
      <c r="A26" s="468">
        <f>IF('Student DATA Entry'!A23="","",'Student DATA Entry'!A23)</f>
        <v>20</v>
      </c>
      <c r="B26" s="459">
        <f>IF('Student DATA Entry'!B23="","",'Student DATA Entry'!B23)</f>
        <v>920</v>
      </c>
      <c r="C26" s="459">
        <f>IF('Student DATA Entry'!C23="","",'Student DATA Entry'!C23)</f>
        <v>9</v>
      </c>
      <c r="D26" s="459" t="str">
        <f>IF('Student DATA Entry'!D23="","",'Student DATA Entry'!D23)</f>
        <v>A</v>
      </c>
      <c r="E26" s="459" t="str">
        <f>IF('Student DATA Entry'!E23="","",'Student DATA Entry'!E23)</f>
        <v/>
      </c>
      <c r="F26" s="460" t="str">
        <f>IF('Student DATA Entry'!K23="","",'Student DATA Entry'!K23)</f>
        <v/>
      </c>
      <c r="G26" s="461" t="str">
        <f>IF('Student DATA Entry'!G23="","",UPPER('Student DATA Entry'!G23))</f>
        <v>ROZA</v>
      </c>
      <c r="H26" s="461" t="str">
        <f>IF('Student DATA Entry'!H23="","",UPPER('Student DATA Entry'!H23))</f>
        <v/>
      </c>
      <c r="I26" s="462" t="str">
        <f>IF('Student DATA Entry'!I23="","",UPPER('Student DATA Entry'!I23))</f>
        <v/>
      </c>
      <c r="J26" s="463" t="str">
        <f>IF('Student DATA Entry'!L23="","",UPPER('Student DATA Entry'!L23))</f>
        <v/>
      </c>
      <c r="K26" s="469" t="str">
        <f>IF('Student DATA Entry'!J23="","",UPPER('Student DATA Entry'!J23))</f>
        <v/>
      </c>
      <c r="L26" s="491">
        <v>8</v>
      </c>
      <c r="M26" s="8">
        <v>9</v>
      </c>
      <c r="N26" s="8">
        <v>8</v>
      </c>
      <c r="O26" s="9">
        <v>46</v>
      </c>
      <c r="P26" s="492">
        <v>65</v>
      </c>
      <c r="Q26" s="491">
        <v>8</v>
      </c>
      <c r="R26" s="8">
        <v>9</v>
      </c>
      <c r="S26" s="8">
        <v>8</v>
      </c>
      <c r="T26" s="9">
        <v>60</v>
      </c>
      <c r="U26" s="492">
        <v>85</v>
      </c>
      <c r="V26" s="502">
        <v>4</v>
      </c>
      <c r="W26" s="7">
        <v>8</v>
      </c>
      <c r="X26" s="8">
        <v>9</v>
      </c>
      <c r="Y26" s="8">
        <v>9</v>
      </c>
      <c r="Z26" s="9">
        <v>46</v>
      </c>
      <c r="AA26" s="492">
        <v>45</v>
      </c>
      <c r="AB26" s="491">
        <v>8</v>
      </c>
      <c r="AC26" s="8">
        <v>9</v>
      </c>
      <c r="AD26" s="8">
        <v>7</v>
      </c>
      <c r="AE26" s="9">
        <v>46</v>
      </c>
      <c r="AF26" s="492">
        <v>45</v>
      </c>
      <c r="AG26" s="491">
        <v>8</v>
      </c>
      <c r="AH26" s="8">
        <v>9</v>
      </c>
      <c r="AI26" s="8">
        <v>7</v>
      </c>
      <c r="AJ26" s="9">
        <v>46</v>
      </c>
      <c r="AK26" s="492">
        <v>45</v>
      </c>
      <c r="AL26" s="491">
        <v>8</v>
      </c>
      <c r="AM26" s="8">
        <v>8</v>
      </c>
      <c r="AN26" s="8">
        <v>8</v>
      </c>
      <c r="AO26" s="9">
        <v>46</v>
      </c>
      <c r="AP26" s="492">
        <v>45</v>
      </c>
      <c r="AQ26" s="506"/>
      <c r="AR26" s="491"/>
      <c r="AS26" s="8"/>
      <c r="AT26" s="8"/>
      <c r="AU26" s="9"/>
      <c r="AV26" s="9"/>
      <c r="AW26" s="17"/>
      <c r="AX26" s="492"/>
      <c r="AY26" s="491"/>
      <c r="AZ26" s="7"/>
      <c r="BA26" s="9"/>
      <c r="BB26" s="9"/>
      <c r="BC26" s="492"/>
      <c r="BD26" s="491"/>
      <c r="BE26" s="7"/>
      <c r="BF26" s="7"/>
      <c r="BG26" s="7"/>
      <c r="BH26" s="9"/>
      <c r="BI26" s="9"/>
      <c r="BJ26" s="492"/>
      <c r="BK26" s="491"/>
      <c r="BL26" s="7"/>
      <c r="BM26" s="7"/>
      <c r="BN26" s="7"/>
      <c r="BO26" s="7"/>
      <c r="BP26" s="7"/>
      <c r="BQ26" s="7"/>
      <c r="BR26" s="8"/>
      <c r="BS26" s="8"/>
      <c r="BT26" s="509"/>
      <c r="BU26" s="491"/>
      <c r="BV26" s="8"/>
      <c r="BW26" s="509"/>
      <c r="BX26" s="491"/>
      <c r="BY26" s="8"/>
      <c r="BZ26" s="509"/>
      <c r="CA26" s="752"/>
      <c r="CE26" s="736" t="e">
        <f>IF('School Profile'!#REF!="","",'School Profile'!#REF!)</f>
        <v>#REF!</v>
      </c>
    </row>
    <row r="27" spans="1:83" ht="24.95" customHeight="1">
      <c r="A27" s="468">
        <f>IF('Student DATA Entry'!A24="","",'Student DATA Entry'!A24)</f>
        <v>21</v>
      </c>
      <c r="B27" s="459">
        <f>IF('Student DATA Entry'!B24="","",'Student DATA Entry'!B24)</f>
        <v>921</v>
      </c>
      <c r="C27" s="459">
        <f>IF('Student DATA Entry'!C24="","",'Student DATA Entry'!C24)</f>
        <v>9</v>
      </c>
      <c r="D27" s="459" t="str">
        <f>IF('Student DATA Entry'!D24="","",'Student DATA Entry'!D24)</f>
        <v>A</v>
      </c>
      <c r="E27" s="459" t="str">
        <f>IF('Student DATA Entry'!E24="","",'Student DATA Entry'!E24)</f>
        <v/>
      </c>
      <c r="F27" s="460" t="str">
        <f>IF('Student DATA Entry'!K24="","",'Student DATA Entry'!K24)</f>
        <v/>
      </c>
      <c r="G27" s="461" t="str">
        <f>IF('Student DATA Entry'!G24="","",UPPER('Student DATA Entry'!G24))</f>
        <v>VILIAM</v>
      </c>
      <c r="H27" s="461" t="str">
        <f>IF('Student DATA Entry'!H24="","",UPPER('Student DATA Entry'!H24))</f>
        <v/>
      </c>
      <c r="I27" s="462" t="str">
        <f>IF('Student DATA Entry'!I24="","",UPPER('Student DATA Entry'!I24))</f>
        <v/>
      </c>
      <c r="J27" s="463" t="str">
        <f>IF('Student DATA Entry'!L24="","",UPPER('Student DATA Entry'!L24))</f>
        <v/>
      </c>
      <c r="K27" s="469" t="str">
        <f>IF('Student DATA Entry'!J24="","",UPPER('Student DATA Entry'!J24))</f>
        <v/>
      </c>
      <c r="L27" s="491">
        <v>8</v>
      </c>
      <c r="M27" s="8">
        <v>9</v>
      </c>
      <c r="N27" s="8">
        <v>8</v>
      </c>
      <c r="O27" s="9">
        <v>46</v>
      </c>
      <c r="P27" s="492">
        <v>65</v>
      </c>
      <c r="Q27" s="491">
        <v>8</v>
      </c>
      <c r="R27" s="8">
        <v>9</v>
      </c>
      <c r="S27" s="8">
        <v>8</v>
      </c>
      <c r="T27" s="9">
        <v>60</v>
      </c>
      <c r="U27" s="492">
        <v>85</v>
      </c>
      <c r="V27" s="502">
        <v>2</v>
      </c>
      <c r="W27" s="7">
        <v>8</v>
      </c>
      <c r="X27" s="8">
        <v>9</v>
      </c>
      <c r="Y27" s="8">
        <v>9</v>
      </c>
      <c r="Z27" s="9">
        <v>46</v>
      </c>
      <c r="AA27" s="492">
        <v>45</v>
      </c>
      <c r="AB27" s="491">
        <v>8</v>
      </c>
      <c r="AC27" s="8">
        <v>9</v>
      </c>
      <c r="AD27" s="8">
        <v>7</v>
      </c>
      <c r="AE27" s="9">
        <v>46</v>
      </c>
      <c r="AF27" s="492">
        <v>45</v>
      </c>
      <c r="AG27" s="491">
        <v>8</v>
      </c>
      <c r="AH27" s="8">
        <v>9</v>
      </c>
      <c r="AI27" s="8">
        <v>7</v>
      </c>
      <c r="AJ27" s="9">
        <v>46</v>
      </c>
      <c r="AK27" s="492">
        <v>45</v>
      </c>
      <c r="AL27" s="491">
        <v>8</v>
      </c>
      <c r="AM27" s="8">
        <v>8</v>
      </c>
      <c r="AN27" s="8">
        <v>8</v>
      </c>
      <c r="AO27" s="9">
        <v>46</v>
      </c>
      <c r="AP27" s="492">
        <v>45</v>
      </c>
      <c r="AQ27" s="506"/>
      <c r="AR27" s="491"/>
      <c r="AS27" s="8"/>
      <c r="AT27" s="8"/>
      <c r="AU27" s="9"/>
      <c r="AV27" s="9"/>
      <c r="AW27" s="17"/>
      <c r="AX27" s="492"/>
      <c r="AY27" s="491"/>
      <c r="AZ27" s="7"/>
      <c r="BA27" s="9"/>
      <c r="BB27" s="9"/>
      <c r="BC27" s="492"/>
      <c r="BD27" s="491"/>
      <c r="BE27" s="7"/>
      <c r="BF27" s="7"/>
      <c r="BG27" s="7"/>
      <c r="BH27" s="9"/>
      <c r="BI27" s="9"/>
      <c r="BJ27" s="492"/>
      <c r="BK27" s="491"/>
      <c r="BL27" s="7"/>
      <c r="BM27" s="7"/>
      <c r="BN27" s="7"/>
      <c r="BO27" s="7"/>
      <c r="BP27" s="7"/>
      <c r="BQ27" s="7"/>
      <c r="BR27" s="8"/>
      <c r="BS27" s="8"/>
      <c r="BT27" s="509"/>
      <c r="BU27" s="491"/>
      <c r="BV27" s="8"/>
      <c r="BW27" s="509"/>
      <c r="BX27" s="491"/>
      <c r="BY27" s="8"/>
      <c r="BZ27" s="509"/>
      <c r="CA27" s="752"/>
      <c r="CE27" s="736" t="e">
        <f>IF('School Profile'!#REF!="","",'School Profile'!#REF!)</f>
        <v>#REF!</v>
      </c>
    </row>
    <row r="28" spans="1:83" ht="24.95" customHeight="1">
      <c r="A28" s="468">
        <f>IF('Student DATA Entry'!A25="","",'Student DATA Entry'!A25)</f>
        <v>22</v>
      </c>
      <c r="B28" s="459">
        <f>IF('Student DATA Entry'!B25="","",'Student DATA Entry'!B25)</f>
        <v>922</v>
      </c>
      <c r="C28" s="459">
        <f>IF('Student DATA Entry'!C25="","",'Student DATA Entry'!C25)</f>
        <v>9</v>
      </c>
      <c r="D28" s="459" t="str">
        <f>IF('Student DATA Entry'!D25="","",'Student DATA Entry'!D25)</f>
        <v>A</v>
      </c>
      <c r="E28" s="459" t="str">
        <f>IF('Student DATA Entry'!E25="","",'Student DATA Entry'!E25)</f>
        <v/>
      </c>
      <c r="F28" s="460" t="str">
        <f>IF('Student DATA Entry'!K25="","",'Student DATA Entry'!K25)</f>
        <v/>
      </c>
      <c r="G28" s="461" t="str">
        <f>IF('Student DATA Entry'!G25="","",UPPER('Student DATA Entry'!G25))</f>
        <v>ROZER</v>
      </c>
      <c r="H28" s="461" t="str">
        <f>IF('Student DATA Entry'!H25="","",UPPER('Student DATA Entry'!H25))</f>
        <v/>
      </c>
      <c r="I28" s="462" t="str">
        <f>IF('Student DATA Entry'!I25="","",UPPER('Student DATA Entry'!I25))</f>
        <v/>
      </c>
      <c r="J28" s="463" t="str">
        <f>IF('Student DATA Entry'!L25="","",UPPER('Student DATA Entry'!L25))</f>
        <v/>
      </c>
      <c r="K28" s="469" t="str">
        <f>IF('Student DATA Entry'!J25="","",UPPER('Student DATA Entry'!J25))</f>
        <v/>
      </c>
      <c r="L28" s="491">
        <v>8</v>
      </c>
      <c r="M28" s="8">
        <v>9</v>
      </c>
      <c r="N28" s="8">
        <v>8</v>
      </c>
      <c r="O28" s="9">
        <v>46</v>
      </c>
      <c r="P28" s="492">
        <v>65</v>
      </c>
      <c r="Q28" s="491">
        <v>8</v>
      </c>
      <c r="R28" s="8">
        <v>9</v>
      </c>
      <c r="S28" s="8">
        <v>8</v>
      </c>
      <c r="T28" s="9">
        <v>60</v>
      </c>
      <c r="U28" s="492">
        <v>85</v>
      </c>
      <c r="V28" s="502">
        <v>2</v>
      </c>
      <c r="W28" s="7">
        <v>8</v>
      </c>
      <c r="X28" s="8">
        <v>9</v>
      </c>
      <c r="Y28" s="8">
        <v>10</v>
      </c>
      <c r="Z28" s="9">
        <v>46</v>
      </c>
      <c r="AA28" s="492">
        <v>45</v>
      </c>
      <c r="AB28" s="491">
        <v>8</v>
      </c>
      <c r="AC28" s="8">
        <v>9</v>
      </c>
      <c r="AD28" s="8">
        <v>9</v>
      </c>
      <c r="AE28" s="9">
        <v>46</v>
      </c>
      <c r="AF28" s="492">
        <v>45</v>
      </c>
      <c r="AG28" s="491">
        <v>8</v>
      </c>
      <c r="AH28" s="8">
        <v>9</v>
      </c>
      <c r="AI28" s="8">
        <v>7</v>
      </c>
      <c r="AJ28" s="9">
        <v>46</v>
      </c>
      <c r="AK28" s="492">
        <v>45</v>
      </c>
      <c r="AL28" s="491">
        <v>8</v>
      </c>
      <c r="AM28" s="8">
        <v>8</v>
      </c>
      <c r="AN28" s="8">
        <v>8</v>
      </c>
      <c r="AO28" s="9">
        <v>46</v>
      </c>
      <c r="AP28" s="492">
        <v>45</v>
      </c>
      <c r="AQ28" s="506"/>
      <c r="AR28" s="491"/>
      <c r="AS28" s="8"/>
      <c r="AT28" s="8"/>
      <c r="AU28" s="9"/>
      <c r="AV28" s="9"/>
      <c r="AW28" s="17"/>
      <c r="AX28" s="492"/>
      <c r="AY28" s="491"/>
      <c r="AZ28" s="7"/>
      <c r="BA28" s="9"/>
      <c r="BB28" s="9"/>
      <c r="BC28" s="492"/>
      <c r="BD28" s="491"/>
      <c r="BE28" s="7"/>
      <c r="BF28" s="7"/>
      <c r="BG28" s="7"/>
      <c r="BH28" s="9"/>
      <c r="BI28" s="9"/>
      <c r="BJ28" s="492"/>
      <c r="BK28" s="491"/>
      <c r="BL28" s="7"/>
      <c r="BM28" s="7"/>
      <c r="BN28" s="7"/>
      <c r="BO28" s="7"/>
      <c r="BP28" s="7"/>
      <c r="BQ28" s="7"/>
      <c r="BR28" s="8"/>
      <c r="BS28" s="8"/>
      <c r="BT28" s="509"/>
      <c r="BU28" s="491"/>
      <c r="BV28" s="8"/>
      <c r="BW28" s="509"/>
      <c r="BX28" s="491"/>
      <c r="BY28" s="8"/>
      <c r="BZ28" s="509"/>
      <c r="CA28" s="752"/>
      <c r="CE28" s="736" t="e">
        <f>IF('School Profile'!#REF!="","",'School Profile'!#REF!)</f>
        <v>#REF!</v>
      </c>
    </row>
    <row r="29" spans="1:83" ht="24.95" customHeight="1">
      <c r="A29" s="468">
        <f>IF('Student DATA Entry'!A26="","",'Student DATA Entry'!A26)</f>
        <v>23</v>
      </c>
      <c r="B29" s="459">
        <f>IF('Student DATA Entry'!B26="","",'Student DATA Entry'!B26)</f>
        <v>923</v>
      </c>
      <c r="C29" s="459">
        <f>IF('Student DATA Entry'!C26="","",'Student DATA Entry'!C26)</f>
        <v>9</v>
      </c>
      <c r="D29" s="459" t="str">
        <f>IF('Student DATA Entry'!D26="","",'Student DATA Entry'!D26)</f>
        <v>A</v>
      </c>
      <c r="E29" s="459" t="str">
        <f>IF('Student DATA Entry'!E26="","",'Student DATA Entry'!E26)</f>
        <v/>
      </c>
      <c r="F29" s="460" t="str">
        <f>IF('Student DATA Entry'!K26="","",'Student DATA Entry'!K26)</f>
        <v/>
      </c>
      <c r="G29" s="461" t="str">
        <f>IF('Student DATA Entry'!G26="","",UPPER('Student DATA Entry'!G26))</f>
        <v>DINESH</v>
      </c>
      <c r="H29" s="461" t="str">
        <f>IF('Student DATA Entry'!H26="","",UPPER('Student DATA Entry'!H26))</f>
        <v/>
      </c>
      <c r="I29" s="462" t="str">
        <f>IF('Student DATA Entry'!I26="","",UPPER('Student DATA Entry'!I26))</f>
        <v/>
      </c>
      <c r="J29" s="463" t="str">
        <f>IF('Student DATA Entry'!L26="","",UPPER('Student DATA Entry'!L26))</f>
        <v/>
      </c>
      <c r="K29" s="469" t="str">
        <f>IF('Student DATA Entry'!J26="","",UPPER('Student DATA Entry'!J26))</f>
        <v/>
      </c>
      <c r="L29" s="491">
        <v>8</v>
      </c>
      <c r="M29" s="8">
        <v>9</v>
      </c>
      <c r="N29" s="8">
        <v>8</v>
      </c>
      <c r="O29" s="9">
        <v>46</v>
      </c>
      <c r="P29" s="492">
        <v>65</v>
      </c>
      <c r="Q29" s="491">
        <v>8</v>
      </c>
      <c r="R29" s="8">
        <v>9</v>
      </c>
      <c r="S29" s="8">
        <v>8</v>
      </c>
      <c r="T29" s="9">
        <v>60</v>
      </c>
      <c r="U29" s="492">
        <v>85</v>
      </c>
      <c r="V29" s="502">
        <v>3</v>
      </c>
      <c r="W29" s="7">
        <v>8</v>
      </c>
      <c r="X29" s="8">
        <v>9</v>
      </c>
      <c r="Y29" s="8">
        <v>8</v>
      </c>
      <c r="Z29" s="9">
        <v>46</v>
      </c>
      <c r="AA29" s="492">
        <v>45</v>
      </c>
      <c r="AB29" s="491">
        <v>8</v>
      </c>
      <c r="AC29" s="8">
        <v>9</v>
      </c>
      <c r="AD29" s="8">
        <v>9</v>
      </c>
      <c r="AE29" s="9">
        <v>46</v>
      </c>
      <c r="AF29" s="492">
        <v>45</v>
      </c>
      <c r="AG29" s="491">
        <v>8</v>
      </c>
      <c r="AH29" s="8">
        <v>9</v>
      </c>
      <c r="AI29" s="8">
        <v>7</v>
      </c>
      <c r="AJ29" s="9">
        <v>46</v>
      </c>
      <c r="AK29" s="492">
        <v>45</v>
      </c>
      <c r="AL29" s="491">
        <v>8</v>
      </c>
      <c r="AM29" s="8">
        <v>8</v>
      </c>
      <c r="AN29" s="8">
        <v>8</v>
      </c>
      <c r="AO29" s="9">
        <v>46</v>
      </c>
      <c r="AP29" s="492">
        <v>45</v>
      </c>
      <c r="AQ29" s="506"/>
      <c r="AR29" s="491"/>
      <c r="AS29" s="8"/>
      <c r="AT29" s="8"/>
      <c r="AU29" s="9"/>
      <c r="AV29" s="9"/>
      <c r="AW29" s="17"/>
      <c r="AX29" s="492"/>
      <c r="AY29" s="491"/>
      <c r="AZ29" s="7"/>
      <c r="BA29" s="9"/>
      <c r="BB29" s="9"/>
      <c r="BC29" s="492"/>
      <c r="BD29" s="491"/>
      <c r="BE29" s="7"/>
      <c r="BF29" s="7"/>
      <c r="BG29" s="7"/>
      <c r="BH29" s="9"/>
      <c r="BI29" s="9"/>
      <c r="BJ29" s="492"/>
      <c r="BK29" s="491"/>
      <c r="BL29" s="7"/>
      <c r="BM29" s="7"/>
      <c r="BN29" s="7"/>
      <c r="BO29" s="7"/>
      <c r="BP29" s="7"/>
      <c r="BQ29" s="7"/>
      <c r="BR29" s="8"/>
      <c r="BS29" s="8"/>
      <c r="BT29" s="509"/>
      <c r="BU29" s="491"/>
      <c r="BV29" s="8"/>
      <c r="BW29" s="509"/>
      <c r="BX29" s="491"/>
      <c r="BY29" s="8"/>
      <c r="BZ29" s="509"/>
      <c r="CA29" s="752"/>
      <c r="CE29" s="736" t="e">
        <f>IF('School Profile'!#REF!="","",'School Profile'!#REF!)</f>
        <v>#REF!</v>
      </c>
    </row>
    <row r="30" spans="1:83" ht="24.95" customHeight="1">
      <c r="A30" s="468">
        <f>IF('Student DATA Entry'!A27="","",'Student DATA Entry'!A27)</f>
        <v>24</v>
      </c>
      <c r="B30" s="459">
        <f>IF('Student DATA Entry'!B27="","",'Student DATA Entry'!B27)</f>
        <v>924</v>
      </c>
      <c r="C30" s="459">
        <f>IF('Student DATA Entry'!C27="","",'Student DATA Entry'!C27)</f>
        <v>9</v>
      </c>
      <c r="D30" s="459" t="str">
        <f>IF('Student DATA Entry'!D27="","",'Student DATA Entry'!D27)</f>
        <v>A</v>
      </c>
      <c r="E30" s="459" t="str">
        <f>IF('Student DATA Entry'!E27="","",'Student DATA Entry'!E27)</f>
        <v/>
      </c>
      <c r="F30" s="460" t="str">
        <f>IF('Student DATA Entry'!K27="","",'Student DATA Entry'!K27)</f>
        <v/>
      </c>
      <c r="G30" s="461" t="str">
        <f>IF('Student DATA Entry'!G27="","",UPPER('Student DATA Entry'!G27))</f>
        <v>MAHESH</v>
      </c>
      <c r="H30" s="461" t="str">
        <f>IF('Student DATA Entry'!H27="","",UPPER('Student DATA Entry'!H27))</f>
        <v/>
      </c>
      <c r="I30" s="462" t="str">
        <f>IF('Student DATA Entry'!I27="","",UPPER('Student DATA Entry'!I27))</f>
        <v/>
      </c>
      <c r="J30" s="463" t="str">
        <f>IF('Student DATA Entry'!L27="","",UPPER('Student DATA Entry'!L27))</f>
        <v/>
      </c>
      <c r="K30" s="469" t="str">
        <f>IF('Student DATA Entry'!J27="","",UPPER('Student DATA Entry'!J27))</f>
        <v/>
      </c>
      <c r="L30" s="491">
        <v>8</v>
      </c>
      <c r="M30" s="8">
        <v>9</v>
      </c>
      <c r="N30" s="8">
        <v>8</v>
      </c>
      <c r="O30" s="9">
        <v>46</v>
      </c>
      <c r="P30" s="492">
        <v>65</v>
      </c>
      <c r="Q30" s="491">
        <v>8</v>
      </c>
      <c r="R30" s="8">
        <v>9</v>
      </c>
      <c r="S30" s="8">
        <v>7</v>
      </c>
      <c r="T30" s="9">
        <v>60</v>
      </c>
      <c r="U30" s="492">
        <v>85</v>
      </c>
      <c r="V30" s="502">
        <v>1</v>
      </c>
      <c r="W30" s="7">
        <v>8</v>
      </c>
      <c r="X30" s="8">
        <v>9</v>
      </c>
      <c r="Y30" s="8">
        <v>9</v>
      </c>
      <c r="Z30" s="9">
        <v>46</v>
      </c>
      <c r="AA30" s="492">
        <v>45</v>
      </c>
      <c r="AB30" s="491">
        <v>8</v>
      </c>
      <c r="AC30" s="8">
        <v>9</v>
      </c>
      <c r="AD30" s="8">
        <v>8</v>
      </c>
      <c r="AE30" s="9">
        <v>46</v>
      </c>
      <c r="AF30" s="492">
        <v>45</v>
      </c>
      <c r="AG30" s="491">
        <v>8</v>
      </c>
      <c r="AH30" s="8">
        <v>9</v>
      </c>
      <c r="AI30" s="8">
        <v>7</v>
      </c>
      <c r="AJ30" s="9">
        <v>46</v>
      </c>
      <c r="AK30" s="492">
        <v>45</v>
      </c>
      <c r="AL30" s="491">
        <v>8</v>
      </c>
      <c r="AM30" s="8">
        <v>8</v>
      </c>
      <c r="AN30" s="8">
        <v>8</v>
      </c>
      <c r="AO30" s="9">
        <v>46</v>
      </c>
      <c r="AP30" s="492">
        <v>45</v>
      </c>
      <c r="AQ30" s="506"/>
      <c r="AR30" s="491"/>
      <c r="AS30" s="8"/>
      <c r="AT30" s="8"/>
      <c r="AU30" s="9"/>
      <c r="AV30" s="9"/>
      <c r="AW30" s="17"/>
      <c r="AX30" s="492"/>
      <c r="AY30" s="491"/>
      <c r="AZ30" s="7"/>
      <c r="BA30" s="9"/>
      <c r="BB30" s="9"/>
      <c r="BC30" s="492"/>
      <c r="BD30" s="491"/>
      <c r="BE30" s="7"/>
      <c r="BF30" s="7"/>
      <c r="BG30" s="7"/>
      <c r="BH30" s="9"/>
      <c r="BI30" s="9"/>
      <c r="BJ30" s="492"/>
      <c r="BK30" s="491"/>
      <c r="BL30" s="7"/>
      <c r="BM30" s="7"/>
      <c r="BN30" s="7"/>
      <c r="BO30" s="7"/>
      <c r="BP30" s="7"/>
      <c r="BQ30" s="7"/>
      <c r="BR30" s="8"/>
      <c r="BS30" s="8"/>
      <c r="BT30" s="509"/>
      <c r="BU30" s="491"/>
      <c r="BV30" s="8"/>
      <c r="BW30" s="509"/>
      <c r="BX30" s="491"/>
      <c r="BY30" s="8"/>
      <c r="BZ30" s="509"/>
      <c r="CA30" s="752"/>
      <c r="CE30" s="736" t="e">
        <f>IF('School Profile'!#REF!="","",'School Profile'!#REF!)</f>
        <v>#REF!</v>
      </c>
    </row>
    <row r="31" spans="1:83" ht="24.95" customHeight="1">
      <c r="A31" s="468">
        <f>IF('Student DATA Entry'!A28="","",'Student DATA Entry'!A28)</f>
        <v>25</v>
      </c>
      <c r="B31" s="459">
        <f>IF('Student DATA Entry'!B28="","",'Student DATA Entry'!B28)</f>
        <v>925</v>
      </c>
      <c r="C31" s="459">
        <f>IF('Student DATA Entry'!C28="","",'Student DATA Entry'!C28)</f>
        <v>9</v>
      </c>
      <c r="D31" s="459" t="str">
        <f>IF('Student DATA Entry'!D28="","",'Student DATA Entry'!D28)</f>
        <v>A</v>
      </c>
      <c r="E31" s="459" t="str">
        <f>IF('Student DATA Entry'!E28="","",'Student DATA Entry'!E28)</f>
        <v/>
      </c>
      <c r="F31" s="460" t="str">
        <f>IF('Student DATA Entry'!K28="","",'Student DATA Entry'!K28)</f>
        <v/>
      </c>
      <c r="G31" s="461" t="str">
        <f>IF('Student DATA Entry'!G28="","",UPPER('Student DATA Entry'!G28))</f>
        <v>RINA</v>
      </c>
      <c r="H31" s="461" t="str">
        <f>IF('Student DATA Entry'!H28="","",UPPER('Student DATA Entry'!H28))</f>
        <v/>
      </c>
      <c r="I31" s="462" t="str">
        <f>IF('Student DATA Entry'!I28="","",UPPER('Student DATA Entry'!I28))</f>
        <v/>
      </c>
      <c r="J31" s="463" t="str">
        <f>IF('Student DATA Entry'!L28="","",UPPER('Student DATA Entry'!L28))</f>
        <v/>
      </c>
      <c r="K31" s="469" t="str">
        <f>IF('Student DATA Entry'!J28="","",UPPER('Student DATA Entry'!J28))</f>
        <v/>
      </c>
      <c r="L31" s="491">
        <v>8</v>
      </c>
      <c r="M31" s="8">
        <v>9</v>
      </c>
      <c r="N31" s="8">
        <v>8</v>
      </c>
      <c r="O31" s="9">
        <v>46</v>
      </c>
      <c r="P31" s="492">
        <v>65</v>
      </c>
      <c r="Q31" s="491">
        <v>8</v>
      </c>
      <c r="R31" s="8">
        <v>9</v>
      </c>
      <c r="S31" s="8">
        <v>7</v>
      </c>
      <c r="T31" s="9">
        <v>60</v>
      </c>
      <c r="U31" s="492">
        <v>85</v>
      </c>
      <c r="V31" s="502">
        <v>3</v>
      </c>
      <c r="W31" s="7">
        <v>8</v>
      </c>
      <c r="X31" s="8">
        <v>9</v>
      </c>
      <c r="Y31" s="8">
        <v>9</v>
      </c>
      <c r="Z31" s="9">
        <v>46</v>
      </c>
      <c r="AA31" s="492">
        <v>45</v>
      </c>
      <c r="AB31" s="491">
        <v>8</v>
      </c>
      <c r="AC31" s="8">
        <v>9</v>
      </c>
      <c r="AD31" s="8">
        <v>8</v>
      </c>
      <c r="AE31" s="9">
        <v>46</v>
      </c>
      <c r="AF31" s="492">
        <v>45</v>
      </c>
      <c r="AG31" s="491">
        <v>8</v>
      </c>
      <c r="AH31" s="8">
        <v>9</v>
      </c>
      <c r="AI31" s="8">
        <v>7</v>
      </c>
      <c r="AJ31" s="9">
        <v>46</v>
      </c>
      <c r="AK31" s="492">
        <v>45</v>
      </c>
      <c r="AL31" s="491">
        <v>8</v>
      </c>
      <c r="AM31" s="8">
        <v>8</v>
      </c>
      <c r="AN31" s="8">
        <v>8</v>
      </c>
      <c r="AO31" s="9">
        <v>46</v>
      </c>
      <c r="AP31" s="492">
        <v>45</v>
      </c>
      <c r="AQ31" s="506"/>
      <c r="AR31" s="491"/>
      <c r="AS31" s="8"/>
      <c r="AT31" s="8"/>
      <c r="AU31" s="9"/>
      <c r="AV31" s="9"/>
      <c r="AW31" s="17"/>
      <c r="AX31" s="492"/>
      <c r="AY31" s="491"/>
      <c r="AZ31" s="7"/>
      <c r="BA31" s="9"/>
      <c r="BB31" s="9"/>
      <c r="BC31" s="492"/>
      <c r="BD31" s="491"/>
      <c r="BE31" s="7"/>
      <c r="BF31" s="7"/>
      <c r="BG31" s="7"/>
      <c r="BH31" s="9"/>
      <c r="BI31" s="9"/>
      <c r="BJ31" s="492"/>
      <c r="BK31" s="491"/>
      <c r="BL31" s="7"/>
      <c r="BM31" s="7"/>
      <c r="BN31" s="7"/>
      <c r="BO31" s="7"/>
      <c r="BP31" s="7"/>
      <c r="BQ31" s="7"/>
      <c r="BR31" s="8"/>
      <c r="BS31" s="8"/>
      <c r="BT31" s="509"/>
      <c r="BU31" s="491"/>
      <c r="BV31" s="8"/>
      <c r="BW31" s="509"/>
      <c r="BX31" s="491"/>
      <c r="BY31" s="8"/>
      <c r="BZ31" s="509"/>
      <c r="CA31" s="752"/>
      <c r="CE31" s="736" t="e">
        <f>IF('School Profile'!#REF!="","",'School Profile'!#REF!)</f>
        <v>#REF!</v>
      </c>
    </row>
    <row r="32" spans="1:83" ht="24.95" customHeight="1">
      <c r="A32" s="468">
        <f>IF('Student DATA Entry'!A29="","",'Student DATA Entry'!A29)</f>
        <v>26</v>
      </c>
      <c r="B32" s="459">
        <f>IF('Student DATA Entry'!B29="","",'Student DATA Entry'!B29)</f>
        <v>926</v>
      </c>
      <c r="C32" s="459">
        <f>IF('Student DATA Entry'!C29="","",'Student DATA Entry'!C29)</f>
        <v>9</v>
      </c>
      <c r="D32" s="459" t="str">
        <f>IF('Student DATA Entry'!D29="","",'Student DATA Entry'!D29)</f>
        <v>A</v>
      </c>
      <c r="E32" s="459" t="str">
        <f>IF('Student DATA Entry'!E29="","",'Student DATA Entry'!E29)</f>
        <v/>
      </c>
      <c r="F32" s="460" t="str">
        <f>IF('Student DATA Entry'!K29="","",'Student DATA Entry'!K29)</f>
        <v/>
      </c>
      <c r="G32" s="461" t="str">
        <f>IF('Student DATA Entry'!G29="","",UPPER('Student DATA Entry'!G29))</f>
        <v>DIZA</v>
      </c>
      <c r="H32" s="461" t="str">
        <f>IF('Student DATA Entry'!H29="","",UPPER('Student DATA Entry'!H29))</f>
        <v/>
      </c>
      <c r="I32" s="462" t="str">
        <f>IF('Student DATA Entry'!I29="","",UPPER('Student DATA Entry'!I29))</f>
        <v/>
      </c>
      <c r="J32" s="463" t="str">
        <f>IF('Student DATA Entry'!L29="","",UPPER('Student DATA Entry'!L29))</f>
        <v/>
      </c>
      <c r="K32" s="469" t="str">
        <f>IF('Student DATA Entry'!J29="","",UPPER('Student DATA Entry'!J29))</f>
        <v/>
      </c>
      <c r="L32" s="491">
        <v>8</v>
      </c>
      <c r="M32" s="8">
        <v>9</v>
      </c>
      <c r="N32" s="8">
        <v>8</v>
      </c>
      <c r="O32" s="9">
        <v>46</v>
      </c>
      <c r="P32" s="492">
        <v>65</v>
      </c>
      <c r="Q32" s="491">
        <v>8</v>
      </c>
      <c r="R32" s="8">
        <v>9</v>
      </c>
      <c r="S32" s="8">
        <v>7</v>
      </c>
      <c r="T32" s="9">
        <v>60</v>
      </c>
      <c r="U32" s="492">
        <v>85</v>
      </c>
      <c r="V32" s="502">
        <v>4</v>
      </c>
      <c r="W32" s="7">
        <v>8</v>
      </c>
      <c r="X32" s="8">
        <v>9</v>
      </c>
      <c r="Y32" s="8"/>
      <c r="Z32" s="9">
        <v>46</v>
      </c>
      <c r="AA32" s="492">
        <v>45</v>
      </c>
      <c r="AB32" s="491">
        <v>8</v>
      </c>
      <c r="AC32" s="8">
        <v>9</v>
      </c>
      <c r="AD32" s="8">
        <v>8</v>
      </c>
      <c r="AE32" s="9">
        <v>46</v>
      </c>
      <c r="AF32" s="492">
        <v>45</v>
      </c>
      <c r="AG32" s="491">
        <v>8</v>
      </c>
      <c r="AH32" s="8">
        <v>9</v>
      </c>
      <c r="AI32" s="8">
        <v>7</v>
      </c>
      <c r="AJ32" s="9">
        <v>46</v>
      </c>
      <c r="AK32" s="492">
        <v>45</v>
      </c>
      <c r="AL32" s="491">
        <v>8</v>
      </c>
      <c r="AM32" s="8">
        <v>8</v>
      </c>
      <c r="AN32" s="8">
        <v>8</v>
      </c>
      <c r="AO32" s="9">
        <v>46</v>
      </c>
      <c r="AP32" s="492">
        <v>45</v>
      </c>
      <c r="AQ32" s="506"/>
      <c r="AR32" s="491"/>
      <c r="AS32" s="8"/>
      <c r="AT32" s="8"/>
      <c r="AU32" s="9"/>
      <c r="AV32" s="9"/>
      <c r="AW32" s="17"/>
      <c r="AX32" s="492"/>
      <c r="AY32" s="491"/>
      <c r="AZ32" s="7"/>
      <c r="BA32" s="9"/>
      <c r="BB32" s="9"/>
      <c r="BC32" s="492"/>
      <c r="BD32" s="491"/>
      <c r="BE32" s="7"/>
      <c r="BF32" s="7"/>
      <c r="BG32" s="7"/>
      <c r="BH32" s="9"/>
      <c r="BI32" s="9"/>
      <c r="BJ32" s="492"/>
      <c r="BK32" s="491"/>
      <c r="BL32" s="7"/>
      <c r="BM32" s="7"/>
      <c r="BN32" s="7"/>
      <c r="BO32" s="7"/>
      <c r="BP32" s="7"/>
      <c r="BQ32" s="7"/>
      <c r="BR32" s="8"/>
      <c r="BS32" s="8"/>
      <c r="BT32" s="509"/>
      <c r="BU32" s="491"/>
      <c r="BV32" s="8"/>
      <c r="BW32" s="509"/>
      <c r="BX32" s="491"/>
      <c r="BY32" s="8"/>
      <c r="BZ32" s="509"/>
      <c r="CA32" s="752"/>
      <c r="CE32" s="736" t="e">
        <f>IF('School Profile'!#REF!="","",'School Profile'!#REF!)</f>
        <v>#REF!</v>
      </c>
    </row>
    <row r="33" spans="1:83" ht="24.95" customHeight="1">
      <c r="A33" s="468">
        <f>IF('Student DATA Entry'!A30="","",'Student DATA Entry'!A30)</f>
        <v>27</v>
      </c>
      <c r="B33" s="459">
        <f>IF('Student DATA Entry'!B30="","",'Student DATA Entry'!B30)</f>
        <v>927</v>
      </c>
      <c r="C33" s="459">
        <f>IF('Student DATA Entry'!C30="","",'Student DATA Entry'!C30)</f>
        <v>9</v>
      </c>
      <c r="D33" s="459" t="str">
        <f>IF('Student DATA Entry'!D30="","",'Student DATA Entry'!D30)</f>
        <v>A</v>
      </c>
      <c r="E33" s="459" t="str">
        <f>IF('Student DATA Entry'!E30="","",'Student DATA Entry'!E30)</f>
        <v/>
      </c>
      <c r="F33" s="460" t="str">
        <f>IF('Student DATA Entry'!K30="","",'Student DATA Entry'!K30)</f>
        <v/>
      </c>
      <c r="G33" s="461" t="str">
        <f>IF('Student DATA Entry'!G30="","",UPPER('Student DATA Entry'!G30))</f>
        <v>BIPASA</v>
      </c>
      <c r="H33" s="461" t="str">
        <f>IF('Student DATA Entry'!H30="","",UPPER('Student DATA Entry'!H30))</f>
        <v/>
      </c>
      <c r="I33" s="462" t="str">
        <f>IF('Student DATA Entry'!I30="","",UPPER('Student DATA Entry'!I30))</f>
        <v/>
      </c>
      <c r="J33" s="463" t="str">
        <f>IF('Student DATA Entry'!L30="","",UPPER('Student DATA Entry'!L30))</f>
        <v/>
      </c>
      <c r="K33" s="469" t="str">
        <f>IF('Student DATA Entry'!J30="","",UPPER('Student DATA Entry'!J30))</f>
        <v/>
      </c>
      <c r="L33" s="491">
        <v>8</v>
      </c>
      <c r="M33" s="8">
        <v>9</v>
      </c>
      <c r="N33" s="8">
        <v>8</v>
      </c>
      <c r="O33" s="9">
        <v>46</v>
      </c>
      <c r="P33" s="492">
        <v>45</v>
      </c>
      <c r="Q33" s="491">
        <v>8</v>
      </c>
      <c r="R33" s="8">
        <v>9</v>
      </c>
      <c r="S33" s="8">
        <v>7</v>
      </c>
      <c r="T33" s="9">
        <v>60</v>
      </c>
      <c r="U33" s="492">
        <v>85</v>
      </c>
      <c r="V33" s="502">
        <v>5</v>
      </c>
      <c r="W33" s="7">
        <v>8</v>
      </c>
      <c r="X33" s="8">
        <v>9</v>
      </c>
      <c r="Y33" s="8"/>
      <c r="Z33" s="9">
        <v>46</v>
      </c>
      <c r="AA33" s="492">
        <v>45</v>
      </c>
      <c r="AB33" s="491">
        <v>8</v>
      </c>
      <c r="AC33" s="8">
        <v>9</v>
      </c>
      <c r="AD33" s="8">
        <v>8</v>
      </c>
      <c r="AE33" s="9">
        <v>46</v>
      </c>
      <c r="AF33" s="492">
        <v>45</v>
      </c>
      <c r="AG33" s="491">
        <v>8</v>
      </c>
      <c r="AH33" s="8">
        <v>9</v>
      </c>
      <c r="AI33" s="8">
        <v>7</v>
      </c>
      <c r="AJ33" s="9">
        <v>46</v>
      </c>
      <c r="AK33" s="492">
        <v>45</v>
      </c>
      <c r="AL33" s="491">
        <v>8</v>
      </c>
      <c r="AM33" s="8">
        <v>8</v>
      </c>
      <c r="AN33" s="8">
        <v>8</v>
      </c>
      <c r="AO33" s="9">
        <v>46</v>
      </c>
      <c r="AP33" s="492">
        <v>45</v>
      </c>
      <c r="AQ33" s="506"/>
      <c r="AR33" s="491"/>
      <c r="AS33" s="8"/>
      <c r="AT33" s="8"/>
      <c r="AU33" s="9"/>
      <c r="AV33" s="9"/>
      <c r="AW33" s="17"/>
      <c r="AX33" s="492"/>
      <c r="AY33" s="491"/>
      <c r="AZ33" s="7"/>
      <c r="BA33" s="9"/>
      <c r="BB33" s="9"/>
      <c r="BC33" s="492"/>
      <c r="BD33" s="491"/>
      <c r="BE33" s="7"/>
      <c r="BF33" s="7"/>
      <c r="BG33" s="7"/>
      <c r="BH33" s="9"/>
      <c r="BI33" s="9"/>
      <c r="BJ33" s="492"/>
      <c r="BK33" s="491"/>
      <c r="BL33" s="7"/>
      <c r="BM33" s="7"/>
      <c r="BN33" s="7"/>
      <c r="BO33" s="7"/>
      <c r="BP33" s="7"/>
      <c r="BQ33" s="7"/>
      <c r="BR33" s="8"/>
      <c r="BS33" s="8"/>
      <c r="BT33" s="509"/>
      <c r="BU33" s="491"/>
      <c r="BV33" s="8"/>
      <c r="BW33" s="509"/>
      <c r="BX33" s="491"/>
      <c r="BY33" s="8"/>
      <c r="BZ33" s="509"/>
      <c r="CA33" s="752"/>
      <c r="CE33" s="736" t="e">
        <f>IF('School Profile'!#REF!="","",'School Profile'!#REF!)</f>
        <v>#REF!</v>
      </c>
    </row>
    <row r="34" spans="1:83" ht="24.95" customHeight="1">
      <c r="A34" s="468">
        <f>IF('Student DATA Entry'!A31="","",'Student DATA Entry'!A31)</f>
        <v>28</v>
      </c>
      <c r="B34" s="459">
        <f>IF('Student DATA Entry'!B31="","",'Student DATA Entry'!B31)</f>
        <v>928</v>
      </c>
      <c r="C34" s="459">
        <f>IF('Student DATA Entry'!C31="","",'Student DATA Entry'!C31)</f>
        <v>9</v>
      </c>
      <c r="D34" s="459" t="str">
        <f>IF('Student DATA Entry'!D31="","",'Student DATA Entry'!D31)</f>
        <v>A</v>
      </c>
      <c r="E34" s="459" t="str">
        <f>IF('Student DATA Entry'!E31="","",'Student DATA Entry'!E31)</f>
        <v/>
      </c>
      <c r="F34" s="460" t="str">
        <f>IF('Student DATA Entry'!K31="","",'Student DATA Entry'!K31)</f>
        <v/>
      </c>
      <c r="G34" s="461" t="str">
        <f>IF('Student DATA Entry'!G31="","",UPPER('Student DATA Entry'!G31))</f>
        <v>DIMPLE</v>
      </c>
      <c r="H34" s="461" t="str">
        <f>IF('Student DATA Entry'!H31="","",UPPER('Student DATA Entry'!H31))</f>
        <v/>
      </c>
      <c r="I34" s="462" t="str">
        <f>IF('Student DATA Entry'!I31="","",UPPER('Student DATA Entry'!I31))</f>
        <v/>
      </c>
      <c r="J34" s="463" t="str">
        <f>IF('Student DATA Entry'!L31="","",UPPER('Student DATA Entry'!L31))</f>
        <v/>
      </c>
      <c r="K34" s="469" t="str">
        <f>IF('Student DATA Entry'!J31="","",UPPER('Student DATA Entry'!J31))</f>
        <v/>
      </c>
      <c r="L34" s="491">
        <v>8</v>
      </c>
      <c r="M34" s="8">
        <v>9</v>
      </c>
      <c r="N34" s="8">
        <v>8</v>
      </c>
      <c r="O34" s="9">
        <v>46</v>
      </c>
      <c r="P34" s="492">
        <v>45</v>
      </c>
      <c r="Q34" s="491">
        <v>8</v>
      </c>
      <c r="R34" s="8">
        <v>9</v>
      </c>
      <c r="S34" s="8">
        <v>7</v>
      </c>
      <c r="T34" s="9">
        <v>60</v>
      </c>
      <c r="U34" s="492">
        <v>85</v>
      </c>
      <c r="V34" s="502">
        <v>1</v>
      </c>
      <c r="W34" s="7">
        <v>8</v>
      </c>
      <c r="X34" s="8">
        <v>9</v>
      </c>
      <c r="Y34" s="8"/>
      <c r="Z34" s="9">
        <v>46</v>
      </c>
      <c r="AA34" s="492">
        <v>45</v>
      </c>
      <c r="AB34" s="491">
        <v>8</v>
      </c>
      <c r="AC34" s="8">
        <v>9</v>
      </c>
      <c r="AD34" s="8">
        <v>7</v>
      </c>
      <c r="AE34" s="9">
        <v>46</v>
      </c>
      <c r="AF34" s="492">
        <v>45</v>
      </c>
      <c r="AG34" s="491">
        <v>8</v>
      </c>
      <c r="AH34" s="8">
        <v>9</v>
      </c>
      <c r="AI34" s="8">
        <v>7</v>
      </c>
      <c r="AJ34" s="9">
        <v>46</v>
      </c>
      <c r="AK34" s="492">
        <v>45</v>
      </c>
      <c r="AL34" s="491">
        <v>8</v>
      </c>
      <c r="AM34" s="8">
        <v>8</v>
      </c>
      <c r="AN34" s="8">
        <v>8</v>
      </c>
      <c r="AO34" s="9">
        <v>46</v>
      </c>
      <c r="AP34" s="492">
        <v>45</v>
      </c>
      <c r="AQ34" s="506"/>
      <c r="AR34" s="491"/>
      <c r="AS34" s="8"/>
      <c r="AT34" s="8"/>
      <c r="AU34" s="9"/>
      <c r="AV34" s="9"/>
      <c r="AW34" s="17"/>
      <c r="AX34" s="492"/>
      <c r="AY34" s="491"/>
      <c r="AZ34" s="7"/>
      <c r="BA34" s="9"/>
      <c r="BB34" s="9"/>
      <c r="BC34" s="492"/>
      <c r="BD34" s="491"/>
      <c r="BE34" s="7"/>
      <c r="BF34" s="7"/>
      <c r="BG34" s="7"/>
      <c r="BH34" s="9"/>
      <c r="BI34" s="9"/>
      <c r="BJ34" s="492"/>
      <c r="BK34" s="491"/>
      <c r="BL34" s="7"/>
      <c r="BM34" s="7"/>
      <c r="BN34" s="7"/>
      <c r="BO34" s="7"/>
      <c r="BP34" s="7"/>
      <c r="BQ34" s="7"/>
      <c r="BR34" s="8"/>
      <c r="BS34" s="8"/>
      <c r="BT34" s="509"/>
      <c r="BU34" s="491"/>
      <c r="BV34" s="8"/>
      <c r="BW34" s="509"/>
      <c r="BX34" s="491"/>
      <c r="BY34" s="8"/>
      <c r="BZ34" s="509"/>
      <c r="CA34" s="752"/>
      <c r="CE34" s="736" t="e">
        <f>IF('School Profile'!#REF!="","",'School Profile'!#REF!)</f>
        <v>#REF!</v>
      </c>
    </row>
    <row r="35" spans="1:83" ht="24.95" customHeight="1">
      <c r="A35" s="468">
        <f>IF('Student DATA Entry'!A32="","",'Student DATA Entry'!A32)</f>
        <v>29</v>
      </c>
      <c r="B35" s="459">
        <f>IF('Student DATA Entry'!B32="","",'Student DATA Entry'!B32)</f>
        <v>929</v>
      </c>
      <c r="C35" s="459">
        <f>IF('Student DATA Entry'!C32="","",'Student DATA Entry'!C32)</f>
        <v>9</v>
      </c>
      <c r="D35" s="459" t="str">
        <f>IF('Student DATA Entry'!D32="","",'Student DATA Entry'!D32)</f>
        <v>A</v>
      </c>
      <c r="E35" s="459" t="str">
        <f>IF('Student DATA Entry'!E32="","",'Student DATA Entry'!E32)</f>
        <v/>
      </c>
      <c r="F35" s="460" t="str">
        <f>IF('Student DATA Entry'!K32="","",'Student DATA Entry'!K32)</f>
        <v/>
      </c>
      <c r="G35" s="461" t="str">
        <f>IF('Student DATA Entry'!G32="","",UPPER('Student DATA Entry'!G32))</f>
        <v>DIPIKA</v>
      </c>
      <c r="H35" s="461" t="str">
        <f>IF('Student DATA Entry'!H32="","",UPPER('Student DATA Entry'!H32))</f>
        <v/>
      </c>
      <c r="I35" s="462" t="str">
        <f>IF('Student DATA Entry'!I32="","",UPPER('Student DATA Entry'!I32))</f>
        <v/>
      </c>
      <c r="J35" s="463" t="str">
        <f>IF('Student DATA Entry'!L32="","",UPPER('Student DATA Entry'!L32))</f>
        <v/>
      </c>
      <c r="K35" s="469" t="str">
        <f>IF('Student DATA Entry'!J32="","",UPPER('Student DATA Entry'!J32))</f>
        <v/>
      </c>
      <c r="L35" s="491">
        <v>8</v>
      </c>
      <c r="M35" s="8">
        <v>9</v>
      </c>
      <c r="N35" s="8">
        <v>8</v>
      </c>
      <c r="O35" s="9">
        <v>46</v>
      </c>
      <c r="P35" s="492">
        <v>45</v>
      </c>
      <c r="Q35" s="491">
        <v>8</v>
      </c>
      <c r="R35" s="8">
        <v>9</v>
      </c>
      <c r="S35" s="8">
        <v>7</v>
      </c>
      <c r="T35" s="9">
        <v>60</v>
      </c>
      <c r="U35" s="492">
        <v>85</v>
      </c>
      <c r="V35" s="502">
        <v>2</v>
      </c>
      <c r="W35" s="7">
        <v>8</v>
      </c>
      <c r="X35" s="8">
        <v>9</v>
      </c>
      <c r="Y35" s="8"/>
      <c r="Z35" s="9">
        <v>46</v>
      </c>
      <c r="AA35" s="492">
        <v>45</v>
      </c>
      <c r="AB35" s="491">
        <v>8</v>
      </c>
      <c r="AC35" s="8">
        <v>9</v>
      </c>
      <c r="AD35" s="8">
        <v>7</v>
      </c>
      <c r="AE35" s="9">
        <v>46</v>
      </c>
      <c r="AF35" s="492">
        <v>45</v>
      </c>
      <c r="AG35" s="491">
        <v>8</v>
      </c>
      <c r="AH35" s="8">
        <v>9</v>
      </c>
      <c r="AI35" s="8">
        <v>7</v>
      </c>
      <c r="AJ35" s="9">
        <v>46</v>
      </c>
      <c r="AK35" s="492">
        <v>45</v>
      </c>
      <c r="AL35" s="491">
        <v>8</v>
      </c>
      <c r="AM35" s="8">
        <v>8</v>
      </c>
      <c r="AN35" s="8">
        <v>8</v>
      </c>
      <c r="AO35" s="9">
        <v>46</v>
      </c>
      <c r="AP35" s="492">
        <v>45</v>
      </c>
      <c r="AQ35" s="506"/>
      <c r="AR35" s="491"/>
      <c r="AS35" s="8"/>
      <c r="AT35" s="8"/>
      <c r="AU35" s="9"/>
      <c r="AV35" s="9"/>
      <c r="AW35" s="17"/>
      <c r="AX35" s="492"/>
      <c r="AY35" s="491"/>
      <c r="AZ35" s="7"/>
      <c r="BA35" s="9"/>
      <c r="BB35" s="9"/>
      <c r="BC35" s="492"/>
      <c r="BD35" s="491"/>
      <c r="BE35" s="7"/>
      <c r="BF35" s="7"/>
      <c r="BG35" s="7"/>
      <c r="BH35" s="9"/>
      <c r="BI35" s="9"/>
      <c r="BJ35" s="492"/>
      <c r="BK35" s="491"/>
      <c r="BL35" s="7"/>
      <c r="BM35" s="7"/>
      <c r="BN35" s="7"/>
      <c r="BO35" s="7"/>
      <c r="BP35" s="7"/>
      <c r="BQ35" s="7"/>
      <c r="BR35" s="8"/>
      <c r="BS35" s="8"/>
      <c r="BT35" s="509"/>
      <c r="BU35" s="491"/>
      <c r="BV35" s="8"/>
      <c r="BW35" s="509"/>
      <c r="BX35" s="491"/>
      <c r="BY35" s="8"/>
      <c r="BZ35" s="509"/>
      <c r="CA35" s="752"/>
      <c r="CE35" s="736" t="e">
        <f>IF('School Profile'!#REF!="","",'School Profile'!#REF!)</f>
        <v>#REF!</v>
      </c>
    </row>
    <row r="36" spans="1:83" ht="24.95" customHeight="1">
      <c r="A36" s="468">
        <f>IF('Student DATA Entry'!A33="","",'Student DATA Entry'!A33)</f>
        <v>30</v>
      </c>
      <c r="B36" s="459">
        <f>IF('Student DATA Entry'!B33="","",'Student DATA Entry'!B33)</f>
        <v>930</v>
      </c>
      <c r="C36" s="459">
        <f>IF('Student DATA Entry'!C33="","",'Student DATA Entry'!C33)</f>
        <v>9</v>
      </c>
      <c r="D36" s="459" t="str">
        <f>IF('Student DATA Entry'!D33="","",'Student DATA Entry'!D33)</f>
        <v>A</v>
      </c>
      <c r="E36" s="459" t="str">
        <f>IF('Student DATA Entry'!E33="","",'Student DATA Entry'!E33)</f>
        <v/>
      </c>
      <c r="F36" s="460" t="str">
        <f>IF('Student DATA Entry'!K33="","",'Student DATA Entry'!K33)</f>
        <v/>
      </c>
      <c r="G36" s="461" t="str">
        <f>IF('Student DATA Entry'!G33="","",UPPER('Student DATA Entry'!G33))</f>
        <v>DEVENDRA</v>
      </c>
      <c r="H36" s="461" t="str">
        <f>IF('Student DATA Entry'!H33="","",UPPER('Student DATA Entry'!H33))</f>
        <v/>
      </c>
      <c r="I36" s="462" t="str">
        <f>IF('Student DATA Entry'!I33="","",UPPER('Student DATA Entry'!I33))</f>
        <v/>
      </c>
      <c r="J36" s="463" t="str">
        <f>IF('Student DATA Entry'!L33="","",UPPER('Student DATA Entry'!L33))</f>
        <v/>
      </c>
      <c r="K36" s="469" t="str">
        <f>IF('Student DATA Entry'!J33="","",UPPER('Student DATA Entry'!J33))</f>
        <v/>
      </c>
      <c r="L36" s="491">
        <v>8</v>
      </c>
      <c r="M36" s="8">
        <v>9</v>
      </c>
      <c r="N36" s="8">
        <v>8</v>
      </c>
      <c r="O36" s="9">
        <v>46</v>
      </c>
      <c r="P36" s="492">
        <v>45</v>
      </c>
      <c r="Q36" s="491">
        <v>8</v>
      </c>
      <c r="R36" s="8">
        <v>9</v>
      </c>
      <c r="S36" s="8">
        <v>7</v>
      </c>
      <c r="T36" s="9">
        <v>60</v>
      </c>
      <c r="U36" s="492">
        <v>85</v>
      </c>
      <c r="V36" s="502">
        <v>1</v>
      </c>
      <c r="W36" s="7">
        <v>8</v>
      </c>
      <c r="X36" s="8">
        <v>9</v>
      </c>
      <c r="Y36" s="8"/>
      <c r="Z36" s="9">
        <v>46</v>
      </c>
      <c r="AA36" s="492">
        <v>45</v>
      </c>
      <c r="AB36" s="491">
        <v>8</v>
      </c>
      <c r="AC36" s="8">
        <v>9</v>
      </c>
      <c r="AD36" s="8">
        <v>7</v>
      </c>
      <c r="AE36" s="9">
        <v>46</v>
      </c>
      <c r="AF36" s="492">
        <v>45</v>
      </c>
      <c r="AG36" s="491">
        <v>8</v>
      </c>
      <c r="AH36" s="8">
        <v>9</v>
      </c>
      <c r="AI36" s="8">
        <v>7</v>
      </c>
      <c r="AJ36" s="9">
        <v>46</v>
      </c>
      <c r="AK36" s="492">
        <v>45</v>
      </c>
      <c r="AL36" s="491">
        <v>8</v>
      </c>
      <c r="AM36" s="8">
        <v>8</v>
      </c>
      <c r="AN36" s="8">
        <v>8</v>
      </c>
      <c r="AO36" s="9">
        <v>46</v>
      </c>
      <c r="AP36" s="492">
        <v>45</v>
      </c>
      <c r="AQ36" s="506"/>
      <c r="AR36" s="491"/>
      <c r="AS36" s="8"/>
      <c r="AT36" s="8"/>
      <c r="AU36" s="9"/>
      <c r="AV36" s="9"/>
      <c r="AW36" s="17"/>
      <c r="AX36" s="492"/>
      <c r="AY36" s="491"/>
      <c r="AZ36" s="7"/>
      <c r="BA36" s="9"/>
      <c r="BB36" s="9"/>
      <c r="BC36" s="492"/>
      <c r="BD36" s="491"/>
      <c r="BE36" s="7"/>
      <c r="BF36" s="7"/>
      <c r="BG36" s="7"/>
      <c r="BH36" s="9"/>
      <c r="BI36" s="9"/>
      <c r="BJ36" s="492"/>
      <c r="BK36" s="491"/>
      <c r="BL36" s="7"/>
      <c r="BM36" s="7"/>
      <c r="BN36" s="7"/>
      <c r="BO36" s="7"/>
      <c r="BP36" s="7"/>
      <c r="BQ36" s="7"/>
      <c r="BR36" s="8"/>
      <c r="BS36" s="8"/>
      <c r="BT36" s="509"/>
      <c r="BU36" s="491"/>
      <c r="BV36" s="8"/>
      <c r="BW36" s="509"/>
      <c r="BX36" s="491"/>
      <c r="BY36" s="8"/>
      <c r="BZ36" s="509"/>
      <c r="CA36" s="752"/>
      <c r="CE36" s="736" t="e">
        <f>IF('School Profile'!#REF!="","",'School Profile'!#REF!)</f>
        <v>#REF!</v>
      </c>
    </row>
    <row r="37" spans="1:83" ht="24.95" customHeight="1">
      <c r="A37" s="468">
        <f>IF('Student DATA Entry'!A34="","",'Student DATA Entry'!A34)</f>
        <v>31</v>
      </c>
      <c r="B37" s="459">
        <f>IF('Student DATA Entry'!B34="","",'Student DATA Entry'!B34)</f>
        <v>931</v>
      </c>
      <c r="C37" s="459">
        <f>IF('Student DATA Entry'!C34="","",'Student DATA Entry'!C34)</f>
        <v>9</v>
      </c>
      <c r="D37" s="459" t="str">
        <f>IF('Student DATA Entry'!D34="","",'Student DATA Entry'!D34)</f>
        <v>A</v>
      </c>
      <c r="E37" s="459" t="str">
        <f>IF('Student DATA Entry'!E34="","",'Student DATA Entry'!E34)</f>
        <v/>
      </c>
      <c r="F37" s="460" t="str">
        <f>IF('Student DATA Entry'!K34="","",'Student DATA Entry'!K34)</f>
        <v/>
      </c>
      <c r="G37" s="461" t="str">
        <f>IF('Student DATA Entry'!G34="","",UPPER('Student DATA Entry'!G34))</f>
        <v>RAVINDRA</v>
      </c>
      <c r="H37" s="461" t="str">
        <f>IF('Student DATA Entry'!H34="","",UPPER('Student DATA Entry'!H34))</f>
        <v/>
      </c>
      <c r="I37" s="462" t="str">
        <f>IF('Student DATA Entry'!I34="","",UPPER('Student DATA Entry'!I34))</f>
        <v/>
      </c>
      <c r="J37" s="463" t="str">
        <f>IF('Student DATA Entry'!L34="","",UPPER('Student DATA Entry'!L34))</f>
        <v/>
      </c>
      <c r="K37" s="469" t="str">
        <f>IF('Student DATA Entry'!J34="","",UPPER('Student DATA Entry'!J34))</f>
        <v/>
      </c>
      <c r="L37" s="491">
        <v>8</v>
      </c>
      <c r="M37" s="8">
        <v>9</v>
      </c>
      <c r="N37" s="8">
        <v>8</v>
      </c>
      <c r="O37" s="9">
        <v>46</v>
      </c>
      <c r="P37" s="492">
        <v>45</v>
      </c>
      <c r="Q37" s="491">
        <v>8</v>
      </c>
      <c r="R37" s="8">
        <v>9</v>
      </c>
      <c r="S37" s="8">
        <v>7</v>
      </c>
      <c r="T37" s="9">
        <v>60</v>
      </c>
      <c r="U37" s="492">
        <v>85</v>
      </c>
      <c r="V37" s="502">
        <v>1</v>
      </c>
      <c r="W37" s="7">
        <v>8</v>
      </c>
      <c r="X37" s="8">
        <v>9</v>
      </c>
      <c r="Y37" s="8"/>
      <c r="Z37" s="9">
        <v>46</v>
      </c>
      <c r="AA37" s="492">
        <v>45</v>
      </c>
      <c r="AB37" s="491">
        <v>8</v>
      </c>
      <c r="AC37" s="8">
        <v>9</v>
      </c>
      <c r="AD37" s="8">
        <v>8</v>
      </c>
      <c r="AE37" s="9">
        <v>46</v>
      </c>
      <c r="AF37" s="492">
        <v>45</v>
      </c>
      <c r="AG37" s="491">
        <v>8</v>
      </c>
      <c r="AH37" s="8">
        <v>9</v>
      </c>
      <c r="AI37" s="8">
        <v>7</v>
      </c>
      <c r="AJ37" s="9">
        <v>46</v>
      </c>
      <c r="AK37" s="492">
        <v>45</v>
      </c>
      <c r="AL37" s="491">
        <v>8</v>
      </c>
      <c r="AM37" s="8">
        <v>8</v>
      </c>
      <c r="AN37" s="8">
        <v>8</v>
      </c>
      <c r="AO37" s="9">
        <v>46</v>
      </c>
      <c r="AP37" s="492">
        <v>45</v>
      </c>
      <c r="AQ37" s="506"/>
      <c r="AR37" s="491"/>
      <c r="AS37" s="8"/>
      <c r="AT37" s="8"/>
      <c r="AU37" s="9"/>
      <c r="AV37" s="9"/>
      <c r="AW37" s="17"/>
      <c r="AX37" s="492"/>
      <c r="AY37" s="491"/>
      <c r="AZ37" s="7"/>
      <c r="BA37" s="9"/>
      <c r="BB37" s="9"/>
      <c r="BC37" s="492"/>
      <c r="BD37" s="491"/>
      <c r="BE37" s="7"/>
      <c r="BF37" s="7"/>
      <c r="BG37" s="7"/>
      <c r="BH37" s="9"/>
      <c r="BI37" s="9"/>
      <c r="BJ37" s="492"/>
      <c r="BK37" s="491"/>
      <c r="BL37" s="7"/>
      <c r="BM37" s="7"/>
      <c r="BN37" s="7"/>
      <c r="BO37" s="7"/>
      <c r="BP37" s="7"/>
      <c r="BQ37" s="7"/>
      <c r="BR37" s="8"/>
      <c r="BS37" s="8"/>
      <c r="BT37" s="509"/>
      <c r="BU37" s="491"/>
      <c r="BV37" s="8"/>
      <c r="BW37" s="509"/>
      <c r="BX37" s="491"/>
      <c r="BY37" s="8"/>
      <c r="BZ37" s="509"/>
      <c r="CA37" s="752"/>
      <c r="CE37" s="736" t="e">
        <f>IF('School Profile'!#REF!="","",'School Profile'!#REF!)</f>
        <v>#REF!</v>
      </c>
    </row>
    <row r="38" spans="1:83" ht="24.95" customHeight="1">
      <c r="A38" s="468">
        <f>IF('Student DATA Entry'!A35="","",'Student DATA Entry'!A35)</f>
        <v>32</v>
      </c>
      <c r="B38" s="459" t="str">
        <f>IF('Student DATA Entry'!B35="","",'Student DATA Entry'!B35)</f>
        <v/>
      </c>
      <c r="C38" s="459" t="str">
        <f>IF('Student DATA Entry'!C35="","",'Student DATA Entry'!C35)</f>
        <v/>
      </c>
      <c r="D38" s="459" t="str">
        <f>IF('Student DATA Entry'!D35="","",'Student DATA Entry'!D35)</f>
        <v/>
      </c>
      <c r="E38" s="459" t="str">
        <f>IF('Student DATA Entry'!E35="","",'Student DATA Entry'!E35)</f>
        <v/>
      </c>
      <c r="F38" s="460" t="str">
        <f>IF('Student DATA Entry'!K35="","",'Student DATA Entry'!K35)</f>
        <v/>
      </c>
      <c r="G38" s="461" t="str">
        <f>IF('Student DATA Entry'!G35="","",UPPER('Student DATA Entry'!G35))</f>
        <v/>
      </c>
      <c r="H38" s="461" t="str">
        <f>IF('Student DATA Entry'!H35="","",UPPER('Student DATA Entry'!H35))</f>
        <v/>
      </c>
      <c r="I38" s="462" t="str">
        <f>IF('Student DATA Entry'!I35="","",UPPER('Student DATA Entry'!I35))</f>
        <v/>
      </c>
      <c r="J38" s="463" t="str">
        <f>IF('Student DATA Entry'!L35="","",UPPER('Student DATA Entry'!L35))</f>
        <v/>
      </c>
      <c r="K38" s="469" t="str">
        <f>IF('Student DATA Entry'!J35="","",UPPER('Student DATA Entry'!J35))</f>
        <v/>
      </c>
      <c r="L38" s="491"/>
      <c r="M38" s="8"/>
      <c r="N38" s="8"/>
      <c r="O38" s="9"/>
      <c r="P38" s="492"/>
      <c r="Q38" s="491"/>
      <c r="R38" s="8"/>
      <c r="S38" s="8"/>
      <c r="T38" s="9"/>
      <c r="U38" s="492"/>
      <c r="V38" s="502"/>
      <c r="W38" s="7"/>
      <c r="X38" s="8"/>
      <c r="Y38" s="8"/>
      <c r="Z38" s="9"/>
      <c r="AA38" s="492"/>
      <c r="AB38" s="491"/>
      <c r="AC38" s="8"/>
      <c r="AD38" s="8"/>
      <c r="AE38" s="9"/>
      <c r="AF38" s="492"/>
      <c r="AG38" s="491"/>
      <c r="AH38" s="8"/>
      <c r="AI38" s="8"/>
      <c r="AJ38" s="9"/>
      <c r="AK38" s="492"/>
      <c r="AL38" s="491"/>
      <c r="AM38" s="8"/>
      <c r="AN38" s="8"/>
      <c r="AO38" s="9"/>
      <c r="AP38" s="492"/>
      <c r="AQ38" s="506"/>
      <c r="AR38" s="491"/>
      <c r="AS38" s="8"/>
      <c r="AT38" s="8"/>
      <c r="AU38" s="9"/>
      <c r="AV38" s="9"/>
      <c r="AW38" s="17"/>
      <c r="AX38" s="492"/>
      <c r="AY38" s="491"/>
      <c r="AZ38" s="7"/>
      <c r="BA38" s="9"/>
      <c r="BB38" s="9"/>
      <c r="BC38" s="492"/>
      <c r="BD38" s="491"/>
      <c r="BE38" s="7"/>
      <c r="BF38" s="7"/>
      <c r="BG38" s="7"/>
      <c r="BH38" s="9"/>
      <c r="BI38" s="9"/>
      <c r="BJ38" s="492"/>
      <c r="BK38" s="491"/>
      <c r="BL38" s="7"/>
      <c r="BM38" s="7"/>
      <c r="BN38" s="7"/>
      <c r="BO38" s="7"/>
      <c r="BP38" s="7"/>
      <c r="BQ38" s="7"/>
      <c r="BR38" s="8"/>
      <c r="BS38" s="8"/>
      <c r="BT38" s="509"/>
      <c r="BU38" s="491"/>
      <c r="BV38" s="8"/>
      <c r="BW38" s="509"/>
      <c r="BX38" s="491"/>
      <c r="BY38" s="8"/>
      <c r="BZ38" s="509"/>
      <c r="CA38" s="752"/>
      <c r="CE38" s="736" t="e">
        <f>IF('School Profile'!#REF!="","",'School Profile'!#REF!)</f>
        <v>#REF!</v>
      </c>
    </row>
    <row r="39" spans="1:83" ht="24.95" customHeight="1">
      <c r="A39" s="468">
        <f>IF('Student DATA Entry'!A36="","",'Student DATA Entry'!A36)</f>
        <v>33</v>
      </c>
      <c r="B39" s="459" t="str">
        <f>IF('Student DATA Entry'!B36="","",'Student DATA Entry'!B36)</f>
        <v/>
      </c>
      <c r="C39" s="459" t="str">
        <f>IF('Student DATA Entry'!C36="","",'Student DATA Entry'!C36)</f>
        <v/>
      </c>
      <c r="D39" s="459" t="str">
        <f>IF('Student DATA Entry'!D36="","",'Student DATA Entry'!D36)</f>
        <v/>
      </c>
      <c r="E39" s="459" t="str">
        <f>IF('Student DATA Entry'!E36="","",'Student DATA Entry'!E36)</f>
        <v/>
      </c>
      <c r="F39" s="460" t="str">
        <f>IF('Student DATA Entry'!K36="","",'Student DATA Entry'!K36)</f>
        <v/>
      </c>
      <c r="G39" s="461" t="str">
        <f>IF('Student DATA Entry'!G36="","",UPPER('Student DATA Entry'!G36))</f>
        <v/>
      </c>
      <c r="H39" s="461" t="str">
        <f>IF('Student DATA Entry'!H36="","",UPPER('Student DATA Entry'!H36))</f>
        <v/>
      </c>
      <c r="I39" s="462" t="str">
        <f>IF('Student DATA Entry'!I36="","",UPPER('Student DATA Entry'!I36))</f>
        <v/>
      </c>
      <c r="J39" s="463" t="str">
        <f>IF('Student DATA Entry'!L36="","",UPPER('Student DATA Entry'!L36))</f>
        <v/>
      </c>
      <c r="K39" s="469" t="str">
        <f>IF('Student DATA Entry'!J36="","",UPPER('Student DATA Entry'!J36))</f>
        <v/>
      </c>
      <c r="L39" s="491"/>
      <c r="M39" s="8"/>
      <c r="N39" s="8"/>
      <c r="O39" s="9"/>
      <c r="P39" s="492"/>
      <c r="Q39" s="491"/>
      <c r="R39" s="8"/>
      <c r="S39" s="8"/>
      <c r="T39" s="9"/>
      <c r="U39" s="492"/>
      <c r="V39" s="502"/>
      <c r="W39" s="7"/>
      <c r="X39" s="8"/>
      <c r="Y39" s="8"/>
      <c r="Z39" s="9"/>
      <c r="AA39" s="492"/>
      <c r="AB39" s="491"/>
      <c r="AC39" s="8"/>
      <c r="AD39" s="8"/>
      <c r="AE39" s="9"/>
      <c r="AF39" s="492"/>
      <c r="AG39" s="491"/>
      <c r="AH39" s="8"/>
      <c r="AI39" s="8"/>
      <c r="AJ39" s="9"/>
      <c r="AK39" s="492"/>
      <c r="AL39" s="491"/>
      <c r="AM39" s="8"/>
      <c r="AN39" s="8"/>
      <c r="AO39" s="9"/>
      <c r="AP39" s="492"/>
      <c r="AQ39" s="506"/>
      <c r="AR39" s="491"/>
      <c r="AS39" s="8"/>
      <c r="AT39" s="8"/>
      <c r="AU39" s="9"/>
      <c r="AV39" s="9"/>
      <c r="AW39" s="17"/>
      <c r="AX39" s="492"/>
      <c r="AY39" s="491"/>
      <c r="AZ39" s="7"/>
      <c r="BA39" s="9"/>
      <c r="BB39" s="9"/>
      <c r="BC39" s="492"/>
      <c r="BD39" s="491"/>
      <c r="BE39" s="7"/>
      <c r="BF39" s="7"/>
      <c r="BG39" s="7"/>
      <c r="BH39" s="9"/>
      <c r="BI39" s="9"/>
      <c r="BJ39" s="492"/>
      <c r="BK39" s="491"/>
      <c r="BL39" s="7"/>
      <c r="BM39" s="7"/>
      <c r="BN39" s="7"/>
      <c r="BO39" s="7"/>
      <c r="BP39" s="7"/>
      <c r="BQ39" s="7"/>
      <c r="BR39" s="8"/>
      <c r="BS39" s="8"/>
      <c r="BT39" s="509"/>
      <c r="BU39" s="491"/>
      <c r="BV39" s="8"/>
      <c r="BW39" s="509"/>
      <c r="BX39" s="491"/>
      <c r="BY39" s="8"/>
      <c r="BZ39" s="509"/>
      <c r="CA39" s="752"/>
      <c r="CE39" s="736" t="e">
        <f>IF('School Profile'!#REF!="","",'School Profile'!#REF!)</f>
        <v>#REF!</v>
      </c>
    </row>
    <row r="40" spans="1:83" ht="24.95" customHeight="1">
      <c r="A40" s="468">
        <f>IF('Student DATA Entry'!A37="","",'Student DATA Entry'!A37)</f>
        <v>34</v>
      </c>
      <c r="B40" s="459" t="str">
        <f>IF('Student DATA Entry'!B37="","",'Student DATA Entry'!B37)</f>
        <v/>
      </c>
      <c r="C40" s="459" t="str">
        <f>IF('Student DATA Entry'!C37="","",'Student DATA Entry'!C37)</f>
        <v/>
      </c>
      <c r="D40" s="459" t="str">
        <f>IF('Student DATA Entry'!D37="","",'Student DATA Entry'!D37)</f>
        <v/>
      </c>
      <c r="E40" s="459" t="str">
        <f>IF('Student DATA Entry'!E37="","",'Student DATA Entry'!E37)</f>
        <v/>
      </c>
      <c r="F40" s="460" t="str">
        <f>IF('Student DATA Entry'!K37="","",'Student DATA Entry'!K37)</f>
        <v/>
      </c>
      <c r="G40" s="461" t="str">
        <f>IF('Student DATA Entry'!G37="","",UPPER('Student DATA Entry'!G37))</f>
        <v/>
      </c>
      <c r="H40" s="461" t="str">
        <f>IF('Student DATA Entry'!H37="","",UPPER('Student DATA Entry'!H37))</f>
        <v/>
      </c>
      <c r="I40" s="462" t="str">
        <f>IF('Student DATA Entry'!I37="","",UPPER('Student DATA Entry'!I37))</f>
        <v/>
      </c>
      <c r="J40" s="463" t="str">
        <f>IF('Student DATA Entry'!L37="","",UPPER('Student DATA Entry'!L37))</f>
        <v/>
      </c>
      <c r="K40" s="469" t="str">
        <f>IF('Student DATA Entry'!J37="","",UPPER('Student DATA Entry'!J37))</f>
        <v/>
      </c>
      <c r="L40" s="491"/>
      <c r="M40" s="8"/>
      <c r="N40" s="8"/>
      <c r="O40" s="9"/>
      <c r="P40" s="492"/>
      <c r="Q40" s="491"/>
      <c r="R40" s="8"/>
      <c r="S40" s="8"/>
      <c r="T40" s="9"/>
      <c r="U40" s="492"/>
      <c r="V40" s="502"/>
      <c r="W40" s="7"/>
      <c r="X40" s="8"/>
      <c r="Y40" s="8"/>
      <c r="Z40" s="9"/>
      <c r="AA40" s="492"/>
      <c r="AB40" s="491"/>
      <c r="AC40" s="8"/>
      <c r="AD40" s="8"/>
      <c r="AE40" s="9"/>
      <c r="AF40" s="492"/>
      <c r="AG40" s="491"/>
      <c r="AH40" s="8"/>
      <c r="AI40" s="8"/>
      <c r="AJ40" s="9"/>
      <c r="AK40" s="492"/>
      <c r="AL40" s="491"/>
      <c r="AM40" s="8"/>
      <c r="AN40" s="8"/>
      <c r="AO40" s="9"/>
      <c r="AP40" s="492"/>
      <c r="AQ40" s="506"/>
      <c r="AR40" s="491"/>
      <c r="AS40" s="8"/>
      <c r="AT40" s="8"/>
      <c r="AU40" s="9"/>
      <c r="AV40" s="9"/>
      <c r="AW40" s="17"/>
      <c r="AX40" s="492"/>
      <c r="AY40" s="491"/>
      <c r="AZ40" s="7"/>
      <c r="BA40" s="9"/>
      <c r="BB40" s="9"/>
      <c r="BC40" s="492"/>
      <c r="BD40" s="491"/>
      <c r="BE40" s="7"/>
      <c r="BF40" s="7"/>
      <c r="BG40" s="7"/>
      <c r="BH40" s="9"/>
      <c r="BI40" s="9"/>
      <c r="BJ40" s="492"/>
      <c r="BK40" s="491"/>
      <c r="BL40" s="7"/>
      <c r="BM40" s="7"/>
      <c r="BN40" s="7"/>
      <c r="BO40" s="7"/>
      <c r="BP40" s="7"/>
      <c r="BQ40" s="7"/>
      <c r="BR40" s="8"/>
      <c r="BS40" s="8"/>
      <c r="BT40" s="509"/>
      <c r="BU40" s="491"/>
      <c r="BV40" s="8"/>
      <c r="BW40" s="509"/>
      <c r="BX40" s="491"/>
      <c r="BY40" s="8"/>
      <c r="BZ40" s="509"/>
      <c r="CA40" s="752"/>
      <c r="CE40" s="736" t="e">
        <f>IF('School Profile'!#REF!="","",'School Profile'!#REF!)</f>
        <v>#REF!</v>
      </c>
    </row>
    <row r="41" spans="1:83" ht="24.95" customHeight="1">
      <c r="A41" s="468">
        <f>IF('Student DATA Entry'!A38="","",'Student DATA Entry'!A38)</f>
        <v>35</v>
      </c>
      <c r="B41" s="459" t="str">
        <f>IF('Student DATA Entry'!B38="","",'Student DATA Entry'!B38)</f>
        <v/>
      </c>
      <c r="C41" s="459" t="str">
        <f>IF('Student DATA Entry'!C38="","",'Student DATA Entry'!C38)</f>
        <v/>
      </c>
      <c r="D41" s="459" t="str">
        <f>IF('Student DATA Entry'!D38="","",'Student DATA Entry'!D38)</f>
        <v/>
      </c>
      <c r="E41" s="459" t="str">
        <f>IF('Student DATA Entry'!E38="","",'Student DATA Entry'!E38)</f>
        <v/>
      </c>
      <c r="F41" s="460" t="str">
        <f>IF('Student DATA Entry'!K38="","",'Student DATA Entry'!K38)</f>
        <v/>
      </c>
      <c r="G41" s="461" t="str">
        <f>IF('Student DATA Entry'!G38="","",UPPER('Student DATA Entry'!G38))</f>
        <v/>
      </c>
      <c r="H41" s="461" t="str">
        <f>IF('Student DATA Entry'!H38="","",UPPER('Student DATA Entry'!H38))</f>
        <v/>
      </c>
      <c r="I41" s="462" t="str">
        <f>IF('Student DATA Entry'!I38="","",UPPER('Student DATA Entry'!I38))</f>
        <v/>
      </c>
      <c r="J41" s="463" t="str">
        <f>IF('Student DATA Entry'!L38="","",UPPER('Student DATA Entry'!L38))</f>
        <v/>
      </c>
      <c r="K41" s="469" t="str">
        <f>IF('Student DATA Entry'!J38="","",UPPER('Student DATA Entry'!J38))</f>
        <v/>
      </c>
      <c r="L41" s="491"/>
      <c r="M41" s="8"/>
      <c r="N41" s="8"/>
      <c r="O41" s="9"/>
      <c r="P41" s="492"/>
      <c r="Q41" s="491"/>
      <c r="R41" s="8"/>
      <c r="S41" s="8"/>
      <c r="T41" s="9"/>
      <c r="U41" s="492"/>
      <c r="V41" s="502"/>
      <c r="W41" s="7"/>
      <c r="X41" s="8"/>
      <c r="Y41" s="8"/>
      <c r="Z41" s="9"/>
      <c r="AA41" s="492"/>
      <c r="AB41" s="491"/>
      <c r="AC41" s="8"/>
      <c r="AD41" s="8"/>
      <c r="AE41" s="9"/>
      <c r="AF41" s="492"/>
      <c r="AG41" s="491"/>
      <c r="AH41" s="8"/>
      <c r="AI41" s="8"/>
      <c r="AJ41" s="9"/>
      <c r="AK41" s="492"/>
      <c r="AL41" s="491"/>
      <c r="AM41" s="8"/>
      <c r="AN41" s="8"/>
      <c r="AO41" s="9"/>
      <c r="AP41" s="492"/>
      <c r="AQ41" s="506"/>
      <c r="AR41" s="491"/>
      <c r="AS41" s="8"/>
      <c r="AT41" s="8"/>
      <c r="AU41" s="9"/>
      <c r="AV41" s="9"/>
      <c r="AW41" s="17"/>
      <c r="AX41" s="492"/>
      <c r="AY41" s="491"/>
      <c r="AZ41" s="7"/>
      <c r="BA41" s="9"/>
      <c r="BB41" s="9"/>
      <c r="BC41" s="492"/>
      <c r="BD41" s="491"/>
      <c r="BE41" s="7"/>
      <c r="BF41" s="7"/>
      <c r="BG41" s="7"/>
      <c r="BH41" s="9"/>
      <c r="BI41" s="9"/>
      <c r="BJ41" s="492"/>
      <c r="BK41" s="491"/>
      <c r="BL41" s="7"/>
      <c r="BM41" s="7"/>
      <c r="BN41" s="7"/>
      <c r="BO41" s="7"/>
      <c r="BP41" s="7"/>
      <c r="BQ41" s="7"/>
      <c r="BR41" s="8"/>
      <c r="BS41" s="8"/>
      <c r="BT41" s="509"/>
      <c r="BU41" s="491"/>
      <c r="BV41" s="8"/>
      <c r="BW41" s="509"/>
      <c r="BX41" s="491"/>
      <c r="BY41" s="8"/>
      <c r="BZ41" s="509"/>
      <c r="CA41" s="752"/>
      <c r="CE41" s="736" t="e">
        <f>IF('School Profile'!#REF!="","",'School Profile'!#REF!)</f>
        <v>#REF!</v>
      </c>
    </row>
    <row r="42" spans="1:83" ht="24.95" customHeight="1">
      <c r="A42" s="468">
        <f>IF('Student DATA Entry'!A39="","",'Student DATA Entry'!A39)</f>
        <v>36</v>
      </c>
      <c r="B42" s="459" t="str">
        <f>IF('Student DATA Entry'!B39="","",'Student DATA Entry'!B39)</f>
        <v/>
      </c>
      <c r="C42" s="459" t="str">
        <f>IF('Student DATA Entry'!C39="","",'Student DATA Entry'!C39)</f>
        <v/>
      </c>
      <c r="D42" s="459" t="str">
        <f>IF('Student DATA Entry'!D39="","",'Student DATA Entry'!D39)</f>
        <v/>
      </c>
      <c r="E42" s="459" t="str">
        <f>IF('Student DATA Entry'!E39="","",'Student DATA Entry'!E39)</f>
        <v/>
      </c>
      <c r="F42" s="460" t="str">
        <f>IF('Student DATA Entry'!K39="","",'Student DATA Entry'!K39)</f>
        <v/>
      </c>
      <c r="G42" s="461" t="str">
        <f>IF('Student DATA Entry'!G39="","",UPPER('Student DATA Entry'!G39))</f>
        <v/>
      </c>
      <c r="H42" s="461" t="str">
        <f>IF('Student DATA Entry'!H39="","",UPPER('Student DATA Entry'!H39))</f>
        <v/>
      </c>
      <c r="I42" s="462" t="str">
        <f>IF('Student DATA Entry'!I39="","",UPPER('Student DATA Entry'!I39))</f>
        <v/>
      </c>
      <c r="J42" s="463" t="str">
        <f>IF('Student DATA Entry'!L39="","",UPPER('Student DATA Entry'!L39))</f>
        <v/>
      </c>
      <c r="K42" s="469" t="str">
        <f>IF('Student DATA Entry'!J39="","",UPPER('Student DATA Entry'!J39))</f>
        <v/>
      </c>
      <c r="L42" s="491"/>
      <c r="M42" s="8"/>
      <c r="N42" s="8"/>
      <c r="O42" s="9"/>
      <c r="P42" s="492"/>
      <c r="Q42" s="491"/>
      <c r="R42" s="8"/>
      <c r="S42" s="8"/>
      <c r="T42" s="9"/>
      <c r="U42" s="492"/>
      <c r="V42" s="502"/>
      <c r="W42" s="7"/>
      <c r="X42" s="8"/>
      <c r="Y42" s="8"/>
      <c r="Z42" s="9"/>
      <c r="AA42" s="492"/>
      <c r="AB42" s="491"/>
      <c r="AC42" s="8"/>
      <c r="AD42" s="8"/>
      <c r="AE42" s="9"/>
      <c r="AF42" s="492"/>
      <c r="AG42" s="491"/>
      <c r="AH42" s="8"/>
      <c r="AI42" s="8"/>
      <c r="AJ42" s="9"/>
      <c r="AK42" s="492"/>
      <c r="AL42" s="491"/>
      <c r="AM42" s="8"/>
      <c r="AN42" s="8"/>
      <c r="AO42" s="9"/>
      <c r="AP42" s="492"/>
      <c r="AQ42" s="506"/>
      <c r="AR42" s="491"/>
      <c r="AS42" s="8"/>
      <c r="AT42" s="8"/>
      <c r="AU42" s="9"/>
      <c r="AV42" s="9"/>
      <c r="AW42" s="17"/>
      <c r="AX42" s="492"/>
      <c r="AY42" s="491"/>
      <c r="AZ42" s="7"/>
      <c r="BA42" s="9"/>
      <c r="BB42" s="9"/>
      <c r="BC42" s="492"/>
      <c r="BD42" s="491"/>
      <c r="BE42" s="7"/>
      <c r="BF42" s="7"/>
      <c r="BG42" s="7"/>
      <c r="BH42" s="9"/>
      <c r="BI42" s="9"/>
      <c r="BJ42" s="492"/>
      <c r="BK42" s="491"/>
      <c r="BL42" s="7"/>
      <c r="BM42" s="7"/>
      <c r="BN42" s="7"/>
      <c r="BO42" s="7"/>
      <c r="BP42" s="7"/>
      <c r="BQ42" s="7"/>
      <c r="BR42" s="8"/>
      <c r="BS42" s="8"/>
      <c r="BT42" s="509"/>
      <c r="BU42" s="491"/>
      <c r="BV42" s="8"/>
      <c r="BW42" s="509"/>
      <c r="BX42" s="491"/>
      <c r="BY42" s="8"/>
      <c r="BZ42" s="509"/>
      <c r="CA42" s="752"/>
      <c r="CE42" s="736" t="e">
        <f>IF('School Profile'!#REF!="","",'School Profile'!#REF!)</f>
        <v>#REF!</v>
      </c>
    </row>
    <row r="43" spans="1:83" ht="24.95" customHeight="1">
      <c r="A43" s="468">
        <f>IF('Student DATA Entry'!A40="","",'Student DATA Entry'!A40)</f>
        <v>37</v>
      </c>
      <c r="B43" s="459" t="str">
        <f>IF('Student DATA Entry'!B40="","",'Student DATA Entry'!B40)</f>
        <v/>
      </c>
      <c r="C43" s="459" t="str">
        <f>IF('Student DATA Entry'!C40="","",'Student DATA Entry'!C40)</f>
        <v/>
      </c>
      <c r="D43" s="459" t="str">
        <f>IF('Student DATA Entry'!D40="","",'Student DATA Entry'!D40)</f>
        <v/>
      </c>
      <c r="E43" s="459" t="str">
        <f>IF('Student DATA Entry'!E40="","",'Student DATA Entry'!E40)</f>
        <v/>
      </c>
      <c r="F43" s="460" t="str">
        <f>IF('Student DATA Entry'!K40="","",'Student DATA Entry'!K40)</f>
        <v/>
      </c>
      <c r="G43" s="461" t="str">
        <f>IF('Student DATA Entry'!G40="","",UPPER('Student DATA Entry'!G40))</f>
        <v/>
      </c>
      <c r="H43" s="461" t="str">
        <f>IF('Student DATA Entry'!H40="","",UPPER('Student DATA Entry'!H40))</f>
        <v/>
      </c>
      <c r="I43" s="462" t="str">
        <f>IF('Student DATA Entry'!I40="","",UPPER('Student DATA Entry'!I40))</f>
        <v/>
      </c>
      <c r="J43" s="463" t="str">
        <f>IF('Student DATA Entry'!L40="","",UPPER('Student DATA Entry'!L40))</f>
        <v/>
      </c>
      <c r="K43" s="469" t="str">
        <f>IF('Student DATA Entry'!J40="","",UPPER('Student DATA Entry'!J40))</f>
        <v/>
      </c>
      <c r="L43" s="491"/>
      <c r="M43" s="8"/>
      <c r="N43" s="8"/>
      <c r="O43" s="9"/>
      <c r="P43" s="492"/>
      <c r="Q43" s="491"/>
      <c r="R43" s="8"/>
      <c r="S43" s="8"/>
      <c r="T43" s="9"/>
      <c r="U43" s="492"/>
      <c r="V43" s="502"/>
      <c r="W43" s="7"/>
      <c r="X43" s="8"/>
      <c r="Y43" s="8"/>
      <c r="Z43" s="9"/>
      <c r="AA43" s="492"/>
      <c r="AB43" s="491"/>
      <c r="AC43" s="8"/>
      <c r="AD43" s="8"/>
      <c r="AE43" s="9"/>
      <c r="AF43" s="492"/>
      <c r="AG43" s="491"/>
      <c r="AH43" s="8"/>
      <c r="AI43" s="8"/>
      <c r="AJ43" s="9"/>
      <c r="AK43" s="492"/>
      <c r="AL43" s="491"/>
      <c r="AM43" s="8"/>
      <c r="AN43" s="8"/>
      <c r="AO43" s="9"/>
      <c r="AP43" s="492"/>
      <c r="AQ43" s="506"/>
      <c r="AR43" s="491"/>
      <c r="AS43" s="8"/>
      <c r="AT43" s="8"/>
      <c r="AU43" s="9"/>
      <c r="AV43" s="9"/>
      <c r="AW43" s="17"/>
      <c r="AX43" s="492"/>
      <c r="AY43" s="491"/>
      <c r="AZ43" s="7"/>
      <c r="BA43" s="9"/>
      <c r="BB43" s="9"/>
      <c r="BC43" s="492"/>
      <c r="BD43" s="491"/>
      <c r="BE43" s="7"/>
      <c r="BF43" s="7"/>
      <c r="BG43" s="7"/>
      <c r="BH43" s="9"/>
      <c r="BI43" s="9"/>
      <c r="BJ43" s="492"/>
      <c r="BK43" s="491"/>
      <c r="BL43" s="7"/>
      <c r="BM43" s="7"/>
      <c r="BN43" s="7"/>
      <c r="BO43" s="7"/>
      <c r="BP43" s="7"/>
      <c r="BQ43" s="7"/>
      <c r="BR43" s="8"/>
      <c r="BS43" s="8"/>
      <c r="BT43" s="509"/>
      <c r="BU43" s="491"/>
      <c r="BV43" s="8"/>
      <c r="BW43" s="509"/>
      <c r="BX43" s="491"/>
      <c r="BY43" s="8"/>
      <c r="BZ43" s="509"/>
      <c r="CA43" s="752"/>
      <c r="CE43" s="736" t="e">
        <f>IF('School Profile'!#REF!="","",'School Profile'!#REF!)</f>
        <v>#REF!</v>
      </c>
    </row>
    <row r="44" spans="1:83" ht="24.95" customHeight="1">
      <c r="A44" s="468">
        <f>IF('Student DATA Entry'!A41="","",'Student DATA Entry'!A41)</f>
        <v>38</v>
      </c>
      <c r="B44" s="459" t="str">
        <f>IF('Student DATA Entry'!B41="","",'Student DATA Entry'!B41)</f>
        <v/>
      </c>
      <c r="C44" s="459" t="str">
        <f>IF('Student DATA Entry'!C41="","",'Student DATA Entry'!C41)</f>
        <v/>
      </c>
      <c r="D44" s="459" t="str">
        <f>IF('Student DATA Entry'!D41="","",'Student DATA Entry'!D41)</f>
        <v/>
      </c>
      <c r="E44" s="459" t="str">
        <f>IF('Student DATA Entry'!E41="","",'Student DATA Entry'!E41)</f>
        <v/>
      </c>
      <c r="F44" s="460" t="str">
        <f>IF('Student DATA Entry'!K41="","",'Student DATA Entry'!K41)</f>
        <v/>
      </c>
      <c r="G44" s="461" t="str">
        <f>IF('Student DATA Entry'!G41="","",UPPER('Student DATA Entry'!G41))</f>
        <v/>
      </c>
      <c r="H44" s="461" t="str">
        <f>IF('Student DATA Entry'!H41="","",UPPER('Student DATA Entry'!H41))</f>
        <v/>
      </c>
      <c r="I44" s="462" t="str">
        <f>IF('Student DATA Entry'!I41="","",UPPER('Student DATA Entry'!I41))</f>
        <v/>
      </c>
      <c r="J44" s="463" t="str">
        <f>IF('Student DATA Entry'!L41="","",UPPER('Student DATA Entry'!L41))</f>
        <v/>
      </c>
      <c r="K44" s="469" t="str">
        <f>IF('Student DATA Entry'!J41="","",UPPER('Student DATA Entry'!J41))</f>
        <v/>
      </c>
      <c r="L44" s="491"/>
      <c r="M44" s="8"/>
      <c r="N44" s="8"/>
      <c r="O44" s="9"/>
      <c r="P44" s="492"/>
      <c r="Q44" s="491"/>
      <c r="R44" s="8"/>
      <c r="S44" s="8"/>
      <c r="T44" s="9"/>
      <c r="U44" s="492"/>
      <c r="V44" s="502"/>
      <c r="W44" s="7"/>
      <c r="X44" s="8"/>
      <c r="Y44" s="8"/>
      <c r="Z44" s="9"/>
      <c r="AA44" s="492"/>
      <c r="AB44" s="491"/>
      <c r="AC44" s="8"/>
      <c r="AD44" s="8"/>
      <c r="AE44" s="9"/>
      <c r="AF44" s="492"/>
      <c r="AG44" s="491"/>
      <c r="AH44" s="8"/>
      <c r="AI44" s="8"/>
      <c r="AJ44" s="9"/>
      <c r="AK44" s="492"/>
      <c r="AL44" s="491"/>
      <c r="AM44" s="8"/>
      <c r="AN44" s="8"/>
      <c r="AO44" s="9"/>
      <c r="AP44" s="492"/>
      <c r="AQ44" s="506"/>
      <c r="AR44" s="491"/>
      <c r="AS44" s="8"/>
      <c r="AT44" s="8"/>
      <c r="AU44" s="9"/>
      <c r="AV44" s="9"/>
      <c r="AW44" s="17"/>
      <c r="AX44" s="492"/>
      <c r="AY44" s="491"/>
      <c r="AZ44" s="7"/>
      <c r="BA44" s="9"/>
      <c r="BB44" s="9"/>
      <c r="BC44" s="492"/>
      <c r="BD44" s="491"/>
      <c r="BE44" s="7"/>
      <c r="BF44" s="7"/>
      <c r="BG44" s="7"/>
      <c r="BH44" s="9"/>
      <c r="BI44" s="9"/>
      <c r="BJ44" s="492"/>
      <c r="BK44" s="491"/>
      <c r="BL44" s="7"/>
      <c r="BM44" s="7"/>
      <c r="BN44" s="7"/>
      <c r="BO44" s="7"/>
      <c r="BP44" s="7"/>
      <c r="BQ44" s="7"/>
      <c r="BR44" s="8"/>
      <c r="BS44" s="8"/>
      <c r="BT44" s="509"/>
      <c r="BU44" s="491"/>
      <c r="BV44" s="8"/>
      <c r="BW44" s="509"/>
      <c r="BX44" s="491"/>
      <c r="BY44" s="8"/>
      <c r="BZ44" s="509"/>
      <c r="CA44" s="752"/>
      <c r="CE44" s="736" t="e">
        <f>IF('School Profile'!#REF!="","",'School Profile'!#REF!)</f>
        <v>#REF!</v>
      </c>
    </row>
    <row r="45" spans="1:83" ht="24.95" customHeight="1">
      <c r="A45" s="468">
        <f>IF('Student DATA Entry'!A42="","",'Student DATA Entry'!A42)</f>
        <v>39</v>
      </c>
      <c r="B45" s="459" t="str">
        <f>IF('Student DATA Entry'!B42="","",'Student DATA Entry'!B42)</f>
        <v/>
      </c>
      <c r="C45" s="459" t="str">
        <f>IF('Student DATA Entry'!C42="","",'Student DATA Entry'!C42)</f>
        <v/>
      </c>
      <c r="D45" s="459" t="str">
        <f>IF('Student DATA Entry'!D42="","",'Student DATA Entry'!D42)</f>
        <v/>
      </c>
      <c r="E45" s="459" t="str">
        <f>IF('Student DATA Entry'!E42="","",'Student DATA Entry'!E42)</f>
        <v/>
      </c>
      <c r="F45" s="460" t="str">
        <f>IF('Student DATA Entry'!K42="","",'Student DATA Entry'!K42)</f>
        <v/>
      </c>
      <c r="G45" s="461" t="str">
        <f>IF('Student DATA Entry'!G42="","",UPPER('Student DATA Entry'!G42))</f>
        <v/>
      </c>
      <c r="H45" s="461" t="str">
        <f>IF('Student DATA Entry'!H42="","",UPPER('Student DATA Entry'!H42))</f>
        <v/>
      </c>
      <c r="I45" s="462" t="str">
        <f>IF('Student DATA Entry'!I42="","",UPPER('Student DATA Entry'!I42))</f>
        <v/>
      </c>
      <c r="J45" s="463" t="str">
        <f>IF('Student DATA Entry'!L42="","",UPPER('Student DATA Entry'!L42))</f>
        <v/>
      </c>
      <c r="K45" s="469" t="str">
        <f>IF('Student DATA Entry'!J42="","",UPPER('Student DATA Entry'!J42))</f>
        <v/>
      </c>
      <c r="L45" s="491"/>
      <c r="M45" s="8"/>
      <c r="N45" s="8"/>
      <c r="O45" s="9"/>
      <c r="P45" s="492"/>
      <c r="Q45" s="491"/>
      <c r="R45" s="8"/>
      <c r="S45" s="8"/>
      <c r="T45" s="9"/>
      <c r="U45" s="492"/>
      <c r="V45" s="502"/>
      <c r="W45" s="7"/>
      <c r="X45" s="8"/>
      <c r="Y45" s="8"/>
      <c r="Z45" s="9"/>
      <c r="AA45" s="492"/>
      <c r="AB45" s="491"/>
      <c r="AC45" s="8"/>
      <c r="AD45" s="8"/>
      <c r="AE45" s="9"/>
      <c r="AF45" s="492"/>
      <c r="AG45" s="491"/>
      <c r="AH45" s="8"/>
      <c r="AI45" s="8"/>
      <c r="AJ45" s="9"/>
      <c r="AK45" s="492"/>
      <c r="AL45" s="491"/>
      <c r="AM45" s="8"/>
      <c r="AN45" s="8"/>
      <c r="AO45" s="9"/>
      <c r="AP45" s="492"/>
      <c r="AQ45" s="506"/>
      <c r="AR45" s="491"/>
      <c r="AS45" s="8"/>
      <c r="AT45" s="8"/>
      <c r="AU45" s="9"/>
      <c r="AV45" s="9"/>
      <c r="AW45" s="17"/>
      <c r="AX45" s="492"/>
      <c r="AY45" s="491"/>
      <c r="AZ45" s="7"/>
      <c r="BA45" s="9"/>
      <c r="BB45" s="9"/>
      <c r="BC45" s="492"/>
      <c r="BD45" s="491"/>
      <c r="BE45" s="7"/>
      <c r="BF45" s="7"/>
      <c r="BG45" s="7"/>
      <c r="BH45" s="9"/>
      <c r="BI45" s="9"/>
      <c r="BJ45" s="492"/>
      <c r="BK45" s="491"/>
      <c r="BL45" s="7"/>
      <c r="BM45" s="7"/>
      <c r="BN45" s="7"/>
      <c r="BO45" s="7"/>
      <c r="BP45" s="7"/>
      <c r="BQ45" s="7"/>
      <c r="BR45" s="8"/>
      <c r="BS45" s="8"/>
      <c r="BT45" s="509"/>
      <c r="BU45" s="491"/>
      <c r="BV45" s="8"/>
      <c r="BW45" s="509"/>
      <c r="BX45" s="491"/>
      <c r="BY45" s="8"/>
      <c r="BZ45" s="509"/>
      <c r="CA45" s="752"/>
      <c r="CE45" s="736" t="e">
        <f>IF('School Profile'!#REF!="","",'School Profile'!#REF!)</f>
        <v>#REF!</v>
      </c>
    </row>
    <row r="46" spans="1:83" ht="24.95" customHeight="1">
      <c r="A46" s="468">
        <f>IF('Student DATA Entry'!A43="","",'Student DATA Entry'!A43)</f>
        <v>40</v>
      </c>
      <c r="B46" s="459" t="str">
        <f>IF('Student DATA Entry'!B43="","",'Student DATA Entry'!B43)</f>
        <v/>
      </c>
      <c r="C46" s="459" t="str">
        <f>IF('Student DATA Entry'!C43="","",'Student DATA Entry'!C43)</f>
        <v/>
      </c>
      <c r="D46" s="459" t="str">
        <f>IF('Student DATA Entry'!D43="","",'Student DATA Entry'!D43)</f>
        <v/>
      </c>
      <c r="E46" s="459" t="str">
        <f>IF('Student DATA Entry'!E43="","",'Student DATA Entry'!E43)</f>
        <v/>
      </c>
      <c r="F46" s="460" t="str">
        <f>IF('Student DATA Entry'!K43="","",'Student DATA Entry'!K43)</f>
        <v/>
      </c>
      <c r="G46" s="461" t="str">
        <f>IF('Student DATA Entry'!G43="","",UPPER('Student DATA Entry'!G43))</f>
        <v/>
      </c>
      <c r="H46" s="461" t="str">
        <f>IF('Student DATA Entry'!H43="","",UPPER('Student DATA Entry'!H43))</f>
        <v/>
      </c>
      <c r="I46" s="462" t="str">
        <f>IF('Student DATA Entry'!I43="","",UPPER('Student DATA Entry'!I43))</f>
        <v/>
      </c>
      <c r="J46" s="463" t="str">
        <f>IF('Student DATA Entry'!L43="","",UPPER('Student DATA Entry'!L43))</f>
        <v/>
      </c>
      <c r="K46" s="469" t="str">
        <f>IF('Student DATA Entry'!J43="","",UPPER('Student DATA Entry'!J43))</f>
        <v/>
      </c>
      <c r="L46" s="491"/>
      <c r="M46" s="8"/>
      <c r="N46" s="8"/>
      <c r="O46" s="9"/>
      <c r="P46" s="492"/>
      <c r="Q46" s="491"/>
      <c r="R46" s="8"/>
      <c r="S46" s="8"/>
      <c r="T46" s="9"/>
      <c r="U46" s="492"/>
      <c r="V46" s="502"/>
      <c r="W46" s="7"/>
      <c r="X46" s="8"/>
      <c r="Y46" s="8"/>
      <c r="Z46" s="9"/>
      <c r="AA46" s="492"/>
      <c r="AB46" s="491"/>
      <c r="AC46" s="8"/>
      <c r="AD46" s="8"/>
      <c r="AE46" s="9"/>
      <c r="AF46" s="492"/>
      <c r="AG46" s="491"/>
      <c r="AH46" s="8"/>
      <c r="AI46" s="8"/>
      <c r="AJ46" s="9"/>
      <c r="AK46" s="492"/>
      <c r="AL46" s="491"/>
      <c r="AM46" s="8"/>
      <c r="AN46" s="8"/>
      <c r="AO46" s="9"/>
      <c r="AP46" s="492"/>
      <c r="AQ46" s="506"/>
      <c r="AR46" s="491"/>
      <c r="AS46" s="8"/>
      <c r="AT46" s="8"/>
      <c r="AU46" s="9"/>
      <c r="AV46" s="9"/>
      <c r="AW46" s="17"/>
      <c r="AX46" s="492"/>
      <c r="AY46" s="491"/>
      <c r="AZ46" s="7"/>
      <c r="BA46" s="9"/>
      <c r="BB46" s="9"/>
      <c r="BC46" s="492"/>
      <c r="BD46" s="491"/>
      <c r="BE46" s="7"/>
      <c r="BF46" s="7"/>
      <c r="BG46" s="7"/>
      <c r="BH46" s="9"/>
      <c r="BI46" s="9"/>
      <c r="BJ46" s="492"/>
      <c r="BK46" s="491"/>
      <c r="BL46" s="7"/>
      <c r="BM46" s="7"/>
      <c r="BN46" s="7"/>
      <c r="BO46" s="7"/>
      <c r="BP46" s="7"/>
      <c r="BQ46" s="7"/>
      <c r="BR46" s="8"/>
      <c r="BS46" s="8"/>
      <c r="BT46" s="509"/>
      <c r="BU46" s="491"/>
      <c r="BV46" s="8"/>
      <c r="BW46" s="509"/>
      <c r="BX46" s="491"/>
      <c r="BY46" s="8"/>
      <c r="BZ46" s="509"/>
      <c r="CA46" s="752"/>
    </row>
    <row r="47" spans="1:83" ht="24.95" customHeight="1">
      <c r="A47" s="468">
        <f>IF('Student DATA Entry'!A44="","",'Student DATA Entry'!A44)</f>
        <v>41</v>
      </c>
      <c r="B47" s="459" t="str">
        <f>IF('Student DATA Entry'!B44="","",'Student DATA Entry'!B44)</f>
        <v/>
      </c>
      <c r="C47" s="459" t="str">
        <f>IF('Student DATA Entry'!C44="","",'Student DATA Entry'!C44)</f>
        <v/>
      </c>
      <c r="D47" s="459" t="str">
        <f>IF('Student DATA Entry'!D44="","",'Student DATA Entry'!D44)</f>
        <v/>
      </c>
      <c r="E47" s="459" t="str">
        <f>IF('Student DATA Entry'!E44="","",'Student DATA Entry'!E44)</f>
        <v/>
      </c>
      <c r="F47" s="460" t="str">
        <f>IF('Student DATA Entry'!K44="","",'Student DATA Entry'!K44)</f>
        <v/>
      </c>
      <c r="G47" s="461" t="str">
        <f>IF('Student DATA Entry'!G44="","",UPPER('Student DATA Entry'!G44))</f>
        <v/>
      </c>
      <c r="H47" s="461" t="str">
        <f>IF('Student DATA Entry'!H44="","",UPPER('Student DATA Entry'!H44))</f>
        <v/>
      </c>
      <c r="I47" s="462" t="str">
        <f>IF('Student DATA Entry'!I44="","",UPPER('Student DATA Entry'!I44))</f>
        <v/>
      </c>
      <c r="J47" s="463" t="str">
        <f>IF('Student DATA Entry'!L44="","",UPPER('Student DATA Entry'!L44))</f>
        <v/>
      </c>
      <c r="K47" s="469" t="str">
        <f>IF('Student DATA Entry'!J44="","",UPPER('Student DATA Entry'!J44))</f>
        <v/>
      </c>
      <c r="L47" s="491"/>
      <c r="M47" s="8"/>
      <c r="N47" s="8"/>
      <c r="O47" s="9"/>
      <c r="P47" s="492"/>
      <c r="Q47" s="491"/>
      <c r="R47" s="8"/>
      <c r="S47" s="8"/>
      <c r="T47" s="9"/>
      <c r="U47" s="492"/>
      <c r="V47" s="502"/>
      <c r="W47" s="7"/>
      <c r="X47" s="8"/>
      <c r="Y47" s="8"/>
      <c r="Z47" s="9"/>
      <c r="AA47" s="492"/>
      <c r="AB47" s="491"/>
      <c r="AC47" s="8"/>
      <c r="AD47" s="8"/>
      <c r="AE47" s="9"/>
      <c r="AF47" s="492"/>
      <c r="AG47" s="491"/>
      <c r="AH47" s="8"/>
      <c r="AI47" s="8"/>
      <c r="AJ47" s="9"/>
      <c r="AK47" s="492"/>
      <c r="AL47" s="491"/>
      <c r="AM47" s="8"/>
      <c r="AN47" s="8"/>
      <c r="AO47" s="9"/>
      <c r="AP47" s="492"/>
      <c r="AQ47" s="506"/>
      <c r="AR47" s="491"/>
      <c r="AS47" s="8"/>
      <c r="AT47" s="8"/>
      <c r="AU47" s="9"/>
      <c r="AV47" s="9"/>
      <c r="AW47" s="17"/>
      <c r="AX47" s="492"/>
      <c r="AY47" s="491"/>
      <c r="AZ47" s="7"/>
      <c r="BA47" s="9"/>
      <c r="BB47" s="9"/>
      <c r="BC47" s="492"/>
      <c r="BD47" s="491"/>
      <c r="BE47" s="7"/>
      <c r="BF47" s="7"/>
      <c r="BG47" s="7"/>
      <c r="BH47" s="9"/>
      <c r="BI47" s="9"/>
      <c r="BJ47" s="492"/>
      <c r="BK47" s="491"/>
      <c r="BL47" s="7"/>
      <c r="BM47" s="7"/>
      <c r="BN47" s="7"/>
      <c r="BO47" s="7"/>
      <c r="BP47" s="7"/>
      <c r="BQ47" s="7"/>
      <c r="BR47" s="8"/>
      <c r="BS47" s="8"/>
      <c r="BT47" s="509"/>
      <c r="BU47" s="491"/>
      <c r="BV47" s="8"/>
      <c r="BW47" s="509"/>
      <c r="BX47" s="491"/>
      <c r="BY47" s="8"/>
      <c r="BZ47" s="509"/>
      <c r="CA47" s="752"/>
    </row>
    <row r="48" spans="1:83" ht="24.95" customHeight="1">
      <c r="A48" s="468">
        <f>IF('Student DATA Entry'!A45="","",'Student DATA Entry'!A45)</f>
        <v>42</v>
      </c>
      <c r="B48" s="459" t="str">
        <f>IF('Student DATA Entry'!B45="","",'Student DATA Entry'!B45)</f>
        <v/>
      </c>
      <c r="C48" s="459" t="str">
        <f>IF('Student DATA Entry'!C45="","",'Student DATA Entry'!C45)</f>
        <v/>
      </c>
      <c r="D48" s="459" t="str">
        <f>IF('Student DATA Entry'!D45="","",'Student DATA Entry'!D45)</f>
        <v/>
      </c>
      <c r="E48" s="459" t="str">
        <f>IF('Student DATA Entry'!E45="","",'Student DATA Entry'!E45)</f>
        <v/>
      </c>
      <c r="F48" s="460" t="str">
        <f>IF('Student DATA Entry'!K45="","",'Student DATA Entry'!K45)</f>
        <v/>
      </c>
      <c r="G48" s="461" t="str">
        <f>IF('Student DATA Entry'!G45="","",UPPER('Student DATA Entry'!G45))</f>
        <v/>
      </c>
      <c r="H48" s="461" t="str">
        <f>IF('Student DATA Entry'!H45="","",UPPER('Student DATA Entry'!H45))</f>
        <v/>
      </c>
      <c r="I48" s="462" t="str">
        <f>IF('Student DATA Entry'!I45="","",UPPER('Student DATA Entry'!I45))</f>
        <v/>
      </c>
      <c r="J48" s="463" t="str">
        <f>IF('Student DATA Entry'!L45="","",UPPER('Student DATA Entry'!L45))</f>
        <v/>
      </c>
      <c r="K48" s="469" t="str">
        <f>IF('Student DATA Entry'!J45="","",UPPER('Student DATA Entry'!J45))</f>
        <v/>
      </c>
      <c r="L48" s="491"/>
      <c r="M48" s="8"/>
      <c r="N48" s="8"/>
      <c r="O48" s="9"/>
      <c r="P48" s="492"/>
      <c r="Q48" s="491"/>
      <c r="R48" s="8"/>
      <c r="S48" s="8"/>
      <c r="T48" s="9"/>
      <c r="U48" s="492"/>
      <c r="V48" s="502"/>
      <c r="W48" s="7"/>
      <c r="X48" s="8"/>
      <c r="Y48" s="8"/>
      <c r="Z48" s="9"/>
      <c r="AA48" s="492"/>
      <c r="AB48" s="491"/>
      <c r="AC48" s="8"/>
      <c r="AD48" s="8"/>
      <c r="AE48" s="9"/>
      <c r="AF48" s="492"/>
      <c r="AG48" s="491"/>
      <c r="AH48" s="8"/>
      <c r="AI48" s="8"/>
      <c r="AJ48" s="9"/>
      <c r="AK48" s="492"/>
      <c r="AL48" s="491"/>
      <c r="AM48" s="8"/>
      <c r="AN48" s="8"/>
      <c r="AO48" s="9"/>
      <c r="AP48" s="492"/>
      <c r="AQ48" s="506"/>
      <c r="AR48" s="491"/>
      <c r="AS48" s="8"/>
      <c r="AT48" s="8"/>
      <c r="AU48" s="9"/>
      <c r="AV48" s="9"/>
      <c r="AW48" s="17"/>
      <c r="AX48" s="492"/>
      <c r="AY48" s="491"/>
      <c r="AZ48" s="7"/>
      <c r="BA48" s="9"/>
      <c r="BB48" s="9"/>
      <c r="BC48" s="492"/>
      <c r="BD48" s="491"/>
      <c r="BE48" s="7"/>
      <c r="BF48" s="7"/>
      <c r="BG48" s="7"/>
      <c r="BH48" s="9"/>
      <c r="BI48" s="9"/>
      <c r="BJ48" s="492"/>
      <c r="BK48" s="491"/>
      <c r="BL48" s="7"/>
      <c r="BM48" s="7"/>
      <c r="BN48" s="7"/>
      <c r="BO48" s="7"/>
      <c r="BP48" s="7"/>
      <c r="BQ48" s="7"/>
      <c r="BR48" s="8"/>
      <c r="BS48" s="8"/>
      <c r="BT48" s="509"/>
      <c r="BU48" s="491"/>
      <c r="BV48" s="8"/>
      <c r="BW48" s="509"/>
      <c r="BX48" s="491"/>
      <c r="BY48" s="8"/>
      <c r="BZ48" s="509"/>
      <c r="CA48" s="752"/>
    </row>
    <row r="49" spans="1:79" ht="24.95" customHeight="1">
      <c r="A49" s="468">
        <f>IF('Student DATA Entry'!A46="","",'Student DATA Entry'!A46)</f>
        <v>43</v>
      </c>
      <c r="B49" s="459" t="str">
        <f>IF('Student DATA Entry'!B46="","",'Student DATA Entry'!B46)</f>
        <v/>
      </c>
      <c r="C49" s="459" t="str">
        <f>IF('Student DATA Entry'!C46="","",'Student DATA Entry'!C46)</f>
        <v/>
      </c>
      <c r="D49" s="459" t="str">
        <f>IF('Student DATA Entry'!D46="","",'Student DATA Entry'!D46)</f>
        <v/>
      </c>
      <c r="E49" s="459" t="str">
        <f>IF('Student DATA Entry'!E46="","",'Student DATA Entry'!E46)</f>
        <v/>
      </c>
      <c r="F49" s="460" t="str">
        <f>IF('Student DATA Entry'!K46="","",'Student DATA Entry'!K46)</f>
        <v/>
      </c>
      <c r="G49" s="461" t="str">
        <f>IF('Student DATA Entry'!G46="","",UPPER('Student DATA Entry'!G46))</f>
        <v/>
      </c>
      <c r="H49" s="461" t="str">
        <f>IF('Student DATA Entry'!H46="","",UPPER('Student DATA Entry'!H46))</f>
        <v/>
      </c>
      <c r="I49" s="462" t="str">
        <f>IF('Student DATA Entry'!I46="","",UPPER('Student DATA Entry'!I46))</f>
        <v/>
      </c>
      <c r="J49" s="463" t="str">
        <f>IF('Student DATA Entry'!L46="","",UPPER('Student DATA Entry'!L46))</f>
        <v/>
      </c>
      <c r="K49" s="469" t="str">
        <f>IF('Student DATA Entry'!J46="","",UPPER('Student DATA Entry'!J46))</f>
        <v/>
      </c>
      <c r="L49" s="491"/>
      <c r="M49" s="8"/>
      <c r="N49" s="8"/>
      <c r="O49" s="9"/>
      <c r="P49" s="492"/>
      <c r="Q49" s="491"/>
      <c r="R49" s="8"/>
      <c r="S49" s="8"/>
      <c r="T49" s="9"/>
      <c r="U49" s="492"/>
      <c r="V49" s="502"/>
      <c r="W49" s="7"/>
      <c r="X49" s="8"/>
      <c r="Y49" s="8"/>
      <c r="Z49" s="9"/>
      <c r="AA49" s="492"/>
      <c r="AB49" s="491"/>
      <c r="AC49" s="8"/>
      <c r="AD49" s="8"/>
      <c r="AE49" s="9"/>
      <c r="AF49" s="492"/>
      <c r="AG49" s="491"/>
      <c r="AH49" s="8"/>
      <c r="AI49" s="8"/>
      <c r="AJ49" s="9"/>
      <c r="AK49" s="492"/>
      <c r="AL49" s="491"/>
      <c r="AM49" s="8"/>
      <c r="AN49" s="8"/>
      <c r="AO49" s="9"/>
      <c r="AP49" s="492"/>
      <c r="AQ49" s="506"/>
      <c r="AR49" s="491"/>
      <c r="AS49" s="8"/>
      <c r="AT49" s="8"/>
      <c r="AU49" s="9"/>
      <c r="AV49" s="9"/>
      <c r="AW49" s="17"/>
      <c r="AX49" s="492"/>
      <c r="AY49" s="491"/>
      <c r="AZ49" s="7"/>
      <c r="BA49" s="9"/>
      <c r="BB49" s="9"/>
      <c r="BC49" s="492"/>
      <c r="BD49" s="491"/>
      <c r="BE49" s="7"/>
      <c r="BF49" s="7"/>
      <c r="BG49" s="7"/>
      <c r="BH49" s="9"/>
      <c r="BI49" s="9"/>
      <c r="BJ49" s="492"/>
      <c r="BK49" s="491"/>
      <c r="BL49" s="7"/>
      <c r="BM49" s="7"/>
      <c r="BN49" s="7"/>
      <c r="BO49" s="7"/>
      <c r="BP49" s="7"/>
      <c r="BQ49" s="7"/>
      <c r="BR49" s="8"/>
      <c r="BS49" s="8"/>
      <c r="BT49" s="509"/>
      <c r="BU49" s="491"/>
      <c r="BV49" s="8"/>
      <c r="BW49" s="509"/>
      <c r="BX49" s="491"/>
      <c r="BY49" s="8"/>
      <c r="BZ49" s="509"/>
      <c r="CA49" s="752"/>
    </row>
    <row r="50" spans="1:79" ht="24.95" customHeight="1">
      <c r="A50" s="468">
        <f>IF('Student DATA Entry'!A47="","",'Student DATA Entry'!A47)</f>
        <v>44</v>
      </c>
      <c r="B50" s="459" t="str">
        <f>IF('Student DATA Entry'!B47="","",'Student DATA Entry'!B47)</f>
        <v/>
      </c>
      <c r="C50" s="459" t="str">
        <f>IF('Student DATA Entry'!C47="","",'Student DATA Entry'!C47)</f>
        <v/>
      </c>
      <c r="D50" s="459" t="str">
        <f>IF('Student DATA Entry'!D47="","",'Student DATA Entry'!D47)</f>
        <v/>
      </c>
      <c r="E50" s="459" t="str">
        <f>IF('Student DATA Entry'!E47="","",'Student DATA Entry'!E47)</f>
        <v/>
      </c>
      <c r="F50" s="460" t="str">
        <f>IF('Student DATA Entry'!K47="","",'Student DATA Entry'!K47)</f>
        <v/>
      </c>
      <c r="G50" s="461" t="str">
        <f>IF('Student DATA Entry'!G47="","",UPPER('Student DATA Entry'!G47))</f>
        <v/>
      </c>
      <c r="H50" s="461" t="str">
        <f>IF('Student DATA Entry'!H47="","",UPPER('Student DATA Entry'!H47))</f>
        <v/>
      </c>
      <c r="I50" s="462" t="str">
        <f>IF('Student DATA Entry'!I47="","",UPPER('Student DATA Entry'!I47))</f>
        <v/>
      </c>
      <c r="J50" s="463" t="str">
        <f>IF('Student DATA Entry'!L47="","",UPPER('Student DATA Entry'!L47))</f>
        <v/>
      </c>
      <c r="K50" s="469" t="str">
        <f>IF('Student DATA Entry'!J47="","",UPPER('Student DATA Entry'!J47))</f>
        <v/>
      </c>
      <c r="L50" s="491"/>
      <c r="M50" s="8"/>
      <c r="N50" s="8"/>
      <c r="O50" s="9"/>
      <c r="P50" s="492"/>
      <c r="Q50" s="491"/>
      <c r="R50" s="8"/>
      <c r="S50" s="8"/>
      <c r="T50" s="9"/>
      <c r="U50" s="492"/>
      <c r="V50" s="502"/>
      <c r="W50" s="7"/>
      <c r="X50" s="8"/>
      <c r="Y50" s="8"/>
      <c r="Z50" s="9"/>
      <c r="AA50" s="492"/>
      <c r="AB50" s="491"/>
      <c r="AC50" s="8"/>
      <c r="AD50" s="8"/>
      <c r="AE50" s="9"/>
      <c r="AF50" s="492"/>
      <c r="AG50" s="491"/>
      <c r="AH50" s="8"/>
      <c r="AI50" s="8"/>
      <c r="AJ50" s="9"/>
      <c r="AK50" s="492"/>
      <c r="AL50" s="491"/>
      <c r="AM50" s="8"/>
      <c r="AN50" s="8"/>
      <c r="AO50" s="9"/>
      <c r="AP50" s="492"/>
      <c r="AQ50" s="506"/>
      <c r="AR50" s="491"/>
      <c r="AS50" s="8"/>
      <c r="AT50" s="8"/>
      <c r="AU50" s="9"/>
      <c r="AV50" s="9"/>
      <c r="AW50" s="17"/>
      <c r="AX50" s="492"/>
      <c r="AY50" s="491"/>
      <c r="AZ50" s="7"/>
      <c r="BA50" s="9"/>
      <c r="BB50" s="9"/>
      <c r="BC50" s="492"/>
      <c r="BD50" s="491"/>
      <c r="BE50" s="7"/>
      <c r="BF50" s="7"/>
      <c r="BG50" s="7"/>
      <c r="BH50" s="9"/>
      <c r="BI50" s="9"/>
      <c r="BJ50" s="492"/>
      <c r="BK50" s="491"/>
      <c r="BL50" s="7"/>
      <c r="BM50" s="7"/>
      <c r="BN50" s="7"/>
      <c r="BO50" s="7"/>
      <c r="BP50" s="7"/>
      <c r="BQ50" s="7"/>
      <c r="BR50" s="8"/>
      <c r="BS50" s="8"/>
      <c r="BT50" s="509"/>
      <c r="BU50" s="491"/>
      <c r="BV50" s="8"/>
      <c r="BW50" s="509"/>
      <c r="BX50" s="491"/>
      <c r="BY50" s="8"/>
      <c r="BZ50" s="509"/>
      <c r="CA50" s="752"/>
    </row>
    <row r="51" spans="1:79" ht="24.95" customHeight="1">
      <c r="A51" s="468">
        <f>IF('Student DATA Entry'!A48="","",'Student DATA Entry'!A48)</f>
        <v>45</v>
      </c>
      <c r="B51" s="459" t="str">
        <f>IF('Student DATA Entry'!B48="","",'Student DATA Entry'!B48)</f>
        <v/>
      </c>
      <c r="C51" s="459" t="str">
        <f>IF('Student DATA Entry'!C48="","",'Student DATA Entry'!C48)</f>
        <v/>
      </c>
      <c r="D51" s="459" t="str">
        <f>IF('Student DATA Entry'!D48="","",'Student DATA Entry'!D48)</f>
        <v/>
      </c>
      <c r="E51" s="459" t="str">
        <f>IF('Student DATA Entry'!E48="","",'Student DATA Entry'!E48)</f>
        <v/>
      </c>
      <c r="F51" s="460" t="str">
        <f>IF('Student DATA Entry'!K48="","",'Student DATA Entry'!K48)</f>
        <v/>
      </c>
      <c r="G51" s="461" t="str">
        <f>IF('Student DATA Entry'!G48="","",UPPER('Student DATA Entry'!G48))</f>
        <v/>
      </c>
      <c r="H51" s="461" t="str">
        <f>IF('Student DATA Entry'!H48="","",UPPER('Student DATA Entry'!H48))</f>
        <v/>
      </c>
      <c r="I51" s="462" t="str">
        <f>IF('Student DATA Entry'!I48="","",UPPER('Student DATA Entry'!I48))</f>
        <v/>
      </c>
      <c r="J51" s="463" t="str">
        <f>IF('Student DATA Entry'!L48="","",UPPER('Student DATA Entry'!L48))</f>
        <v/>
      </c>
      <c r="K51" s="469" t="str">
        <f>IF('Student DATA Entry'!J48="","",UPPER('Student DATA Entry'!J48))</f>
        <v/>
      </c>
      <c r="L51" s="491"/>
      <c r="M51" s="8"/>
      <c r="N51" s="8"/>
      <c r="O51" s="9"/>
      <c r="P51" s="492"/>
      <c r="Q51" s="491"/>
      <c r="R51" s="8"/>
      <c r="S51" s="8"/>
      <c r="T51" s="9"/>
      <c r="U51" s="492"/>
      <c r="V51" s="502"/>
      <c r="W51" s="7"/>
      <c r="X51" s="8"/>
      <c r="Y51" s="8"/>
      <c r="Z51" s="9"/>
      <c r="AA51" s="492"/>
      <c r="AB51" s="491"/>
      <c r="AC51" s="8"/>
      <c r="AD51" s="8"/>
      <c r="AE51" s="9"/>
      <c r="AF51" s="492"/>
      <c r="AG51" s="491"/>
      <c r="AH51" s="8"/>
      <c r="AI51" s="8"/>
      <c r="AJ51" s="9"/>
      <c r="AK51" s="492"/>
      <c r="AL51" s="491"/>
      <c r="AM51" s="8"/>
      <c r="AN51" s="8"/>
      <c r="AO51" s="9"/>
      <c r="AP51" s="492"/>
      <c r="AQ51" s="506"/>
      <c r="AR51" s="491"/>
      <c r="AS51" s="8"/>
      <c r="AT51" s="8"/>
      <c r="AU51" s="9"/>
      <c r="AV51" s="9"/>
      <c r="AW51" s="17"/>
      <c r="AX51" s="492"/>
      <c r="AY51" s="491"/>
      <c r="AZ51" s="7"/>
      <c r="BA51" s="9"/>
      <c r="BB51" s="9"/>
      <c r="BC51" s="492"/>
      <c r="BD51" s="491"/>
      <c r="BE51" s="7"/>
      <c r="BF51" s="7"/>
      <c r="BG51" s="7"/>
      <c r="BH51" s="9"/>
      <c r="BI51" s="9"/>
      <c r="BJ51" s="492"/>
      <c r="BK51" s="491"/>
      <c r="BL51" s="7"/>
      <c r="BM51" s="7"/>
      <c r="BN51" s="7"/>
      <c r="BO51" s="7"/>
      <c r="BP51" s="7"/>
      <c r="BQ51" s="7"/>
      <c r="BR51" s="8"/>
      <c r="BS51" s="8"/>
      <c r="BT51" s="509"/>
      <c r="BU51" s="491"/>
      <c r="BV51" s="8"/>
      <c r="BW51" s="509"/>
      <c r="BX51" s="491"/>
      <c r="BY51" s="8"/>
      <c r="BZ51" s="509"/>
      <c r="CA51" s="752"/>
    </row>
    <row r="52" spans="1:79" ht="24.95" customHeight="1">
      <c r="A52" s="468">
        <f>IF('Student DATA Entry'!A49="","",'Student DATA Entry'!A49)</f>
        <v>46</v>
      </c>
      <c r="B52" s="459" t="str">
        <f>IF('Student DATA Entry'!B49="","",'Student DATA Entry'!B49)</f>
        <v/>
      </c>
      <c r="C52" s="459" t="str">
        <f>IF('Student DATA Entry'!C49="","",'Student DATA Entry'!C49)</f>
        <v/>
      </c>
      <c r="D52" s="459" t="str">
        <f>IF('Student DATA Entry'!D49="","",'Student DATA Entry'!D49)</f>
        <v/>
      </c>
      <c r="E52" s="459" t="str">
        <f>IF('Student DATA Entry'!E49="","",'Student DATA Entry'!E49)</f>
        <v/>
      </c>
      <c r="F52" s="460" t="str">
        <f>IF('Student DATA Entry'!K49="","",'Student DATA Entry'!K49)</f>
        <v/>
      </c>
      <c r="G52" s="461" t="str">
        <f>IF('Student DATA Entry'!G49="","",UPPER('Student DATA Entry'!G49))</f>
        <v/>
      </c>
      <c r="H52" s="461" t="str">
        <f>IF('Student DATA Entry'!H49="","",UPPER('Student DATA Entry'!H49))</f>
        <v/>
      </c>
      <c r="I52" s="462" t="str">
        <f>IF('Student DATA Entry'!I49="","",UPPER('Student DATA Entry'!I49))</f>
        <v/>
      </c>
      <c r="J52" s="463" t="str">
        <f>IF('Student DATA Entry'!L49="","",UPPER('Student DATA Entry'!L49))</f>
        <v/>
      </c>
      <c r="K52" s="469" t="str">
        <f>IF('Student DATA Entry'!J49="","",UPPER('Student DATA Entry'!J49))</f>
        <v/>
      </c>
      <c r="L52" s="491"/>
      <c r="M52" s="8"/>
      <c r="N52" s="8"/>
      <c r="O52" s="9"/>
      <c r="P52" s="492"/>
      <c r="Q52" s="491"/>
      <c r="R52" s="8"/>
      <c r="S52" s="8"/>
      <c r="T52" s="9"/>
      <c r="U52" s="492"/>
      <c r="V52" s="502"/>
      <c r="W52" s="7"/>
      <c r="X52" s="8"/>
      <c r="Y52" s="8"/>
      <c r="Z52" s="9"/>
      <c r="AA52" s="492"/>
      <c r="AB52" s="491"/>
      <c r="AC52" s="8"/>
      <c r="AD52" s="8"/>
      <c r="AE52" s="9"/>
      <c r="AF52" s="492"/>
      <c r="AG52" s="491"/>
      <c r="AH52" s="8"/>
      <c r="AI52" s="8"/>
      <c r="AJ52" s="9"/>
      <c r="AK52" s="492"/>
      <c r="AL52" s="491"/>
      <c r="AM52" s="8"/>
      <c r="AN52" s="8"/>
      <c r="AO52" s="9"/>
      <c r="AP52" s="492"/>
      <c r="AQ52" s="506"/>
      <c r="AR52" s="491"/>
      <c r="AS52" s="8"/>
      <c r="AT52" s="8"/>
      <c r="AU52" s="9"/>
      <c r="AV52" s="9"/>
      <c r="AW52" s="17"/>
      <c r="AX52" s="492"/>
      <c r="AY52" s="491"/>
      <c r="AZ52" s="7"/>
      <c r="BA52" s="9"/>
      <c r="BB52" s="9"/>
      <c r="BC52" s="492"/>
      <c r="BD52" s="491"/>
      <c r="BE52" s="7"/>
      <c r="BF52" s="7"/>
      <c r="BG52" s="7"/>
      <c r="BH52" s="9"/>
      <c r="BI52" s="9"/>
      <c r="BJ52" s="492"/>
      <c r="BK52" s="491"/>
      <c r="BL52" s="7"/>
      <c r="BM52" s="7"/>
      <c r="BN52" s="7"/>
      <c r="BO52" s="7"/>
      <c r="BP52" s="7"/>
      <c r="BQ52" s="7"/>
      <c r="BR52" s="8"/>
      <c r="BS52" s="8"/>
      <c r="BT52" s="509"/>
      <c r="BU52" s="491"/>
      <c r="BV52" s="8"/>
      <c r="BW52" s="509"/>
      <c r="BX52" s="491"/>
      <c r="BY52" s="8"/>
      <c r="BZ52" s="509"/>
      <c r="CA52" s="752"/>
    </row>
    <row r="53" spans="1:79" ht="24.95" customHeight="1">
      <c r="A53" s="468">
        <f>IF('Student DATA Entry'!A50="","",'Student DATA Entry'!A50)</f>
        <v>47</v>
      </c>
      <c r="B53" s="459" t="str">
        <f>IF('Student DATA Entry'!B50="","",'Student DATA Entry'!B50)</f>
        <v/>
      </c>
      <c r="C53" s="459" t="str">
        <f>IF('Student DATA Entry'!C50="","",'Student DATA Entry'!C50)</f>
        <v/>
      </c>
      <c r="D53" s="459" t="str">
        <f>IF('Student DATA Entry'!D50="","",'Student DATA Entry'!D50)</f>
        <v/>
      </c>
      <c r="E53" s="459" t="str">
        <f>IF('Student DATA Entry'!E50="","",'Student DATA Entry'!E50)</f>
        <v/>
      </c>
      <c r="F53" s="460" t="str">
        <f>IF('Student DATA Entry'!K50="","",'Student DATA Entry'!K50)</f>
        <v/>
      </c>
      <c r="G53" s="461" t="str">
        <f>IF('Student DATA Entry'!G50="","",UPPER('Student DATA Entry'!G50))</f>
        <v/>
      </c>
      <c r="H53" s="461" t="str">
        <f>IF('Student DATA Entry'!H50="","",UPPER('Student DATA Entry'!H50))</f>
        <v/>
      </c>
      <c r="I53" s="462" t="str">
        <f>IF('Student DATA Entry'!I50="","",UPPER('Student DATA Entry'!I50))</f>
        <v/>
      </c>
      <c r="J53" s="463" t="str">
        <f>IF('Student DATA Entry'!L50="","",UPPER('Student DATA Entry'!L50))</f>
        <v/>
      </c>
      <c r="K53" s="469" t="str">
        <f>IF('Student DATA Entry'!J50="","",UPPER('Student DATA Entry'!J50))</f>
        <v/>
      </c>
      <c r="L53" s="491"/>
      <c r="M53" s="8"/>
      <c r="N53" s="8"/>
      <c r="O53" s="9"/>
      <c r="P53" s="492"/>
      <c r="Q53" s="491"/>
      <c r="R53" s="8"/>
      <c r="S53" s="8"/>
      <c r="T53" s="9"/>
      <c r="U53" s="492"/>
      <c r="V53" s="502"/>
      <c r="W53" s="7"/>
      <c r="X53" s="8"/>
      <c r="Y53" s="8"/>
      <c r="Z53" s="9"/>
      <c r="AA53" s="492"/>
      <c r="AB53" s="491"/>
      <c r="AC53" s="8"/>
      <c r="AD53" s="8"/>
      <c r="AE53" s="9"/>
      <c r="AF53" s="492"/>
      <c r="AG53" s="491"/>
      <c r="AH53" s="8"/>
      <c r="AI53" s="8"/>
      <c r="AJ53" s="9"/>
      <c r="AK53" s="492"/>
      <c r="AL53" s="491"/>
      <c r="AM53" s="8"/>
      <c r="AN53" s="8"/>
      <c r="AO53" s="9"/>
      <c r="AP53" s="492"/>
      <c r="AQ53" s="506"/>
      <c r="AR53" s="491"/>
      <c r="AS53" s="8"/>
      <c r="AT53" s="8"/>
      <c r="AU53" s="9"/>
      <c r="AV53" s="9"/>
      <c r="AW53" s="17"/>
      <c r="AX53" s="492"/>
      <c r="AY53" s="491"/>
      <c r="AZ53" s="7"/>
      <c r="BA53" s="9"/>
      <c r="BB53" s="9"/>
      <c r="BC53" s="492"/>
      <c r="BD53" s="491"/>
      <c r="BE53" s="7"/>
      <c r="BF53" s="7"/>
      <c r="BG53" s="7"/>
      <c r="BH53" s="9"/>
      <c r="BI53" s="9"/>
      <c r="BJ53" s="492"/>
      <c r="BK53" s="491"/>
      <c r="BL53" s="7"/>
      <c r="BM53" s="7"/>
      <c r="BN53" s="7"/>
      <c r="BO53" s="7"/>
      <c r="BP53" s="7"/>
      <c r="BQ53" s="7"/>
      <c r="BR53" s="8"/>
      <c r="BS53" s="8"/>
      <c r="BT53" s="509"/>
      <c r="BU53" s="491"/>
      <c r="BV53" s="8"/>
      <c r="BW53" s="509"/>
      <c r="BX53" s="491"/>
      <c r="BY53" s="8"/>
      <c r="BZ53" s="509"/>
      <c r="CA53" s="752"/>
    </row>
    <row r="54" spans="1:79" ht="24.95" customHeight="1">
      <c r="A54" s="468">
        <f>IF('Student DATA Entry'!A51="","",'Student DATA Entry'!A51)</f>
        <v>48</v>
      </c>
      <c r="B54" s="459" t="str">
        <f>IF('Student DATA Entry'!B51="","",'Student DATA Entry'!B51)</f>
        <v/>
      </c>
      <c r="C54" s="459" t="str">
        <f>IF('Student DATA Entry'!C51="","",'Student DATA Entry'!C51)</f>
        <v/>
      </c>
      <c r="D54" s="459" t="str">
        <f>IF('Student DATA Entry'!D51="","",'Student DATA Entry'!D51)</f>
        <v/>
      </c>
      <c r="E54" s="459" t="str">
        <f>IF('Student DATA Entry'!E51="","",'Student DATA Entry'!E51)</f>
        <v/>
      </c>
      <c r="F54" s="460" t="str">
        <f>IF('Student DATA Entry'!K51="","",'Student DATA Entry'!K51)</f>
        <v/>
      </c>
      <c r="G54" s="461" t="str">
        <f>IF('Student DATA Entry'!G51="","",UPPER('Student DATA Entry'!G51))</f>
        <v/>
      </c>
      <c r="H54" s="461" t="str">
        <f>IF('Student DATA Entry'!H51="","",UPPER('Student DATA Entry'!H51))</f>
        <v/>
      </c>
      <c r="I54" s="462" t="str">
        <f>IF('Student DATA Entry'!I51="","",UPPER('Student DATA Entry'!I51))</f>
        <v/>
      </c>
      <c r="J54" s="463" t="str">
        <f>IF('Student DATA Entry'!L51="","",UPPER('Student DATA Entry'!L51))</f>
        <v/>
      </c>
      <c r="K54" s="469" t="str">
        <f>IF('Student DATA Entry'!J51="","",UPPER('Student DATA Entry'!J51))</f>
        <v/>
      </c>
      <c r="L54" s="491"/>
      <c r="M54" s="8"/>
      <c r="N54" s="8"/>
      <c r="O54" s="9"/>
      <c r="P54" s="492"/>
      <c r="Q54" s="491"/>
      <c r="R54" s="8"/>
      <c r="S54" s="8"/>
      <c r="T54" s="9"/>
      <c r="U54" s="492"/>
      <c r="V54" s="502"/>
      <c r="W54" s="7"/>
      <c r="X54" s="8"/>
      <c r="Y54" s="8"/>
      <c r="Z54" s="9"/>
      <c r="AA54" s="492"/>
      <c r="AB54" s="491"/>
      <c r="AC54" s="8"/>
      <c r="AD54" s="8"/>
      <c r="AE54" s="9"/>
      <c r="AF54" s="492"/>
      <c r="AG54" s="491"/>
      <c r="AH54" s="8"/>
      <c r="AI54" s="8"/>
      <c r="AJ54" s="9"/>
      <c r="AK54" s="492"/>
      <c r="AL54" s="491"/>
      <c r="AM54" s="8"/>
      <c r="AN54" s="8"/>
      <c r="AO54" s="9"/>
      <c r="AP54" s="492"/>
      <c r="AQ54" s="506"/>
      <c r="AR54" s="491"/>
      <c r="AS54" s="8"/>
      <c r="AT54" s="8"/>
      <c r="AU54" s="9"/>
      <c r="AV54" s="9"/>
      <c r="AW54" s="17"/>
      <c r="AX54" s="492"/>
      <c r="AY54" s="491"/>
      <c r="AZ54" s="7"/>
      <c r="BA54" s="9"/>
      <c r="BB54" s="9"/>
      <c r="BC54" s="492"/>
      <c r="BD54" s="491"/>
      <c r="BE54" s="7"/>
      <c r="BF54" s="7"/>
      <c r="BG54" s="7"/>
      <c r="BH54" s="9"/>
      <c r="BI54" s="9"/>
      <c r="BJ54" s="492"/>
      <c r="BK54" s="491"/>
      <c r="BL54" s="7"/>
      <c r="BM54" s="7"/>
      <c r="BN54" s="7"/>
      <c r="BO54" s="7"/>
      <c r="BP54" s="7"/>
      <c r="BQ54" s="7"/>
      <c r="BR54" s="8"/>
      <c r="BS54" s="8"/>
      <c r="BT54" s="509"/>
      <c r="BU54" s="491"/>
      <c r="BV54" s="8"/>
      <c r="BW54" s="509"/>
      <c r="BX54" s="491"/>
      <c r="BY54" s="8"/>
      <c r="BZ54" s="509"/>
      <c r="CA54" s="752"/>
    </row>
    <row r="55" spans="1:79" ht="24.95" customHeight="1">
      <c r="A55" s="468">
        <f>IF('Student DATA Entry'!A52="","",'Student DATA Entry'!A52)</f>
        <v>49</v>
      </c>
      <c r="B55" s="459" t="str">
        <f>IF('Student DATA Entry'!B52="","",'Student DATA Entry'!B52)</f>
        <v/>
      </c>
      <c r="C55" s="459" t="str">
        <f>IF('Student DATA Entry'!C52="","",'Student DATA Entry'!C52)</f>
        <v/>
      </c>
      <c r="D55" s="459" t="str">
        <f>IF('Student DATA Entry'!D52="","",'Student DATA Entry'!D52)</f>
        <v/>
      </c>
      <c r="E55" s="459" t="str">
        <f>IF('Student DATA Entry'!E52="","",'Student DATA Entry'!E52)</f>
        <v/>
      </c>
      <c r="F55" s="460" t="str">
        <f>IF('Student DATA Entry'!K52="","",'Student DATA Entry'!K52)</f>
        <v/>
      </c>
      <c r="G55" s="461" t="str">
        <f>IF('Student DATA Entry'!G52="","",UPPER('Student DATA Entry'!G52))</f>
        <v/>
      </c>
      <c r="H55" s="461" t="str">
        <f>IF('Student DATA Entry'!H52="","",UPPER('Student DATA Entry'!H52))</f>
        <v/>
      </c>
      <c r="I55" s="462" t="str">
        <f>IF('Student DATA Entry'!I52="","",UPPER('Student DATA Entry'!I52))</f>
        <v/>
      </c>
      <c r="J55" s="463" t="str">
        <f>IF('Student DATA Entry'!L52="","",UPPER('Student DATA Entry'!L52))</f>
        <v/>
      </c>
      <c r="K55" s="469" t="str">
        <f>IF('Student DATA Entry'!J52="","",UPPER('Student DATA Entry'!J52))</f>
        <v/>
      </c>
      <c r="L55" s="491"/>
      <c r="M55" s="8"/>
      <c r="N55" s="8"/>
      <c r="O55" s="9"/>
      <c r="P55" s="492"/>
      <c r="Q55" s="491"/>
      <c r="R55" s="8"/>
      <c r="S55" s="8"/>
      <c r="T55" s="9"/>
      <c r="U55" s="492"/>
      <c r="V55" s="502"/>
      <c r="W55" s="7"/>
      <c r="X55" s="8"/>
      <c r="Y55" s="8"/>
      <c r="Z55" s="9"/>
      <c r="AA55" s="492"/>
      <c r="AB55" s="491"/>
      <c r="AC55" s="8"/>
      <c r="AD55" s="8"/>
      <c r="AE55" s="9"/>
      <c r="AF55" s="492"/>
      <c r="AG55" s="491"/>
      <c r="AH55" s="8"/>
      <c r="AI55" s="8"/>
      <c r="AJ55" s="9"/>
      <c r="AK55" s="492"/>
      <c r="AL55" s="491"/>
      <c r="AM55" s="8"/>
      <c r="AN55" s="8"/>
      <c r="AO55" s="9"/>
      <c r="AP55" s="492"/>
      <c r="AQ55" s="506"/>
      <c r="AR55" s="491"/>
      <c r="AS55" s="8"/>
      <c r="AT55" s="8"/>
      <c r="AU55" s="9"/>
      <c r="AV55" s="9"/>
      <c r="AW55" s="17"/>
      <c r="AX55" s="492"/>
      <c r="AY55" s="491"/>
      <c r="AZ55" s="7"/>
      <c r="BA55" s="9"/>
      <c r="BB55" s="9"/>
      <c r="BC55" s="492"/>
      <c r="BD55" s="491"/>
      <c r="BE55" s="7"/>
      <c r="BF55" s="7"/>
      <c r="BG55" s="7"/>
      <c r="BH55" s="9"/>
      <c r="BI55" s="9"/>
      <c r="BJ55" s="492"/>
      <c r="BK55" s="491"/>
      <c r="BL55" s="7"/>
      <c r="BM55" s="7"/>
      <c r="BN55" s="7"/>
      <c r="BO55" s="7"/>
      <c r="BP55" s="7"/>
      <c r="BQ55" s="7"/>
      <c r="BR55" s="8"/>
      <c r="BS55" s="8"/>
      <c r="BT55" s="509"/>
      <c r="BU55" s="491"/>
      <c r="BV55" s="8"/>
      <c r="BW55" s="509"/>
      <c r="BX55" s="491"/>
      <c r="BY55" s="8"/>
      <c r="BZ55" s="509"/>
      <c r="CA55" s="752"/>
    </row>
    <row r="56" spans="1:79" ht="24.95" customHeight="1">
      <c r="A56" s="468">
        <f>IF('Student DATA Entry'!A53="","",'Student DATA Entry'!A53)</f>
        <v>50</v>
      </c>
      <c r="B56" s="459" t="str">
        <f>IF('Student DATA Entry'!B53="","",'Student DATA Entry'!B53)</f>
        <v/>
      </c>
      <c r="C56" s="459" t="str">
        <f>IF('Student DATA Entry'!C53="","",'Student DATA Entry'!C53)</f>
        <v/>
      </c>
      <c r="D56" s="459" t="str">
        <f>IF('Student DATA Entry'!D53="","",'Student DATA Entry'!D53)</f>
        <v/>
      </c>
      <c r="E56" s="459" t="str">
        <f>IF('Student DATA Entry'!E53="","",'Student DATA Entry'!E53)</f>
        <v/>
      </c>
      <c r="F56" s="460" t="str">
        <f>IF('Student DATA Entry'!K53="","",'Student DATA Entry'!K53)</f>
        <v/>
      </c>
      <c r="G56" s="461" t="str">
        <f>IF('Student DATA Entry'!G53="","",UPPER('Student DATA Entry'!G53))</f>
        <v/>
      </c>
      <c r="H56" s="461" t="str">
        <f>IF('Student DATA Entry'!H53="","",UPPER('Student DATA Entry'!H53))</f>
        <v/>
      </c>
      <c r="I56" s="462" t="str">
        <f>IF('Student DATA Entry'!I53="","",UPPER('Student DATA Entry'!I53))</f>
        <v/>
      </c>
      <c r="J56" s="463" t="str">
        <f>IF('Student DATA Entry'!L53="","",UPPER('Student DATA Entry'!L53))</f>
        <v/>
      </c>
      <c r="K56" s="469" t="str">
        <f>IF('Student DATA Entry'!J53="","",UPPER('Student DATA Entry'!J53))</f>
        <v/>
      </c>
      <c r="L56" s="491"/>
      <c r="M56" s="8"/>
      <c r="N56" s="8"/>
      <c r="O56" s="9"/>
      <c r="P56" s="492"/>
      <c r="Q56" s="491"/>
      <c r="R56" s="8"/>
      <c r="S56" s="8"/>
      <c r="T56" s="9"/>
      <c r="U56" s="492"/>
      <c r="V56" s="502"/>
      <c r="W56" s="7"/>
      <c r="X56" s="8"/>
      <c r="Y56" s="8"/>
      <c r="Z56" s="9"/>
      <c r="AA56" s="492"/>
      <c r="AB56" s="491"/>
      <c r="AC56" s="8"/>
      <c r="AD56" s="8"/>
      <c r="AE56" s="9"/>
      <c r="AF56" s="492"/>
      <c r="AG56" s="491"/>
      <c r="AH56" s="8"/>
      <c r="AI56" s="8"/>
      <c r="AJ56" s="9"/>
      <c r="AK56" s="492"/>
      <c r="AL56" s="491"/>
      <c r="AM56" s="8"/>
      <c r="AN56" s="8"/>
      <c r="AO56" s="9"/>
      <c r="AP56" s="492"/>
      <c r="AQ56" s="506"/>
      <c r="AR56" s="491"/>
      <c r="AS56" s="8"/>
      <c r="AT56" s="8"/>
      <c r="AU56" s="9"/>
      <c r="AV56" s="9"/>
      <c r="AW56" s="17"/>
      <c r="AX56" s="492"/>
      <c r="AY56" s="491"/>
      <c r="AZ56" s="7"/>
      <c r="BA56" s="9"/>
      <c r="BB56" s="9"/>
      <c r="BC56" s="492"/>
      <c r="BD56" s="491"/>
      <c r="BE56" s="7"/>
      <c r="BF56" s="7"/>
      <c r="BG56" s="7"/>
      <c r="BH56" s="9"/>
      <c r="BI56" s="9"/>
      <c r="BJ56" s="492"/>
      <c r="BK56" s="491"/>
      <c r="BL56" s="7"/>
      <c r="BM56" s="7"/>
      <c r="BN56" s="7"/>
      <c r="BO56" s="7"/>
      <c r="BP56" s="7"/>
      <c r="BQ56" s="7"/>
      <c r="BR56" s="8"/>
      <c r="BS56" s="8"/>
      <c r="BT56" s="509"/>
      <c r="BU56" s="491"/>
      <c r="BV56" s="8"/>
      <c r="BW56" s="509"/>
      <c r="BX56" s="491"/>
      <c r="BY56" s="8"/>
      <c r="BZ56" s="509"/>
      <c r="CA56" s="752"/>
    </row>
    <row r="57" spans="1:79" ht="24.95" customHeight="1">
      <c r="A57" s="468">
        <f>IF('Student DATA Entry'!A54="","",'Student DATA Entry'!A54)</f>
        <v>51</v>
      </c>
      <c r="B57" s="459" t="str">
        <f>IF('Student DATA Entry'!B54="","",'Student DATA Entry'!B54)</f>
        <v/>
      </c>
      <c r="C57" s="459" t="str">
        <f>IF('Student DATA Entry'!C54="","",'Student DATA Entry'!C54)</f>
        <v/>
      </c>
      <c r="D57" s="459" t="str">
        <f>IF('Student DATA Entry'!D54="","",'Student DATA Entry'!D54)</f>
        <v/>
      </c>
      <c r="E57" s="459" t="str">
        <f>IF('Student DATA Entry'!E54="","",'Student DATA Entry'!E54)</f>
        <v/>
      </c>
      <c r="F57" s="460" t="str">
        <f>IF('Student DATA Entry'!K54="","",'Student DATA Entry'!K54)</f>
        <v/>
      </c>
      <c r="G57" s="461" t="str">
        <f>IF('Student DATA Entry'!G54="","",UPPER('Student DATA Entry'!G54))</f>
        <v/>
      </c>
      <c r="H57" s="461" t="str">
        <f>IF('Student DATA Entry'!H54="","",UPPER('Student DATA Entry'!H54))</f>
        <v/>
      </c>
      <c r="I57" s="462" t="str">
        <f>IF('Student DATA Entry'!I54="","",UPPER('Student DATA Entry'!I54))</f>
        <v/>
      </c>
      <c r="J57" s="463" t="str">
        <f>IF('Student DATA Entry'!L54="","",UPPER('Student DATA Entry'!L54))</f>
        <v/>
      </c>
      <c r="K57" s="469" t="str">
        <f>IF('Student DATA Entry'!J54="","",UPPER('Student DATA Entry'!J54))</f>
        <v/>
      </c>
      <c r="L57" s="491"/>
      <c r="M57" s="8"/>
      <c r="N57" s="8"/>
      <c r="O57" s="9"/>
      <c r="P57" s="492"/>
      <c r="Q57" s="491"/>
      <c r="R57" s="8"/>
      <c r="S57" s="8"/>
      <c r="T57" s="9"/>
      <c r="U57" s="492"/>
      <c r="V57" s="502"/>
      <c r="W57" s="7"/>
      <c r="X57" s="8"/>
      <c r="Y57" s="8"/>
      <c r="Z57" s="9"/>
      <c r="AA57" s="492"/>
      <c r="AB57" s="491"/>
      <c r="AC57" s="8"/>
      <c r="AD57" s="8"/>
      <c r="AE57" s="9"/>
      <c r="AF57" s="492"/>
      <c r="AG57" s="491"/>
      <c r="AH57" s="8"/>
      <c r="AI57" s="8"/>
      <c r="AJ57" s="9"/>
      <c r="AK57" s="492"/>
      <c r="AL57" s="491"/>
      <c r="AM57" s="8"/>
      <c r="AN57" s="8"/>
      <c r="AO57" s="9"/>
      <c r="AP57" s="492"/>
      <c r="AQ57" s="506"/>
      <c r="AR57" s="491"/>
      <c r="AS57" s="8"/>
      <c r="AT57" s="8"/>
      <c r="AU57" s="9"/>
      <c r="AV57" s="9"/>
      <c r="AW57" s="17"/>
      <c r="AX57" s="492"/>
      <c r="AY57" s="491"/>
      <c r="AZ57" s="7"/>
      <c r="BA57" s="9"/>
      <c r="BB57" s="9"/>
      <c r="BC57" s="492"/>
      <c r="BD57" s="491"/>
      <c r="BE57" s="7"/>
      <c r="BF57" s="7"/>
      <c r="BG57" s="7"/>
      <c r="BH57" s="9"/>
      <c r="BI57" s="9"/>
      <c r="BJ57" s="492"/>
      <c r="BK57" s="491"/>
      <c r="BL57" s="7"/>
      <c r="BM57" s="7"/>
      <c r="BN57" s="7"/>
      <c r="BO57" s="7"/>
      <c r="BP57" s="7"/>
      <c r="BQ57" s="7"/>
      <c r="BR57" s="8"/>
      <c r="BS57" s="8"/>
      <c r="BT57" s="509"/>
      <c r="BU57" s="491"/>
      <c r="BV57" s="8"/>
      <c r="BW57" s="509"/>
      <c r="BX57" s="491"/>
      <c r="BY57" s="8"/>
      <c r="BZ57" s="509"/>
      <c r="CA57" s="752"/>
    </row>
    <row r="58" spans="1:79" ht="24.95" customHeight="1">
      <c r="A58" s="468">
        <f>IF('Student DATA Entry'!A55="","",'Student DATA Entry'!A55)</f>
        <v>52</v>
      </c>
      <c r="B58" s="459" t="str">
        <f>IF('Student DATA Entry'!B55="","",'Student DATA Entry'!B55)</f>
        <v/>
      </c>
      <c r="C58" s="459" t="str">
        <f>IF('Student DATA Entry'!C55="","",'Student DATA Entry'!C55)</f>
        <v/>
      </c>
      <c r="D58" s="459" t="str">
        <f>IF('Student DATA Entry'!D55="","",'Student DATA Entry'!D55)</f>
        <v/>
      </c>
      <c r="E58" s="459" t="str">
        <f>IF('Student DATA Entry'!E55="","",'Student DATA Entry'!E55)</f>
        <v/>
      </c>
      <c r="F58" s="460" t="str">
        <f>IF('Student DATA Entry'!K55="","",'Student DATA Entry'!K55)</f>
        <v/>
      </c>
      <c r="G58" s="461" t="str">
        <f>IF('Student DATA Entry'!G55="","",UPPER('Student DATA Entry'!G55))</f>
        <v/>
      </c>
      <c r="H58" s="461" t="str">
        <f>IF('Student DATA Entry'!H55="","",UPPER('Student DATA Entry'!H55))</f>
        <v/>
      </c>
      <c r="I58" s="462" t="str">
        <f>IF('Student DATA Entry'!I55="","",UPPER('Student DATA Entry'!I55))</f>
        <v/>
      </c>
      <c r="J58" s="463" t="str">
        <f>IF('Student DATA Entry'!L55="","",UPPER('Student DATA Entry'!L55))</f>
        <v/>
      </c>
      <c r="K58" s="469" t="str">
        <f>IF('Student DATA Entry'!J55="","",UPPER('Student DATA Entry'!J55))</f>
        <v/>
      </c>
      <c r="L58" s="491"/>
      <c r="M58" s="8"/>
      <c r="N58" s="8"/>
      <c r="O58" s="9"/>
      <c r="P58" s="492"/>
      <c r="Q58" s="491"/>
      <c r="R58" s="8"/>
      <c r="S58" s="8"/>
      <c r="T58" s="9"/>
      <c r="U58" s="492"/>
      <c r="V58" s="502"/>
      <c r="W58" s="7"/>
      <c r="X58" s="8"/>
      <c r="Y58" s="8"/>
      <c r="Z58" s="9"/>
      <c r="AA58" s="492"/>
      <c r="AB58" s="491"/>
      <c r="AC58" s="8"/>
      <c r="AD58" s="8"/>
      <c r="AE58" s="9"/>
      <c r="AF58" s="492"/>
      <c r="AG58" s="491"/>
      <c r="AH58" s="8"/>
      <c r="AI58" s="8"/>
      <c r="AJ58" s="9"/>
      <c r="AK58" s="492"/>
      <c r="AL58" s="491"/>
      <c r="AM58" s="8"/>
      <c r="AN58" s="8"/>
      <c r="AO58" s="9"/>
      <c r="AP58" s="492"/>
      <c r="AQ58" s="506"/>
      <c r="AR58" s="491"/>
      <c r="AS58" s="8"/>
      <c r="AT58" s="8"/>
      <c r="AU58" s="9"/>
      <c r="AV58" s="9"/>
      <c r="AW58" s="17"/>
      <c r="AX58" s="492"/>
      <c r="AY58" s="491"/>
      <c r="AZ58" s="7"/>
      <c r="BA58" s="9"/>
      <c r="BB58" s="9"/>
      <c r="BC58" s="492"/>
      <c r="BD58" s="491"/>
      <c r="BE58" s="7"/>
      <c r="BF58" s="7"/>
      <c r="BG58" s="7"/>
      <c r="BH58" s="9"/>
      <c r="BI58" s="9"/>
      <c r="BJ58" s="492"/>
      <c r="BK58" s="491"/>
      <c r="BL58" s="7"/>
      <c r="BM58" s="7"/>
      <c r="BN58" s="7"/>
      <c r="BO58" s="7"/>
      <c r="BP58" s="7"/>
      <c r="BQ58" s="7"/>
      <c r="BR58" s="8"/>
      <c r="BS58" s="8"/>
      <c r="BT58" s="509"/>
      <c r="BU58" s="491"/>
      <c r="BV58" s="8"/>
      <c r="BW58" s="509"/>
      <c r="BX58" s="491"/>
      <c r="BY58" s="8"/>
      <c r="BZ58" s="509"/>
      <c r="CA58" s="752"/>
    </row>
    <row r="59" spans="1:79" ht="24.95" customHeight="1">
      <c r="A59" s="468">
        <f>IF('Student DATA Entry'!A56="","",'Student DATA Entry'!A56)</f>
        <v>53</v>
      </c>
      <c r="B59" s="459" t="str">
        <f>IF('Student DATA Entry'!B56="","",'Student DATA Entry'!B56)</f>
        <v/>
      </c>
      <c r="C59" s="459" t="str">
        <f>IF('Student DATA Entry'!C56="","",'Student DATA Entry'!C56)</f>
        <v/>
      </c>
      <c r="D59" s="459" t="str">
        <f>IF('Student DATA Entry'!D56="","",'Student DATA Entry'!D56)</f>
        <v/>
      </c>
      <c r="E59" s="459" t="str">
        <f>IF('Student DATA Entry'!E56="","",'Student DATA Entry'!E56)</f>
        <v/>
      </c>
      <c r="F59" s="460" t="str">
        <f>IF('Student DATA Entry'!K56="","",'Student DATA Entry'!K56)</f>
        <v/>
      </c>
      <c r="G59" s="461" t="str">
        <f>IF('Student DATA Entry'!G56="","",UPPER('Student DATA Entry'!G56))</f>
        <v/>
      </c>
      <c r="H59" s="461" t="str">
        <f>IF('Student DATA Entry'!H56="","",UPPER('Student DATA Entry'!H56))</f>
        <v/>
      </c>
      <c r="I59" s="462" t="str">
        <f>IF('Student DATA Entry'!I56="","",UPPER('Student DATA Entry'!I56))</f>
        <v/>
      </c>
      <c r="J59" s="463" t="str">
        <f>IF('Student DATA Entry'!L56="","",UPPER('Student DATA Entry'!L56))</f>
        <v/>
      </c>
      <c r="K59" s="469" t="str">
        <f>IF('Student DATA Entry'!J56="","",UPPER('Student DATA Entry'!J56))</f>
        <v/>
      </c>
      <c r="L59" s="491"/>
      <c r="M59" s="8"/>
      <c r="N59" s="8"/>
      <c r="O59" s="9"/>
      <c r="P59" s="492"/>
      <c r="Q59" s="491"/>
      <c r="R59" s="8"/>
      <c r="S59" s="8"/>
      <c r="T59" s="9"/>
      <c r="U59" s="492"/>
      <c r="V59" s="502"/>
      <c r="W59" s="7"/>
      <c r="X59" s="8"/>
      <c r="Y59" s="8"/>
      <c r="Z59" s="9"/>
      <c r="AA59" s="492"/>
      <c r="AB59" s="491"/>
      <c r="AC59" s="8"/>
      <c r="AD59" s="8"/>
      <c r="AE59" s="9"/>
      <c r="AF59" s="492"/>
      <c r="AG59" s="491"/>
      <c r="AH59" s="8"/>
      <c r="AI59" s="8"/>
      <c r="AJ59" s="9"/>
      <c r="AK59" s="492"/>
      <c r="AL59" s="491"/>
      <c r="AM59" s="8"/>
      <c r="AN59" s="8"/>
      <c r="AO59" s="9"/>
      <c r="AP59" s="492"/>
      <c r="AQ59" s="506"/>
      <c r="AR59" s="491"/>
      <c r="AS59" s="8"/>
      <c r="AT59" s="8"/>
      <c r="AU59" s="9"/>
      <c r="AV59" s="9"/>
      <c r="AW59" s="17"/>
      <c r="AX59" s="492"/>
      <c r="AY59" s="491"/>
      <c r="AZ59" s="7"/>
      <c r="BA59" s="9"/>
      <c r="BB59" s="9"/>
      <c r="BC59" s="492"/>
      <c r="BD59" s="491"/>
      <c r="BE59" s="7"/>
      <c r="BF59" s="7"/>
      <c r="BG59" s="7"/>
      <c r="BH59" s="9"/>
      <c r="BI59" s="9"/>
      <c r="BJ59" s="492"/>
      <c r="BK59" s="491"/>
      <c r="BL59" s="7"/>
      <c r="BM59" s="7"/>
      <c r="BN59" s="7"/>
      <c r="BO59" s="7"/>
      <c r="BP59" s="7"/>
      <c r="BQ59" s="7"/>
      <c r="BR59" s="8"/>
      <c r="BS59" s="8"/>
      <c r="BT59" s="509"/>
      <c r="BU59" s="491"/>
      <c r="BV59" s="8"/>
      <c r="BW59" s="509"/>
      <c r="BX59" s="491"/>
      <c r="BY59" s="8"/>
      <c r="BZ59" s="509"/>
      <c r="CA59" s="752"/>
    </row>
    <row r="60" spans="1:79" ht="24.95" customHeight="1">
      <c r="A60" s="468">
        <f>IF('Student DATA Entry'!A57="","",'Student DATA Entry'!A57)</f>
        <v>54</v>
      </c>
      <c r="B60" s="459" t="str">
        <f>IF('Student DATA Entry'!B57="","",'Student DATA Entry'!B57)</f>
        <v/>
      </c>
      <c r="C60" s="459" t="str">
        <f>IF('Student DATA Entry'!C57="","",'Student DATA Entry'!C57)</f>
        <v/>
      </c>
      <c r="D60" s="459" t="str">
        <f>IF('Student DATA Entry'!D57="","",'Student DATA Entry'!D57)</f>
        <v/>
      </c>
      <c r="E60" s="459" t="str">
        <f>IF('Student DATA Entry'!E57="","",'Student DATA Entry'!E57)</f>
        <v/>
      </c>
      <c r="F60" s="460" t="str">
        <f>IF('Student DATA Entry'!K57="","",'Student DATA Entry'!K57)</f>
        <v/>
      </c>
      <c r="G60" s="461" t="str">
        <f>IF('Student DATA Entry'!G57="","",UPPER('Student DATA Entry'!G57))</f>
        <v/>
      </c>
      <c r="H60" s="461" t="str">
        <f>IF('Student DATA Entry'!H57="","",UPPER('Student DATA Entry'!H57))</f>
        <v/>
      </c>
      <c r="I60" s="462" t="str">
        <f>IF('Student DATA Entry'!I57="","",UPPER('Student DATA Entry'!I57))</f>
        <v/>
      </c>
      <c r="J60" s="463" t="str">
        <f>IF('Student DATA Entry'!L57="","",UPPER('Student DATA Entry'!L57))</f>
        <v/>
      </c>
      <c r="K60" s="469" t="str">
        <f>IF('Student DATA Entry'!J57="","",UPPER('Student DATA Entry'!J57))</f>
        <v/>
      </c>
      <c r="L60" s="491"/>
      <c r="M60" s="8"/>
      <c r="N60" s="8"/>
      <c r="O60" s="9"/>
      <c r="P60" s="492"/>
      <c r="Q60" s="491"/>
      <c r="R60" s="8"/>
      <c r="S60" s="8"/>
      <c r="T60" s="9"/>
      <c r="U60" s="492"/>
      <c r="V60" s="502"/>
      <c r="W60" s="7"/>
      <c r="X60" s="8"/>
      <c r="Y60" s="8"/>
      <c r="Z60" s="9"/>
      <c r="AA60" s="492"/>
      <c r="AB60" s="491"/>
      <c r="AC60" s="8"/>
      <c r="AD60" s="8"/>
      <c r="AE60" s="9"/>
      <c r="AF60" s="492"/>
      <c r="AG60" s="491"/>
      <c r="AH60" s="8"/>
      <c r="AI60" s="8"/>
      <c r="AJ60" s="9"/>
      <c r="AK60" s="492"/>
      <c r="AL60" s="491"/>
      <c r="AM60" s="8"/>
      <c r="AN60" s="8"/>
      <c r="AO60" s="9"/>
      <c r="AP60" s="492"/>
      <c r="AQ60" s="506"/>
      <c r="AR60" s="491"/>
      <c r="AS60" s="8"/>
      <c r="AT60" s="8"/>
      <c r="AU60" s="9"/>
      <c r="AV60" s="9"/>
      <c r="AW60" s="17"/>
      <c r="AX60" s="492"/>
      <c r="AY60" s="491"/>
      <c r="AZ60" s="7"/>
      <c r="BA60" s="9"/>
      <c r="BB60" s="9"/>
      <c r="BC60" s="492"/>
      <c r="BD60" s="491"/>
      <c r="BE60" s="7"/>
      <c r="BF60" s="7"/>
      <c r="BG60" s="7"/>
      <c r="BH60" s="9"/>
      <c r="BI60" s="9"/>
      <c r="BJ60" s="492"/>
      <c r="BK60" s="491"/>
      <c r="BL60" s="7"/>
      <c r="BM60" s="7"/>
      <c r="BN60" s="7"/>
      <c r="BO60" s="7"/>
      <c r="BP60" s="7"/>
      <c r="BQ60" s="7"/>
      <c r="BR60" s="8"/>
      <c r="BS60" s="8"/>
      <c r="BT60" s="509"/>
      <c r="BU60" s="491"/>
      <c r="BV60" s="8"/>
      <c r="BW60" s="509"/>
      <c r="BX60" s="491"/>
      <c r="BY60" s="8"/>
      <c r="BZ60" s="509"/>
      <c r="CA60" s="752"/>
    </row>
    <row r="61" spans="1:79" ht="24.95" customHeight="1">
      <c r="A61" s="468">
        <f>IF('Student DATA Entry'!A58="","",'Student DATA Entry'!A58)</f>
        <v>55</v>
      </c>
      <c r="B61" s="459" t="str">
        <f>IF('Student DATA Entry'!B58="","",'Student DATA Entry'!B58)</f>
        <v/>
      </c>
      <c r="C61" s="459" t="str">
        <f>IF('Student DATA Entry'!C58="","",'Student DATA Entry'!C58)</f>
        <v/>
      </c>
      <c r="D61" s="459" t="str">
        <f>IF('Student DATA Entry'!D58="","",'Student DATA Entry'!D58)</f>
        <v/>
      </c>
      <c r="E61" s="459" t="str">
        <f>IF('Student DATA Entry'!E58="","",'Student DATA Entry'!E58)</f>
        <v/>
      </c>
      <c r="F61" s="460" t="str">
        <f>IF('Student DATA Entry'!K58="","",'Student DATA Entry'!K58)</f>
        <v/>
      </c>
      <c r="G61" s="461" t="str">
        <f>IF('Student DATA Entry'!G58="","",UPPER('Student DATA Entry'!G58))</f>
        <v/>
      </c>
      <c r="H61" s="461" t="str">
        <f>IF('Student DATA Entry'!H58="","",UPPER('Student DATA Entry'!H58))</f>
        <v/>
      </c>
      <c r="I61" s="462" t="str">
        <f>IF('Student DATA Entry'!I58="","",UPPER('Student DATA Entry'!I58))</f>
        <v/>
      </c>
      <c r="J61" s="463" t="str">
        <f>IF('Student DATA Entry'!L58="","",UPPER('Student DATA Entry'!L58))</f>
        <v/>
      </c>
      <c r="K61" s="469" t="str">
        <f>IF('Student DATA Entry'!J58="","",UPPER('Student DATA Entry'!J58))</f>
        <v/>
      </c>
      <c r="L61" s="491"/>
      <c r="M61" s="8"/>
      <c r="N61" s="8"/>
      <c r="O61" s="9"/>
      <c r="P61" s="492"/>
      <c r="Q61" s="491"/>
      <c r="R61" s="8"/>
      <c r="S61" s="8"/>
      <c r="T61" s="9"/>
      <c r="U61" s="492"/>
      <c r="V61" s="502"/>
      <c r="W61" s="7"/>
      <c r="X61" s="8"/>
      <c r="Y61" s="8"/>
      <c r="Z61" s="9"/>
      <c r="AA61" s="492"/>
      <c r="AB61" s="491"/>
      <c r="AC61" s="8"/>
      <c r="AD61" s="8"/>
      <c r="AE61" s="9"/>
      <c r="AF61" s="492"/>
      <c r="AG61" s="491"/>
      <c r="AH61" s="8"/>
      <c r="AI61" s="8"/>
      <c r="AJ61" s="9"/>
      <c r="AK61" s="492"/>
      <c r="AL61" s="491"/>
      <c r="AM61" s="8"/>
      <c r="AN61" s="8"/>
      <c r="AO61" s="9"/>
      <c r="AP61" s="492"/>
      <c r="AQ61" s="506"/>
      <c r="AR61" s="491"/>
      <c r="AS61" s="8"/>
      <c r="AT61" s="8"/>
      <c r="AU61" s="9"/>
      <c r="AV61" s="9"/>
      <c r="AW61" s="17"/>
      <c r="AX61" s="492"/>
      <c r="AY61" s="491"/>
      <c r="AZ61" s="7"/>
      <c r="BA61" s="9"/>
      <c r="BB61" s="9"/>
      <c r="BC61" s="492"/>
      <c r="BD61" s="491"/>
      <c r="BE61" s="7"/>
      <c r="BF61" s="7"/>
      <c r="BG61" s="7"/>
      <c r="BH61" s="9"/>
      <c r="BI61" s="9"/>
      <c r="BJ61" s="492"/>
      <c r="BK61" s="491"/>
      <c r="BL61" s="7"/>
      <c r="BM61" s="7"/>
      <c r="BN61" s="7"/>
      <c r="BO61" s="7"/>
      <c r="BP61" s="7"/>
      <c r="BQ61" s="7"/>
      <c r="BR61" s="8"/>
      <c r="BS61" s="8"/>
      <c r="BT61" s="509"/>
      <c r="BU61" s="491"/>
      <c r="BV61" s="8"/>
      <c r="BW61" s="509"/>
      <c r="BX61" s="491"/>
      <c r="BY61" s="8"/>
      <c r="BZ61" s="509"/>
      <c r="CA61" s="752"/>
    </row>
    <row r="62" spans="1:79" ht="24.95" customHeight="1">
      <c r="A62" s="468">
        <f>IF('Student DATA Entry'!A59="","",'Student DATA Entry'!A59)</f>
        <v>56</v>
      </c>
      <c r="B62" s="459" t="str">
        <f>IF('Student DATA Entry'!B59="","",'Student DATA Entry'!B59)</f>
        <v/>
      </c>
      <c r="C62" s="459" t="str">
        <f>IF('Student DATA Entry'!C59="","",'Student DATA Entry'!C59)</f>
        <v/>
      </c>
      <c r="D62" s="459" t="str">
        <f>IF('Student DATA Entry'!D59="","",'Student DATA Entry'!D59)</f>
        <v/>
      </c>
      <c r="E62" s="459" t="str">
        <f>IF('Student DATA Entry'!E59="","",'Student DATA Entry'!E59)</f>
        <v/>
      </c>
      <c r="F62" s="460" t="str">
        <f>IF('Student DATA Entry'!K59="","",'Student DATA Entry'!K59)</f>
        <v/>
      </c>
      <c r="G62" s="461" t="str">
        <f>IF('Student DATA Entry'!G59="","",UPPER('Student DATA Entry'!G59))</f>
        <v/>
      </c>
      <c r="H62" s="461" t="str">
        <f>IF('Student DATA Entry'!H59="","",UPPER('Student DATA Entry'!H59))</f>
        <v/>
      </c>
      <c r="I62" s="462" t="str">
        <f>IF('Student DATA Entry'!I59="","",UPPER('Student DATA Entry'!I59))</f>
        <v/>
      </c>
      <c r="J62" s="463" t="str">
        <f>IF('Student DATA Entry'!L59="","",UPPER('Student DATA Entry'!L59))</f>
        <v/>
      </c>
      <c r="K62" s="469" t="str">
        <f>IF('Student DATA Entry'!J59="","",UPPER('Student DATA Entry'!J59))</f>
        <v/>
      </c>
      <c r="L62" s="491"/>
      <c r="M62" s="8"/>
      <c r="N62" s="8"/>
      <c r="O62" s="9"/>
      <c r="P62" s="492"/>
      <c r="Q62" s="491"/>
      <c r="R62" s="8"/>
      <c r="S62" s="8"/>
      <c r="T62" s="9"/>
      <c r="U62" s="492"/>
      <c r="V62" s="502"/>
      <c r="W62" s="7"/>
      <c r="X62" s="8"/>
      <c r="Y62" s="8"/>
      <c r="Z62" s="9"/>
      <c r="AA62" s="492"/>
      <c r="AB62" s="491"/>
      <c r="AC62" s="8"/>
      <c r="AD62" s="8"/>
      <c r="AE62" s="9"/>
      <c r="AF62" s="492"/>
      <c r="AG62" s="491"/>
      <c r="AH62" s="8"/>
      <c r="AI62" s="8"/>
      <c r="AJ62" s="9"/>
      <c r="AK62" s="492"/>
      <c r="AL62" s="491"/>
      <c r="AM62" s="8"/>
      <c r="AN62" s="8"/>
      <c r="AO62" s="9"/>
      <c r="AP62" s="492"/>
      <c r="AQ62" s="506"/>
      <c r="AR62" s="491"/>
      <c r="AS62" s="8"/>
      <c r="AT62" s="8"/>
      <c r="AU62" s="9"/>
      <c r="AV62" s="9"/>
      <c r="AW62" s="17"/>
      <c r="AX62" s="492"/>
      <c r="AY62" s="491"/>
      <c r="AZ62" s="7"/>
      <c r="BA62" s="9"/>
      <c r="BB62" s="9"/>
      <c r="BC62" s="492"/>
      <c r="BD62" s="491"/>
      <c r="BE62" s="7"/>
      <c r="BF62" s="7"/>
      <c r="BG62" s="7"/>
      <c r="BH62" s="9"/>
      <c r="BI62" s="9"/>
      <c r="BJ62" s="492"/>
      <c r="BK62" s="491"/>
      <c r="BL62" s="7"/>
      <c r="BM62" s="7"/>
      <c r="BN62" s="7"/>
      <c r="BO62" s="7"/>
      <c r="BP62" s="7"/>
      <c r="BQ62" s="7"/>
      <c r="BR62" s="8"/>
      <c r="BS62" s="8"/>
      <c r="BT62" s="509"/>
      <c r="BU62" s="491"/>
      <c r="BV62" s="8"/>
      <c r="BW62" s="509"/>
      <c r="BX62" s="491"/>
      <c r="BY62" s="8"/>
      <c r="BZ62" s="509"/>
      <c r="CA62" s="752"/>
    </row>
    <row r="63" spans="1:79" ht="24.95" customHeight="1">
      <c r="A63" s="468">
        <f>IF('Student DATA Entry'!A60="","",'Student DATA Entry'!A60)</f>
        <v>57</v>
      </c>
      <c r="B63" s="459" t="str">
        <f>IF('Student DATA Entry'!B60="","",'Student DATA Entry'!B60)</f>
        <v/>
      </c>
      <c r="C63" s="459" t="str">
        <f>IF('Student DATA Entry'!C60="","",'Student DATA Entry'!C60)</f>
        <v/>
      </c>
      <c r="D63" s="459" t="str">
        <f>IF('Student DATA Entry'!D60="","",'Student DATA Entry'!D60)</f>
        <v/>
      </c>
      <c r="E63" s="459" t="str">
        <f>IF('Student DATA Entry'!E60="","",'Student DATA Entry'!E60)</f>
        <v/>
      </c>
      <c r="F63" s="460" t="str">
        <f>IF('Student DATA Entry'!K60="","",'Student DATA Entry'!K60)</f>
        <v/>
      </c>
      <c r="G63" s="461" t="str">
        <f>IF('Student DATA Entry'!G60="","",UPPER('Student DATA Entry'!G60))</f>
        <v/>
      </c>
      <c r="H63" s="461" t="str">
        <f>IF('Student DATA Entry'!H60="","",UPPER('Student DATA Entry'!H60))</f>
        <v/>
      </c>
      <c r="I63" s="462" t="str">
        <f>IF('Student DATA Entry'!I60="","",UPPER('Student DATA Entry'!I60))</f>
        <v/>
      </c>
      <c r="J63" s="463" t="str">
        <f>IF('Student DATA Entry'!L60="","",UPPER('Student DATA Entry'!L60))</f>
        <v/>
      </c>
      <c r="K63" s="469" t="str">
        <f>IF('Student DATA Entry'!J60="","",UPPER('Student DATA Entry'!J60))</f>
        <v/>
      </c>
      <c r="L63" s="491"/>
      <c r="M63" s="8"/>
      <c r="N63" s="8"/>
      <c r="O63" s="9"/>
      <c r="P63" s="492"/>
      <c r="Q63" s="491"/>
      <c r="R63" s="8"/>
      <c r="S63" s="8"/>
      <c r="T63" s="9"/>
      <c r="U63" s="492"/>
      <c r="V63" s="502"/>
      <c r="W63" s="7"/>
      <c r="X63" s="8"/>
      <c r="Y63" s="8"/>
      <c r="Z63" s="9"/>
      <c r="AA63" s="492"/>
      <c r="AB63" s="491"/>
      <c r="AC63" s="8"/>
      <c r="AD63" s="8"/>
      <c r="AE63" s="9"/>
      <c r="AF63" s="492"/>
      <c r="AG63" s="491"/>
      <c r="AH63" s="8"/>
      <c r="AI63" s="8"/>
      <c r="AJ63" s="9"/>
      <c r="AK63" s="492"/>
      <c r="AL63" s="491"/>
      <c r="AM63" s="8"/>
      <c r="AN63" s="8"/>
      <c r="AO63" s="9"/>
      <c r="AP63" s="492"/>
      <c r="AQ63" s="506"/>
      <c r="AR63" s="491"/>
      <c r="AS63" s="8"/>
      <c r="AT63" s="8"/>
      <c r="AU63" s="9"/>
      <c r="AV63" s="9"/>
      <c r="AW63" s="17"/>
      <c r="AX63" s="492"/>
      <c r="AY63" s="491"/>
      <c r="AZ63" s="7"/>
      <c r="BA63" s="9"/>
      <c r="BB63" s="9"/>
      <c r="BC63" s="492"/>
      <c r="BD63" s="491"/>
      <c r="BE63" s="7"/>
      <c r="BF63" s="7"/>
      <c r="BG63" s="7"/>
      <c r="BH63" s="9"/>
      <c r="BI63" s="9"/>
      <c r="BJ63" s="492"/>
      <c r="BK63" s="491"/>
      <c r="BL63" s="7"/>
      <c r="BM63" s="7"/>
      <c r="BN63" s="7"/>
      <c r="BO63" s="7"/>
      <c r="BP63" s="7"/>
      <c r="BQ63" s="7"/>
      <c r="BR63" s="8"/>
      <c r="BS63" s="8"/>
      <c r="BT63" s="509"/>
      <c r="BU63" s="491"/>
      <c r="BV63" s="8"/>
      <c r="BW63" s="509"/>
      <c r="BX63" s="491"/>
      <c r="BY63" s="8"/>
      <c r="BZ63" s="509"/>
      <c r="CA63" s="752"/>
    </row>
    <row r="64" spans="1:79" ht="24.95" customHeight="1">
      <c r="A64" s="468">
        <f>IF('Student DATA Entry'!A61="","",'Student DATA Entry'!A61)</f>
        <v>58</v>
      </c>
      <c r="B64" s="459" t="str">
        <f>IF('Student DATA Entry'!B61="","",'Student DATA Entry'!B61)</f>
        <v/>
      </c>
      <c r="C64" s="459" t="str">
        <f>IF('Student DATA Entry'!C61="","",'Student DATA Entry'!C61)</f>
        <v/>
      </c>
      <c r="D64" s="459" t="str">
        <f>IF('Student DATA Entry'!D61="","",'Student DATA Entry'!D61)</f>
        <v/>
      </c>
      <c r="E64" s="459" t="str">
        <f>IF('Student DATA Entry'!E61="","",'Student DATA Entry'!E61)</f>
        <v/>
      </c>
      <c r="F64" s="460" t="str">
        <f>IF('Student DATA Entry'!K61="","",'Student DATA Entry'!K61)</f>
        <v/>
      </c>
      <c r="G64" s="461" t="str">
        <f>IF('Student DATA Entry'!G61="","",UPPER('Student DATA Entry'!G61))</f>
        <v/>
      </c>
      <c r="H64" s="461" t="str">
        <f>IF('Student DATA Entry'!H61="","",UPPER('Student DATA Entry'!H61))</f>
        <v/>
      </c>
      <c r="I64" s="462" t="str">
        <f>IF('Student DATA Entry'!I61="","",UPPER('Student DATA Entry'!I61))</f>
        <v/>
      </c>
      <c r="J64" s="463" t="str">
        <f>IF('Student DATA Entry'!L61="","",UPPER('Student DATA Entry'!L61))</f>
        <v/>
      </c>
      <c r="K64" s="469" t="str">
        <f>IF('Student DATA Entry'!J61="","",UPPER('Student DATA Entry'!J61))</f>
        <v/>
      </c>
      <c r="L64" s="491"/>
      <c r="M64" s="8"/>
      <c r="N64" s="8"/>
      <c r="O64" s="9"/>
      <c r="P64" s="492"/>
      <c r="Q64" s="491"/>
      <c r="R64" s="8"/>
      <c r="S64" s="8"/>
      <c r="T64" s="9"/>
      <c r="U64" s="492"/>
      <c r="V64" s="502"/>
      <c r="W64" s="7"/>
      <c r="X64" s="8"/>
      <c r="Y64" s="8"/>
      <c r="Z64" s="9"/>
      <c r="AA64" s="492"/>
      <c r="AB64" s="491"/>
      <c r="AC64" s="8"/>
      <c r="AD64" s="8"/>
      <c r="AE64" s="9"/>
      <c r="AF64" s="492"/>
      <c r="AG64" s="491"/>
      <c r="AH64" s="8"/>
      <c r="AI64" s="8"/>
      <c r="AJ64" s="9"/>
      <c r="AK64" s="492"/>
      <c r="AL64" s="491"/>
      <c r="AM64" s="8"/>
      <c r="AN64" s="8"/>
      <c r="AO64" s="9"/>
      <c r="AP64" s="492"/>
      <c r="AQ64" s="506"/>
      <c r="AR64" s="491"/>
      <c r="AS64" s="8"/>
      <c r="AT64" s="8"/>
      <c r="AU64" s="9"/>
      <c r="AV64" s="9"/>
      <c r="AW64" s="17"/>
      <c r="AX64" s="492"/>
      <c r="AY64" s="491"/>
      <c r="AZ64" s="7"/>
      <c r="BA64" s="9"/>
      <c r="BB64" s="9"/>
      <c r="BC64" s="492"/>
      <c r="BD64" s="491"/>
      <c r="BE64" s="7"/>
      <c r="BF64" s="7"/>
      <c r="BG64" s="7"/>
      <c r="BH64" s="9"/>
      <c r="BI64" s="9"/>
      <c r="BJ64" s="492"/>
      <c r="BK64" s="491"/>
      <c r="BL64" s="7"/>
      <c r="BM64" s="7"/>
      <c r="BN64" s="7"/>
      <c r="BO64" s="7"/>
      <c r="BP64" s="7"/>
      <c r="BQ64" s="7"/>
      <c r="BR64" s="8"/>
      <c r="BS64" s="8"/>
      <c r="BT64" s="509"/>
      <c r="BU64" s="491"/>
      <c r="BV64" s="8"/>
      <c r="BW64" s="509"/>
      <c r="BX64" s="491"/>
      <c r="BY64" s="8"/>
      <c r="BZ64" s="509"/>
      <c r="CA64" s="752"/>
    </row>
    <row r="65" spans="1:79" ht="24.95" customHeight="1">
      <c r="A65" s="468">
        <f>IF('Student DATA Entry'!A62="","",'Student DATA Entry'!A62)</f>
        <v>59</v>
      </c>
      <c r="B65" s="459" t="str">
        <f>IF('Student DATA Entry'!B62="","",'Student DATA Entry'!B62)</f>
        <v/>
      </c>
      <c r="C65" s="459" t="str">
        <f>IF('Student DATA Entry'!C62="","",'Student DATA Entry'!C62)</f>
        <v/>
      </c>
      <c r="D65" s="459" t="str">
        <f>IF('Student DATA Entry'!D62="","",'Student DATA Entry'!D62)</f>
        <v/>
      </c>
      <c r="E65" s="459" t="str">
        <f>IF('Student DATA Entry'!E62="","",'Student DATA Entry'!E62)</f>
        <v/>
      </c>
      <c r="F65" s="460" t="str">
        <f>IF('Student DATA Entry'!K62="","",'Student DATA Entry'!K62)</f>
        <v/>
      </c>
      <c r="G65" s="461" t="str">
        <f>IF('Student DATA Entry'!G62="","",UPPER('Student DATA Entry'!G62))</f>
        <v/>
      </c>
      <c r="H65" s="461" t="str">
        <f>IF('Student DATA Entry'!H62="","",UPPER('Student DATA Entry'!H62))</f>
        <v/>
      </c>
      <c r="I65" s="462" t="str">
        <f>IF('Student DATA Entry'!I62="","",UPPER('Student DATA Entry'!I62))</f>
        <v/>
      </c>
      <c r="J65" s="463" t="str">
        <f>IF('Student DATA Entry'!L62="","",UPPER('Student DATA Entry'!L62))</f>
        <v/>
      </c>
      <c r="K65" s="469" t="str">
        <f>IF('Student DATA Entry'!J62="","",UPPER('Student DATA Entry'!J62))</f>
        <v/>
      </c>
      <c r="L65" s="491"/>
      <c r="M65" s="8"/>
      <c r="N65" s="8"/>
      <c r="O65" s="9"/>
      <c r="P65" s="492"/>
      <c r="Q65" s="491"/>
      <c r="R65" s="8"/>
      <c r="S65" s="8"/>
      <c r="T65" s="9"/>
      <c r="U65" s="492"/>
      <c r="V65" s="502"/>
      <c r="W65" s="7"/>
      <c r="X65" s="8"/>
      <c r="Y65" s="8"/>
      <c r="Z65" s="9"/>
      <c r="AA65" s="492"/>
      <c r="AB65" s="491"/>
      <c r="AC65" s="8"/>
      <c r="AD65" s="8"/>
      <c r="AE65" s="9"/>
      <c r="AF65" s="492"/>
      <c r="AG65" s="491"/>
      <c r="AH65" s="8"/>
      <c r="AI65" s="8"/>
      <c r="AJ65" s="9"/>
      <c r="AK65" s="492"/>
      <c r="AL65" s="491"/>
      <c r="AM65" s="8"/>
      <c r="AN65" s="8"/>
      <c r="AO65" s="9"/>
      <c r="AP65" s="492"/>
      <c r="AQ65" s="506"/>
      <c r="AR65" s="491"/>
      <c r="AS65" s="8"/>
      <c r="AT65" s="8"/>
      <c r="AU65" s="9"/>
      <c r="AV65" s="9"/>
      <c r="AW65" s="17"/>
      <c r="AX65" s="492"/>
      <c r="AY65" s="491"/>
      <c r="AZ65" s="7"/>
      <c r="BA65" s="9"/>
      <c r="BB65" s="9"/>
      <c r="BC65" s="492"/>
      <c r="BD65" s="491"/>
      <c r="BE65" s="7"/>
      <c r="BF65" s="7"/>
      <c r="BG65" s="7"/>
      <c r="BH65" s="9"/>
      <c r="BI65" s="9"/>
      <c r="BJ65" s="492"/>
      <c r="BK65" s="491"/>
      <c r="BL65" s="7"/>
      <c r="BM65" s="7"/>
      <c r="BN65" s="7"/>
      <c r="BO65" s="7"/>
      <c r="BP65" s="7"/>
      <c r="BQ65" s="7"/>
      <c r="BR65" s="8"/>
      <c r="BS65" s="8"/>
      <c r="BT65" s="509"/>
      <c r="BU65" s="491"/>
      <c r="BV65" s="8"/>
      <c r="BW65" s="509"/>
      <c r="BX65" s="491"/>
      <c r="BY65" s="8"/>
      <c r="BZ65" s="509"/>
      <c r="CA65" s="752"/>
    </row>
    <row r="66" spans="1:79" ht="24.95" customHeight="1">
      <c r="A66" s="468">
        <f>IF('Student DATA Entry'!A63="","",'Student DATA Entry'!A63)</f>
        <v>60</v>
      </c>
      <c r="B66" s="459" t="str">
        <f>IF('Student DATA Entry'!B63="","",'Student DATA Entry'!B63)</f>
        <v/>
      </c>
      <c r="C66" s="459" t="str">
        <f>IF('Student DATA Entry'!C63="","",'Student DATA Entry'!C63)</f>
        <v/>
      </c>
      <c r="D66" s="459" t="str">
        <f>IF('Student DATA Entry'!D63="","",'Student DATA Entry'!D63)</f>
        <v/>
      </c>
      <c r="E66" s="459" t="str">
        <f>IF('Student DATA Entry'!E63="","",'Student DATA Entry'!E63)</f>
        <v/>
      </c>
      <c r="F66" s="460" t="str">
        <f>IF('Student DATA Entry'!K63="","",'Student DATA Entry'!K63)</f>
        <v/>
      </c>
      <c r="G66" s="461" t="str">
        <f>IF('Student DATA Entry'!G63="","",UPPER('Student DATA Entry'!G63))</f>
        <v/>
      </c>
      <c r="H66" s="461" t="str">
        <f>IF('Student DATA Entry'!H63="","",UPPER('Student DATA Entry'!H63))</f>
        <v/>
      </c>
      <c r="I66" s="462" t="str">
        <f>IF('Student DATA Entry'!I63="","",UPPER('Student DATA Entry'!I63))</f>
        <v/>
      </c>
      <c r="J66" s="463" t="str">
        <f>IF('Student DATA Entry'!L63="","",UPPER('Student DATA Entry'!L63))</f>
        <v/>
      </c>
      <c r="K66" s="469" t="str">
        <f>IF('Student DATA Entry'!J63="","",UPPER('Student DATA Entry'!J63))</f>
        <v/>
      </c>
      <c r="L66" s="491"/>
      <c r="M66" s="8"/>
      <c r="N66" s="8"/>
      <c r="O66" s="9"/>
      <c r="P66" s="492"/>
      <c r="Q66" s="491"/>
      <c r="R66" s="8"/>
      <c r="S66" s="8"/>
      <c r="T66" s="9"/>
      <c r="U66" s="492"/>
      <c r="V66" s="502"/>
      <c r="W66" s="7"/>
      <c r="X66" s="8"/>
      <c r="Y66" s="8"/>
      <c r="Z66" s="9"/>
      <c r="AA66" s="492"/>
      <c r="AB66" s="491"/>
      <c r="AC66" s="8"/>
      <c r="AD66" s="8"/>
      <c r="AE66" s="9"/>
      <c r="AF66" s="492"/>
      <c r="AG66" s="491"/>
      <c r="AH66" s="8"/>
      <c r="AI66" s="8"/>
      <c r="AJ66" s="9"/>
      <c r="AK66" s="492"/>
      <c r="AL66" s="491"/>
      <c r="AM66" s="8"/>
      <c r="AN66" s="8"/>
      <c r="AO66" s="9"/>
      <c r="AP66" s="492"/>
      <c r="AQ66" s="506"/>
      <c r="AR66" s="491"/>
      <c r="AS66" s="8"/>
      <c r="AT66" s="8"/>
      <c r="AU66" s="9"/>
      <c r="AV66" s="9"/>
      <c r="AW66" s="17"/>
      <c r="AX66" s="492"/>
      <c r="AY66" s="491"/>
      <c r="AZ66" s="7"/>
      <c r="BA66" s="9"/>
      <c r="BB66" s="9"/>
      <c r="BC66" s="492"/>
      <c r="BD66" s="491"/>
      <c r="BE66" s="7"/>
      <c r="BF66" s="7"/>
      <c r="BG66" s="7"/>
      <c r="BH66" s="9"/>
      <c r="BI66" s="9"/>
      <c r="BJ66" s="492"/>
      <c r="BK66" s="491"/>
      <c r="BL66" s="7"/>
      <c r="BM66" s="7"/>
      <c r="BN66" s="7"/>
      <c r="BO66" s="7"/>
      <c r="BP66" s="7"/>
      <c r="BQ66" s="7"/>
      <c r="BR66" s="8"/>
      <c r="BS66" s="8"/>
      <c r="BT66" s="509"/>
      <c r="BU66" s="491"/>
      <c r="BV66" s="8"/>
      <c r="BW66" s="509"/>
      <c r="BX66" s="491"/>
      <c r="BY66" s="8"/>
      <c r="BZ66" s="509"/>
      <c r="CA66" s="752"/>
    </row>
    <row r="67" spans="1:79" ht="24.95" customHeight="1">
      <c r="A67" s="468">
        <f>IF('Student DATA Entry'!A64="","",'Student DATA Entry'!A64)</f>
        <v>61</v>
      </c>
      <c r="B67" s="459" t="str">
        <f>IF('Student DATA Entry'!B64="","",'Student DATA Entry'!B64)</f>
        <v/>
      </c>
      <c r="C67" s="459" t="str">
        <f>IF('Student DATA Entry'!C64="","",'Student DATA Entry'!C64)</f>
        <v/>
      </c>
      <c r="D67" s="459" t="str">
        <f>IF('Student DATA Entry'!D64="","",'Student DATA Entry'!D64)</f>
        <v/>
      </c>
      <c r="E67" s="459" t="str">
        <f>IF('Student DATA Entry'!E64="","",'Student DATA Entry'!E64)</f>
        <v/>
      </c>
      <c r="F67" s="460" t="str">
        <f>IF('Student DATA Entry'!K64="","",'Student DATA Entry'!K64)</f>
        <v/>
      </c>
      <c r="G67" s="461" t="str">
        <f>IF('Student DATA Entry'!G64="","",UPPER('Student DATA Entry'!G64))</f>
        <v/>
      </c>
      <c r="H67" s="461" t="str">
        <f>IF('Student DATA Entry'!H64="","",UPPER('Student DATA Entry'!H64))</f>
        <v/>
      </c>
      <c r="I67" s="462" t="str">
        <f>IF('Student DATA Entry'!I64="","",UPPER('Student DATA Entry'!I64))</f>
        <v/>
      </c>
      <c r="J67" s="463" t="str">
        <f>IF('Student DATA Entry'!L64="","",UPPER('Student DATA Entry'!L64))</f>
        <v/>
      </c>
      <c r="K67" s="469" t="str">
        <f>IF('Student DATA Entry'!J64="","",UPPER('Student DATA Entry'!J64))</f>
        <v/>
      </c>
      <c r="L67" s="491"/>
      <c r="M67" s="8"/>
      <c r="N67" s="8"/>
      <c r="O67" s="9"/>
      <c r="P67" s="492"/>
      <c r="Q67" s="491"/>
      <c r="R67" s="8"/>
      <c r="S67" s="8"/>
      <c r="T67" s="9"/>
      <c r="U67" s="492"/>
      <c r="V67" s="502"/>
      <c r="W67" s="7"/>
      <c r="X67" s="8"/>
      <c r="Y67" s="8"/>
      <c r="Z67" s="9"/>
      <c r="AA67" s="492"/>
      <c r="AB67" s="491"/>
      <c r="AC67" s="8"/>
      <c r="AD67" s="8"/>
      <c r="AE67" s="9"/>
      <c r="AF67" s="492"/>
      <c r="AG67" s="491"/>
      <c r="AH67" s="8"/>
      <c r="AI67" s="8"/>
      <c r="AJ67" s="9"/>
      <c r="AK67" s="492"/>
      <c r="AL67" s="491"/>
      <c r="AM67" s="8"/>
      <c r="AN67" s="8"/>
      <c r="AO67" s="9"/>
      <c r="AP67" s="492"/>
      <c r="AQ67" s="506"/>
      <c r="AR67" s="491"/>
      <c r="AS67" s="8"/>
      <c r="AT67" s="8"/>
      <c r="AU67" s="9"/>
      <c r="AV67" s="9"/>
      <c r="AW67" s="17"/>
      <c r="AX67" s="492"/>
      <c r="AY67" s="491"/>
      <c r="AZ67" s="7"/>
      <c r="BA67" s="9"/>
      <c r="BB67" s="9"/>
      <c r="BC67" s="492"/>
      <c r="BD67" s="491"/>
      <c r="BE67" s="7"/>
      <c r="BF67" s="7"/>
      <c r="BG67" s="7"/>
      <c r="BH67" s="9"/>
      <c r="BI67" s="9"/>
      <c r="BJ67" s="492"/>
      <c r="BK67" s="491"/>
      <c r="BL67" s="7"/>
      <c r="BM67" s="7"/>
      <c r="BN67" s="7"/>
      <c r="BO67" s="7"/>
      <c r="BP67" s="7"/>
      <c r="BQ67" s="7"/>
      <c r="BR67" s="8"/>
      <c r="BS67" s="8"/>
      <c r="BT67" s="509"/>
      <c r="BU67" s="491"/>
      <c r="BV67" s="8"/>
      <c r="BW67" s="509"/>
      <c r="BX67" s="491"/>
      <c r="BY67" s="8"/>
      <c r="BZ67" s="509"/>
      <c r="CA67" s="752"/>
    </row>
    <row r="68" spans="1:79" ht="24.95" customHeight="1">
      <c r="A68" s="468">
        <f>IF('Student DATA Entry'!A65="","",'Student DATA Entry'!A65)</f>
        <v>62</v>
      </c>
      <c r="B68" s="459" t="str">
        <f>IF('Student DATA Entry'!B65="","",'Student DATA Entry'!B65)</f>
        <v/>
      </c>
      <c r="C68" s="459" t="str">
        <f>IF('Student DATA Entry'!C65="","",'Student DATA Entry'!C65)</f>
        <v/>
      </c>
      <c r="D68" s="459" t="str">
        <f>IF('Student DATA Entry'!D65="","",'Student DATA Entry'!D65)</f>
        <v/>
      </c>
      <c r="E68" s="459" t="str">
        <f>IF('Student DATA Entry'!E65="","",'Student DATA Entry'!E65)</f>
        <v/>
      </c>
      <c r="F68" s="460" t="str">
        <f>IF('Student DATA Entry'!K65="","",'Student DATA Entry'!K65)</f>
        <v/>
      </c>
      <c r="G68" s="461" t="str">
        <f>IF('Student DATA Entry'!G65="","",UPPER('Student DATA Entry'!G65))</f>
        <v/>
      </c>
      <c r="H68" s="461" t="str">
        <f>IF('Student DATA Entry'!H65="","",UPPER('Student DATA Entry'!H65))</f>
        <v/>
      </c>
      <c r="I68" s="462" t="str">
        <f>IF('Student DATA Entry'!I65="","",UPPER('Student DATA Entry'!I65))</f>
        <v/>
      </c>
      <c r="J68" s="463" t="str">
        <f>IF('Student DATA Entry'!L65="","",UPPER('Student DATA Entry'!L65))</f>
        <v/>
      </c>
      <c r="K68" s="469" t="str">
        <f>IF('Student DATA Entry'!J65="","",UPPER('Student DATA Entry'!J65))</f>
        <v/>
      </c>
      <c r="L68" s="491"/>
      <c r="M68" s="8"/>
      <c r="N68" s="8"/>
      <c r="O68" s="9"/>
      <c r="P68" s="492"/>
      <c r="Q68" s="491"/>
      <c r="R68" s="8"/>
      <c r="S68" s="8"/>
      <c r="T68" s="9"/>
      <c r="U68" s="492"/>
      <c r="V68" s="502"/>
      <c r="W68" s="7"/>
      <c r="X68" s="8"/>
      <c r="Y68" s="8"/>
      <c r="Z68" s="9"/>
      <c r="AA68" s="492"/>
      <c r="AB68" s="491"/>
      <c r="AC68" s="8"/>
      <c r="AD68" s="8"/>
      <c r="AE68" s="9"/>
      <c r="AF68" s="492"/>
      <c r="AG68" s="491"/>
      <c r="AH68" s="8"/>
      <c r="AI68" s="8"/>
      <c r="AJ68" s="9"/>
      <c r="AK68" s="492"/>
      <c r="AL68" s="491"/>
      <c r="AM68" s="8"/>
      <c r="AN68" s="8"/>
      <c r="AO68" s="9"/>
      <c r="AP68" s="492"/>
      <c r="AQ68" s="506"/>
      <c r="AR68" s="491"/>
      <c r="AS68" s="8"/>
      <c r="AT68" s="8"/>
      <c r="AU68" s="9"/>
      <c r="AV68" s="9"/>
      <c r="AW68" s="17"/>
      <c r="AX68" s="492"/>
      <c r="AY68" s="491"/>
      <c r="AZ68" s="7"/>
      <c r="BA68" s="9"/>
      <c r="BB68" s="9"/>
      <c r="BC68" s="492"/>
      <c r="BD68" s="491"/>
      <c r="BE68" s="7"/>
      <c r="BF68" s="7"/>
      <c r="BG68" s="7"/>
      <c r="BH68" s="9"/>
      <c r="BI68" s="9"/>
      <c r="BJ68" s="492"/>
      <c r="BK68" s="491"/>
      <c r="BL68" s="7"/>
      <c r="BM68" s="7"/>
      <c r="BN68" s="7"/>
      <c r="BO68" s="7"/>
      <c r="BP68" s="7"/>
      <c r="BQ68" s="7"/>
      <c r="BR68" s="8"/>
      <c r="BS68" s="8"/>
      <c r="BT68" s="509"/>
      <c r="BU68" s="491"/>
      <c r="BV68" s="8"/>
      <c r="BW68" s="509"/>
      <c r="BX68" s="491"/>
      <c r="BY68" s="8"/>
      <c r="BZ68" s="509"/>
      <c r="CA68" s="752"/>
    </row>
    <row r="69" spans="1:79" ht="24.95" customHeight="1">
      <c r="A69" s="468">
        <f>IF('Student DATA Entry'!A66="","",'Student DATA Entry'!A66)</f>
        <v>63</v>
      </c>
      <c r="B69" s="459" t="str">
        <f>IF('Student DATA Entry'!B66="","",'Student DATA Entry'!B66)</f>
        <v/>
      </c>
      <c r="C69" s="459" t="str">
        <f>IF('Student DATA Entry'!C66="","",'Student DATA Entry'!C66)</f>
        <v/>
      </c>
      <c r="D69" s="459" t="str">
        <f>IF('Student DATA Entry'!D66="","",'Student DATA Entry'!D66)</f>
        <v/>
      </c>
      <c r="E69" s="459" t="str">
        <f>IF('Student DATA Entry'!E66="","",'Student DATA Entry'!E66)</f>
        <v/>
      </c>
      <c r="F69" s="460" t="str">
        <f>IF('Student DATA Entry'!K66="","",'Student DATA Entry'!K66)</f>
        <v/>
      </c>
      <c r="G69" s="461" t="str">
        <f>IF('Student DATA Entry'!G66="","",UPPER('Student DATA Entry'!G66))</f>
        <v/>
      </c>
      <c r="H69" s="461" t="str">
        <f>IF('Student DATA Entry'!H66="","",UPPER('Student DATA Entry'!H66))</f>
        <v/>
      </c>
      <c r="I69" s="462" t="str">
        <f>IF('Student DATA Entry'!I66="","",UPPER('Student DATA Entry'!I66))</f>
        <v/>
      </c>
      <c r="J69" s="463" t="str">
        <f>IF('Student DATA Entry'!L66="","",UPPER('Student DATA Entry'!L66))</f>
        <v/>
      </c>
      <c r="K69" s="469" t="str">
        <f>IF('Student DATA Entry'!J66="","",UPPER('Student DATA Entry'!J66))</f>
        <v/>
      </c>
      <c r="L69" s="491"/>
      <c r="M69" s="8"/>
      <c r="N69" s="8"/>
      <c r="O69" s="9"/>
      <c r="P69" s="492"/>
      <c r="Q69" s="491"/>
      <c r="R69" s="8"/>
      <c r="S69" s="8"/>
      <c r="T69" s="9"/>
      <c r="U69" s="492"/>
      <c r="V69" s="502"/>
      <c r="W69" s="7"/>
      <c r="X69" s="8"/>
      <c r="Y69" s="8"/>
      <c r="Z69" s="9"/>
      <c r="AA69" s="492"/>
      <c r="AB69" s="491"/>
      <c r="AC69" s="8"/>
      <c r="AD69" s="8"/>
      <c r="AE69" s="9"/>
      <c r="AF69" s="492"/>
      <c r="AG69" s="491"/>
      <c r="AH69" s="8"/>
      <c r="AI69" s="8"/>
      <c r="AJ69" s="9"/>
      <c r="AK69" s="492"/>
      <c r="AL69" s="491"/>
      <c r="AM69" s="8"/>
      <c r="AN69" s="8"/>
      <c r="AO69" s="9"/>
      <c r="AP69" s="492"/>
      <c r="AQ69" s="506"/>
      <c r="AR69" s="491"/>
      <c r="AS69" s="8"/>
      <c r="AT69" s="8"/>
      <c r="AU69" s="9"/>
      <c r="AV69" s="9"/>
      <c r="AW69" s="17"/>
      <c r="AX69" s="492"/>
      <c r="AY69" s="491"/>
      <c r="AZ69" s="7"/>
      <c r="BA69" s="9"/>
      <c r="BB69" s="9"/>
      <c r="BC69" s="492"/>
      <c r="BD69" s="491"/>
      <c r="BE69" s="7"/>
      <c r="BF69" s="7"/>
      <c r="BG69" s="7"/>
      <c r="BH69" s="9"/>
      <c r="BI69" s="9"/>
      <c r="BJ69" s="492"/>
      <c r="BK69" s="491"/>
      <c r="BL69" s="7"/>
      <c r="BM69" s="7"/>
      <c r="BN69" s="7"/>
      <c r="BO69" s="7"/>
      <c r="BP69" s="7"/>
      <c r="BQ69" s="7"/>
      <c r="BR69" s="8"/>
      <c r="BS69" s="8"/>
      <c r="BT69" s="509"/>
      <c r="BU69" s="491"/>
      <c r="BV69" s="8"/>
      <c r="BW69" s="509"/>
      <c r="BX69" s="491"/>
      <c r="BY69" s="8"/>
      <c r="BZ69" s="509"/>
      <c r="CA69" s="752"/>
    </row>
    <row r="70" spans="1:79" ht="24.95" customHeight="1">
      <c r="A70" s="468">
        <f>IF('Student DATA Entry'!A67="","",'Student DATA Entry'!A67)</f>
        <v>64</v>
      </c>
      <c r="B70" s="459" t="str">
        <f>IF('Student DATA Entry'!B67="","",'Student DATA Entry'!B67)</f>
        <v/>
      </c>
      <c r="C70" s="459" t="str">
        <f>IF('Student DATA Entry'!C67="","",'Student DATA Entry'!C67)</f>
        <v/>
      </c>
      <c r="D70" s="459" t="str">
        <f>IF('Student DATA Entry'!D67="","",'Student DATA Entry'!D67)</f>
        <v/>
      </c>
      <c r="E70" s="459" t="str">
        <f>IF('Student DATA Entry'!E67="","",'Student DATA Entry'!E67)</f>
        <v/>
      </c>
      <c r="F70" s="460" t="str">
        <f>IF('Student DATA Entry'!K67="","",'Student DATA Entry'!K67)</f>
        <v/>
      </c>
      <c r="G70" s="461" t="str">
        <f>IF('Student DATA Entry'!G67="","",UPPER('Student DATA Entry'!G67))</f>
        <v/>
      </c>
      <c r="H70" s="461" t="str">
        <f>IF('Student DATA Entry'!H67="","",UPPER('Student DATA Entry'!H67))</f>
        <v/>
      </c>
      <c r="I70" s="462" t="str">
        <f>IF('Student DATA Entry'!I67="","",UPPER('Student DATA Entry'!I67))</f>
        <v/>
      </c>
      <c r="J70" s="463" t="str">
        <f>IF('Student DATA Entry'!L67="","",UPPER('Student DATA Entry'!L67))</f>
        <v/>
      </c>
      <c r="K70" s="469" t="str">
        <f>IF('Student DATA Entry'!J67="","",UPPER('Student DATA Entry'!J67))</f>
        <v/>
      </c>
      <c r="L70" s="491"/>
      <c r="M70" s="8"/>
      <c r="N70" s="8"/>
      <c r="O70" s="9"/>
      <c r="P70" s="492"/>
      <c r="Q70" s="491"/>
      <c r="R70" s="8"/>
      <c r="S70" s="8"/>
      <c r="T70" s="9"/>
      <c r="U70" s="492"/>
      <c r="V70" s="502"/>
      <c r="W70" s="7"/>
      <c r="X70" s="8"/>
      <c r="Y70" s="8"/>
      <c r="Z70" s="9"/>
      <c r="AA70" s="492"/>
      <c r="AB70" s="491"/>
      <c r="AC70" s="8"/>
      <c r="AD70" s="8"/>
      <c r="AE70" s="9"/>
      <c r="AF70" s="492"/>
      <c r="AG70" s="491"/>
      <c r="AH70" s="8"/>
      <c r="AI70" s="8"/>
      <c r="AJ70" s="9"/>
      <c r="AK70" s="492"/>
      <c r="AL70" s="491"/>
      <c r="AM70" s="8"/>
      <c r="AN70" s="8"/>
      <c r="AO70" s="9"/>
      <c r="AP70" s="492"/>
      <c r="AQ70" s="506"/>
      <c r="AR70" s="491"/>
      <c r="AS70" s="8"/>
      <c r="AT70" s="8"/>
      <c r="AU70" s="9"/>
      <c r="AV70" s="9"/>
      <c r="AW70" s="17"/>
      <c r="AX70" s="492"/>
      <c r="AY70" s="491"/>
      <c r="AZ70" s="7"/>
      <c r="BA70" s="9"/>
      <c r="BB70" s="9"/>
      <c r="BC70" s="492"/>
      <c r="BD70" s="491"/>
      <c r="BE70" s="7"/>
      <c r="BF70" s="7"/>
      <c r="BG70" s="7"/>
      <c r="BH70" s="9"/>
      <c r="BI70" s="9"/>
      <c r="BJ70" s="492"/>
      <c r="BK70" s="491"/>
      <c r="BL70" s="7"/>
      <c r="BM70" s="7"/>
      <c r="BN70" s="7"/>
      <c r="BO70" s="7"/>
      <c r="BP70" s="7"/>
      <c r="BQ70" s="7"/>
      <c r="BR70" s="8"/>
      <c r="BS70" s="8"/>
      <c r="BT70" s="509"/>
      <c r="BU70" s="491"/>
      <c r="BV70" s="8"/>
      <c r="BW70" s="509"/>
      <c r="BX70" s="491"/>
      <c r="BY70" s="8"/>
      <c r="BZ70" s="509"/>
      <c r="CA70" s="752"/>
    </row>
    <row r="71" spans="1:79" ht="24.95" customHeight="1">
      <c r="A71" s="468">
        <f>IF('Student DATA Entry'!A68="","",'Student DATA Entry'!A68)</f>
        <v>65</v>
      </c>
      <c r="B71" s="459" t="str">
        <f>IF('Student DATA Entry'!B68="","",'Student DATA Entry'!B68)</f>
        <v/>
      </c>
      <c r="C71" s="459" t="str">
        <f>IF('Student DATA Entry'!C68="","",'Student DATA Entry'!C68)</f>
        <v/>
      </c>
      <c r="D71" s="459" t="str">
        <f>IF('Student DATA Entry'!D68="","",'Student DATA Entry'!D68)</f>
        <v/>
      </c>
      <c r="E71" s="459" t="str">
        <f>IF('Student DATA Entry'!E68="","",'Student DATA Entry'!E68)</f>
        <v/>
      </c>
      <c r="F71" s="460" t="str">
        <f>IF('Student DATA Entry'!K68="","",'Student DATA Entry'!K68)</f>
        <v/>
      </c>
      <c r="G71" s="461" t="str">
        <f>IF('Student DATA Entry'!G68="","",UPPER('Student DATA Entry'!G68))</f>
        <v/>
      </c>
      <c r="H71" s="461" t="str">
        <f>IF('Student DATA Entry'!H68="","",UPPER('Student DATA Entry'!H68))</f>
        <v/>
      </c>
      <c r="I71" s="462" t="str">
        <f>IF('Student DATA Entry'!I68="","",UPPER('Student DATA Entry'!I68))</f>
        <v/>
      </c>
      <c r="J71" s="463" t="str">
        <f>IF('Student DATA Entry'!L68="","",UPPER('Student DATA Entry'!L68))</f>
        <v/>
      </c>
      <c r="K71" s="469" t="str">
        <f>IF('Student DATA Entry'!J68="","",UPPER('Student DATA Entry'!J68))</f>
        <v/>
      </c>
      <c r="L71" s="491"/>
      <c r="M71" s="8"/>
      <c r="N71" s="8"/>
      <c r="O71" s="9"/>
      <c r="P71" s="492"/>
      <c r="Q71" s="491"/>
      <c r="R71" s="8"/>
      <c r="S71" s="8"/>
      <c r="T71" s="9"/>
      <c r="U71" s="492"/>
      <c r="V71" s="502"/>
      <c r="W71" s="7"/>
      <c r="X71" s="8"/>
      <c r="Y71" s="8"/>
      <c r="Z71" s="9"/>
      <c r="AA71" s="492"/>
      <c r="AB71" s="491"/>
      <c r="AC71" s="8"/>
      <c r="AD71" s="8"/>
      <c r="AE71" s="9"/>
      <c r="AF71" s="492"/>
      <c r="AG71" s="491"/>
      <c r="AH71" s="8"/>
      <c r="AI71" s="8"/>
      <c r="AJ71" s="9"/>
      <c r="AK71" s="492"/>
      <c r="AL71" s="491"/>
      <c r="AM71" s="8"/>
      <c r="AN71" s="8"/>
      <c r="AO71" s="9"/>
      <c r="AP71" s="492"/>
      <c r="AQ71" s="506"/>
      <c r="AR71" s="491"/>
      <c r="AS71" s="8"/>
      <c r="AT71" s="8"/>
      <c r="AU71" s="9"/>
      <c r="AV71" s="9"/>
      <c r="AW71" s="17"/>
      <c r="AX71" s="492"/>
      <c r="AY71" s="491"/>
      <c r="AZ71" s="7"/>
      <c r="BA71" s="9"/>
      <c r="BB71" s="9"/>
      <c r="BC71" s="492"/>
      <c r="BD71" s="491"/>
      <c r="BE71" s="7"/>
      <c r="BF71" s="7"/>
      <c r="BG71" s="7"/>
      <c r="BH71" s="9"/>
      <c r="BI71" s="9"/>
      <c r="BJ71" s="492"/>
      <c r="BK71" s="491"/>
      <c r="BL71" s="7"/>
      <c r="BM71" s="7"/>
      <c r="BN71" s="7"/>
      <c r="BO71" s="7"/>
      <c r="BP71" s="7"/>
      <c r="BQ71" s="7"/>
      <c r="BR71" s="8"/>
      <c r="BS71" s="8"/>
      <c r="BT71" s="509"/>
      <c r="BU71" s="491"/>
      <c r="BV71" s="8"/>
      <c r="BW71" s="509"/>
      <c r="BX71" s="491"/>
      <c r="BY71" s="8"/>
      <c r="BZ71" s="509"/>
      <c r="CA71" s="752"/>
    </row>
    <row r="72" spans="1:79" ht="24.95" customHeight="1">
      <c r="A72" s="468">
        <f>IF('Student DATA Entry'!A69="","",'Student DATA Entry'!A69)</f>
        <v>66</v>
      </c>
      <c r="B72" s="459" t="str">
        <f>IF('Student DATA Entry'!B69="","",'Student DATA Entry'!B69)</f>
        <v/>
      </c>
      <c r="C72" s="459" t="str">
        <f>IF('Student DATA Entry'!C69="","",'Student DATA Entry'!C69)</f>
        <v/>
      </c>
      <c r="D72" s="459" t="str">
        <f>IF('Student DATA Entry'!D69="","",'Student DATA Entry'!D69)</f>
        <v/>
      </c>
      <c r="E72" s="459" t="str">
        <f>IF('Student DATA Entry'!E69="","",'Student DATA Entry'!E69)</f>
        <v/>
      </c>
      <c r="F72" s="460" t="str">
        <f>IF('Student DATA Entry'!K69="","",'Student DATA Entry'!K69)</f>
        <v/>
      </c>
      <c r="G72" s="461" t="str">
        <f>IF('Student DATA Entry'!G69="","",UPPER('Student DATA Entry'!G69))</f>
        <v/>
      </c>
      <c r="H72" s="461" t="str">
        <f>IF('Student DATA Entry'!H69="","",UPPER('Student DATA Entry'!H69))</f>
        <v/>
      </c>
      <c r="I72" s="462" t="str">
        <f>IF('Student DATA Entry'!I69="","",UPPER('Student DATA Entry'!I69))</f>
        <v/>
      </c>
      <c r="J72" s="463" t="str">
        <f>IF('Student DATA Entry'!L69="","",UPPER('Student DATA Entry'!L69))</f>
        <v/>
      </c>
      <c r="K72" s="469" t="str">
        <f>IF('Student DATA Entry'!J69="","",UPPER('Student DATA Entry'!J69))</f>
        <v/>
      </c>
      <c r="L72" s="491"/>
      <c r="M72" s="8"/>
      <c r="N72" s="8"/>
      <c r="O72" s="9"/>
      <c r="P72" s="492"/>
      <c r="Q72" s="491"/>
      <c r="R72" s="8"/>
      <c r="S72" s="8"/>
      <c r="T72" s="9"/>
      <c r="U72" s="492"/>
      <c r="V72" s="502"/>
      <c r="W72" s="7"/>
      <c r="X72" s="8"/>
      <c r="Y72" s="8"/>
      <c r="Z72" s="9"/>
      <c r="AA72" s="492"/>
      <c r="AB72" s="491"/>
      <c r="AC72" s="8"/>
      <c r="AD72" s="8"/>
      <c r="AE72" s="9"/>
      <c r="AF72" s="492"/>
      <c r="AG72" s="491"/>
      <c r="AH72" s="8"/>
      <c r="AI72" s="8"/>
      <c r="AJ72" s="9"/>
      <c r="AK72" s="492"/>
      <c r="AL72" s="491"/>
      <c r="AM72" s="8"/>
      <c r="AN72" s="8"/>
      <c r="AO72" s="9"/>
      <c r="AP72" s="492"/>
      <c r="AQ72" s="506"/>
      <c r="AR72" s="491"/>
      <c r="AS72" s="8"/>
      <c r="AT72" s="8"/>
      <c r="AU72" s="9"/>
      <c r="AV72" s="9"/>
      <c r="AW72" s="17"/>
      <c r="AX72" s="492"/>
      <c r="AY72" s="491"/>
      <c r="AZ72" s="7"/>
      <c r="BA72" s="9"/>
      <c r="BB72" s="9"/>
      <c r="BC72" s="492"/>
      <c r="BD72" s="491"/>
      <c r="BE72" s="7"/>
      <c r="BF72" s="7"/>
      <c r="BG72" s="7"/>
      <c r="BH72" s="9"/>
      <c r="BI72" s="9"/>
      <c r="BJ72" s="492"/>
      <c r="BK72" s="491"/>
      <c r="BL72" s="7"/>
      <c r="BM72" s="7"/>
      <c r="BN72" s="7"/>
      <c r="BO72" s="7"/>
      <c r="BP72" s="7"/>
      <c r="BQ72" s="7"/>
      <c r="BR72" s="8"/>
      <c r="BS72" s="8"/>
      <c r="BT72" s="509"/>
      <c r="BU72" s="491"/>
      <c r="BV72" s="8"/>
      <c r="BW72" s="509"/>
      <c r="BX72" s="491"/>
      <c r="BY72" s="8"/>
      <c r="BZ72" s="509"/>
      <c r="CA72" s="752"/>
    </row>
    <row r="73" spans="1:79" ht="24.95" customHeight="1">
      <c r="A73" s="468">
        <f>IF('Student DATA Entry'!A70="","",'Student DATA Entry'!A70)</f>
        <v>67</v>
      </c>
      <c r="B73" s="459" t="str">
        <f>IF('Student DATA Entry'!B70="","",'Student DATA Entry'!B70)</f>
        <v/>
      </c>
      <c r="C73" s="459" t="str">
        <f>IF('Student DATA Entry'!C70="","",'Student DATA Entry'!C70)</f>
        <v/>
      </c>
      <c r="D73" s="459" t="str">
        <f>IF('Student DATA Entry'!D70="","",'Student DATA Entry'!D70)</f>
        <v/>
      </c>
      <c r="E73" s="459" t="str">
        <f>IF('Student DATA Entry'!E70="","",'Student DATA Entry'!E70)</f>
        <v/>
      </c>
      <c r="F73" s="460" t="str">
        <f>IF('Student DATA Entry'!K70="","",'Student DATA Entry'!K70)</f>
        <v/>
      </c>
      <c r="G73" s="461" t="str">
        <f>IF('Student DATA Entry'!G70="","",UPPER('Student DATA Entry'!G70))</f>
        <v/>
      </c>
      <c r="H73" s="461" t="str">
        <f>IF('Student DATA Entry'!H70="","",UPPER('Student DATA Entry'!H70))</f>
        <v/>
      </c>
      <c r="I73" s="462" t="str">
        <f>IF('Student DATA Entry'!I70="","",UPPER('Student DATA Entry'!I70))</f>
        <v/>
      </c>
      <c r="J73" s="463" t="str">
        <f>IF('Student DATA Entry'!L70="","",UPPER('Student DATA Entry'!L70))</f>
        <v/>
      </c>
      <c r="K73" s="469" t="str">
        <f>IF('Student DATA Entry'!J70="","",UPPER('Student DATA Entry'!J70))</f>
        <v/>
      </c>
      <c r="L73" s="491"/>
      <c r="M73" s="8"/>
      <c r="N73" s="8"/>
      <c r="O73" s="9"/>
      <c r="P73" s="492"/>
      <c r="Q73" s="491"/>
      <c r="R73" s="8"/>
      <c r="S73" s="8"/>
      <c r="T73" s="9"/>
      <c r="U73" s="492"/>
      <c r="V73" s="502"/>
      <c r="W73" s="7"/>
      <c r="X73" s="8"/>
      <c r="Y73" s="8"/>
      <c r="Z73" s="9"/>
      <c r="AA73" s="492"/>
      <c r="AB73" s="491"/>
      <c r="AC73" s="8"/>
      <c r="AD73" s="8"/>
      <c r="AE73" s="9"/>
      <c r="AF73" s="492"/>
      <c r="AG73" s="491"/>
      <c r="AH73" s="8"/>
      <c r="AI73" s="8"/>
      <c r="AJ73" s="9"/>
      <c r="AK73" s="492"/>
      <c r="AL73" s="491"/>
      <c r="AM73" s="8"/>
      <c r="AN73" s="8"/>
      <c r="AO73" s="9"/>
      <c r="AP73" s="492"/>
      <c r="AQ73" s="506"/>
      <c r="AR73" s="491"/>
      <c r="AS73" s="8"/>
      <c r="AT73" s="8"/>
      <c r="AU73" s="9"/>
      <c r="AV73" s="9"/>
      <c r="AW73" s="17"/>
      <c r="AX73" s="492"/>
      <c r="AY73" s="491"/>
      <c r="AZ73" s="7"/>
      <c r="BA73" s="9"/>
      <c r="BB73" s="9"/>
      <c r="BC73" s="492"/>
      <c r="BD73" s="491"/>
      <c r="BE73" s="7"/>
      <c r="BF73" s="7"/>
      <c r="BG73" s="7"/>
      <c r="BH73" s="9"/>
      <c r="BI73" s="9"/>
      <c r="BJ73" s="492"/>
      <c r="BK73" s="491"/>
      <c r="BL73" s="7"/>
      <c r="BM73" s="7"/>
      <c r="BN73" s="7"/>
      <c r="BO73" s="7"/>
      <c r="BP73" s="7"/>
      <c r="BQ73" s="7"/>
      <c r="BR73" s="8"/>
      <c r="BS73" s="8"/>
      <c r="BT73" s="509"/>
      <c r="BU73" s="491"/>
      <c r="BV73" s="8"/>
      <c r="BW73" s="509"/>
      <c r="BX73" s="491"/>
      <c r="BY73" s="8"/>
      <c r="BZ73" s="509"/>
      <c r="CA73" s="752"/>
    </row>
    <row r="74" spans="1:79" ht="24.95" customHeight="1">
      <c r="A74" s="468">
        <f>IF('Student DATA Entry'!A71="","",'Student DATA Entry'!A71)</f>
        <v>68</v>
      </c>
      <c r="B74" s="459" t="str">
        <f>IF('Student DATA Entry'!B71="","",'Student DATA Entry'!B71)</f>
        <v/>
      </c>
      <c r="C74" s="459" t="str">
        <f>IF('Student DATA Entry'!C71="","",'Student DATA Entry'!C71)</f>
        <v/>
      </c>
      <c r="D74" s="459" t="str">
        <f>IF('Student DATA Entry'!D71="","",'Student DATA Entry'!D71)</f>
        <v/>
      </c>
      <c r="E74" s="459" t="str">
        <f>IF('Student DATA Entry'!E71="","",'Student DATA Entry'!E71)</f>
        <v/>
      </c>
      <c r="F74" s="460" t="str">
        <f>IF('Student DATA Entry'!K71="","",'Student DATA Entry'!K71)</f>
        <v/>
      </c>
      <c r="G74" s="461" t="str">
        <f>IF('Student DATA Entry'!G71="","",UPPER('Student DATA Entry'!G71))</f>
        <v/>
      </c>
      <c r="H74" s="461" t="str">
        <f>IF('Student DATA Entry'!H71="","",UPPER('Student DATA Entry'!H71))</f>
        <v/>
      </c>
      <c r="I74" s="462" t="str">
        <f>IF('Student DATA Entry'!I71="","",UPPER('Student DATA Entry'!I71))</f>
        <v/>
      </c>
      <c r="J74" s="463" t="str">
        <f>IF('Student DATA Entry'!L71="","",UPPER('Student DATA Entry'!L71))</f>
        <v/>
      </c>
      <c r="K74" s="469" t="str">
        <f>IF('Student DATA Entry'!J71="","",UPPER('Student DATA Entry'!J71))</f>
        <v/>
      </c>
      <c r="L74" s="491"/>
      <c r="M74" s="8"/>
      <c r="N74" s="8"/>
      <c r="O74" s="9"/>
      <c r="P74" s="492"/>
      <c r="Q74" s="491"/>
      <c r="R74" s="8"/>
      <c r="S74" s="8"/>
      <c r="T74" s="9"/>
      <c r="U74" s="492"/>
      <c r="V74" s="502"/>
      <c r="W74" s="7"/>
      <c r="X74" s="8"/>
      <c r="Y74" s="8"/>
      <c r="Z74" s="9"/>
      <c r="AA74" s="492"/>
      <c r="AB74" s="491"/>
      <c r="AC74" s="8"/>
      <c r="AD74" s="8"/>
      <c r="AE74" s="9"/>
      <c r="AF74" s="492"/>
      <c r="AG74" s="491"/>
      <c r="AH74" s="8"/>
      <c r="AI74" s="8"/>
      <c r="AJ74" s="9"/>
      <c r="AK74" s="492"/>
      <c r="AL74" s="491"/>
      <c r="AM74" s="8"/>
      <c r="AN74" s="8"/>
      <c r="AO74" s="9"/>
      <c r="AP74" s="492"/>
      <c r="AQ74" s="506"/>
      <c r="AR74" s="491"/>
      <c r="AS74" s="8"/>
      <c r="AT74" s="8"/>
      <c r="AU74" s="9"/>
      <c r="AV74" s="9"/>
      <c r="AW74" s="17"/>
      <c r="AX74" s="492"/>
      <c r="AY74" s="491"/>
      <c r="AZ74" s="7"/>
      <c r="BA74" s="9"/>
      <c r="BB74" s="9"/>
      <c r="BC74" s="492"/>
      <c r="BD74" s="491"/>
      <c r="BE74" s="7"/>
      <c r="BF74" s="7"/>
      <c r="BG74" s="7"/>
      <c r="BH74" s="9"/>
      <c r="BI74" s="9"/>
      <c r="BJ74" s="492"/>
      <c r="BK74" s="491"/>
      <c r="BL74" s="7"/>
      <c r="BM74" s="7"/>
      <c r="BN74" s="7"/>
      <c r="BO74" s="7"/>
      <c r="BP74" s="7"/>
      <c r="BQ74" s="7"/>
      <c r="BR74" s="8"/>
      <c r="BS74" s="8"/>
      <c r="BT74" s="509"/>
      <c r="BU74" s="491"/>
      <c r="BV74" s="8"/>
      <c r="BW74" s="509"/>
      <c r="BX74" s="491"/>
      <c r="BY74" s="8"/>
      <c r="BZ74" s="509"/>
      <c r="CA74" s="752"/>
    </row>
    <row r="75" spans="1:79" ht="24.95" customHeight="1">
      <c r="A75" s="468">
        <f>IF('Student DATA Entry'!A72="","",'Student DATA Entry'!A72)</f>
        <v>69</v>
      </c>
      <c r="B75" s="459" t="str">
        <f>IF('Student DATA Entry'!B72="","",'Student DATA Entry'!B72)</f>
        <v/>
      </c>
      <c r="C75" s="459" t="str">
        <f>IF('Student DATA Entry'!C72="","",'Student DATA Entry'!C72)</f>
        <v/>
      </c>
      <c r="D75" s="459" t="str">
        <f>IF('Student DATA Entry'!D72="","",'Student DATA Entry'!D72)</f>
        <v/>
      </c>
      <c r="E75" s="459" t="str">
        <f>IF('Student DATA Entry'!E72="","",'Student DATA Entry'!E72)</f>
        <v/>
      </c>
      <c r="F75" s="460" t="str">
        <f>IF('Student DATA Entry'!K72="","",'Student DATA Entry'!K72)</f>
        <v/>
      </c>
      <c r="G75" s="461" t="str">
        <f>IF('Student DATA Entry'!G72="","",UPPER('Student DATA Entry'!G72))</f>
        <v/>
      </c>
      <c r="H75" s="461" t="str">
        <f>IF('Student DATA Entry'!H72="","",UPPER('Student DATA Entry'!H72))</f>
        <v/>
      </c>
      <c r="I75" s="462" t="str">
        <f>IF('Student DATA Entry'!I72="","",UPPER('Student DATA Entry'!I72))</f>
        <v/>
      </c>
      <c r="J75" s="463" t="str">
        <f>IF('Student DATA Entry'!L72="","",UPPER('Student DATA Entry'!L72))</f>
        <v/>
      </c>
      <c r="K75" s="469" t="str">
        <f>IF('Student DATA Entry'!J72="","",UPPER('Student DATA Entry'!J72))</f>
        <v/>
      </c>
      <c r="L75" s="491"/>
      <c r="M75" s="8"/>
      <c r="N75" s="8"/>
      <c r="O75" s="9"/>
      <c r="P75" s="492"/>
      <c r="Q75" s="491"/>
      <c r="R75" s="8"/>
      <c r="S75" s="8"/>
      <c r="T75" s="9"/>
      <c r="U75" s="492"/>
      <c r="V75" s="502"/>
      <c r="W75" s="7"/>
      <c r="X75" s="8"/>
      <c r="Y75" s="8"/>
      <c r="Z75" s="9"/>
      <c r="AA75" s="492"/>
      <c r="AB75" s="491"/>
      <c r="AC75" s="8"/>
      <c r="AD75" s="8"/>
      <c r="AE75" s="9"/>
      <c r="AF75" s="492"/>
      <c r="AG75" s="491"/>
      <c r="AH75" s="8"/>
      <c r="AI75" s="8"/>
      <c r="AJ75" s="9"/>
      <c r="AK75" s="492"/>
      <c r="AL75" s="491"/>
      <c r="AM75" s="8"/>
      <c r="AN75" s="8"/>
      <c r="AO75" s="9"/>
      <c r="AP75" s="492"/>
      <c r="AQ75" s="506"/>
      <c r="AR75" s="491"/>
      <c r="AS75" s="8"/>
      <c r="AT75" s="8"/>
      <c r="AU75" s="9"/>
      <c r="AV75" s="9"/>
      <c r="AW75" s="17"/>
      <c r="AX75" s="492"/>
      <c r="AY75" s="491"/>
      <c r="AZ75" s="7"/>
      <c r="BA75" s="9"/>
      <c r="BB75" s="9"/>
      <c r="BC75" s="492"/>
      <c r="BD75" s="491"/>
      <c r="BE75" s="7"/>
      <c r="BF75" s="7"/>
      <c r="BG75" s="7"/>
      <c r="BH75" s="9"/>
      <c r="BI75" s="9"/>
      <c r="BJ75" s="492"/>
      <c r="BK75" s="491"/>
      <c r="BL75" s="7"/>
      <c r="BM75" s="7"/>
      <c r="BN75" s="7"/>
      <c r="BO75" s="7"/>
      <c r="BP75" s="7"/>
      <c r="BQ75" s="7"/>
      <c r="BR75" s="8"/>
      <c r="BS75" s="8"/>
      <c r="BT75" s="509"/>
      <c r="BU75" s="491"/>
      <c r="BV75" s="8"/>
      <c r="BW75" s="509"/>
      <c r="BX75" s="491"/>
      <c r="BY75" s="8"/>
      <c r="BZ75" s="509"/>
      <c r="CA75" s="752"/>
    </row>
    <row r="76" spans="1:79" ht="24.95" customHeight="1">
      <c r="A76" s="468">
        <f>IF('Student DATA Entry'!A73="","",'Student DATA Entry'!A73)</f>
        <v>70</v>
      </c>
      <c r="B76" s="459" t="str">
        <f>IF('Student DATA Entry'!B73="","",'Student DATA Entry'!B73)</f>
        <v/>
      </c>
      <c r="C76" s="459" t="str">
        <f>IF('Student DATA Entry'!C73="","",'Student DATA Entry'!C73)</f>
        <v/>
      </c>
      <c r="D76" s="459" t="str">
        <f>IF('Student DATA Entry'!D73="","",'Student DATA Entry'!D73)</f>
        <v/>
      </c>
      <c r="E76" s="459" t="str">
        <f>IF('Student DATA Entry'!E73="","",'Student DATA Entry'!E73)</f>
        <v/>
      </c>
      <c r="F76" s="460" t="str">
        <f>IF('Student DATA Entry'!K73="","",'Student DATA Entry'!K73)</f>
        <v/>
      </c>
      <c r="G76" s="461" t="str">
        <f>IF('Student DATA Entry'!G73="","",UPPER('Student DATA Entry'!G73))</f>
        <v/>
      </c>
      <c r="H76" s="461" t="str">
        <f>IF('Student DATA Entry'!H73="","",UPPER('Student DATA Entry'!H73))</f>
        <v/>
      </c>
      <c r="I76" s="462" t="str">
        <f>IF('Student DATA Entry'!I73="","",UPPER('Student DATA Entry'!I73))</f>
        <v/>
      </c>
      <c r="J76" s="463" t="str">
        <f>IF('Student DATA Entry'!L73="","",UPPER('Student DATA Entry'!L73))</f>
        <v/>
      </c>
      <c r="K76" s="469" t="str">
        <f>IF('Student DATA Entry'!J73="","",UPPER('Student DATA Entry'!J73))</f>
        <v/>
      </c>
      <c r="L76" s="491"/>
      <c r="M76" s="8"/>
      <c r="N76" s="8"/>
      <c r="O76" s="9"/>
      <c r="P76" s="492"/>
      <c r="Q76" s="491"/>
      <c r="R76" s="8"/>
      <c r="S76" s="8"/>
      <c r="T76" s="9"/>
      <c r="U76" s="492"/>
      <c r="V76" s="502"/>
      <c r="W76" s="7"/>
      <c r="X76" s="8"/>
      <c r="Y76" s="8"/>
      <c r="Z76" s="9"/>
      <c r="AA76" s="492"/>
      <c r="AB76" s="491"/>
      <c r="AC76" s="8"/>
      <c r="AD76" s="8"/>
      <c r="AE76" s="9"/>
      <c r="AF76" s="492"/>
      <c r="AG76" s="491"/>
      <c r="AH76" s="8"/>
      <c r="AI76" s="8"/>
      <c r="AJ76" s="9"/>
      <c r="AK76" s="492"/>
      <c r="AL76" s="491"/>
      <c r="AM76" s="8"/>
      <c r="AN76" s="8"/>
      <c r="AO76" s="9"/>
      <c r="AP76" s="492"/>
      <c r="AQ76" s="506"/>
      <c r="AR76" s="491"/>
      <c r="AS76" s="8"/>
      <c r="AT76" s="8"/>
      <c r="AU76" s="9"/>
      <c r="AV76" s="9"/>
      <c r="AW76" s="17"/>
      <c r="AX76" s="492"/>
      <c r="AY76" s="491"/>
      <c r="AZ76" s="7"/>
      <c r="BA76" s="9"/>
      <c r="BB76" s="9"/>
      <c r="BC76" s="492"/>
      <c r="BD76" s="491"/>
      <c r="BE76" s="7"/>
      <c r="BF76" s="7"/>
      <c r="BG76" s="7"/>
      <c r="BH76" s="9"/>
      <c r="BI76" s="9"/>
      <c r="BJ76" s="492"/>
      <c r="BK76" s="491"/>
      <c r="BL76" s="7"/>
      <c r="BM76" s="7"/>
      <c r="BN76" s="7"/>
      <c r="BO76" s="7"/>
      <c r="BP76" s="7"/>
      <c r="BQ76" s="7"/>
      <c r="BR76" s="8"/>
      <c r="BS76" s="8"/>
      <c r="BT76" s="509"/>
      <c r="BU76" s="491"/>
      <c r="BV76" s="8"/>
      <c r="BW76" s="509"/>
      <c r="BX76" s="491"/>
      <c r="BY76" s="8"/>
      <c r="BZ76" s="509"/>
      <c r="CA76" s="752"/>
    </row>
    <row r="77" spans="1:79" ht="24.95" customHeight="1">
      <c r="A77" s="468">
        <f>IF('Student DATA Entry'!A74="","",'Student DATA Entry'!A74)</f>
        <v>71</v>
      </c>
      <c r="B77" s="459" t="str">
        <f>IF('Student DATA Entry'!B74="","",'Student DATA Entry'!B74)</f>
        <v/>
      </c>
      <c r="C77" s="459" t="str">
        <f>IF('Student DATA Entry'!C74="","",'Student DATA Entry'!C74)</f>
        <v/>
      </c>
      <c r="D77" s="459" t="str">
        <f>IF('Student DATA Entry'!D74="","",'Student DATA Entry'!D74)</f>
        <v/>
      </c>
      <c r="E77" s="459" t="str">
        <f>IF('Student DATA Entry'!E74="","",'Student DATA Entry'!E74)</f>
        <v/>
      </c>
      <c r="F77" s="460" t="str">
        <f>IF('Student DATA Entry'!K74="","",'Student DATA Entry'!K74)</f>
        <v/>
      </c>
      <c r="G77" s="461" t="str">
        <f>IF('Student DATA Entry'!G74="","",UPPER('Student DATA Entry'!G74))</f>
        <v/>
      </c>
      <c r="H77" s="461" t="str">
        <f>IF('Student DATA Entry'!H74="","",UPPER('Student DATA Entry'!H74))</f>
        <v/>
      </c>
      <c r="I77" s="462" t="str">
        <f>IF('Student DATA Entry'!I74="","",UPPER('Student DATA Entry'!I74))</f>
        <v/>
      </c>
      <c r="J77" s="463" t="str">
        <f>IF('Student DATA Entry'!L74="","",UPPER('Student DATA Entry'!L74))</f>
        <v/>
      </c>
      <c r="K77" s="469" t="str">
        <f>IF('Student DATA Entry'!J74="","",UPPER('Student DATA Entry'!J74))</f>
        <v/>
      </c>
      <c r="L77" s="491"/>
      <c r="M77" s="8"/>
      <c r="N77" s="8"/>
      <c r="O77" s="9"/>
      <c r="P77" s="492"/>
      <c r="Q77" s="491"/>
      <c r="R77" s="8"/>
      <c r="S77" s="8"/>
      <c r="T77" s="9"/>
      <c r="U77" s="492"/>
      <c r="V77" s="502"/>
      <c r="W77" s="7"/>
      <c r="X77" s="8"/>
      <c r="Y77" s="8"/>
      <c r="Z77" s="9"/>
      <c r="AA77" s="492"/>
      <c r="AB77" s="491"/>
      <c r="AC77" s="8"/>
      <c r="AD77" s="8"/>
      <c r="AE77" s="9"/>
      <c r="AF77" s="492"/>
      <c r="AG77" s="491"/>
      <c r="AH77" s="8"/>
      <c r="AI77" s="8"/>
      <c r="AJ77" s="9"/>
      <c r="AK77" s="492"/>
      <c r="AL77" s="491"/>
      <c r="AM77" s="8"/>
      <c r="AN77" s="8"/>
      <c r="AO77" s="9"/>
      <c r="AP77" s="492"/>
      <c r="AQ77" s="506"/>
      <c r="AR77" s="491"/>
      <c r="AS77" s="8"/>
      <c r="AT77" s="8"/>
      <c r="AU77" s="9"/>
      <c r="AV77" s="9"/>
      <c r="AW77" s="17"/>
      <c r="AX77" s="492"/>
      <c r="AY77" s="491"/>
      <c r="AZ77" s="7"/>
      <c r="BA77" s="9"/>
      <c r="BB77" s="9"/>
      <c r="BC77" s="492"/>
      <c r="BD77" s="491"/>
      <c r="BE77" s="7"/>
      <c r="BF77" s="7"/>
      <c r="BG77" s="7"/>
      <c r="BH77" s="9"/>
      <c r="BI77" s="9"/>
      <c r="BJ77" s="492"/>
      <c r="BK77" s="491"/>
      <c r="BL77" s="7"/>
      <c r="BM77" s="7"/>
      <c r="BN77" s="7"/>
      <c r="BO77" s="7"/>
      <c r="BP77" s="7"/>
      <c r="BQ77" s="7"/>
      <c r="BR77" s="8"/>
      <c r="BS77" s="8"/>
      <c r="BT77" s="509"/>
      <c r="BU77" s="491"/>
      <c r="BV77" s="8"/>
      <c r="BW77" s="509"/>
      <c r="BX77" s="491"/>
      <c r="BY77" s="8"/>
      <c r="BZ77" s="509"/>
      <c r="CA77" s="752"/>
    </row>
    <row r="78" spans="1:79" ht="24.95" customHeight="1">
      <c r="A78" s="468">
        <f>IF('Student DATA Entry'!A75="","",'Student DATA Entry'!A75)</f>
        <v>72</v>
      </c>
      <c r="B78" s="459" t="str">
        <f>IF('Student DATA Entry'!B75="","",'Student DATA Entry'!B75)</f>
        <v/>
      </c>
      <c r="C78" s="459" t="str">
        <f>IF('Student DATA Entry'!C75="","",'Student DATA Entry'!C75)</f>
        <v/>
      </c>
      <c r="D78" s="459" t="str">
        <f>IF('Student DATA Entry'!D75="","",'Student DATA Entry'!D75)</f>
        <v/>
      </c>
      <c r="E78" s="459" t="str">
        <f>IF('Student DATA Entry'!E75="","",'Student DATA Entry'!E75)</f>
        <v/>
      </c>
      <c r="F78" s="460" t="str">
        <f>IF('Student DATA Entry'!K75="","",'Student DATA Entry'!K75)</f>
        <v/>
      </c>
      <c r="G78" s="461" t="str">
        <f>IF('Student DATA Entry'!G75="","",UPPER('Student DATA Entry'!G75))</f>
        <v/>
      </c>
      <c r="H78" s="461" t="str">
        <f>IF('Student DATA Entry'!H75="","",UPPER('Student DATA Entry'!H75))</f>
        <v/>
      </c>
      <c r="I78" s="462" t="str">
        <f>IF('Student DATA Entry'!I75="","",UPPER('Student DATA Entry'!I75))</f>
        <v/>
      </c>
      <c r="J78" s="463" t="str">
        <f>IF('Student DATA Entry'!L75="","",UPPER('Student DATA Entry'!L75))</f>
        <v/>
      </c>
      <c r="K78" s="469" t="str">
        <f>IF('Student DATA Entry'!J75="","",UPPER('Student DATA Entry'!J75))</f>
        <v/>
      </c>
      <c r="L78" s="491"/>
      <c r="M78" s="8"/>
      <c r="N78" s="8"/>
      <c r="O78" s="9"/>
      <c r="P78" s="492"/>
      <c r="Q78" s="491"/>
      <c r="R78" s="8"/>
      <c r="S78" s="8"/>
      <c r="T78" s="9"/>
      <c r="U78" s="492"/>
      <c r="V78" s="502"/>
      <c r="W78" s="7"/>
      <c r="X78" s="8"/>
      <c r="Y78" s="8"/>
      <c r="Z78" s="9"/>
      <c r="AA78" s="492"/>
      <c r="AB78" s="491"/>
      <c r="AC78" s="8"/>
      <c r="AD78" s="8"/>
      <c r="AE78" s="9"/>
      <c r="AF78" s="492"/>
      <c r="AG78" s="491"/>
      <c r="AH78" s="8"/>
      <c r="AI78" s="8"/>
      <c r="AJ78" s="9"/>
      <c r="AK78" s="492"/>
      <c r="AL78" s="491"/>
      <c r="AM78" s="8"/>
      <c r="AN78" s="8"/>
      <c r="AO78" s="9"/>
      <c r="AP78" s="492"/>
      <c r="AQ78" s="506"/>
      <c r="AR78" s="491"/>
      <c r="AS78" s="8"/>
      <c r="AT78" s="8"/>
      <c r="AU78" s="9"/>
      <c r="AV78" s="9"/>
      <c r="AW78" s="17"/>
      <c r="AX78" s="492"/>
      <c r="AY78" s="491"/>
      <c r="AZ78" s="7"/>
      <c r="BA78" s="9"/>
      <c r="BB78" s="9"/>
      <c r="BC78" s="492"/>
      <c r="BD78" s="491"/>
      <c r="BE78" s="7"/>
      <c r="BF78" s="7"/>
      <c r="BG78" s="7"/>
      <c r="BH78" s="9"/>
      <c r="BI78" s="9"/>
      <c r="BJ78" s="492"/>
      <c r="BK78" s="491"/>
      <c r="BL78" s="7"/>
      <c r="BM78" s="7"/>
      <c r="BN78" s="7"/>
      <c r="BO78" s="7"/>
      <c r="BP78" s="7"/>
      <c r="BQ78" s="7"/>
      <c r="BR78" s="8"/>
      <c r="BS78" s="8"/>
      <c r="BT78" s="509"/>
      <c r="BU78" s="491"/>
      <c r="BV78" s="8"/>
      <c r="BW78" s="509"/>
      <c r="BX78" s="491"/>
      <c r="BY78" s="8"/>
      <c r="BZ78" s="509"/>
      <c r="CA78" s="752"/>
    </row>
    <row r="79" spans="1:79" ht="24.95" customHeight="1">
      <c r="A79" s="468">
        <f>IF('Student DATA Entry'!A76="","",'Student DATA Entry'!A76)</f>
        <v>73</v>
      </c>
      <c r="B79" s="459" t="str">
        <f>IF('Student DATA Entry'!B76="","",'Student DATA Entry'!B76)</f>
        <v/>
      </c>
      <c r="C79" s="459" t="str">
        <f>IF('Student DATA Entry'!C76="","",'Student DATA Entry'!C76)</f>
        <v/>
      </c>
      <c r="D79" s="459" t="str">
        <f>IF('Student DATA Entry'!D76="","",'Student DATA Entry'!D76)</f>
        <v/>
      </c>
      <c r="E79" s="459" t="str">
        <f>IF('Student DATA Entry'!E76="","",'Student DATA Entry'!E76)</f>
        <v/>
      </c>
      <c r="F79" s="460" t="str">
        <f>IF('Student DATA Entry'!K76="","",'Student DATA Entry'!K76)</f>
        <v/>
      </c>
      <c r="G79" s="461" t="str">
        <f>IF('Student DATA Entry'!G76="","",UPPER('Student DATA Entry'!G76))</f>
        <v/>
      </c>
      <c r="H79" s="461" t="str">
        <f>IF('Student DATA Entry'!H76="","",UPPER('Student DATA Entry'!H76))</f>
        <v/>
      </c>
      <c r="I79" s="462" t="str">
        <f>IF('Student DATA Entry'!I76="","",UPPER('Student DATA Entry'!I76))</f>
        <v/>
      </c>
      <c r="J79" s="463" t="str">
        <f>IF('Student DATA Entry'!L76="","",UPPER('Student DATA Entry'!L76))</f>
        <v/>
      </c>
      <c r="K79" s="469" t="str">
        <f>IF('Student DATA Entry'!J76="","",UPPER('Student DATA Entry'!J76))</f>
        <v/>
      </c>
      <c r="L79" s="491"/>
      <c r="M79" s="8"/>
      <c r="N79" s="8"/>
      <c r="O79" s="9"/>
      <c r="P79" s="492"/>
      <c r="Q79" s="491"/>
      <c r="R79" s="8"/>
      <c r="S79" s="8"/>
      <c r="T79" s="9"/>
      <c r="U79" s="492"/>
      <c r="V79" s="502"/>
      <c r="W79" s="7"/>
      <c r="X79" s="8"/>
      <c r="Y79" s="8"/>
      <c r="Z79" s="9"/>
      <c r="AA79" s="492"/>
      <c r="AB79" s="491"/>
      <c r="AC79" s="8"/>
      <c r="AD79" s="8"/>
      <c r="AE79" s="9"/>
      <c r="AF79" s="492"/>
      <c r="AG79" s="491"/>
      <c r="AH79" s="8"/>
      <c r="AI79" s="8"/>
      <c r="AJ79" s="9"/>
      <c r="AK79" s="492"/>
      <c r="AL79" s="491"/>
      <c r="AM79" s="8"/>
      <c r="AN79" s="8"/>
      <c r="AO79" s="9"/>
      <c r="AP79" s="492"/>
      <c r="AQ79" s="506"/>
      <c r="AR79" s="491"/>
      <c r="AS79" s="8"/>
      <c r="AT79" s="8"/>
      <c r="AU79" s="9"/>
      <c r="AV79" s="9"/>
      <c r="AW79" s="17"/>
      <c r="AX79" s="492"/>
      <c r="AY79" s="491"/>
      <c r="AZ79" s="7"/>
      <c r="BA79" s="9"/>
      <c r="BB79" s="9"/>
      <c r="BC79" s="492"/>
      <c r="BD79" s="491"/>
      <c r="BE79" s="7"/>
      <c r="BF79" s="7"/>
      <c r="BG79" s="7"/>
      <c r="BH79" s="9"/>
      <c r="BI79" s="9"/>
      <c r="BJ79" s="492"/>
      <c r="BK79" s="491"/>
      <c r="BL79" s="7"/>
      <c r="BM79" s="7"/>
      <c r="BN79" s="7"/>
      <c r="BO79" s="7"/>
      <c r="BP79" s="7"/>
      <c r="BQ79" s="7"/>
      <c r="BR79" s="8"/>
      <c r="BS79" s="8"/>
      <c r="BT79" s="509"/>
      <c r="BU79" s="491"/>
      <c r="BV79" s="8"/>
      <c r="BW79" s="509"/>
      <c r="BX79" s="491"/>
      <c r="BY79" s="8"/>
      <c r="BZ79" s="509"/>
      <c r="CA79" s="752"/>
    </row>
    <row r="80" spans="1:79" ht="24.95" customHeight="1">
      <c r="A80" s="468">
        <f>IF('Student DATA Entry'!A77="","",'Student DATA Entry'!A77)</f>
        <v>74</v>
      </c>
      <c r="B80" s="459" t="str">
        <f>IF('Student DATA Entry'!B77="","",'Student DATA Entry'!B77)</f>
        <v/>
      </c>
      <c r="C80" s="459" t="str">
        <f>IF('Student DATA Entry'!C77="","",'Student DATA Entry'!C77)</f>
        <v/>
      </c>
      <c r="D80" s="459" t="str">
        <f>IF('Student DATA Entry'!D77="","",'Student DATA Entry'!D77)</f>
        <v/>
      </c>
      <c r="E80" s="459" t="str">
        <f>IF('Student DATA Entry'!E77="","",'Student DATA Entry'!E77)</f>
        <v/>
      </c>
      <c r="F80" s="460" t="str">
        <f>IF('Student DATA Entry'!K77="","",'Student DATA Entry'!K77)</f>
        <v/>
      </c>
      <c r="G80" s="461" t="str">
        <f>IF('Student DATA Entry'!G77="","",UPPER('Student DATA Entry'!G77))</f>
        <v/>
      </c>
      <c r="H80" s="461" t="str">
        <f>IF('Student DATA Entry'!H77="","",UPPER('Student DATA Entry'!H77))</f>
        <v/>
      </c>
      <c r="I80" s="462" t="str">
        <f>IF('Student DATA Entry'!I77="","",UPPER('Student DATA Entry'!I77))</f>
        <v/>
      </c>
      <c r="J80" s="463" t="str">
        <f>IF('Student DATA Entry'!L77="","",UPPER('Student DATA Entry'!L77))</f>
        <v/>
      </c>
      <c r="K80" s="469" t="str">
        <f>IF('Student DATA Entry'!J77="","",UPPER('Student DATA Entry'!J77))</f>
        <v/>
      </c>
      <c r="L80" s="491"/>
      <c r="M80" s="8"/>
      <c r="N80" s="8"/>
      <c r="O80" s="9"/>
      <c r="P80" s="492"/>
      <c r="Q80" s="491"/>
      <c r="R80" s="8"/>
      <c r="S80" s="8"/>
      <c r="T80" s="9"/>
      <c r="U80" s="492"/>
      <c r="V80" s="502"/>
      <c r="W80" s="7"/>
      <c r="X80" s="8"/>
      <c r="Y80" s="8"/>
      <c r="Z80" s="9"/>
      <c r="AA80" s="492"/>
      <c r="AB80" s="491"/>
      <c r="AC80" s="8"/>
      <c r="AD80" s="8"/>
      <c r="AE80" s="9"/>
      <c r="AF80" s="492"/>
      <c r="AG80" s="491"/>
      <c r="AH80" s="8"/>
      <c r="AI80" s="8"/>
      <c r="AJ80" s="9"/>
      <c r="AK80" s="492"/>
      <c r="AL80" s="491"/>
      <c r="AM80" s="8"/>
      <c r="AN80" s="8"/>
      <c r="AO80" s="9"/>
      <c r="AP80" s="492"/>
      <c r="AQ80" s="506"/>
      <c r="AR80" s="491"/>
      <c r="AS80" s="8"/>
      <c r="AT80" s="8"/>
      <c r="AU80" s="9"/>
      <c r="AV80" s="9"/>
      <c r="AW80" s="17"/>
      <c r="AX80" s="492"/>
      <c r="AY80" s="491"/>
      <c r="AZ80" s="7"/>
      <c r="BA80" s="9"/>
      <c r="BB80" s="9"/>
      <c r="BC80" s="492"/>
      <c r="BD80" s="491"/>
      <c r="BE80" s="7"/>
      <c r="BF80" s="7"/>
      <c r="BG80" s="7"/>
      <c r="BH80" s="9"/>
      <c r="BI80" s="9"/>
      <c r="BJ80" s="492"/>
      <c r="BK80" s="491"/>
      <c r="BL80" s="7"/>
      <c r="BM80" s="7"/>
      <c r="BN80" s="7"/>
      <c r="BO80" s="7"/>
      <c r="BP80" s="7"/>
      <c r="BQ80" s="7"/>
      <c r="BR80" s="8"/>
      <c r="BS80" s="8"/>
      <c r="BT80" s="509"/>
      <c r="BU80" s="491"/>
      <c r="BV80" s="8"/>
      <c r="BW80" s="509"/>
      <c r="BX80" s="491"/>
      <c r="BY80" s="8"/>
      <c r="BZ80" s="509"/>
      <c r="CA80" s="752"/>
    </row>
    <row r="81" spans="1:79" ht="24.95" customHeight="1">
      <c r="A81" s="468">
        <f>IF('Student DATA Entry'!A78="","",'Student DATA Entry'!A78)</f>
        <v>75</v>
      </c>
      <c r="B81" s="459" t="str">
        <f>IF('Student DATA Entry'!B78="","",'Student DATA Entry'!B78)</f>
        <v/>
      </c>
      <c r="C81" s="459" t="str">
        <f>IF('Student DATA Entry'!C78="","",'Student DATA Entry'!C78)</f>
        <v/>
      </c>
      <c r="D81" s="459" t="str">
        <f>IF('Student DATA Entry'!D78="","",'Student DATA Entry'!D78)</f>
        <v/>
      </c>
      <c r="E81" s="459" t="str">
        <f>IF('Student DATA Entry'!E78="","",'Student DATA Entry'!E78)</f>
        <v/>
      </c>
      <c r="F81" s="460" t="str">
        <f>IF('Student DATA Entry'!K78="","",'Student DATA Entry'!K78)</f>
        <v/>
      </c>
      <c r="G81" s="461" t="str">
        <f>IF('Student DATA Entry'!G78="","",UPPER('Student DATA Entry'!G78))</f>
        <v/>
      </c>
      <c r="H81" s="461" t="str">
        <f>IF('Student DATA Entry'!H78="","",UPPER('Student DATA Entry'!H78))</f>
        <v/>
      </c>
      <c r="I81" s="462" t="str">
        <f>IF('Student DATA Entry'!I78="","",UPPER('Student DATA Entry'!I78))</f>
        <v/>
      </c>
      <c r="J81" s="463" t="str">
        <f>IF('Student DATA Entry'!L78="","",UPPER('Student DATA Entry'!L78))</f>
        <v/>
      </c>
      <c r="K81" s="469" t="str">
        <f>IF('Student DATA Entry'!J78="","",UPPER('Student DATA Entry'!J78))</f>
        <v/>
      </c>
      <c r="L81" s="491"/>
      <c r="M81" s="8"/>
      <c r="N81" s="8"/>
      <c r="O81" s="9"/>
      <c r="P81" s="492"/>
      <c r="Q81" s="491"/>
      <c r="R81" s="8"/>
      <c r="S81" s="8"/>
      <c r="T81" s="9"/>
      <c r="U81" s="492"/>
      <c r="V81" s="502"/>
      <c r="W81" s="7"/>
      <c r="X81" s="8"/>
      <c r="Y81" s="8"/>
      <c r="Z81" s="9"/>
      <c r="AA81" s="492"/>
      <c r="AB81" s="491"/>
      <c r="AC81" s="8"/>
      <c r="AD81" s="8"/>
      <c r="AE81" s="9"/>
      <c r="AF81" s="492"/>
      <c r="AG81" s="491"/>
      <c r="AH81" s="8"/>
      <c r="AI81" s="8"/>
      <c r="AJ81" s="9"/>
      <c r="AK81" s="492"/>
      <c r="AL81" s="491"/>
      <c r="AM81" s="8"/>
      <c r="AN81" s="8"/>
      <c r="AO81" s="9"/>
      <c r="AP81" s="492"/>
      <c r="AQ81" s="506"/>
      <c r="AR81" s="491"/>
      <c r="AS81" s="8"/>
      <c r="AT81" s="8"/>
      <c r="AU81" s="9"/>
      <c r="AV81" s="9"/>
      <c r="AW81" s="17"/>
      <c r="AX81" s="492"/>
      <c r="AY81" s="491"/>
      <c r="AZ81" s="7"/>
      <c r="BA81" s="9"/>
      <c r="BB81" s="9"/>
      <c r="BC81" s="492"/>
      <c r="BD81" s="491"/>
      <c r="BE81" s="7"/>
      <c r="BF81" s="7"/>
      <c r="BG81" s="7"/>
      <c r="BH81" s="9"/>
      <c r="BI81" s="9"/>
      <c r="BJ81" s="492"/>
      <c r="BK81" s="491"/>
      <c r="BL81" s="7"/>
      <c r="BM81" s="7"/>
      <c r="BN81" s="7"/>
      <c r="BO81" s="7"/>
      <c r="BP81" s="7"/>
      <c r="BQ81" s="7"/>
      <c r="BR81" s="8"/>
      <c r="BS81" s="8"/>
      <c r="BT81" s="509"/>
      <c r="BU81" s="491"/>
      <c r="BV81" s="8"/>
      <c r="BW81" s="509"/>
      <c r="BX81" s="491"/>
      <c r="BY81" s="8"/>
      <c r="BZ81" s="509"/>
      <c r="CA81" s="752"/>
    </row>
    <row r="82" spans="1:79" ht="24.95" customHeight="1">
      <c r="A82" s="468">
        <f>IF('Student DATA Entry'!A79="","",'Student DATA Entry'!A79)</f>
        <v>76</v>
      </c>
      <c r="B82" s="459" t="str">
        <f>IF('Student DATA Entry'!B79="","",'Student DATA Entry'!B79)</f>
        <v/>
      </c>
      <c r="C82" s="459" t="str">
        <f>IF('Student DATA Entry'!C79="","",'Student DATA Entry'!C79)</f>
        <v/>
      </c>
      <c r="D82" s="459" t="str">
        <f>IF('Student DATA Entry'!D79="","",'Student DATA Entry'!D79)</f>
        <v/>
      </c>
      <c r="E82" s="459" t="str">
        <f>IF('Student DATA Entry'!E79="","",'Student DATA Entry'!E79)</f>
        <v/>
      </c>
      <c r="F82" s="460" t="str">
        <f>IF('Student DATA Entry'!K79="","",'Student DATA Entry'!K79)</f>
        <v/>
      </c>
      <c r="G82" s="461" t="str">
        <f>IF('Student DATA Entry'!G79="","",UPPER('Student DATA Entry'!G79))</f>
        <v/>
      </c>
      <c r="H82" s="461" t="str">
        <f>IF('Student DATA Entry'!H79="","",UPPER('Student DATA Entry'!H79))</f>
        <v/>
      </c>
      <c r="I82" s="462" t="str">
        <f>IF('Student DATA Entry'!I79="","",UPPER('Student DATA Entry'!I79))</f>
        <v/>
      </c>
      <c r="J82" s="463" t="str">
        <f>IF('Student DATA Entry'!L79="","",UPPER('Student DATA Entry'!L79))</f>
        <v/>
      </c>
      <c r="K82" s="469" t="str">
        <f>IF('Student DATA Entry'!J79="","",UPPER('Student DATA Entry'!J79))</f>
        <v/>
      </c>
      <c r="L82" s="491"/>
      <c r="M82" s="8"/>
      <c r="N82" s="8"/>
      <c r="O82" s="9"/>
      <c r="P82" s="492"/>
      <c r="Q82" s="491"/>
      <c r="R82" s="8"/>
      <c r="S82" s="8"/>
      <c r="T82" s="9"/>
      <c r="U82" s="492"/>
      <c r="V82" s="502"/>
      <c r="W82" s="7"/>
      <c r="X82" s="8"/>
      <c r="Y82" s="8"/>
      <c r="Z82" s="9"/>
      <c r="AA82" s="492"/>
      <c r="AB82" s="491"/>
      <c r="AC82" s="8"/>
      <c r="AD82" s="8"/>
      <c r="AE82" s="9"/>
      <c r="AF82" s="492"/>
      <c r="AG82" s="491"/>
      <c r="AH82" s="8"/>
      <c r="AI82" s="8"/>
      <c r="AJ82" s="9"/>
      <c r="AK82" s="492"/>
      <c r="AL82" s="491"/>
      <c r="AM82" s="8"/>
      <c r="AN82" s="8"/>
      <c r="AO82" s="9"/>
      <c r="AP82" s="492"/>
      <c r="AQ82" s="506"/>
      <c r="AR82" s="491"/>
      <c r="AS82" s="8"/>
      <c r="AT82" s="8"/>
      <c r="AU82" s="9"/>
      <c r="AV82" s="9"/>
      <c r="AW82" s="17"/>
      <c r="AX82" s="492"/>
      <c r="AY82" s="491"/>
      <c r="AZ82" s="7"/>
      <c r="BA82" s="9"/>
      <c r="BB82" s="9"/>
      <c r="BC82" s="492"/>
      <c r="BD82" s="491"/>
      <c r="BE82" s="7"/>
      <c r="BF82" s="7"/>
      <c r="BG82" s="7"/>
      <c r="BH82" s="9"/>
      <c r="BI82" s="9"/>
      <c r="BJ82" s="492"/>
      <c r="BK82" s="491"/>
      <c r="BL82" s="7"/>
      <c r="BM82" s="7"/>
      <c r="BN82" s="7"/>
      <c r="BO82" s="7"/>
      <c r="BP82" s="7"/>
      <c r="BQ82" s="7"/>
      <c r="BR82" s="8"/>
      <c r="BS82" s="8"/>
      <c r="BT82" s="509"/>
      <c r="BU82" s="491"/>
      <c r="BV82" s="8"/>
      <c r="BW82" s="509"/>
      <c r="BX82" s="491"/>
      <c r="BY82" s="8"/>
      <c r="BZ82" s="509"/>
      <c r="CA82" s="752"/>
    </row>
    <row r="83" spans="1:79" ht="24.95" customHeight="1">
      <c r="A83" s="468">
        <f>IF('Student DATA Entry'!A80="","",'Student DATA Entry'!A80)</f>
        <v>77</v>
      </c>
      <c r="B83" s="459" t="str">
        <f>IF('Student DATA Entry'!B80="","",'Student DATA Entry'!B80)</f>
        <v/>
      </c>
      <c r="C83" s="459" t="str">
        <f>IF('Student DATA Entry'!C80="","",'Student DATA Entry'!C80)</f>
        <v/>
      </c>
      <c r="D83" s="459" t="str">
        <f>IF('Student DATA Entry'!D80="","",'Student DATA Entry'!D80)</f>
        <v/>
      </c>
      <c r="E83" s="459" t="str">
        <f>IF('Student DATA Entry'!E80="","",'Student DATA Entry'!E80)</f>
        <v/>
      </c>
      <c r="F83" s="460" t="str">
        <f>IF('Student DATA Entry'!K80="","",'Student DATA Entry'!K80)</f>
        <v/>
      </c>
      <c r="G83" s="461" t="str">
        <f>IF('Student DATA Entry'!G80="","",UPPER('Student DATA Entry'!G80))</f>
        <v/>
      </c>
      <c r="H83" s="461" t="str">
        <f>IF('Student DATA Entry'!H80="","",UPPER('Student DATA Entry'!H80))</f>
        <v/>
      </c>
      <c r="I83" s="462" t="str">
        <f>IF('Student DATA Entry'!I80="","",UPPER('Student DATA Entry'!I80))</f>
        <v/>
      </c>
      <c r="J83" s="463" t="str">
        <f>IF('Student DATA Entry'!L80="","",UPPER('Student DATA Entry'!L80))</f>
        <v/>
      </c>
      <c r="K83" s="469" t="str">
        <f>IF('Student DATA Entry'!J80="","",UPPER('Student DATA Entry'!J80))</f>
        <v/>
      </c>
      <c r="L83" s="491"/>
      <c r="M83" s="8"/>
      <c r="N83" s="8"/>
      <c r="O83" s="9"/>
      <c r="P83" s="492"/>
      <c r="Q83" s="491"/>
      <c r="R83" s="8"/>
      <c r="S83" s="8"/>
      <c r="T83" s="9"/>
      <c r="U83" s="492"/>
      <c r="V83" s="502"/>
      <c r="W83" s="7"/>
      <c r="X83" s="8"/>
      <c r="Y83" s="8"/>
      <c r="Z83" s="9"/>
      <c r="AA83" s="492"/>
      <c r="AB83" s="491"/>
      <c r="AC83" s="8"/>
      <c r="AD83" s="8"/>
      <c r="AE83" s="9"/>
      <c r="AF83" s="492"/>
      <c r="AG83" s="491"/>
      <c r="AH83" s="8"/>
      <c r="AI83" s="8"/>
      <c r="AJ83" s="9"/>
      <c r="AK83" s="492"/>
      <c r="AL83" s="491"/>
      <c r="AM83" s="8"/>
      <c r="AN83" s="8"/>
      <c r="AO83" s="9"/>
      <c r="AP83" s="492"/>
      <c r="AQ83" s="506"/>
      <c r="AR83" s="491"/>
      <c r="AS83" s="8"/>
      <c r="AT83" s="8"/>
      <c r="AU83" s="9"/>
      <c r="AV83" s="9"/>
      <c r="AW83" s="17"/>
      <c r="AX83" s="492"/>
      <c r="AY83" s="491"/>
      <c r="AZ83" s="7"/>
      <c r="BA83" s="9"/>
      <c r="BB83" s="9"/>
      <c r="BC83" s="492"/>
      <c r="BD83" s="491"/>
      <c r="BE83" s="7"/>
      <c r="BF83" s="7"/>
      <c r="BG83" s="7"/>
      <c r="BH83" s="9"/>
      <c r="BI83" s="9"/>
      <c r="BJ83" s="492"/>
      <c r="BK83" s="491"/>
      <c r="BL83" s="7"/>
      <c r="BM83" s="7"/>
      <c r="BN83" s="7"/>
      <c r="BO83" s="7"/>
      <c r="BP83" s="7"/>
      <c r="BQ83" s="7"/>
      <c r="BR83" s="8"/>
      <c r="BS83" s="8"/>
      <c r="BT83" s="509"/>
      <c r="BU83" s="491"/>
      <c r="BV83" s="8"/>
      <c r="BW83" s="509"/>
      <c r="BX83" s="491"/>
      <c r="BY83" s="8"/>
      <c r="BZ83" s="509"/>
      <c r="CA83" s="752"/>
    </row>
    <row r="84" spans="1:79" ht="24.95" customHeight="1">
      <c r="A84" s="468">
        <f>IF('Student DATA Entry'!A81="","",'Student DATA Entry'!A81)</f>
        <v>78</v>
      </c>
      <c r="B84" s="459" t="str">
        <f>IF('Student DATA Entry'!B81="","",'Student DATA Entry'!B81)</f>
        <v/>
      </c>
      <c r="C84" s="459" t="str">
        <f>IF('Student DATA Entry'!C81="","",'Student DATA Entry'!C81)</f>
        <v/>
      </c>
      <c r="D84" s="459" t="str">
        <f>IF('Student DATA Entry'!D81="","",'Student DATA Entry'!D81)</f>
        <v/>
      </c>
      <c r="E84" s="459" t="str">
        <f>IF('Student DATA Entry'!E81="","",'Student DATA Entry'!E81)</f>
        <v/>
      </c>
      <c r="F84" s="460" t="str">
        <f>IF('Student DATA Entry'!K81="","",'Student DATA Entry'!K81)</f>
        <v/>
      </c>
      <c r="G84" s="461" t="str">
        <f>IF('Student DATA Entry'!G81="","",UPPER('Student DATA Entry'!G81))</f>
        <v/>
      </c>
      <c r="H84" s="461" t="str">
        <f>IF('Student DATA Entry'!H81="","",UPPER('Student DATA Entry'!H81))</f>
        <v/>
      </c>
      <c r="I84" s="462" t="str">
        <f>IF('Student DATA Entry'!I81="","",UPPER('Student DATA Entry'!I81))</f>
        <v/>
      </c>
      <c r="J84" s="463" t="str">
        <f>IF('Student DATA Entry'!L81="","",UPPER('Student DATA Entry'!L81))</f>
        <v/>
      </c>
      <c r="K84" s="469" t="str">
        <f>IF('Student DATA Entry'!J81="","",UPPER('Student DATA Entry'!J81))</f>
        <v/>
      </c>
      <c r="L84" s="491"/>
      <c r="M84" s="8"/>
      <c r="N84" s="8"/>
      <c r="O84" s="9"/>
      <c r="P84" s="492"/>
      <c r="Q84" s="491"/>
      <c r="R84" s="8"/>
      <c r="S84" s="8"/>
      <c r="T84" s="9"/>
      <c r="U84" s="492"/>
      <c r="V84" s="502"/>
      <c r="W84" s="7"/>
      <c r="X84" s="8"/>
      <c r="Y84" s="8"/>
      <c r="Z84" s="9"/>
      <c r="AA84" s="492"/>
      <c r="AB84" s="491"/>
      <c r="AC84" s="8"/>
      <c r="AD84" s="8"/>
      <c r="AE84" s="9"/>
      <c r="AF84" s="492"/>
      <c r="AG84" s="491"/>
      <c r="AH84" s="8"/>
      <c r="AI84" s="8"/>
      <c r="AJ84" s="9"/>
      <c r="AK84" s="492"/>
      <c r="AL84" s="491"/>
      <c r="AM84" s="8"/>
      <c r="AN84" s="8"/>
      <c r="AO84" s="9"/>
      <c r="AP84" s="492"/>
      <c r="AQ84" s="506"/>
      <c r="AR84" s="491"/>
      <c r="AS84" s="8"/>
      <c r="AT84" s="8"/>
      <c r="AU84" s="9"/>
      <c r="AV84" s="9"/>
      <c r="AW84" s="17"/>
      <c r="AX84" s="492"/>
      <c r="AY84" s="491"/>
      <c r="AZ84" s="7"/>
      <c r="BA84" s="9"/>
      <c r="BB84" s="9"/>
      <c r="BC84" s="492"/>
      <c r="BD84" s="491"/>
      <c r="BE84" s="7"/>
      <c r="BF84" s="7"/>
      <c r="BG84" s="7"/>
      <c r="BH84" s="9"/>
      <c r="BI84" s="9"/>
      <c r="BJ84" s="492"/>
      <c r="BK84" s="491"/>
      <c r="BL84" s="7"/>
      <c r="BM84" s="7"/>
      <c r="BN84" s="7"/>
      <c r="BO84" s="7"/>
      <c r="BP84" s="7"/>
      <c r="BQ84" s="7"/>
      <c r="BR84" s="8"/>
      <c r="BS84" s="8"/>
      <c r="BT84" s="509"/>
      <c r="BU84" s="491"/>
      <c r="BV84" s="8"/>
      <c r="BW84" s="509"/>
      <c r="BX84" s="491"/>
      <c r="BY84" s="8"/>
      <c r="BZ84" s="509"/>
      <c r="CA84" s="752"/>
    </row>
    <row r="85" spans="1:79" ht="24.95" customHeight="1">
      <c r="A85" s="468">
        <f>IF('Student DATA Entry'!A82="","",'Student DATA Entry'!A82)</f>
        <v>79</v>
      </c>
      <c r="B85" s="459" t="str">
        <f>IF('Student DATA Entry'!B82="","",'Student DATA Entry'!B82)</f>
        <v/>
      </c>
      <c r="C85" s="459" t="str">
        <f>IF('Student DATA Entry'!C82="","",'Student DATA Entry'!C82)</f>
        <v/>
      </c>
      <c r="D85" s="459" t="str">
        <f>IF('Student DATA Entry'!D82="","",'Student DATA Entry'!D82)</f>
        <v/>
      </c>
      <c r="E85" s="459" t="str">
        <f>IF('Student DATA Entry'!E82="","",'Student DATA Entry'!E82)</f>
        <v/>
      </c>
      <c r="F85" s="460" t="str">
        <f>IF('Student DATA Entry'!K82="","",'Student DATA Entry'!K82)</f>
        <v/>
      </c>
      <c r="G85" s="461" t="str">
        <f>IF('Student DATA Entry'!G82="","",UPPER('Student DATA Entry'!G82))</f>
        <v/>
      </c>
      <c r="H85" s="461" t="str">
        <f>IF('Student DATA Entry'!H82="","",UPPER('Student DATA Entry'!H82))</f>
        <v/>
      </c>
      <c r="I85" s="462" t="str">
        <f>IF('Student DATA Entry'!I82="","",UPPER('Student DATA Entry'!I82))</f>
        <v/>
      </c>
      <c r="J85" s="463" t="str">
        <f>IF('Student DATA Entry'!L82="","",UPPER('Student DATA Entry'!L82))</f>
        <v/>
      </c>
      <c r="K85" s="469" t="str">
        <f>IF('Student DATA Entry'!J82="","",UPPER('Student DATA Entry'!J82))</f>
        <v/>
      </c>
      <c r="L85" s="491"/>
      <c r="M85" s="8"/>
      <c r="N85" s="8"/>
      <c r="O85" s="9"/>
      <c r="P85" s="492"/>
      <c r="Q85" s="491"/>
      <c r="R85" s="8"/>
      <c r="S85" s="8"/>
      <c r="T85" s="9"/>
      <c r="U85" s="492"/>
      <c r="V85" s="502"/>
      <c r="W85" s="7"/>
      <c r="X85" s="8"/>
      <c r="Y85" s="8"/>
      <c r="Z85" s="9"/>
      <c r="AA85" s="492"/>
      <c r="AB85" s="491"/>
      <c r="AC85" s="8"/>
      <c r="AD85" s="8"/>
      <c r="AE85" s="9"/>
      <c r="AF85" s="492"/>
      <c r="AG85" s="491"/>
      <c r="AH85" s="8"/>
      <c r="AI85" s="8"/>
      <c r="AJ85" s="9"/>
      <c r="AK85" s="492"/>
      <c r="AL85" s="491"/>
      <c r="AM85" s="8"/>
      <c r="AN85" s="8"/>
      <c r="AO85" s="9"/>
      <c r="AP85" s="492"/>
      <c r="AQ85" s="506"/>
      <c r="AR85" s="491"/>
      <c r="AS85" s="8"/>
      <c r="AT85" s="8"/>
      <c r="AU85" s="9"/>
      <c r="AV85" s="9"/>
      <c r="AW85" s="17"/>
      <c r="AX85" s="492"/>
      <c r="AY85" s="491"/>
      <c r="AZ85" s="7"/>
      <c r="BA85" s="9"/>
      <c r="BB85" s="9"/>
      <c r="BC85" s="492"/>
      <c r="BD85" s="491"/>
      <c r="BE85" s="7"/>
      <c r="BF85" s="7"/>
      <c r="BG85" s="7"/>
      <c r="BH85" s="9"/>
      <c r="BI85" s="9"/>
      <c r="BJ85" s="492"/>
      <c r="BK85" s="491"/>
      <c r="BL85" s="7"/>
      <c r="BM85" s="7"/>
      <c r="BN85" s="7"/>
      <c r="BO85" s="7"/>
      <c r="BP85" s="7"/>
      <c r="BQ85" s="7"/>
      <c r="BR85" s="8"/>
      <c r="BS85" s="8"/>
      <c r="BT85" s="509"/>
      <c r="BU85" s="491"/>
      <c r="BV85" s="8"/>
      <c r="BW85" s="509"/>
      <c r="BX85" s="491"/>
      <c r="BY85" s="8"/>
      <c r="BZ85" s="509"/>
      <c r="CA85" s="752"/>
    </row>
    <row r="86" spans="1:79" ht="24.95" customHeight="1">
      <c r="A86" s="468">
        <f>IF('Student DATA Entry'!A83="","",'Student DATA Entry'!A83)</f>
        <v>80</v>
      </c>
      <c r="B86" s="459" t="str">
        <f>IF('Student DATA Entry'!B83="","",'Student DATA Entry'!B83)</f>
        <v/>
      </c>
      <c r="C86" s="459" t="str">
        <f>IF('Student DATA Entry'!C83="","",'Student DATA Entry'!C83)</f>
        <v/>
      </c>
      <c r="D86" s="459" t="str">
        <f>IF('Student DATA Entry'!D83="","",'Student DATA Entry'!D83)</f>
        <v/>
      </c>
      <c r="E86" s="459" t="str">
        <f>IF('Student DATA Entry'!E83="","",'Student DATA Entry'!E83)</f>
        <v/>
      </c>
      <c r="F86" s="460" t="str">
        <f>IF('Student DATA Entry'!K83="","",'Student DATA Entry'!K83)</f>
        <v/>
      </c>
      <c r="G86" s="461" t="str">
        <f>IF('Student DATA Entry'!G83="","",UPPER('Student DATA Entry'!G83))</f>
        <v/>
      </c>
      <c r="H86" s="461" t="str">
        <f>IF('Student DATA Entry'!H83="","",UPPER('Student DATA Entry'!H83))</f>
        <v/>
      </c>
      <c r="I86" s="462" t="str">
        <f>IF('Student DATA Entry'!I83="","",UPPER('Student DATA Entry'!I83))</f>
        <v/>
      </c>
      <c r="J86" s="463" t="str">
        <f>IF('Student DATA Entry'!L83="","",UPPER('Student DATA Entry'!L83))</f>
        <v/>
      </c>
      <c r="K86" s="469" t="str">
        <f>IF('Student DATA Entry'!J83="","",UPPER('Student DATA Entry'!J83))</f>
        <v/>
      </c>
      <c r="L86" s="491"/>
      <c r="M86" s="8"/>
      <c r="N86" s="8"/>
      <c r="O86" s="9"/>
      <c r="P86" s="492"/>
      <c r="Q86" s="491"/>
      <c r="R86" s="8"/>
      <c r="S86" s="8"/>
      <c r="T86" s="9"/>
      <c r="U86" s="492"/>
      <c r="V86" s="502"/>
      <c r="W86" s="7"/>
      <c r="X86" s="8"/>
      <c r="Y86" s="8"/>
      <c r="Z86" s="9"/>
      <c r="AA86" s="492"/>
      <c r="AB86" s="491"/>
      <c r="AC86" s="8"/>
      <c r="AD86" s="8"/>
      <c r="AE86" s="9"/>
      <c r="AF86" s="492"/>
      <c r="AG86" s="491"/>
      <c r="AH86" s="8"/>
      <c r="AI86" s="8"/>
      <c r="AJ86" s="9"/>
      <c r="AK86" s="492"/>
      <c r="AL86" s="491"/>
      <c r="AM86" s="8"/>
      <c r="AN86" s="8"/>
      <c r="AO86" s="9"/>
      <c r="AP86" s="492"/>
      <c r="AQ86" s="506"/>
      <c r="AR86" s="491"/>
      <c r="AS86" s="8"/>
      <c r="AT86" s="8"/>
      <c r="AU86" s="9"/>
      <c r="AV86" s="9"/>
      <c r="AW86" s="17"/>
      <c r="AX86" s="492"/>
      <c r="AY86" s="491"/>
      <c r="AZ86" s="7"/>
      <c r="BA86" s="9"/>
      <c r="BB86" s="9"/>
      <c r="BC86" s="492"/>
      <c r="BD86" s="491"/>
      <c r="BE86" s="7"/>
      <c r="BF86" s="7"/>
      <c r="BG86" s="7"/>
      <c r="BH86" s="9"/>
      <c r="BI86" s="9"/>
      <c r="BJ86" s="492"/>
      <c r="BK86" s="491"/>
      <c r="BL86" s="7"/>
      <c r="BM86" s="7"/>
      <c r="BN86" s="7"/>
      <c r="BO86" s="7"/>
      <c r="BP86" s="7"/>
      <c r="BQ86" s="7"/>
      <c r="BR86" s="8"/>
      <c r="BS86" s="8"/>
      <c r="BT86" s="509"/>
      <c r="BU86" s="491"/>
      <c r="BV86" s="8"/>
      <c r="BW86" s="509"/>
      <c r="BX86" s="491"/>
      <c r="BY86" s="8"/>
      <c r="BZ86" s="509"/>
      <c r="CA86" s="752"/>
    </row>
    <row r="87" spans="1:79" ht="24.95" customHeight="1">
      <c r="A87" s="468">
        <f>IF('Student DATA Entry'!A84="","",'Student DATA Entry'!A84)</f>
        <v>81</v>
      </c>
      <c r="B87" s="459" t="str">
        <f>IF('Student DATA Entry'!B84="","",'Student DATA Entry'!B84)</f>
        <v/>
      </c>
      <c r="C87" s="459" t="str">
        <f>IF('Student DATA Entry'!C84="","",'Student DATA Entry'!C84)</f>
        <v/>
      </c>
      <c r="D87" s="459" t="str">
        <f>IF('Student DATA Entry'!D84="","",'Student DATA Entry'!D84)</f>
        <v/>
      </c>
      <c r="E87" s="459" t="str">
        <f>IF('Student DATA Entry'!E84="","",'Student DATA Entry'!E84)</f>
        <v/>
      </c>
      <c r="F87" s="460" t="str">
        <f>IF('Student DATA Entry'!K84="","",'Student DATA Entry'!K84)</f>
        <v/>
      </c>
      <c r="G87" s="461" t="str">
        <f>IF('Student DATA Entry'!G84="","",UPPER('Student DATA Entry'!G84))</f>
        <v/>
      </c>
      <c r="H87" s="461" t="str">
        <f>IF('Student DATA Entry'!H84="","",UPPER('Student DATA Entry'!H84))</f>
        <v/>
      </c>
      <c r="I87" s="462" t="str">
        <f>IF('Student DATA Entry'!I84="","",UPPER('Student DATA Entry'!I84))</f>
        <v/>
      </c>
      <c r="J87" s="463" t="str">
        <f>IF('Student DATA Entry'!L84="","",UPPER('Student DATA Entry'!L84))</f>
        <v/>
      </c>
      <c r="K87" s="469" t="str">
        <f>IF('Student DATA Entry'!J84="","",UPPER('Student DATA Entry'!J84))</f>
        <v/>
      </c>
      <c r="L87" s="491"/>
      <c r="M87" s="8"/>
      <c r="N87" s="8"/>
      <c r="O87" s="9"/>
      <c r="P87" s="492"/>
      <c r="Q87" s="491"/>
      <c r="R87" s="8"/>
      <c r="S87" s="8"/>
      <c r="T87" s="9"/>
      <c r="U87" s="492"/>
      <c r="V87" s="502"/>
      <c r="W87" s="7"/>
      <c r="X87" s="8"/>
      <c r="Y87" s="8"/>
      <c r="Z87" s="9"/>
      <c r="AA87" s="492"/>
      <c r="AB87" s="491"/>
      <c r="AC87" s="8"/>
      <c r="AD87" s="8"/>
      <c r="AE87" s="9"/>
      <c r="AF87" s="492"/>
      <c r="AG87" s="491"/>
      <c r="AH87" s="8"/>
      <c r="AI87" s="8"/>
      <c r="AJ87" s="9"/>
      <c r="AK87" s="492"/>
      <c r="AL87" s="491"/>
      <c r="AM87" s="8"/>
      <c r="AN87" s="8"/>
      <c r="AO87" s="9"/>
      <c r="AP87" s="492"/>
      <c r="AQ87" s="506"/>
      <c r="AR87" s="491"/>
      <c r="AS87" s="8"/>
      <c r="AT87" s="8"/>
      <c r="AU87" s="9"/>
      <c r="AV87" s="9"/>
      <c r="AW87" s="17"/>
      <c r="AX87" s="492"/>
      <c r="AY87" s="491"/>
      <c r="AZ87" s="7"/>
      <c r="BA87" s="9"/>
      <c r="BB87" s="9"/>
      <c r="BC87" s="492"/>
      <c r="BD87" s="491"/>
      <c r="BE87" s="7"/>
      <c r="BF87" s="7"/>
      <c r="BG87" s="7"/>
      <c r="BH87" s="9"/>
      <c r="BI87" s="9"/>
      <c r="BJ87" s="492"/>
      <c r="BK87" s="491"/>
      <c r="BL87" s="7"/>
      <c r="BM87" s="7"/>
      <c r="BN87" s="7"/>
      <c r="BO87" s="7"/>
      <c r="BP87" s="7"/>
      <c r="BQ87" s="7"/>
      <c r="BR87" s="8"/>
      <c r="BS87" s="8"/>
      <c r="BT87" s="509"/>
      <c r="BU87" s="491"/>
      <c r="BV87" s="8"/>
      <c r="BW87" s="509"/>
      <c r="BX87" s="491"/>
      <c r="BY87" s="8"/>
      <c r="BZ87" s="509"/>
      <c r="CA87" s="752"/>
    </row>
    <row r="88" spans="1:79" ht="24.95" customHeight="1">
      <c r="A88" s="468">
        <f>IF('Student DATA Entry'!A85="","",'Student DATA Entry'!A85)</f>
        <v>82</v>
      </c>
      <c r="B88" s="459" t="str">
        <f>IF('Student DATA Entry'!B85="","",'Student DATA Entry'!B85)</f>
        <v/>
      </c>
      <c r="C88" s="459" t="str">
        <f>IF('Student DATA Entry'!C85="","",'Student DATA Entry'!C85)</f>
        <v/>
      </c>
      <c r="D88" s="459" t="str">
        <f>IF('Student DATA Entry'!D85="","",'Student DATA Entry'!D85)</f>
        <v/>
      </c>
      <c r="E88" s="459" t="str">
        <f>IF('Student DATA Entry'!E85="","",'Student DATA Entry'!E85)</f>
        <v/>
      </c>
      <c r="F88" s="460" t="str">
        <f>IF('Student DATA Entry'!K85="","",'Student DATA Entry'!K85)</f>
        <v/>
      </c>
      <c r="G88" s="461" t="str">
        <f>IF('Student DATA Entry'!G85="","",UPPER('Student DATA Entry'!G85))</f>
        <v/>
      </c>
      <c r="H88" s="461" t="str">
        <f>IF('Student DATA Entry'!H85="","",UPPER('Student DATA Entry'!H85))</f>
        <v/>
      </c>
      <c r="I88" s="462" t="str">
        <f>IF('Student DATA Entry'!I85="","",UPPER('Student DATA Entry'!I85))</f>
        <v/>
      </c>
      <c r="J88" s="463" t="str">
        <f>IF('Student DATA Entry'!L85="","",UPPER('Student DATA Entry'!L85))</f>
        <v/>
      </c>
      <c r="K88" s="469" t="str">
        <f>IF('Student DATA Entry'!J85="","",UPPER('Student DATA Entry'!J85))</f>
        <v/>
      </c>
      <c r="L88" s="491"/>
      <c r="M88" s="8"/>
      <c r="N88" s="8"/>
      <c r="O88" s="9"/>
      <c r="P88" s="492"/>
      <c r="Q88" s="491"/>
      <c r="R88" s="8"/>
      <c r="S88" s="8"/>
      <c r="T88" s="9"/>
      <c r="U88" s="492"/>
      <c r="V88" s="502"/>
      <c r="W88" s="7"/>
      <c r="X88" s="8"/>
      <c r="Y88" s="8"/>
      <c r="Z88" s="9"/>
      <c r="AA88" s="492"/>
      <c r="AB88" s="491"/>
      <c r="AC88" s="8"/>
      <c r="AD88" s="8"/>
      <c r="AE88" s="9"/>
      <c r="AF88" s="492"/>
      <c r="AG88" s="491"/>
      <c r="AH88" s="8"/>
      <c r="AI88" s="8"/>
      <c r="AJ88" s="9"/>
      <c r="AK88" s="492"/>
      <c r="AL88" s="491"/>
      <c r="AM88" s="8"/>
      <c r="AN88" s="8"/>
      <c r="AO88" s="9"/>
      <c r="AP88" s="492"/>
      <c r="AQ88" s="506"/>
      <c r="AR88" s="491"/>
      <c r="AS88" s="8"/>
      <c r="AT88" s="8"/>
      <c r="AU88" s="9"/>
      <c r="AV88" s="9"/>
      <c r="AW88" s="17"/>
      <c r="AX88" s="492"/>
      <c r="AY88" s="491"/>
      <c r="AZ88" s="7"/>
      <c r="BA88" s="9"/>
      <c r="BB88" s="9"/>
      <c r="BC88" s="492"/>
      <c r="BD88" s="491"/>
      <c r="BE88" s="7"/>
      <c r="BF88" s="7"/>
      <c r="BG88" s="7"/>
      <c r="BH88" s="9"/>
      <c r="BI88" s="9"/>
      <c r="BJ88" s="492"/>
      <c r="BK88" s="491"/>
      <c r="BL88" s="7"/>
      <c r="BM88" s="7"/>
      <c r="BN88" s="7"/>
      <c r="BO88" s="7"/>
      <c r="BP88" s="7"/>
      <c r="BQ88" s="7"/>
      <c r="BR88" s="8"/>
      <c r="BS88" s="8"/>
      <c r="BT88" s="509"/>
      <c r="BU88" s="491"/>
      <c r="BV88" s="8"/>
      <c r="BW88" s="509"/>
      <c r="BX88" s="491"/>
      <c r="BY88" s="8"/>
      <c r="BZ88" s="509"/>
      <c r="CA88" s="752"/>
    </row>
    <row r="89" spans="1:79" ht="24.95" customHeight="1">
      <c r="A89" s="468">
        <f>IF('Student DATA Entry'!A86="","",'Student DATA Entry'!A86)</f>
        <v>83</v>
      </c>
      <c r="B89" s="459" t="str">
        <f>IF('Student DATA Entry'!B86="","",'Student DATA Entry'!B86)</f>
        <v/>
      </c>
      <c r="C89" s="459" t="str">
        <f>IF('Student DATA Entry'!C86="","",'Student DATA Entry'!C86)</f>
        <v/>
      </c>
      <c r="D89" s="459" t="str">
        <f>IF('Student DATA Entry'!D86="","",'Student DATA Entry'!D86)</f>
        <v/>
      </c>
      <c r="E89" s="459" t="str">
        <f>IF('Student DATA Entry'!E86="","",'Student DATA Entry'!E86)</f>
        <v/>
      </c>
      <c r="F89" s="460" t="str">
        <f>IF('Student DATA Entry'!K86="","",'Student DATA Entry'!K86)</f>
        <v/>
      </c>
      <c r="G89" s="461" t="str">
        <f>IF('Student DATA Entry'!G86="","",UPPER('Student DATA Entry'!G86))</f>
        <v/>
      </c>
      <c r="H89" s="461" t="str">
        <f>IF('Student DATA Entry'!H86="","",UPPER('Student DATA Entry'!H86))</f>
        <v/>
      </c>
      <c r="I89" s="462" t="str">
        <f>IF('Student DATA Entry'!I86="","",UPPER('Student DATA Entry'!I86))</f>
        <v/>
      </c>
      <c r="J89" s="463" t="str">
        <f>IF('Student DATA Entry'!L86="","",UPPER('Student DATA Entry'!L86))</f>
        <v/>
      </c>
      <c r="K89" s="469" t="str">
        <f>IF('Student DATA Entry'!J86="","",UPPER('Student DATA Entry'!J86))</f>
        <v/>
      </c>
      <c r="L89" s="491"/>
      <c r="M89" s="8"/>
      <c r="N89" s="8"/>
      <c r="O89" s="9"/>
      <c r="P89" s="492"/>
      <c r="Q89" s="491"/>
      <c r="R89" s="8"/>
      <c r="S89" s="8"/>
      <c r="T89" s="9"/>
      <c r="U89" s="492"/>
      <c r="V89" s="502"/>
      <c r="W89" s="7"/>
      <c r="X89" s="8"/>
      <c r="Y89" s="8"/>
      <c r="Z89" s="9"/>
      <c r="AA89" s="492"/>
      <c r="AB89" s="491"/>
      <c r="AC89" s="8"/>
      <c r="AD89" s="8"/>
      <c r="AE89" s="9"/>
      <c r="AF89" s="492"/>
      <c r="AG89" s="491"/>
      <c r="AH89" s="8"/>
      <c r="AI89" s="8"/>
      <c r="AJ89" s="9"/>
      <c r="AK89" s="492"/>
      <c r="AL89" s="491"/>
      <c r="AM89" s="8"/>
      <c r="AN89" s="8"/>
      <c r="AO89" s="9"/>
      <c r="AP89" s="492"/>
      <c r="AQ89" s="506"/>
      <c r="AR89" s="491"/>
      <c r="AS89" s="8"/>
      <c r="AT89" s="8"/>
      <c r="AU89" s="9"/>
      <c r="AV89" s="9"/>
      <c r="AW89" s="17"/>
      <c r="AX89" s="492"/>
      <c r="AY89" s="491"/>
      <c r="AZ89" s="7"/>
      <c r="BA89" s="9"/>
      <c r="BB89" s="9"/>
      <c r="BC89" s="492"/>
      <c r="BD89" s="491"/>
      <c r="BE89" s="7"/>
      <c r="BF89" s="7"/>
      <c r="BG89" s="7"/>
      <c r="BH89" s="9"/>
      <c r="BI89" s="9"/>
      <c r="BJ89" s="492"/>
      <c r="BK89" s="491"/>
      <c r="BL89" s="7"/>
      <c r="BM89" s="7"/>
      <c r="BN89" s="7"/>
      <c r="BO89" s="7"/>
      <c r="BP89" s="7"/>
      <c r="BQ89" s="7"/>
      <c r="BR89" s="8"/>
      <c r="BS89" s="8"/>
      <c r="BT89" s="509"/>
      <c r="BU89" s="491"/>
      <c r="BV89" s="8"/>
      <c r="BW89" s="509"/>
      <c r="BX89" s="491"/>
      <c r="BY89" s="8"/>
      <c r="BZ89" s="509"/>
      <c r="CA89" s="752"/>
    </row>
    <row r="90" spans="1:79" ht="24.95" customHeight="1">
      <c r="A90" s="468">
        <f>IF('Student DATA Entry'!A87="","",'Student DATA Entry'!A87)</f>
        <v>84</v>
      </c>
      <c r="B90" s="459" t="str">
        <f>IF('Student DATA Entry'!B87="","",'Student DATA Entry'!B87)</f>
        <v/>
      </c>
      <c r="C90" s="459" t="str">
        <f>IF('Student DATA Entry'!C87="","",'Student DATA Entry'!C87)</f>
        <v/>
      </c>
      <c r="D90" s="459" t="str">
        <f>IF('Student DATA Entry'!D87="","",'Student DATA Entry'!D87)</f>
        <v/>
      </c>
      <c r="E90" s="459" t="str">
        <f>IF('Student DATA Entry'!E87="","",'Student DATA Entry'!E87)</f>
        <v/>
      </c>
      <c r="F90" s="460" t="str">
        <f>IF('Student DATA Entry'!K87="","",'Student DATA Entry'!K87)</f>
        <v/>
      </c>
      <c r="G90" s="461" t="str">
        <f>IF('Student DATA Entry'!G87="","",UPPER('Student DATA Entry'!G87))</f>
        <v/>
      </c>
      <c r="H90" s="461" t="str">
        <f>IF('Student DATA Entry'!H87="","",UPPER('Student DATA Entry'!H87))</f>
        <v/>
      </c>
      <c r="I90" s="462" t="str">
        <f>IF('Student DATA Entry'!I87="","",UPPER('Student DATA Entry'!I87))</f>
        <v/>
      </c>
      <c r="J90" s="463" t="str">
        <f>IF('Student DATA Entry'!L87="","",UPPER('Student DATA Entry'!L87))</f>
        <v/>
      </c>
      <c r="K90" s="469" t="str">
        <f>IF('Student DATA Entry'!J87="","",UPPER('Student DATA Entry'!J87))</f>
        <v/>
      </c>
      <c r="L90" s="491"/>
      <c r="M90" s="8"/>
      <c r="N90" s="8"/>
      <c r="O90" s="9"/>
      <c r="P90" s="492"/>
      <c r="Q90" s="491"/>
      <c r="R90" s="8"/>
      <c r="S90" s="8"/>
      <c r="T90" s="9"/>
      <c r="U90" s="492"/>
      <c r="V90" s="502"/>
      <c r="W90" s="7"/>
      <c r="X90" s="8"/>
      <c r="Y90" s="8"/>
      <c r="Z90" s="9"/>
      <c r="AA90" s="492"/>
      <c r="AB90" s="491"/>
      <c r="AC90" s="8"/>
      <c r="AD90" s="8"/>
      <c r="AE90" s="9"/>
      <c r="AF90" s="492"/>
      <c r="AG90" s="491"/>
      <c r="AH90" s="8"/>
      <c r="AI90" s="8"/>
      <c r="AJ90" s="9"/>
      <c r="AK90" s="492"/>
      <c r="AL90" s="491"/>
      <c r="AM90" s="8"/>
      <c r="AN90" s="8"/>
      <c r="AO90" s="9"/>
      <c r="AP90" s="492"/>
      <c r="AQ90" s="506"/>
      <c r="AR90" s="491"/>
      <c r="AS90" s="8"/>
      <c r="AT90" s="8"/>
      <c r="AU90" s="9"/>
      <c r="AV90" s="9"/>
      <c r="AW90" s="17"/>
      <c r="AX90" s="492"/>
      <c r="AY90" s="491"/>
      <c r="AZ90" s="7"/>
      <c r="BA90" s="9"/>
      <c r="BB90" s="9"/>
      <c r="BC90" s="492"/>
      <c r="BD90" s="491"/>
      <c r="BE90" s="7"/>
      <c r="BF90" s="7"/>
      <c r="BG90" s="7"/>
      <c r="BH90" s="9"/>
      <c r="BI90" s="9"/>
      <c r="BJ90" s="492"/>
      <c r="BK90" s="491"/>
      <c r="BL90" s="7"/>
      <c r="BM90" s="7"/>
      <c r="BN90" s="7"/>
      <c r="BO90" s="7"/>
      <c r="BP90" s="7"/>
      <c r="BQ90" s="7"/>
      <c r="BR90" s="8"/>
      <c r="BS90" s="8"/>
      <c r="BT90" s="509"/>
      <c r="BU90" s="491"/>
      <c r="BV90" s="8"/>
      <c r="BW90" s="509"/>
      <c r="BX90" s="491"/>
      <c r="BY90" s="8"/>
      <c r="BZ90" s="509"/>
      <c r="CA90" s="752"/>
    </row>
    <row r="91" spans="1:79" ht="24.95" customHeight="1">
      <c r="A91" s="468">
        <f>IF('Student DATA Entry'!A88="","",'Student DATA Entry'!A88)</f>
        <v>85</v>
      </c>
      <c r="B91" s="459" t="str">
        <f>IF('Student DATA Entry'!B88="","",'Student DATA Entry'!B88)</f>
        <v/>
      </c>
      <c r="C91" s="459" t="str">
        <f>IF('Student DATA Entry'!C88="","",'Student DATA Entry'!C88)</f>
        <v/>
      </c>
      <c r="D91" s="459" t="str">
        <f>IF('Student DATA Entry'!D88="","",'Student DATA Entry'!D88)</f>
        <v/>
      </c>
      <c r="E91" s="459" t="str">
        <f>IF('Student DATA Entry'!E88="","",'Student DATA Entry'!E88)</f>
        <v/>
      </c>
      <c r="F91" s="460" t="str">
        <f>IF('Student DATA Entry'!K88="","",'Student DATA Entry'!K88)</f>
        <v/>
      </c>
      <c r="G91" s="461" t="str">
        <f>IF('Student DATA Entry'!G88="","",UPPER('Student DATA Entry'!G88))</f>
        <v/>
      </c>
      <c r="H91" s="461" t="str">
        <f>IF('Student DATA Entry'!H88="","",UPPER('Student DATA Entry'!H88))</f>
        <v/>
      </c>
      <c r="I91" s="462" t="str">
        <f>IF('Student DATA Entry'!I88="","",UPPER('Student DATA Entry'!I88))</f>
        <v/>
      </c>
      <c r="J91" s="463" t="str">
        <f>IF('Student DATA Entry'!L88="","",UPPER('Student DATA Entry'!L88))</f>
        <v/>
      </c>
      <c r="K91" s="469" t="str">
        <f>IF('Student DATA Entry'!J88="","",UPPER('Student DATA Entry'!J88))</f>
        <v/>
      </c>
      <c r="L91" s="491"/>
      <c r="M91" s="8"/>
      <c r="N91" s="8"/>
      <c r="O91" s="9"/>
      <c r="P91" s="492"/>
      <c r="Q91" s="491"/>
      <c r="R91" s="8"/>
      <c r="S91" s="8"/>
      <c r="T91" s="9"/>
      <c r="U91" s="492"/>
      <c r="V91" s="502"/>
      <c r="W91" s="7"/>
      <c r="X91" s="8"/>
      <c r="Y91" s="8"/>
      <c r="Z91" s="9"/>
      <c r="AA91" s="492"/>
      <c r="AB91" s="491"/>
      <c r="AC91" s="8"/>
      <c r="AD91" s="8"/>
      <c r="AE91" s="9"/>
      <c r="AF91" s="492"/>
      <c r="AG91" s="491"/>
      <c r="AH91" s="8"/>
      <c r="AI91" s="8"/>
      <c r="AJ91" s="9"/>
      <c r="AK91" s="492"/>
      <c r="AL91" s="491"/>
      <c r="AM91" s="8"/>
      <c r="AN91" s="8"/>
      <c r="AO91" s="9"/>
      <c r="AP91" s="492"/>
      <c r="AQ91" s="506"/>
      <c r="AR91" s="491"/>
      <c r="AS91" s="8"/>
      <c r="AT91" s="8"/>
      <c r="AU91" s="9"/>
      <c r="AV91" s="9"/>
      <c r="AW91" s="17"/>
      <c r="AX91" s="492"/>
      <c r="AY91" s="491"/>
      <c r="AZ91" s="7"/>
      <c r="BA91" s="9"/>
      <c r="BB91" s="9"/>
      <c r="BC91" s="492"/>
      <c r="BD91" s="491"/>
      <c r="BE91" s="7"/>
      <c r="BF91" s="7"/>
      <c r="BG91" s="7"/>
      <c r="BH91" s="9"/>
      <c r="BI91" s="9"/>
      <c r="BJ91" s="492"/>
      <c r="BK91" s="491"/>
      <c r="BL91" s="7"/>
      <c r="BM91" s="7"/>
      <c r="BN91" s="7"/>
      <c r="BO91" s="7"/>
      <c r="BP91" s="7"/>
      <c r="BQ91" s="7"/>
      <c r="BR91" s="8"/>
      <c r="BS91" s="8"/>
      <c r="BT91" s="509"/>
      <c r="BU91" s="491"/>
      <c r="BV91" s="8"/>
      <c r="BW91" s="509"/>
      <c r="BX91" s="491"/>
      <c r="BY91" s="8"/>
      <c r="BZ91" s="509"/>
      <c r="CA91" s="752"/>
    </row>
    <row r="92" spans="1:79" ht="24.95" customHeight="1">
      <c r="A92" s="468">
        <f>IF('Student DATA Entry'!A89="","",'Student DATA Entry'!A89)</f>
        <v>86</v>
      </c>
      <c r="B92" s="459" t="str">
        <f>IF('Student DATA Entry'!B89="","",'Student DATA Entry'!B89)</f>
        <v/>
      </c>
      <c r="C92" s="459" t="str">
        <f>IF('Student DATA Entry'!C89="","",'Student DATA Entry'!C89)</f>
        <v/>
      </c>
      <c r="D92" s="459" t="str">
        <f>IF('Student DATA Entry'!D89="","",'Student DATA Entry'!D89)</f>
        <v/>
      </c>
      <c r="E92" s="459" t="str">
        <f>IF('Student DATA Entry'!E89="","",'Student DATA Entry'!E89)</f>
        <v/>
      </c>
      <c r="F92" s="460" t="str">
        <f>IF('Student DATA Entry'!K89="","",'Student DATA Entry'!K89)</f>
        <v/>
      </c>
      <c r="G92" s="461" t="str">
        <f>IF('Student DATA Entry'!G89="","",UPPER('Student DATA Entry'!G89))</f>
        <v/>
      </c>
      <c r="H92" s="461" t="str">
        <f>IF('Student DATA Entry'!H89="","",UPPER('Student DATA Entry'!H89))</f>
        <v/>
      </c>
      <c r="I92" s="462" t="str">
        <f>IF('Student DATA Entry'!I89="","",UPPER('Student DATA Entry'!I89))</f>
        <v/>
      </c>
      <c r="J92" s="463" t="str">
        <f>IF('Student DATA Entry'!L89="","",UPPER('Student DATA Entry'!L89))</f>
        <v/>
      </c>
      <c r="K92" s="469" t="str">
        <f>IF('Student DATA Entry'!J89="","",UPPER('Student DATA Entry'!J89))</f>
        <v/>
      </c>
      <c r="L92" s="491"/>
      <c r="M92" s="8"/>
      <c r="N92" s="8"/>
      <c r="O92" s="9"/>
      <c r="P92" s="492"/>
      <c r="Q92" s="491"/>
      <c r="R92" s="8"/>
      <c r="S92" s="8"/>
      <c r="T92" s="9"/>
      <c r="U92" s="492"/>
      <c r="V92" s="502"/>
      <c r="W92" s="7"/>
      <c r="X92" s="8"/>
      <c r="Y92" s="8"/>
      <c r="Z92" s="9"/>
      <c r="AA92" s="492"/>
      <c r="AB92" s="491"/>
      <c r="AC92" s="8"/>
      <c r="AD92" s="8"/>
      <c r="AE92" s="9"/>
      <c r="AF92" s="492"/>
      <c r="AG92" s="491"/>
      <c r="AH92" s="8"/>
      <c r="AI92" s="8"/>
      <c r="AJ92" s="9"/>
      <c r="AK92" s="492"/>
      <c r="AL92" s="491"/>
      <c r="AM92" s="8"/>
      <c r="AN92" s="8"/>
      <c r="AO92" s="9"/>
      <c r="AP92" s="492"/>
      <c r="AQ92" s="506"/>
      <c r="AR92" s="491"/>
      <c r="AS92" s="8"/>
      <c r="AT92" s="8"/>
      <c r="AU92" s="9"/>
      <c r="AV92" s="9"/>
      <c r="AW92" s="17"/>
      <c r="AX92" s="492"/>
      <c r="AY92" s="491"/>
      <c r="AZ92" s="7"/>
      <c r="BA92" s="9"/>
      <c r="BB92" s="9"/>
      <c r="BC92" s="492"/>
      <c r="BD92" s="491"/>
      <c r="BE92" s="7"/>
      <c r="BF92" s="7"/>
      <c r="BG92" s="7"/>
      <c r="BH92" s="9"/>
      <c r="BI92" s="9"/>
      <c r="BJ92" s="492"/>
      <c r="BK92" s="491"/>
      <c r="BL92" s="7"/>
      <c r="BM92" s="7"/>
      <c r="BN92" s="7"/>
      <c r="BO92" s="7"/>
      <c r="BP92" s="7"/>
      <c r="BQ92" s="7"/>
      <c r="BR92" s="8"/>
      <c r="BS92" s="8"/>
      <c r="BT92" s="509"/>
      <c r="BU92" s="491"/>
      <c r="BV92" s="8"/>
      <c r="BW92" s="509"/>
      <c r="BX92" s="491"/>
      <c r="BY92" s="8"/>
      <c r="BZ92" s="509"/>
      <c r="CA92" s="752"/>
    </row>
    <row r="93" spans="1:79" ht="24.95" customHeight="1">
      <c r="A93" s="468">
        <f>IF('Student DATA Entry'!A90="","",'Student DATA Entry'!A90)</f>
        <v>87</v>
      </c>
      <c r="B93" s="459" t="str">
        <f>IF('Student DATA Entry'!B90="","",'Student DATA Entry'!B90)</f>
        <v/>
      </c>
      <c r="C93" s="459" t="str">
        <f>IF('Student DATA Entry'!C90="","",'Student DATA Entry'!C90)</f>
        <v/>
      </c>
      <c r="D93" s="459" t="str">
        <f>IF('Student DATA Entry'!D90="","",'Student DATA Entry'!D90)</f>
        <v/>
      </c>
      <c r="E93" s="459" t="str">
        <f>IF('Student DATA Entry'!E90="","",'Student DATA Entry'!E90)</f>
        <v/>
      </c>
      <c r="F93" s="460" t="str">
        <f>IF('Student DATA Entry'!K90="","",'Student DATA Entry'!K90)</f>
        <v/>
      </c>
      <c r="G93" s="461" t="str">
        <f>IF('Student DATA Entry'!G90="","",UPPER('Student DATA Entry'!G90))</f>
        <v/>
      </c>
      <c r="H93" s="461" t="str">
        <f>IF('Student DATA Entry'!H90="","",UPPER('Student DATA Entry'!H90))</f>
        <v/>
      </c>
      <c r="I93" s="462" t="str">
        <f>IF('Student DATA Entry'!I90="","",UPPER('Student DATA Entry'!I90))</f>
        <v/>
      </c>
      <c r="J93" s="463" t="str">
        <f>IF('Student DATA Entry'!L90="","",UPPER('Student DATA Entry'!L90))</f>
        <v/>
      </c>
      <c r="K93" s="469" t="str">
        <f>IF('Student DATA Entry'!J90="","",UPPER('Student DATA Entry'!J90))</f>
        <v/>
      </c>
      <c r="L93" s="491"/>
      <c r="M93" s="8"/>
      <c r="N93" s="8"/>
      <c r="O93" s="9"/>
      <c r="P93" s="492"/>
      <c r="Q93" s="491"/>
      <c r="R93" s="8"/>
      <c r="S93" s="8"/>
      <c r="T93" s="9"/>
      <c r="U93" s="492"/>
      <c r="V93" s="502"/>
      <c r="W93" s="7"/>
      <c r="X93" s="8"/>
      <c r="Y93" s="8"/>
      <c r="Z93" s="9"/>
      <c r="AA93" s="492"/>
      <c r="AB93" s="491"/>
      <c r="AC93" s="8"/>
      <c r="AD93" s="8"/>
      <c r="AE93" s="9"/>
      <c r="AF93" s="492"/>
      <c r="AG93" s="491"/>
      <c r="AH93" s="8"/>
      <c r="AI93" s="8"/>
      <c r="AJ93" s="9"/>
      <c r="AK93" s="492"/>
      <c r="AL93" s="491"/>
      <c r="AM93" s="8"/>
      <c r="AN93" s="8"/>
      <c r="AO93" s="9"/>
      <c r="AP93" s="492"/>
      <c r="AQ93" s="506"/>
      <c r="AR93" s="491"/>
      <c r="AS93" s="8"/>
      <c r="AT93" s="8"/>
      <c r="AU93" s="9"/>
      <c r="AV93" s="9"/>
      <c r="AW93" s="17"/>
      <c r="AX93" s="492"/>
      <c r="AY93" s="491"/>
      <c r="AZ93" s="7"/>
      <c r="BA93" s="9"/>
      <c r="BB93" s="9"/>
      <c r="BC93" s="492"/>
      <c r="BD93" s="491"/>
      <c r="BE93" s="7"/>
      <c r="BF93" s="7"/>
      <c r="BG93" s="7"/>
      <c r="BH93" s="9"/>
      <c r="BI93" s="9"/>
      <c r="BJ93" s="492"/>
      <c r="BK93" s="491"/>
      <c r="BL93" s="7"/>
      <c r="BM93" s="7"/>
      <c r="BN93" s="7"/>
      <c r="BO93" s="7"/>
      <c r="BP93" s="7"/>
      <c r="BQ93" s="7"/>
      <c r="BR93" s="8"/>
      <c r="BS93" s="8"/>
      <c r="BT93" s="509"/>
      <c r="BU93" s="491"/>
      <c r="BV93" s="8"/>
      <c r="BW93" s="509"/>
      <c r="BX93" s="491"/>
      <c r="BY93" s="8"/>
      <c r="BZ93" s="509"/>
      <c r="CA93" s="752"/>
    </row>
    <row r="94" spans="1:79" ht="24.95" customHeight="1">
      <c r="A94" s="468">
        <f>IF('Student DATA Entry'!A91="","",'Student DATA Entry'!A91)</f>
        <v>88</v>
      </c>
      <c r="B94" s="459" t="str">
        <f>IF('Student DATA Entry'!B91="","",'Student DATA Entry'!B91)</f>
        <v/>
      </c>
      <c r="C94" s="459" t="str">
        <f>IF('Student DATA Entry'!C91="","",'Student DATA Entry'!C91)</f>
        <v/>
      </c>
      <c r="D94" s="459" t="str">
        <f>IF('Student DATA Entry'!D91="","",'Student DATA Entry'!D91)</f>
        <v/>
      </c>
      <c r="E94" s="459" t="str">
        <f>IF('Student DATA Entry'!E91="","",'Student DATA Entry'!E91)</f>
        <v/>
      </c>
      <c r="F94" s="460" t="str">
        <f>IF('Student DATA Entry'!K91="","",'Student DATA Entry'!K91)</f>
        <v/>
      </c>
      <c r="G94" s="461" t="str">
        <f>IF('Student DATA Entry'!G91="","",UPPER('Student DATA Entry'!G91))</f>
        <v/>
      </c>
      <c r="H94" s="461" t="str">
        <f>IF('Student DATA Entry'!H91="","",UPPER('Student DATA Entry'!H91))</f>
        <v/>
      </c>
      <c r="I94" s="462" t="str">
        <f>IF('Student DATA Entry'!I91="","",UPPER('Student DATA Entry'!I91))</f>
        <v/>
      </c>
      <c r="J94" s="463" t="str">
        <f>IF('Student DATA Entry'!L91="","",UPPER('Student DATA Entry'!L91))</f>
        <v/>
      </c>
      <c r="K94" s="469" t="str">
        <f>IF('Student DATA Entry'!J91="","",UPPER('Student DATA Entry'!J91))</f>
        <v/>
      </c>
      <c r="L94" s="491"/>
      <c r="M94" s="8"/>
      <c r="N94" s="8"/>
      <c r="O94" s="9"/>
      <c r="P94" s="492"/>
      <c r="Q94" s="491"/>
      <c r="R94" s="8"/>
      <c r="S94" s="8"/>
      <c r="T94" s="9"/>
      <c r="U94" s="492"/>
      <c r="V94" s="502"/>
      <c r="W94" s="7"/>
      <c r="X94" s="8"/>
      <c r="Y94" s="8"/>
      <c r="Z94" s="9"/>
      <c r="AA94" s="492"/>
      <c r="AB94" s="491"/>
      <c r="AC94" s="8"/>
      <c r="AD94" s="8"/>
      <c r="AE94" s="9"/>
      <c r="AF94" s="492"/>
      <c r="AG94" s="491"/>
      <c r="AH94" s="8"/>
      <c r="AI94" s="8"/>
      <c r="AJ94" s="9"/>
      <c r="AK94" s="492"/>
      <c r="AL94" s="491"/>
      <c r="AM94" s="8"/>
      <c r="AN94" s="8"/>
      <c r="AO94" s="9"/>
      <c r="AP94" s="492"/>
      <c r="AQ94" s="506"/>
      <c r="AR94" s="491"/>
      <c r="AS94" s="8"/>
      <c r="AT94" s="8"/>
      <c r="AU94" s="9"/>
      <c r="AV94" s="9"/>
      <c r="AW94" s="17"/>
      <c r="AX94" s="492"/>
      <c r="AY94" s="491"/>
      <c r="AZ94" s="7"/>
      <c r="BA94" s="9"/>
      <c r="BB94" s="9"/>
      <c r="BC94" s="492"/>
      <c r="BD94" s="491"/>
      <c r="BE94" s="7"/>
      <c r="BF94" s="7"/>
      <c r="BG94" s="7"/>
      <c r="BH94" s="9"/>
      <c r="BI94" s="9"/>
      <c r="BJ94" s="492"/>
      <c r="BK94" s="491"/>
      <c r="BL94" s="7"/>
      <c r="BM94" s="7"/>
      <c r="BN94" s="7"/>
      <c r="BO94" s="7"/>
      <c r="BP94" s="7"/>
      <c r="BQ94" s="7"/>
      <c r="BR94" s="8"/>
      <c r="BS94" s="8"/>
      <c r="BT94" s="509"/>
      <c r="BU94" s="491"/>
      <c r="BV94" s="8"/>
      <c r="BW94" s="509"/>
      <c r="BX94" s="491"/>
      <c r="BY94" s="8"/>
      <c r="BZ94" s="509"/>
      <c r="CA94" s="752"/>
    </row>
    <row r="95" spans="1:79" ht="24.95" customHeight="1">
      <c r="A95" s="468">
        <f>IF('Student DATA Entry'!A92="","",'Student DATA Entry'!A92)</f>
        <v>89</v>
      </c>
      <c r="B95" s="459" t="str">
        <f>IF('Student DATA Entry'!B92="","",'Student DATA Entry'!B92)</f>
        <v/>
      </c>
      <c r="C95" s="459" t="str">
        <f>IF('Student DATA Entry'!C92="","",'Student DATA Entry'!C92)</f>
        <v/>
      </c>
      <c r="D95" s="459" t="str">
        <f>IF('Student DATA Entry'!D92="","",'Student DATA Entry'!D92)</f>
        <v/>
      </c>
      <c r="E95" s="459" t="str">
        <f>IF('Student DATA Entry'!E92="","",'Student DATA Entry'!E92)</f>
        <v/>
      </c>
      <c r="F95" s="460" t="str">
        <f>IF('Student DATA Entry'!K92="","",'Student DATA Entry'!K92)</f>
        <v/>
      </c>
      <c r="G95" s="461" t="str">
        <f>IF('Student DATA Entry'!G92="","",UPPER('Student DATA Entry'!G92))</f>
        <v/>
      </c>
      <c r="H95" s="461" t="str">
        <f>IF('Student DATA Entry'!H92="","",UPPER('Student DATA Entry'!H92))</f>
        <v/>
      </c>
      <c r="I95" s="462" t="str">
        <f>IF('Student DATA Entry'!I92="","",UPPER('Student DATA Entry'!I92))</f>
        <v/>
      </c>
      <c r="J95" s="463" t="str">
        <f>IF('Student DATA Entry'!L92="","",UPPER('Student DATA Entry'!L92))</f>
        <v/>
      </c>
      <c r="K95" s="469" t="str">
        <f>IF('Student DATA Entry'!J92="","",UPPER('Student DATA Entry'!J92))</f>
        <v/>
      </c>
      <c r="L95" s="491"/>
      <c r="M95" s="8"/>
      <c r="N95" s="8"/>
      <c r="O95" s="9"/>
      <c r="P95" s="492"/>
      <c r="Q95" s="491"/>
      <c r="R95" s="8"/>
      <c r="S95" s="8"/>
      <c r="T95" s="9"/>
      <c r="U95" s="492"/>
      <c r="V95" s="502"/>
      <c r="W95" s="7"/>
      <c r="X95" s="8"/>
      <c r="Y95" s="8"/>
      <c r="Z95" s="9"/>
      <c r="AA95" s="492"/>
      <c r="AB95" s="491"/>
      <c r="AC95" s="8"/>
      <c r="AD95" s="8"/>
      <c r="AE95" s="9"/>
      <c r="AF95" s="492"/>
      <c r="AG95" s="491"/>
      <c r="AH95" s="8"/>
      <c r="AI95" s="8"/>
      <c r="AJ95" s="9"/>
      <c r="AK95" s="492"/>
      <c r="AL95" s="491"/>
      <c r="AM95" s="8"/>
      <c r="AN95" s="8"/>
      <c r="AO95" s="9"/>
      <c r="AP95" s="492"/>
      <c r="AQ95" s="506"/>
      <c r="AR95" s="491"/>
      <c r="AS95" s="8"/>
      <c r="AT95" s="8"/>
      <c r="AU95" s="9"/>
      <c r="AV95" s="9"/>
      <c r="AW95" s="17"/>
      <c r="AX95" s="492"/>
      <c r="AY95" s="491"/>
      <c r="AZ95" s="7"/>
      <c r="BA95" s="9"/>
      <c r="BB95" s="9"/>
      <c r="BC95" s="492"/>
      <c r="BD95" s="491"/>
      <c r="BE95" s="7"/>
      <c r="BF95" s="7"/>
      <c r="BG95" s="7"/>
      <c r="BH95" s="9"/>
      <c r="BI95" s="9"/>
      <c r="BJ95" s="492"/>
      <c r="BK95" s="491"/>
      <c r="BL95" s="7"/>
      <c r="BM95" s="7"/>
      <c r="BN95" s="7"/>
      <c r="BO95" s="7"/>
      <c r="BP95" s="7"/>
      <c r="BQ95" s="7"/>
      <c r="BR95" s="8"/>
      <c r="BS95" s="8"/>
      <c r="BT95" s="509"/>
      <c r="BU95" s="491"/>
      <c r="BV95" s="8"/>
      <c r="BW95" s="509"/>
      <c r="BX95" s="491"/>
      <c r="BY95" s="8"/>
      <c r="BZ95" s="509"/>
      <c r="CA95" s="752"/>
    </row>
    <row r="96" spans="1:79" ht="24.95" customHeight="1">
      <c r="A96" s="468">
        <f>IF('Student DATA Entry'!A93="","",'Student DATA Entry'!A93)</f>
        <v>90</v>
      </c>
      <c r="B96" s="459" t="str">
        <f>IF('Student DATA Entry'!B93="","",'Student DATA Entry'!B93)</f>
        <v/>
      </c>
      <c r="C96" s="459" t="str">
        <f>IF('Student DATA Entry'!C93="","",'Student DATA Entry'!C93)</f>
        <v/>
      </c>
      <c r="D96" s="459" t="str">
        <f>IF('Student DATA Entry'!D93="","",'Student DATA Entry'!D93)</f>
        <v/>
      </c>
      <c r="E96" s="459" t="str">
        <f>IF('Student DATA Entry'!E93="","",'Student DATA Entry'!E93)</f>
        <v/>
      </c>
      <c r="F96" s="460" t="str">
        <f>IF('Student DATA Entry'!K93="","",'Student DATA Entry'!K93)</f>
        <v/>
      </c>
      <c r="G96" s="461" t="str">
        <f>IF('Student DATA Entry'!G93="","",UPPER('Student DATA Entry'!G93))</f>
        <v/>
      </c>
      <c r="H96" s="461" t="str">
        <f>IF('Student DATA Entry'!H93="","",UPPER('Student DATA Entry'!H93))</f>
        <v/>
      </c>
      <c r="I96" s="462" t="str">
        <f>IF('Student DATA Entry'!I93="","",UPPER('Student DATA Entry'!I93))</f>
        <v/>
      </c>
      <c r="J96" s="463" t="str">
        <f>IF('Student DATA Entry'!L93="","",UPPER('Student DATA Entry'!L93))</f>
        <v/>
      </c>
      <c r="K96" s="469" t="str">
        <f>IF('Student DATA Entry'!J93="","",UPPER('Student DATA Entry'!J93))</f>
        <v/>
      </c>
      <c r="L96" s="491"/>
      <c r="M96" s="8"/>
      <c r="N96" s="8"/>
      <c r="O96" s="9"/>
      <c r="P96" s="492"/>
      <c r="Q96" s="491"/>
      <c r="R96" s="8"/>
      <c r="S96" s="8"/>
      <c r="T96" s="9"/>
      <c r="U96" s="492"/>
      <c r="V96" s="502"/>
      <c r="W96" s="7"/>
      <c r="X96" s="8"/>
      <c r="Y96" s="8"/>
      <c r="Z96" s="9"/>
      <c r="AA96" s="492"/>
      <c r="AB96" s="491"/>
      <c r="AC96" s="8"/>
      <c r="AD96" s="8"/>
      <c r="AE96" s="9"/>
      <c r="AF96" s="492"/>
      <c r="AG96" s="491"/>
      <c r="AH96" s="8"/>
      <c r="AI96" s="8"/>
      <c r="AJ96" s="9"/>
      <c r="AK96" s="492"/>
      <c r="AL96" s="491"/>
      <c r="AM96" s="8"/>
      <c r="AN96" s="8"/>
      <c r="AO96" s="9"/>
      <c r="AP96" s="492"/>
      <c r="AQ96" s="506"/>
      <c r="AR96" s="491"/>
      <c r="AS96" s="8"/>
      <c r="AT96" s="8"/>
      <c r="AU96" s="9"/>
      <c r="AV96" s="9"/>
      <c r="AW96" s="17"/>
      <c r="AX96" s="492"/>
      <c r="AY96" s="491"/>
      <c r="AZ96" s="7"/>
      <c r="BA96" s="9"/>
      <c r="BB96" s="9"/>
      <c r="BC96" s="492"/>
      <c r="BD96" s="491"/>
      <c r="BE96" s="7"/>
      <c r="BF96" s="7"/>
      <c r="BG96" s="7"/>
      <c r="BH96" s="9"/>
      <c r="BI96" s="9"/>
      <c r="BJ96" s="492"/>
      <c r="BK96" s="491"/>
      <c r="BL96" s="7"/>
      <c r="BM96" s="7"/>
      <c r="BN96" s="7"/>
      <c r="BO96" s="7"/>
      <c r="BP96" s="7"/>
      <c r="BQ96" s="7"/>
      <c r="BR96" s="8"/>
      <c r="BS96" s="8"/>
      <c r="BT96" s="509"/>
      <c r="BU96" s="491"/>
      <c r="BV96" s="8"/>
      <c r="BW96" s="509"/>
      <c r="BX96" s="491"/>
      <c r="BY96" s="8"/>
      <c r="BZ96" s="509"/>
      <c r="CA96" s="752"/>
    </row>
    <row r="97" spans="1:79" ht="24.95" customHeight="1">
      <c r="A97" s="468">
        <f>IF('Student DATA Entry'!A94="","",'Student DATA Entry'!A94)</f>
        <v>91</v>
      </c>
      <c r="B97" s="459" t="str">
        <f>IF('Student DATA Entry'!B94="","",'Student DATA Entry'!B94)</f>
        <v/>
      </c>
      <c r="C97" s="459" t="str">
        <f>IF('Student DATA Entry'!C94="","",'Student DATA Entry'!C94)</f>
        <v/>
      </c>
      <c r="D97" s="459" t="str">
        <f>IF('Student DATA Entry'!D94="","",'Student DATA Entry'!D94)</f>
        <v/>
      </c>
      <c r="E97" s="459" t="str">
        <f>IF('Student DATA Entry'!E94="","",'Student DATA Entry'!E94)</f>
        <v/>
      </c>
      <c r="F97" s="460" t="str">
        <f>IF('Student DATA Entry'!K94="","",'Student DATA Entry'!K94)</f>
        <v/>
      </c>
      <c r="G97" s="461" t="str">
        <f>IF('Student DATA Entry'!G94="","",UPPER('Student DATA Entry'!G94))</f>
        <v/>
      </c>
      <c r="H97" s="461" t="str">
        <f>IF('Student DATA Entry'!H94="","",UPPER('Student DATA Entry'!H94))</f>
        <v/>
      </c>
      <c r="I97" s="462" t="str">
        <f>IF('Student DATA Entry'!I94="","",UPPER('Student DATA Entry'!I94))</f>
        <v/>
      </c>
      <c r="J97" s="463" t="str">
        <f>IF('Student DATA Entry'!L94="","",UPPER('Student DATA Entry'!L94))</f>
        <v/>
      </c>
      <c r="K97" s="469" t="str">
        <f>IF('Student DATA Entry'!J94="","",UPPER('Student DATA Entry'!J94))</f>
        <v/>
      </c>
      <c r="L97" s="491"/>
      <c r="M97" s="8"/>
      <c r="N97" s="8"/>
      <c r="O97" s="9"/>
      <c r="P97" s="492"/>
      <c r="Q97" s="491"/>
      <c r="R97" s="8"/>
      <c r="S97" s="8"/>
      <c r="T97" s="9"/>
      <c r="U97" s="492"/>
      <c r="V97" s="502"/>
      <c r="W97" s="7"/>
      <c r="X97" s="8"/>
      <c r="Y97" s="8"/>
      <c r="Z97" s="9"/>
      <c r="AA97" s="492"/>
      <c r="AB97" s="491"/>
      <c r="AC97" s="8"/>
      <c r="AD97" s="8"/>
      <c r="AE97" s="9"/>
      <c r="AF97" s="492"/>
      <c r="AG97" s="491"/>
      <c r="AH97" s="8"/>
      <c r="AI97" s="8"/>
      <c r="AJ97" s="9"/>
      <c r="AK97" s="492"/>
      <c r="AL97" s="491"/>
      <c r="AM97" s="8"/>
      <c r="AN97" s="8"/>
      <c r="AO97" s="9"/>
      <c r="AP97" s="492"/>
      <c r="AQ97" s="506"/>
      <c r="AR97" s="491"/>
      <c r="AS97" s="8"/>
      <c r="AT97" s="8"/>
      <c r="AU97" s="9"/>
      <c r="AV97" s="9"/>
      <c r="AW97" s="17"/>
      <c r="AX97" s="492"/>
      <c r="AY97" s="491"/>
      <c r="AZ97" s="7"/>
      <c r="BA97" s="9"/>
      <c r="BB97" s="9"/>
      <c r="BC97" s="492"/>
      <c r="BD97" s="491"/>
      <c r="BE97" s="7"/>
      <c r="BF97" s="7"/>
      <c r="BG97" s="7"/>
      <c r="BH97" s="9"/>
      <c r="BI97" s="9"/>
      <c r="BJ97" s="492"/>
      <c r="BK97" s="491"/>
      <c r="BL97" s="7"/>
      <c r="BM97" s="7"/>
      <c r="BN97" s="7"/>
      <c r="BO97" s="7"/>
      <c r="BP97" s="7"/>
      <c r="BQ97" s="7"/>
      <c r="BR97" s="8"/>
      <c r="BS97" s="8"/>
      <c r="BT97" s="509"/>
      <c r="BU97" s="491"/>
      <c r="BV97" s="8"/>
      <c r="BW97" s="509"/>
      <c r="BX97" s="491"/>
      <c r="BY97" s="8"/>
      <c r="BZ97" s="509"/>
      <c r="CA97" s="752"/>
    </row>
    <row r="98" spans="1:79" ht="24.95" customHeight="1">
      <c r="A98" s="468">
        <f>IF('Student DATA Entry'!A95="","",'Student DATA Entry'!A95)</f>
        <v>92</v>
      </c>
      <c r="B98" s="459" t="str">
        <f>IF('Student DATA Entry'!B95="","",'Student DATA Entry'!B95)</f>
        <v/>
      </c>
      <c r="C98" s="459" t="str">
        <f>IF('Student DATA Entry'!C95="","",'Student DATA Entry'!C95)</f>
        <v/>
      </c>
      <c r="D98" s="459" t="str">
        <f>IF('Student DATA Entry'!D95="","",'Student DATA Entry'!D95)</f>
        <v/>
      </c>
      <c r="E98" s="459" t="str">
        <f>IF('Student DATA Entry'!E95="","",'Student DATA Entry'!E95)</f>
        <v/>
      </c>
      <c r="F98" s="460" t="str">
        <f>IF('Student DATA Entry'!K95="","",'Student DATA Entry'!K95)</f>
        <v/>
      </c>
      <c r="G98" s="461" t="str">
        <f>IF('Student DATA Entry'!G95="","",UPPER('Student DATA Entry'!G95))</f>
        <v/>
      </c>
      <c r="H98" s="461" t="str">
        <f>IF('Student DATA Entry'!H95="","",UPPER('Student DATA Entry'!H95))</f>
        <v/>
      </c>
      <c r="I98" s="462" t="str">
        <f>IF('Student DATA Entry'!I95="","",UPPER('Student DATA Entry'!I95))</f>
        <v/>
      </c>
      <c r="J98" s="463" t="str">
        <f>IF('Student DATA Entry'!L95="","",UPPER('Student DATA Entry'!L95))</f>
        <v/>
      </c>
      <c r="K98" s="469" t="str">
        <f>IF('Student DATA Entry'!J95="","",UPPER('Student DATA Entry'!J95))</f>
        <v/>
      </c>
      <c r="L98" s="491"/>
      <c r="M98" s="8"/>
      <c r="N98" s="8"/>
      <c r="O98" s="9"/>
      <c r="P98" s="492"/>
      <c r="Q98" s="491"/>
      <c r="R98" s="8"/>
      <c r="S98" s="8"/>
      <c r="T98" s="9"/>
      <c r="U98" s="492"/>
      <c r="V98" s="502"/>
      <c r="W98" s="7"/>
      <c r="X98" s="8"/>
      <c r="Y98" s="8"/>
      <c r="Z98" s="9"/>
      <c r="AA98" s="492"/>
      <c r="AB98" s="491"/>
      <c r="AC98" s="8"/>
      <c r="AD98" s="8"/>
      <c r="AE98" s="9"/>
      <c r="AF98" s="492"/>
      <c r="AG98" s="491"/>
      <c r="AH98" s="8"/>
      <c r="AI98" s="8"/>
      <c r="AJ98" s="9"/>
      <c r="AK98" s="492"/>
      <c r="AL98" s="491"/>
      <c r="AM98" s="8"/>
      <c r="AN98" s="8"/>
      <c r="AO98" s="9"/>
      <c r="AP98" s="492"/>
      <c r="AQ98" s="506"/>
      <c r="AR98" s="491"/>
      <c r="AS98" s="8"/>
      <c r="AT98" s="8"/>
      <c r="AU98" s="9"/>
      <c r="AV98" s="9"/>
      <c r="AW98" s="17"/>
      <c r="AX98" s="492"/>
      <c r="AY98" s="491"/>
      <c r="AZ98" s="7"/>
      <c r="BA98" s="9"/>
      <c r="BB98" s="9"/>
      <c r="BC98" s="492"/>
      <c r="BD98" s="491"/>
      <c r="BE98" s="7"/>
      <c r="BF98" s="7"/>
      <c r="BG98" s="7"/>
      <c r="BH98" s="9"/>
      <c r="BI98" s="9"/>
      <c r="BJ98" s="492"/>
      <c r="BK98" s="491"/>
      <c r="BL98" s="7"/>
      <c r="BM98" s="7"/>
      <c r="BN98" s="7"/>
      <c r="BO98" s="7"/>
      <c r="BP98" s="7"/>
      <c r="BQ98" s="7"/>
      <c r="BR98" s="8"/>
      <c r="BS98" s="8"/>
      <c r="BT98" s="509"/>
      <c r="BU98" s="491"/>
      <c r="BV98" s="8"/>
      <c r="BW98" s="509"/>
      <c r="BX98" s="491"/>
      <c r="BY98" s="8"/>
      <c r="BZ98" s="509"/>
      <c r="CA98" s="752"/>
    </row>
    <row r="99" spans="1:79" ht="24.95" customHeight="1">
      <c r="A99" s="468">
        <f>IF('Student DATA Entry'!A96="","",'Student DATA Entry'!A96)</f>
        <v>93</v>
      </c>
      <c r="B99" s="459" t="str">
        <f>IF('Student DATA Entry'!B96="","",'Student DATA Entry'!B96)</f>
        <v/>
      </c>
      <c r="C99" s="459" t="str">
        <f>IF('Student DATA Entry'!C96="","",'Student DATA Entry'!C96)</f>
        <v/>
      </c>
      <c r="D99" s="459" t="str">
        <f>IF('Student DATA Entry'!D96="","",'Student DATA Entry'!D96)</f>
        <v/>
      </c>
      <c r="E99" s="459" t="str">
        <f>IF('Student DATA Entry'!E96="","",'Student DATA Entry'!E96)</f>
        <v/>
      </c>
      <c r="F99" s="460" t="str">
        <f>IF('Student DATA Entry'!K96="","",'Student DATA Entry'!K96)</f>
        <v/>
      </c>
      <c r="G99" s="461" t="str">
        <f>IF('Student DATA Entry'!G96="","",UPPER('Student DATA Entry'!G96))</f>
        <v/>
      </c>
      <c r="H99" s="461" t="str">
        <f>IF('Student DATA Entry'!H96="","",UPPER('Student DATA Entry'!H96))</f>
        <v/>
      </c>
      <c r="I99" s="462" t="str">
        <f>IF('Student DATA Entry'!I96="","",UPPER('Student DATA Entry'!I96))</f>
        <v/>
      </c>
      <c r="J99" s="463" t="str">
        <f>IF('Student DATA Entry'!L96="","",UPPER('Student DATA Entry'!L96))</f>
        <v/>
      </c>
      <c r="K99" s="469" t="str">
        <f>IF('Student DATA Entry'!J96="","",UPPER('Student DATA Entry'!J96))</f>
        <v/>
      </c>
      <c r="L99" s="491"/>
      <c r="M99" s="8"/>
      <c r="N99" s="8"/>
      <c r="O99" s="9"/>
      <c r="P99" s="492"/>
      <c r="Q99" s="491"/>
      <c r="R99" s="8"/>
      <c r="S99" s="8"/>
      <c r="T99" s="9"/>
      <c r="U99" s="492"/>
      <c r="V99" s="502"/>
      <c r="W99" s="7"/>
      <c r="X99" s="8"/>
      <c r="Y99" s="8"/>
      <c r="Z99" s="9"/>
      <c r="AA99" s="492"/>
      <c r="AB99" s="491"/>
      <c r="AC99" s="8"/>
      <c r="AD99" s="8"/>
      <c r="AE99" s="9"/>
      <c r="AF99" s="492"/>
      <c r="AG99" s="491"/>
      <c r="AH99" s="8"/>
      <c r="AI99" s="8"/>
      <c r="AJ99" s="9"/>
      <c r="AK99" s="492"/>
      <c r="AL99" s="491"/>
      <c r="AM99" s="8"/>
      <c r="AN99" s="8"/>
      <c r="AO99" s="9"/>
      <c r="AP99" s="492"/>
      <c r="AQ99" s="506"/>
      <c r="AR99" s="491"/>
      <c r="AS99" s="8"/>
      <c r="AT99" s="8"/>
      <c r="AU99" s="9"/>
      <c r="AV99" s="9"/>
      <c r="AW99" s="17"/>
      <c r="AX99" s="492"/>
      <c r="AY99" s="491"/>
      <c r="AZ99" s="7"/>
      <c r="BA99" s="9"/>
      <c r="BB99" s="9"/>
      <c r="BC99" s="492"/>
      <c r="BD99" s="491"/>
      <c r="BE99" s="7"/>
      <c r="BF99" s="7"/>
      <c r="BG99" s="7"/>
      <c r="BH99" s="9"/>
      <c r="BI99" s="9"/>
      <c r="BJ99" s="492"/>
      <c r="BK99" s="491"/>
      <c r="BL99" s="7"/>
      <c r="BM99" s="7"/>
      <c r="BN99" s="7"/>
      <c r="BO99" s="7"/>
      <c r="BP99" s="7"/>
      <c r="BQ99" s="7"/>
      <c r="BR99" s="8"/>
      <c r="BS99" s="8"/>
      <c r="BT99" s="509"/>
      <c r="BU99" s="491"/>
      <c r="BV99" s="8"/>
      <c r="BW99" s="509"/>
      <c r="BX99" s="491"/>
      <c r="BY99" s="8"/>
      <c r="BZ99" s="509"/>
      <c r="CA99" s="752"/>
    </row>
    <row r="100" spans="1:79" ht="24.95" customHeight="1">
      <c r="A100" s="468">
        <f>IF('Student DATA Entry'!A97="","",'Student DATA Entry'!A97)</f>
        <v>94</v>
      </c>
      <c r="B100" s="459" t="str">
        <f>IF('Student DATA Entry'!B97="","",'Student DATA Entry'!B97)</f>
        <v/>
      </c>
      <c r="C100" s="459" t="str">
        <f>IF('Student DATA Entry'!C97="","",'Student DATA Entry'!C97)</f>
        <v/>
      </c>
      <c r="D100" s="459" t="str">
        <f>IF('Student DATA Entry'!D97="","",'Student DATA Entry'!D97)</f>
        <v/>
      </c>
      <c r="E100" s="459" t="str">
        <f>IF('Student DATA Entry'!E97="","",'Student DATA Entry'!E97)</f>
        <v/>
      </c>
      <c r="F100" s="460" t="str">
        <f>IF('Student DATA Entry'!K97="","",'Student DATA Entry'!K97)</f>
        <v/>
      </c>
      <c r="G100" s="461" t="str">
        <f>IF('Student DATA Entry'!G97="","",UPPER('Student DATA Entry'!G97))</f>
        <v/>
      </c>
      <c r="H100" s="461" t="str">
        <f>IF('Student DATA Entry'!H97="","",UPPER('Student DATA Entry'!H97))</f>
        <v/>
      </c>
      <c r="I100" s="462" t="str">
        <f>IF('Student DATA Entry'!I97="","",UPPER('Student DATA Entry'!I97))</f>
        <v/>
      </c>
      <c r="J100" s="463" t="str">
        <f>IF('Student DATA Entry'!L97="","",UPPER('Student DATA Entry'!L97))</f>
        <v/>
      </c>
      <c r="K100" s="469" t="str">
        <f>IF('Student DATA Entry'!J97="","",UPPER('Student DATA Entry'!J97))</f>
        <v/>
      </c>
      <c r="L100" s="491"/>
      <c r="M100" s="8"/>
      <c r="N100" s="8"/>
      <c r="O100" s="9"/>
      <c r="P100" s="492"/>
      <c r="Q100" s="491"/>
      <c r="R100" s="8"/>
      <c r="S100" s="8"/>
      <c r="T100" s="9"/>
      <c r="U100" s="492"/>
      <c r="V100" s="502"/>
      <c r="W100" s="7"/>
      <c r="X100" s="8"/>
      <c r="Y100" s="8"/>
      <c r="Z100" s="9"/>
      <c r="AA100" s="492"/>
      <c r="AB100" s="491"/>
      <c r="AC100" s="8"/>
      <c r="AD100" s="8"/>
      <c r="AE100" s="9"/>
      <c r="AF100" s="492"/>
      <c r="AG100" s="491"/>
      <c r="AH100" s="8"/>
      <c r="AI100" s="8"/>
      <c r="AJ100" s="9"/>
      <c r="AK100" s="492"/>
      <c r="AL100" s="491"/>
      <c r="AM100" s="8"/>
      <c r="AN100" s="8"/>
      <c r="AO100" s="9"/>
      <c r="AP100" s="492"/>
      <c r="AQ100" s="506"/>
      <c r="AR100" s="491"/>
      <c r="AS100" s="8"/>
      <c r="AT100" s="8"/>
      <c r="AU100" s="9"/>
      <c r="AV100" s="9"/>
      <c r="AW100" s="17"/>
      <c r="AX100" s="492"/>
      <c r="AY100" s="491"/>
      <c r="AZ100" s="7"/>
      <c r="BA100" s="9"/>
      <c r="BB100" s="9"/>
      <c r="BC100" s="492"/>
      <c r="BD100" s="491"/>
      <c r="BE100" s="7"/>
      <c r="BF100" s="7"/>
      <c r="BG100" s="7"/>
      <c r="BH100" s="9"/>
      <c r="BI100" s="9"/>
      <c r="BJ100" s="492"/>
      <c r="BK100" s="491"/>
      <c r="BL100" s="7"/>
      <c r="BM100" s="7"/>
      <c r="BN100" s="7"/>
      <c r="BO100" s="7"/>
      <c r="BP100" s="7"/>
      <c r="BQ100" s="7"/>
      <c r="BR100" s="8"/>
      <c r="BS100" s="8"/>
      <c r="BT100" s="509"/>
      <c r="BU100" s="491"/>
      <c r="BV100" s="8"/>
      <c r="BW100" s="509"/>
      <c r="BX100" s="491"/>
      <c r="BY100" s="8"/>
      <c r="BZ100" s="509"/>
      <c r="CA100" s="752"/>
    </row>
    <row r="101" spans="1:79" ht="24.95" customHeight="1">
      <c r="A101" s="468">
        <f>IF('Student DATA Entry'!A98="","",'Student DATA Entry'!A98)</f>
        <v>95</v>
      </c>
      <c r="B101" s="459" t="str">
        <f>IF('Student DATA Entry'!B98="","",'Student DATA Entry'!B98)</f>
        <v/>
      </c>
      <c r="C101" s="459" t="str">
        <f>IF('Student DATA Entry'!C98="","",'Student DATA Entry'!C98)</f>
        <v/>
      </c>
      <c r="D101" s="459" t="str">
        <f>IF('Student DATA Entry'!D98="","",'Student DATA Entry'!D98)</f>
        <v/>
      </c>
      <c r="E101" s="459" t="str">
        <f>IF('Student DATA Entry'!E98="","",'Student DATA Entry'!E98)</f>
        <v/>
      </c>
      <c r="F101" s="460" t="str">
        <f>IF('Student DATA Entry'!K98="","",'Student DATA Entry'!K98)</f>
        <v/>
      </c>
      <c r="G101" s="461" t="str">
        <f>IF('Student DATA Entry'!G98="","",UPPER('Student DATA Entry'!G98))</f>
        <v/>
      </c>
      <c r="H101" s="461" t="str">
        <f>IF('Student DATA Entry'!H98="","",UPPER('Student DATA Entry'!H98))</f>
        <v/>
      </c>
      <c r="I101" s="462" t="str">
        <f>IF('Student DATA Entry'!I98="","",UPPER('Student DATA Entry'!I98))</f>
        <v/>
      </c>
      <c r="J101" s="463" t="str">
        <f>IF('Student DATA Entry'!L98="","",UPPER('Student DATA Entry'!L98))</f>
        <v/>
      </c>
      <c r="K101" s="469" t="str">
        <f>IF('Student DATA Entry'!J98="","",UPPER('Student DATA Entry'!J98))</f>
        <v/>
      </c>
      <c r="L101" s="491"/>
      <c r="M101" s="8"/>
      <c r="N101" s="8"/>
      <c r="O101" s="9"/>
      <c r="P101" s="492"/>
      <c r="Q101" s="491"/>
      <c r="R101" s="8"/>
      <c r="S101" s="8"/>
      <c r="T101" s="9"/>
      <c r="U101" s="492"/>
      <c r="V101" s="502"/>
      <c r="W101" s="7"/>
      <c r="X101" s="8"/>
      <c r="Y101" s="8"/>
      <c r="Z101" s="9"/>
      <c r="AA101" s="492"/>
      <c r="AB101" s="491"/>
      <c r="AC101" s="8"/>
      <c r="AD101" s="8"/>
      <c r="AE101" s="9"/>
      <c r="AF101" s="492"/>
      <c r="AG101" s="491"/>
      <c r="AH101" s="8"/>
      <c r="AI101" s="8"/>
      <c r="AJ101" s="9"/>
      <c r="AK101" s="492"/>
      <c r="AL101" s="491"/>
      <c r="AM101" s="8"/>
      <c r="AN101" s="8"/>
      <c r="AO101" s="9"/>
      <c r="AP101" s="492"/>
      <c r="AQ101" s="506"/>
      <c r="AR101" s="491"/>
      <c r="AS101" s="8"/>
      <c r="AT101" s="8"/>
      <c r="AU101" s="9"/>
      <c r="AV101" s="9"/>
      <c r="AW101" s="17"/>
      <c r="AX101" s="492"/>
      <c r="AY101" s="491"/>
      <c r="AZ101" s="7"/>
      <c r="BA101" s="9"/>
      <c r="BB101" s="9"/>
      <c r="BC101" s="492"/>
      <c r="BD101" s="491"/>
      <c r="BE101" s="7"/>
      <c r="BF101" s="7"/>
      <c r="BG101" s="7"/>
      <c r="BH101" s="9"/>
      <c r="BI101" s="9"/>
      <c r="BJ101" s="492"/>
      <c r="BK101" s="491"/>
      <c r="BL101" s="7"/>
      <c r="BM101" s="7"/>
      <c r="BN101" s="7"/>
      <c r="BO101" s="7"/>
      <c r="BP101" s="7"/>
      <c r="BQ101" s="7"/>
      <c r="BR101" s="8"/>
      <c r="BS101" s="8"/>
      <c r="BT101" s="509"/>
      <c r="BU101" s="491"/>
      <c r="BV101" s="8"/>
      <c r="BW101" s="509"/>
      <c r="BX101" s="491"/>
      <c r="BY101" s="8"/>
      <c r="BZ101" s="509"/>
      <c r="CA101" s="752"/>
    </row>
    <row r="102" spans="1:79" ht="24.95" customHeight="1">
      <c r="A102" s="468">
        <f>IF('Student DATA Entry'!A99="","",'Student DATA Entry'!A99)</f>
        <v>96</v>
      </c>
      <c r="B102" s="459" t="str">
        <f>IF('Student DATA Entry'!B99="","",'Student DATA Entry'!B99)</f>
        <v/>
      </c>
      <c r="C102" s="459" t="str">
        <f>IF('Student DATA Entry'!C99="","",'Student DATA Entry'!C99)</f>
        <v/>
      </c>
      <c r="D102" s="459" t="str">
        <f>IF('Student DATA Entry'!D99="","",'Student DATA Entry'!D99)</f>
        <v/>
      </c>
      <c r="E102" s="459" t="str">
        <f>IF('Student DATA Entry'!E99="","",'Student DATA Entry'!E99)</f>
        <v/>
      </c>
      <c r="F102" s="460" t="str">
        <f>IF('Student DATA Entry'!K99="","",'Student DATA Entry'!K99)</f>
        <v/>
      </c>
      <c r="G102" s="461" t="str">
        <f>IF('Student DATA Entry'!G99="","",UPPER('Student DATA Entry'!G99))</f>
        <v/>
      </c>
      <c r="H102" s="461" t="str">
        <f>IF('Student DATA Entry'!H99="","",UPPER('Student DATA Entry'!H99))</f>
        <v/>
      </c>
      <c r="I102" s="462" t="str">
        <f>IF('Student DATA Entry'!I99="","",UPPER('Student DATA Entry'!I99))</f>
        <v/>
      </c>
      <c r="J102" s="463" t="str">
        <f>IF('Student DATA Entry'!L99="","",UPPER('Student DATA Entry'!L99))</f>
        <v/>
      </c>
      <c r="K102" s="469" t="str">
        <f>IF('Student DATA Entry'!J99="","",UPPER('Student DATA Entry'!J99))</f>
        <v/>
      </c>
      <c r="L102" s="491"/>
      <c r="M102" s="8"/>
      <c r="N102" s="8"/>
      <c r="O102" s="9"/>
      <c r="P102" s="492"/>
      <c r="Q102" s="491"/>
      <c r="R102" s="8"/>
      <c r="S102" s="8"/>
      <c r="T102" s="9"/>
      <c r="U102" s="492"/>
      <c r="V102" s="502"/>
      <c r="W102" s="7"/>
      <c r="X102" s="8"/>
      <c r="Y102" s="8"/>
      <c r="Z102" s="9"/>
      <c r="AA102" s="492"/>
      <c r="AB102" s="491"/>
      <c r="AC102" s="8"/>
      <c r="AD102" s="8"/>
      <c r="AE102" s="9"/>
      <c r="AF102" s="492"/>
      <c r="AG102" s="491"/>
      <c r="AH102" s="8"/>
      <c r="AI102" s="8"/>
      <c r="AJ102" s="9"/>
      <c r="AK102" s="492"/>
      <c r="AL102" s="491"/>
      <c r="AM102" s="8"/>
      <c r="AN102" s="8"/>
      <c r="AO102" s="9"/>
      <c r="AP102" s="492"/>
      <c r="AQ102" s="506"/>
      <c r="AR102" s="491"/>
      <c r="AS102" s="8"/>
      <c r="AT102" s="8"/>
      <c r="AU102" s="9"/>
      <c r="AV102" s="9"/>
      <c r="AW102" s="17"/>
      <c r="AX102" s="492"/>
      <c r="AY102" s="491"/>
      <c r="AZ102" s="7"/>
      <c r="BA102" s="9"/>
      <c r="BB102" s="9"/>
      <c r="BC102" s="492"/>
      <c r="BD102" s="491"/>
      <c r="BE102" s="7"/>
      <c r="BF102" s="7"/>
      <c r="BG102" s="7"/>
      <c r="BH102" s="9"/>
      <c r="BI102" s="9"/>
      <c r="BJ102" s="492"/>
      <c r="BK102" s="491"/>
      <c r="BL102" s="7"/>
      <c r="BM102" s="7"/>
      <c r="BN102" s="7"/>
      <c r="BO102" s="7"/>
      <c r="BP102" s="7"/>
      <c r="BQ102" s="7"/>
      <c r="BR102" s="8"/>
      <c r="BS102" s="8"/>
      <c r="BT102" s="509"/>
      <c r="BU102" s="491"/>
      <c r="BV102" s="8"/>
      <c r="BW102" s="509"/>
      <c r="BX102" s="491"/>
      <c r="BY102" s="8"/>
      <c r="BZ102" s="509"/>
      <c r="CA102" s="752"/>
    </row>
    <row r="103" spans="1:79" ht="24.95" customHeight="1">
      <c r="A103" s="468">
        <f>IF('Student DATA Entry'!A100="","",'Student DATA Entry'!A100)</f>
        <v>97</v>
      </c>
      <c r="B103" s="459" t="str">
        <f>IF('Student DATA Entry'!B100="","",'Student DATA Entry'!B100)</f>
        <v/>
      </c>
      <c r="C103" s="459" t="str">
        <f>IF('Student DATA Entry'!C100="","",'Student DATA Entry'!C100)</f>
        <v/>
      </c>
      <c r="D103" s="459" t="str">
        <f>IF('Student DATA Entry'!D100="","",'Student DATA Entry'!D100)</f>
        <v/>
      </c>
      <c r="E103" s="459" t="str">
        <f>IF('Student DATA Entry'!E100="","",'Student DATA Entry'!E100)</f>
        <v/>
      </c>
      <c r="F103" s="460" t="str">
        <f>IF('Student DATA Entry'!K100="","",'Student DATA Entry'!K100)</f>
        <v/>
      </c>
      <c r="G103" s="461" t="str">
        <f>IF('Student DATA Entry'!G100="","",UPPER('Student DATA Entry'!G100))</f>
        <v/>
      </c>
      <c r="H103" s="461" t="str">
        <f>IF('Student DATA Entry'!H100="","",UPPER('Student DATA Entry'!H100))</f>
        <v/>
      </c>
      <c r="I103" s="462" t="str">
        <f>IF('Student DATA Entry'!I100="","",UPPER('Student DATA Entry'!I100))</f>
        <v/>
      </c>
      <c r="J103" s="463" t="str">
        <f>IF('Student DATA Entry'!L100="","",UPPER('Student DATA Entry'!L100))</f>
        <v/>
      </c>
      <c r="K103" s="469" t="str">
        <f>IF('Student DATA Entry'!J100="","",UPPER('Student DATA Entry'!J100))</f>
        <v/>
      </c>
      <c r="L103" s="491"/>
      <c r="M103" s="8"/>
      <c r="N103" s="8"/>
      <c r="O103" s="9"/>
      <c r="P103" s="492"/>
      <c r="Q103" s="491"/>
      <c r="R103" s="8"/>
      <c r="S103" s="8"/>
      <c r="T103" s="9"/>
      <c r="U103" s="492"/>
      <c r="V103" s="502"/>
      <c r="W103" s="7"/>
      <c r="X103" s="8"/>
      <c r="Y103" s="8"/>
      <c r="Z103" s="9"/>
      <c r="AA103" s="492"/>
      <c r="AB103" s="491"/>
      <c r="AC103" s="8"/>
      <c r="AD103" s="8"/>
      <c r="AE103" s="9"/>
      <c r="AF103" s="492"/>
      <c r="AG103" s="491"/>
      <c r="AH103" s="8"/>
      <c r="AI103" s="8"/>
      <c r="AJ103" s="9"/>
      <c r="AK103" s="492"/>
      <c r="AL103" s="491"/>
      <c r="AM103" s="8"/>
      <c r="AN103" s="8"/>
      <c r="AO103" s="9"/>
      <c r="AP103" s="492"/>
      <c r="AQ103" s="506"/>
      <c r="AR103" s="491"/>
      <c r="AS103" s="8"/>
      <c r="AT103" s="8"/>
      <c r="AU103" s="9"/>
      <c r="AV103" s="9"/>
      <c r="AW103" s="17"/>
      <c r="AX103" s="492"/>
      <c r="AY103" s="491"/>
      <c r="AZ103" s="7"/>
      <c r="BA103" s="9"/>
      <c r="BB103" s="9"/>
      <c r="BC103" s="492"/>
      <c r="BD103" s="491"/>
      <c r="BE103" s="7"/>
      <c r="BF103" s="7"/>
      <c r="BG103" s="7"/>
      <c r="BH103" s="9"/>
      <c r="BI103" s="9"/>
      <c r="BJ103" s="492"/>
      <c r="BK103" s="491"/>
      <c r="BL103" s="7"/>
      <c r="BM103" s="7"/>
      <c r="BN103" s="7"/>
      <c r="BO103" s="7"/>
      <c r="BP103" s="7"/>
      <c r="BQ103" s="7"/>
      <c r="BR103" s="8"/>
      <c r="BS103" s="8"/>
      <c r="BT103" s="509"/>
      <c r="BU103" s="491"/>
      <c r="BV103" s="8"/>
      <c r="BW103" s="509"/>
      <c r="BX103" s="491"/>
      <c r="BY103" s="8"/>
      <c r="BZ103" s="509"/>
      <c r="CA103" s="752"/>
    </row>
    <row r="104" spans="1:79" ht="24.95" customHeight="1">
      <c r="A104" s="468">
        <f>IF('Student DATA Entry'!A101="","",'Student DATA Entry'!A101)</f>
        <v>98</v>
      </c>
      <c r="B104" s="459" t="str">
        <f>IF('Student DATA Entry'!B101="","",'Student DATA Entry'!B101)</f>
        <v/>
      </c>
      <c r="C104" s="459" t="str">
        <f>IF('Student DATA Entry'!C101="","",'Student DATA Entry'!C101)</f>
        <v/>
      </c>
      <c r="D104" s="459" t="str">
        <f>IF('Student DATA Entry'!D101="","",'Student DATA Entry'!D101)</f>
        <v/>
      </c>
      <c r="E104" s="459" t="str">
        <f>IF('Student DATA Entry'!E101="","",'Student DATA Entry'!E101)</f>
        <v/>
      </c>
      <c r="F104" s="460" t="str">
        <f>IF('Student DATA Entry'!K101="","",'Student DATA Entry'!K101)</f>
        <v/>
      </c>
      <c r="G104" s="461" t="str">
        <f>IF('Student DATA Entry'!G101="","",UPPER('Student DATA Entry'!G101))</f>
        <v/>
      </c>
      <c r="H104" s="461" t="str">
        <f>IF('Student DATA Entry'!H101="","",UPPER('Student DATA Entry'!H101))</f>
        <v/>
      </c>
      <c r="I104" s="462" t="str">
        <f>IF('Student DATA Entry'!I101="","",UPPER('Student DATA Entry'!I101))</f>
        <v/>
      </c>
      <c r="J104" s="463" t="str">
        <f>IF('Student DATA Entry'!L101="","",UPPER('Student DATA Entry'!L101))</f>
        <v/>
      </c>
      <c r="K104" s="469" t="str">
        <f>IF('Student DATA Entry'!J101="","",UPPER('Student DATA Entry'!J101))</f>
        <v/>
      </c>
      <c r="L104" s="491"/>
      <c r="M104" s="8"/>
      <c r="N104" s="8"/>
      <c r="O104" s="9"/>
      <c r="P104" s="492"/>
      <c r="Q104" s="491"/>
      <c r="R104" s="8"/>
      <c r="S104" s="8"/>
      <c r="T104" s="9"/>
      <c r="U104" s="492"/>
      <c r="V104" s="502"/>
      <c r="W104" s="7"/>
      <c r="X104" s="8"/>
      <c r="Y104" s="8"/>
      <c r="Z104" s="9"/>
      <c r="AA104" s="492"/>
      <c r="AB104" s="491"/>
      <c r="AC104" s="8"/>
      <c r="AD104" s="8"/>
      <c r="AE104" s="9"/>
      <c r="AF104" s="492"/>
      <c r="AG104" s="491"/>
      <c r="AH104" s="8"/>
      <c r="AI104" s="8"/>
      <c r="AJ104" s="9"/>
      <c r="AK104" s="492"/>
      <c r="AL104" s="491"/>
      <c r="AM104" s="8"/>
      <c r="AN104" s="8"/>
      <c r="AO104" s="9"/>
      <c r="AP104" s="492"/>
      <c r="AQ104" s="506"/>
      <c r="AR104" s="491"/>
      <c r="AS104" s="8"/>
      <c r="AT104" s="8"/>
      <c r="AU104" s="9"/>
      <c r="AV104" s="9"/>
      <c r="AW104" s="17"/>
      <c r="AX104" s="492"/>
      <c r="AY104" s="491"/>
      <c r="AZ104" s="7"/>
      <c r="BA104" s="9"/>
      <c r="BB104" s="9"/>
      <c r="BC104" s="492"/>
      <c r="BD104" s="491"/>
      <c r="BE104" s="7"/>
      <c r="BF104" s="7"/>
      <c r="BG104" s="7"/>
      <c r="BH104" s="9"/>
      <c r="BI104" s="9"/>
      <c r="BJ104" s="492"/>
      <c r="BK104" s="491"/>
      <c r="BL104" s="7"/>
      <c r="BM104" s="7"/>
      <c r="BN104" s="7"/>
      <c r="BO104" s="7"/>
      <c r="BP104" s="7"/>
      <c r="BQ104" s="7"/>
      <c r="BR104" s="8"/>
      <c r="BS104" s="8"/>
      <c r="BT104" s="509"/>
      <c r="BU104" s="491"/>
      <c r="BV104" s="8"/>
      <c r="BW104" s="509"/>
      <c r="BX104" s="491"/>
      <c r="BY104" s="8"/>
      <c r="BZ104" s="509"/>
      <c r="CA104" s="752"/>
    </row>
    <row r="105" spans="1:79" ht="24.95" customHeight="1">
      <c r="A105" s="468">
        <f>IF('Student DATA Entry'!A102="","",'Student DATA Entry'!A102)</f>
        <v>99</v>
      </c>
      <c r="B105" s="459" t="str">
        <f>IF('Student DATA Entry'!B102="","",'Student DATA Entry'!B102)</f>
        <v/>
      </c>
      <c r="C105" s="459" t="str">
        <f>IF('Student DATA Entry'!C102="","",'Student DATA Entry'!C102)</f>
        <v/>
      </c>
      <c r="D105" s="459" t="str">
        <f>IF('Student DATA Entry'!D102="","",'Student DATA Entry'!D102)</f>
        <v/>
      </c>
      <c r="E105" s="459" t="str">
        <f>IF('Student DATA Entry'!E102="","",'Student DATA Entry'!E102)</f>
        <v/>
      </c>
      <c r="F105" s="460" t="str">
        <f>IF('Student DATA Entry'!K102="","",'Student DATA Entry'!K102)</f>
        <v/>
      </c>
      <c r="G105" s="461" t="str">
        <f>IF('Student DATA Entry'!G102="","",UPPER('Student DATA Entry'!G102))</f>
        <v/>
      </c>
      <c r="H105" s="461" t="str">
        <f>IF('Student DATA Entry'!H102="","",UPPER('Student DATA Entry'!H102))</f>
        <v/>
      </c>
      <c r="I105" s="462" t="str">
        <f>IF('Student DATA Entry'!I102="","",UPPER('Student DATA Entry'!I102))</f>
        <v/>
      </c>
      <c r="J105" s="463" t="str">
        <f>IF('Student DATA Entry'!L102="","",UPPER('Student DATA Entry'!L102))</f>
        <v/>
      </c>
      <c r="K105" s="469" t="str">
        <f>IF('Student DATA Entry'!J102="","",UPPER('Student DATA Entry'!J102))</f>
        <v/>
      </c>
      <c r="L105" s="491"/>
      <c r="M105" s="8"/>
      <c r="N105" s="8"/>
      <c r="O105" s="9"/>
      <c r="P105" s="492"/>
      <c r="Q105" s="491"/>
      <c r="R105" s="8"/>
      <c r="S105" s="8"/>
      <c r="T105" s="9"/>
      <c r="U105" s="492"/>
      <c r="V105" s="502"/>
      <c r="W105" s="7"/>
      <c r="X105" s="8"/>
      <c r="Y105" s="8"/>
      <c r="Z105" s="9"/>
      <c r="AA105" s="492"/>
      <c r="AB105" s="491"/>
      <c r="AC105" s="8"/>
      <c r="AD105" s="8"/>
      <c r="AE105" s="9"/>
      <c r="AF105" s="492"/>
      <c r="AG105" s="491"/>
      <c r="AH105" s="8"/>
      <c r="AI105" s="8"/>
      <c r="AJ105" s="9"/>
      <c r="AK105" s="492"/>
      <c r="AL105" s="491"/>
      <c r="AM105" s="8"/>
      <c r="AN105" s="8"/>
      <c r="AO105" s="9"/>
      <c r="AP105" s="492"/>
      <c r="AQ105" s="506"/>
      <c r="AR105" s="491"/>
      <c r="AS105" s="8"/>
      <c r="AT105" s="8"/>
      <c r="AU105" s="9"/>
      <c r="AV105" s="9"/>
      <c r="AW105" s="17"/>
      <c r="AX105" s="492"/>
      <c r="AY105" s="491"/>
      <c r="AZ105" s="7"/>
      <c r="BA105" s="9"/>
      <c r="BB105" s="9"/>
      <c r="BC105" s="492"/>
      <c r="BD105" s="491"/>
      <c r="BE105" s="7"/>
      <c r="BF105" s="7"/>
      <c r="BG105" s="7"/>
      <c r="BH105" s="9"/>
      <c r="BI105" s="9"/>
      <c r="BJ105" s="492"/>
      <c r="BK105" s="491"/>
      <c r="BL105" s="7"/>
      <c r="BM105" s="7"/>
      <c r="BN105" s="7"/>
      <c r="BO105" s="7"/>
      <c r="BP105" s="7"/>
      <c r="BQ105" s="7"/>
      <c r="BR105" s="8"/>
      <c r="BS105" s="8"/>
      <c r="BT105" s="509"/>
      <c r="BU105" s="491"/>
      <c r="BV105" s="8"/>
      <c r="BW105" s="509"/>
      <c r="BX105" s="491"/>
      <c r="BY105" s="8"/>
      <c r="BZ105" s="509"/>
      <c r="CA105" s="751"/>
    </row>
    <row r="106" spans="1:79" ht="24.95" customHeight="1">
      <c r="A106" s="468">
        <f>IF('Student DATA Entry'!A103="","",'Student DATA Entry'!A103)</f>
        <v>100</v>
      </c>
      <c r="B106" s="459" t="str">
        <f>IF('Student DATA Entry'!B103="","",'Student DATA Entry'!B103)</f>
        <v/>
      </c>
      <c r="C106" s="459" t="str">
        <f>IF('Student DATA Entry'!C103="","",'Student DATA Entry'!C103)</f>
        <v/>
      </c>
      <c r="D106" s="459" t="str">
        <f>IF('Student DATA Entry'!D103="","",'Student DATA Entry'!D103)</f>
        <v/>
      </c>
      <c r="E106" s="459" t="str">
        <f>IF('Student DATA Entry'!E103="","",'Student DATA Entry'!E103)</f>
        <v/>
      </c>
      <c r="F106" s="460" t="str">
        <f>IF('Student DATA Entry'!K103="","",'Student DATA Entry'!K103)</f>
        <v/>
      </c>
      <c r="G106" s="461" t="str">
        <f>IF('Student DATA Entry'!G103="","",UPPER('Student DATA Entry'!G103))</f>
        <v/>
      </c>
      <c r="H106" s="461" t="str">
        <f>IF('Student DATA Entry'!H103="","",UPPER('Student DATA Entry'!H103))</f>
        <v/>
      </c>
      <c r="I106" s="462" t="str">
        <f>IF('Student DATA Entry'!I103="","",UPPER('Student DATA Entry'!I103))</f>
        <v/>
      </c>
      <c r="J106" s="463" t="str">
        <f>IF('Student DATA Entry'!L103="","",UPPER('Student DATA Entry'!L103))</f>
        <v/>
      </c>
      <c r="K106" s="469" t="str">
        <f>IF('Student DATA Entry'!J103="","",UPPER('Student DATA Entry'!J103))</f>
        <v/>
      </c>
      <c r="L106" s="491"/>
      <c r="M106" s="8"/>
      <c r="N106" s="8"/>
      <c r="O106" s="9"/>
      <c r="P106" s="492"/>
      <c r="Q106" s="491"/>
      <c r="R106" s="8"/>
      <c r="S106" s="8"/>
      <c r="T106" s="9"/>
      <c r="U106" s="492"/>
      <c r="V106" s="502"/>
      <c r="W106" s="7"/>
      <c r="X106" s="8"/>
      <c r="Y106" s="8"/>
      <c r="Z106" s="9"/>
      <c r="AA106" s="492"/>
      <c r="AB106" s="491"/>
      <c r="AC106" s="8"/>
      <c r="AD106" s="8"/>
      <c r="AE106" s="9"/>
      <c r="AF106" s="492"/>
      <c r="AG106" s="491"/>
      <c r="AH106" s="8"/>
      <c r="AI106" s="8"/>
      <c r="AJ106" s="9"/>
      <c r="AK106" s="492"/>
      <c r="AL106" s="491"/>
      <c r="AM106" s="8"/>
      <c r="AN106" s="8"/>
      <c r="AO106" s="9"/>
      <c r="AP106" s="492"/>
      <c r="AQ106" s="506"/>
      <c r="AR106" s="491"/>
      <c r="AS106" s="8"/>
      <c r="AT106" s="8"/>
      <c r="AU106" s="9"/>
      <c r="AV106" s="9"/>
      <c r="AW106" s="17"/>
      <c r="AX106" s="492"/>
      <c r="AY106" s="491"/>
      <c r="AZ106" s="7"/>
      <c r="BA106" s="9"/>
      <c r="BB106" s="9"/>
      <c r="BC106" s="492"/>
      <c r="BD106" s="491"/>
      <c r="BE106" s="7"/>
      <c r="BF106" s="7"/>
      <c r="BG106" s="7"/>
      <c r="BH106" s="9"/>
      <c r="BI106" s="9"/>
      <c r="BJ106" s="492"/>
      <c r="BK106" s="491"/>
      <c r="BL106" s="7"/>
      <c r="BM106" s="7"/>
      <c r="BN106" s="7"/>
      <c r="BO106" s="7"/>
      <c r="BP106" s="7"/>
      <c r="BQ106" s="7"/>
      <c r="BR106" s="8"/>
      <c r="BS106" s="8"/>
      <c r="BT106" s="509"/>
      <c r="BU106" s="491"/>
      <c r="BV106" s="8"/>
      <c r="BW106" s="509"/>
      <c r="BX106" s="491"/>
      <c r="BY106" s="8"/>
      <c r="BZ106" s="509"/>
      <c r="CA106" s="751"/>
    </row>
    <row r="107" spans="1:79" ht="24.95" customHeight="1">
      <c r="A107" s="468">
        <f>IF('Student DATA Entry'!A104="","",'Student DATA Entry'!A104)</f>
        <v>101</v>
      </c>
      <c r="B107" s="459" t="str">
        <f>IF('Student DATA Entry'!B104="","",'Student DATA Entry'!B104)</f>
        <v/>
      </c>
      <c r="C107" s="459" t="str">
        <f>IF('Student DATA Entry'!C104="","",'Student DATA Entry'!C104)</f>
        <v/>
      </c>
      <c r="D107" s="459" t="str">
        <f>IF('Student DATA Entry'!D104="","",'Student DATA Entry'!D104)</f>
        <v/>
      </c>
      <c r="E107" s="459" t="str">
        <f>IF('Student DATA Entry'!E104="","",'Student DATA Entry'!E104)</f>
        <v/>
      </c>
      <c r="F107" s="460" t="str">
        <f>IF('Student DATA Entry'!K104="","",'Student DATA Entry'!K104)</f>
        <v/>
      </c>
      <c r="G107" s="461" t="str">
        <f>IF('Student DATA Entry'!G104="","",UPPER('Student DATA Entry'!G104))</f>
        <v/>
      </c>
      <c r="H107" s="461" t="str">
        <f>IF('Student DATA Entry'!H104="","",UPPER('Student DATA Entry'!H104))</f>
        <v/>
      </c>
      <c r="I107" s="462" t="str">
        <f>IF('Student DATA Entry'!I104="","",UPPER('Student DATA Entry'!I104))</f>
        <v/>
      </c>
      <c r="J107" s="463" t="str">
        <f>IF('Student DATA Entry'!L104="","",UPPER('Student DATA Entry'!L104))</f>
        <v/>
      </c>
      <c r="K107" s="469" t="str">
        <f>IF('Student DATA Entry'!J104="","",UPPER('Student DATA Entry'!J104))</f>
        <v/>
      </c>
      <c r="L107" s="491"/>
      <c r="M107" s="8"/>
      <c r="N107" s="8"/>
      <c r="O107" s="9"/>
      <c r="P107" s="492"/>
      <c r="Q107" s="491"/>
      <c r="R107" s="8"/>
      <c r="S107" s="8"/>
      <c r="T107" s="9"/>
      <c r="U107" s="492"/>
      <c r="V107" s="502"/>
      <c r="W107" s="7"/>
      <c r="X107" s="8"/>
      <c r="Y107" s="8"/>
      <c r="Z107" s="9"/>
      <c r="AA107" s="492"/>
      <c r="AB107" s="491"/>
      <c r="AC107" s="8"/>
      <c r="AD107" s="8"/>
      <c r="AE107" s="9"/>
      <c r="AF107" s="492"/>
      <c r="AG107" s="491"/>
      <c r="AH107" s="8"/>
      <c r="AI107" s="8"/>
      <c r="AJ107" s="9"/>
      <c r="AK107" s="492"/>
      <c r="AL107" s="491"/>
      <c r="AM107" s="8"/>
      <c r="AN107" s="8"/>
      <c r="AO107" s="9"/>
      <c r="AP107" s="492"/>
      <c r="AQ107" s="506"/>
      <c r="AR107" s="491"/>
      <c r="AS107" s="8"/>
      <c r="AT107" s="8"/>
      <c r="AU107" s="9"/>
      <c r="AV107" s="9"/>
      <c r="AW107" s="17"/>
      <c r="AX107" s="492"/>
      <c r="AY107" s="491"/>
      <c r="AZ107" s="7"/>
      <c r="BA107" s="9"/>
      <c r="BB107" s="9"/>
      <c r="BC107" s="492"/>
      <c r="BD107" s="491"/>
      <c r="BE107" s="7"/>
      <c r="BF107" s="7"/>
      <c r="BG107" s="7"/>
      <c r="BH107" s="9"/>
      <c r="BI107" s="9"/>
      <c r="BJ107" s="492"/>
      <c r="BK107" s="491"/>
      <c r="BL107" s="7"/>
      <c r="BM107" s="7"/>
      <c r="BN107" s="7"/>
      <c r="BO107" s="7"/>
      <c r="BP107" s="7"/>
      <c r="BQ107" s="7"/>
      <c r="BR107" s="8"/>
      <c r="BS107" s="8"/>
      <c r="BT107" s="509"/>
      <c r="BU107" s="491"/>
      <c r="BV107" s="8"/>
      <c r="BW107" s="509"/>
      <c r="BX107" s="491"/>
      <c r="BY107" s="8"/>
      <c r="BZ107" s="509"/>
      <c r="CA107" s="751"/>
    </row>
    <row r="108" spans="1:79" ht="24.95" customHeight="1">
      <c r="A108" s="468">
        <f>IF('Student DATA Entry'!A105="","",'Student DATA Entry'!A105)</f>
        <v>102</v>
      </c>
      <c r="B108" s="459" t="str">
        <f>IF('Student DATA Entry'!B105="","",'Student DATA Entry'!B105)</f>
        <v/>
      </c>
      <c r="C108" s="459" t="str">
        <f>IF('Student DATA Entry'!C105="","",'Student DATA Entry'!C105)</f>
        <v/>
      </c>
      <c r="D108" s="459" t="str">
        <f>IF('Student DATA Entry'!D105="","",'Student DATA Entry'!D105)</f>
        <v/>
      </c>
      <c r="E108" s="459" t="str">
        <f>IF('Student DATA Entry'!E105="","",'Student DATA Entry'!E105)</f>
        <v/>
      </c>
      <c r="F108" s="460" t="str">
        <f>IF('Student DATA Entry'!K105="","",'Student DATA Entry'!K105)</f>
        <v/>
      </c>
      <c r="G108" s="461" t="str">
        <f>IF('Student DATA Entry'!G105="","",UPPER('Student DATA Entry'!G105))</f>
        <v/>
      </c>
      <c r="H108" s="461" t="str">
        <f>IF('Student DATA Entry'!H105="","",UPPER('Student DATA Entry'!H105))</f>
        <v/>
      </c>
      <c r="I108" s="462" t="str">
        <f>IF('Student DATA Entry'!I105="","",UPPER('Student DATA Entry'!I105))</f>
        <v/>
      </c>
      <c r="J108" s="463" t="str">
        <f>IF('Student DATA Entry'!L105="","",UPPER('Student DATA Entry'!L105))</f>
        <v/>
      </c>
      <c r="K108" s="469" t="str">
        <f>IF('Student DATA Entry'!J105="","",UPPER('Student DATA Entry'!J105))</f>
        <v/>
      </c>
      <c r="L108" s="491"/>
      <c r="M108" s="8"/>
      <c r="N108" s="8"/>
      <c r="O108" s="9"/>
      <c r="P108" s="492"/>
      <c r="Q108" s="491"/>
      <c r="R108" s="8"/>
      <c r="S108" s="8"/>
      <c r="T108" s="9"/>
      <c r="U108" s="492"/>
      <c r="V108" s="502"/>
      <c r="W108" s="7"/>
      <c r="X108" s="8"/>
      <c r="Y108" s="8"/>
      <c r="Z108" s="9"/>
      <c r="AA108" s="492"/>
      <c r="AB108" s="491"/>
      <c r="AC108" s="8"/>
      <c r="AD108" s="8"/>
      <c r="AE108" s="9"/>
      <c r="AF108" s="492"/>
      <c r="AG108" s="491"/>
      <c r="AH108" s="8"/>
      <c r="AI108" s="8"/>
      <c r="AJ108" s="9"/>
      <c r="AK108" s="492"/>
      <c r="AL108" s="491"/>
      <c r="AM108" s="8"/>
      <c r="AN108" s="8"/>
      <c r="AO108" s="9"/>
      <c r="AP108" s="492"/>
      <c r="AQ108" s="506"/>
      <c r="AR108" s="491"/>
      <c r="AS108" s="8"/>
      <c r="AT108" s="8"/>
      <c r="AU108" s="9"/>
      <c r="AV108" s="9"/>
      <c r="AW108" s="17"/>
      <c r="AX108" s="492"/>
      <c r="AY108" s="491"/>
      <c r="AZ108" s="7"/>
      <c r="BA108" s="9"/>
      <c r="BB108" s="9"/>
      <c r="BC108" s="492"/>
      <c r="BD108" s="491"/>
      <c r="BE108" s="7"/>
      <c r="BF108" s="7"/>
      <c r="BG108" s="7"/>
      <c r="BH108" s="9"/>
      <c r="BI108" s="9"/>
      <c r="BJ108" s="492"/>
      <c r="BK108" s="491"/>
      <c r="BL108" s="7"/>
      <c r="BM108" s="7"/>
      <c r="BN108" s="7"/>
      <c r="BO108" s="7"/>
      <c r="BP108" s="7"/>
      <c r="BQ108" s="7"/>
      <c r="BR108" s="8"/>
      <c r="BS108" s="8"/>
      <c r="BT108" s="509"/>
      <c r="BU108" s="491"/>
      <c r="BV108" s="8"/>
      <c r="BW108" s="509"/>
      <c r="BX108" s="491"/>
      <c r="BY108" s="8"/>
      <c r="BZ108" s="509"/>
      <c r="CA108" s="751"/>
    </row>
    <row r="109" spans="1:79" ht="24.95" customHeight="1">
      <c r="A109" s="468">
        <f>IF('Student DATA Entry'!A106="","",'Student DATA Entry'!A106)</f>
        <v>103</v>
      </c>
      <c r="B109" s="459" t="str">
        <f>IF('Student DATA Entry'!B106="","",'Student DATA Entry'!B106)</f>
        <v/>
      </c>
      <c r="C109" s="459" t="str">
        <f>IF('Student DATA Entry'!C106="","",'Student DATA Entry'!C106)</f>
        <v/>
      </c>
      <c r="D109" s="459" t="str">
        <f>IF('Student DATA Entry'!D106="","",'Student DATA Entry'!D106)</f>
        <v/>
      </c>
      <c r="E109" s="459" t="str">
        <f>IF('Student DATA Entry'!E106="","",'Student DATA Entry'!E106)</f>
        <v/>
      </c>
      <c r="F109" s="460" t="str">
        <f>IF('Student DATA Entry'!K106="","",'Student DATA Entry'!K106)</f>
        <v/>
      </c>
      <c r="G109" s="461" t="str">
        <f>IF('Student DATA Entry'!G106="","",UPPER('Student DATA Entry'!G106))</f>
        <v/>
      </c>
      <c r="H109" s="461" t="str">
        <f>IF('Student DATA Entry'!H106="","",UPPER('Student DATA Entry'!H106))</f>
        <v/>
      </c>
      <c r="I109" s="462" t="str">
        <f>IF('Student DATA Entry'!I106="","",UPPER('Student DATA Entry'!I106))</f>
        <v/>
      </c>
      <c r="J109" s="463" t="str">
        <f>IF('Student DATA Entry'!L106="","",UPPER('Student DATA Entry'!L106))</f>
        <v/>
      </c>
      <c r="K109" s="469" t="str">
        <f>IF('Student DATA Entry'!J106="","",UPPER('Student DATA Entry'!J106))</f>
        <v/>
      </c>
      <c r="L109" s="491"/>
      <c r="M109" s="8"/>
      <c r="N109" s="8"/>
      <c r="O109" s="9"/>
      <c r="P109" s="492"/>
      <c r="Q109" s="491"/>
      <c r="R109" s="8"/>
      <c r="S109" s="8"/>
      <c r="T109" s="9"/>
      <c r="U109" s="492"/>
      <c r="V109" s="502"/>
      <c r="W109" s="7"/>
      <c r="X109" s="8"/>
      <c r="Y109" s="8"/>
      <c r="Z109" s="9"/>
      <c r="AA109" s="492"/>
      <c r="AB109" s="491"/>
      <c r="AC109" s="8"/>
      <c r="AD109" s="8"/>
      <c r="AE109" s="9"/>
      <c r="AF109" s="492"/>
      <c r="AG109" s="491"/>
      <c r="AH109" s="8"/>
      <c r="AI109" s="8"/>
      <c r="AJ109" s="9"/>
      <c r="AK109" s="492"/>
      <c r="AL109" s="491"/>
      <c r="AM109" s="8"/>
      <c r="AN109" s="8"/>
      <c r="AO109" s="9"/>
      <c r="AP109" s="492"/>
      <c r="AQ109" s="506"/>
      <c r="AR109" s="491"/>
      <c r="AS109" s="8"/>
      <c r="AT109" s="8"/>
      <c r="AU109" s="9"/>
      <c r="AV109" s="9"/>
      <c r="AW109" s="17"/>
      <c r="AX109" s="492"/>
      <c r="AY109" s="491"/>
      <c r="AZ109" s="7"/>
      <c r="BA109" s="9"/>
      <c r="BB109" s="9"/>
      <c r="BC109" s="492"/>
      <c r="BD109" s="491"/>
      <c r="BE109" s="7"/>
      <c r="BF109" s="7"/>
      <c r="BG109" s="7"/>
      <c r="BH109" s="9"/>
      <c r="BI109" s="9"/>
      <c r="BJ109" s="492"/>
      <c r="BK109" s="491"/>
      <c r="BL109" s="7"/>
      <c r="BM109" s="7"/>
      <c r="BN109" s="7"/>
      <c r="BO109" s="7"/>
      <c r="BP109" s="7"/>
      <c r="BQ109" s="7"/>
      <c r="BR109" s="8"/>
      <c r="BS109" s="8"/>
      <c r="BT109" s="509"/>
      <c r="BU109" s="491"/>
      <c r="BV109" s="8"/>
      <c r="BW109" s="509"/>
      <c r="BX109" s="491"/>
      <c r="BY109" s="8"/>
      <c r="BZ109" s="509"/>
      <c r="CA109" s="751"/>
    </row>
    <row r="110" spans="1:79" ht="24.95" customHeight="1">
      <c r="A110" s="468">
        <f>IF('Student DATA Entry'!A107="","",'Student DATA Entry'!A107)</f>
        <v>104</v>
      </c>
      <c r="B110" s="459" t="str">
        <f>IF('Student DATA Entry'!B107="","",'Student DATA Entry'!B107)</f>
        <v/>
      </c>
      <c r="C110" s="459" t="str">
        <f>IF('Student DATA Entry'!C107="","",'Student DATA Entry'!C107)</f>
        <v/>
      </c>
      <c r="D110" s="459" t="str">
        <f>IF('Student DATA Entry'!D107="","",'Student DATA Entry'!D107)</f>
        <v/>
      </c>
      <c r="E110" s="459" t="str">
        <f>IF('Student DATA Entry'!E107="","",'Student DATA Entry'!E107)</f>
        <v/>
      </c>
      <c r="F110" s="460" t="str">
        <f>IF('Student DATA Entry'!K107="","",'Student DATA Entry'!K107)</f>
        <v/>
      </c>
      <c r="G110" s="461" t="str">
        <f>IF('Student DATA Entry'!G107="","",UPPER('Student DATA Entry'!G107))</f>
        <v/>
      </c>
      <c r="H110" s="461" t="str">
        <f>IF('Student DATA Entry'!H107="","",UPPER('Student DATA Entry'!H107))</f>
        <v/>
      </c>
      <c r="I110" s="462" t="str">
        <f>IF('Student DATA Entry'!I107="","",UPPER('Student DATA Entry'!I107))</f>
        <v/>
      </c>
      <c r="J110" s="463" t="str">
        <f>IF('Student DATA Entry'!L107="","",UPPER('Student DATA Entry'!L107))</f>
        <v/>
      </c>
      <c r="K110" s="469" t="str">
        <f>IF('Student DATA Entry'!J107="","",UPPER('Student DATA Entry'!J107))</f>
        <v/>
      </c>
      <c r="L110" s="491"/>
      <c r="M110" s="8"/>
      <c r="N110" s="8"/>
      <c r="O110" s="9"/>
      <c r="P110" s="492"/>
      <c r="Q110" s="491"/>
      <c r="R110" s="8"/>
      <c r="S110" s="8"/>
      <c r="T110" s="9"/>
      <c r="U110" s="492"/>
      <c r="V110" s="502"/>
      <c r="W110" s="7"/>
      <c r="X110" s="8"/>
      <c r="Y110" s="8"/>
      <c r="Z110" s="9"/>
      <c r="AA110" s="492"/>
      <c r="AB110" s="491"/>
      <c r="AC110" s="8"/>
      <c r="AD110" s="8"/>
      <c r="AE110" s="9"/>
      <c r="AF110" s="492"/>
      <c r="AG110" s="491"/>
      <c r="AH110" s="8"/>
      <c r="AI110" s="8"/>
      <c r="AJ110" s="9"/>
      <c r="AK110" s="492"/>
      <c r="AL110" s="491"/>
      <c r="AM110" s="8"/>
      <c r="AN110" s="8"/>
      <c r="AO110" s="9"/>
      <c r="AP110" s="492"/>
      <c r="AQ110" s="506"/>
      <c r="AR110" s="491"/>
      <c r="AS110" s="8"/>
      <c r="AT110" s="8"/>
      <c r="AU110" s="9"/>
      <c r="AV110" s="9"/>
      <c r="AW110" s="17"/>
      <c r="AX110" s="492"/>
      <c r="AY110" s="491"/>
      <c r="AZ110" s="7"/>
      <c r="BA110" s="9"/>
      <c r="BB110" s="9"/>
      <c r="BC110" s="492"/>
      <c r="BD110" s="491"/>
      <c r="BE110" s="7"/>
      <c r="BF110" s="7"/>
      <c r="BG110" s="7"/>
      <c r="BH110" s="9"/>
      <c r="BI110" s="9"/>
      <c r="BJ110" s="492"/>
      <c r="BK110" s="491"/>
      <c r="BL110" s="7"/>
      <c r="BM110" s="7"/>
      <c r="BN110" s="7"/>
      <c r="BO110" s="7"/>
      <c r="BP110" s="7"/>
      <c r="BQ110" s="7"/>
      <c r="BR110" s="8"/>
      <c r="BS110" s="8"/>
      <c r="BT110" s="509"/>
      <c r="BU110" s="491"/>
      <c r="BV110" s="8"/>
      <c r="BW110" s="509"/>
      <c r="BX110" s="491"/>
      <c r="BY110" s="8"/>
      <c r="BZ110" s="509"/>
      <c r="CA110" s="751"/>
    </row>
    <row r="111" spans="1:79" ht="24.95" customHeight="1">
      <c r="A111" s="468">
        <f>IF('Student DATA Entry'!A108="","",'Student DATA Entry'!A108)</f>
        <v>105</v>
      </c>
      <c r="B111" s="459" t="str">
        <f>IF('Student DATA Entry'!B108="","",'Student DATA Entry'!B108)</f>
        <v/>
      </c>
      <c r="C111" s="459" t="str">
        <f>IF('Student DATA Entry'!C108="","",'Student DATA Entry'!C108)</f>
        <v/>
      </c>
      <c r="D111" s="459" t="str">
        <f>IF('Student DATA Entry'!D108="","",'Student DATA Entry'!D108)</f>
        <v/>
      </c>
      <c r="E111" s="459" t="str">
        <f>IF('Student DATA Entry'!E108="","",'Student DATA Entry'!E108)</f>
        <v/>
      </c>
      <c r="F111" s="460" t="str">
        <f>IF('Student DATA Entry'!K108="","",'Student DATA Entry'!K108)</f>
        <v/>
      </c>
      <c r="G111" s="461" t="str">
        <f>IF('Student DATA Entry'!G108="","",UPPER('Student DATA Entry'!G108))</f>
        <v/>
      </c>
      <c r="H111" s="461" t="str">
        <f>IF('Student DATA Entry'!H108="","",UPPER('Student DATA Entry'!H108))</f>
        <v/>
      </c>
      <c r="I111" s="462" t="str">
        <f>IF('Student DATA Entry'!I108="","",UPPER('Student DATA Entry'!I108))</f>
        <v/>
      </c>
      <c r="J111" s="463" t="str">
        <f>IF('Student DATA Entry'!L108="","",UPPER('Student DATA Entry'!L108))</f>
        <v/>
      </c>
      <c r="K111" s="469" t="str">
        <f>IF('Student DATA Entry'!J108="","",UPPER('Student DATA Entry'!J108))</f>
        <v/>
      </c>
      <c r="L111" s="491"/>
      <c r="M111" s="8"/>
      <c r="N111" s="8"/>
      <c r="O111" s="9"/>
      <c r="P111" s="492"/>
      <c r="Q111" s="491"/>
      <c r="R111" s="8"/>
      <c r="S111" s="8"/>
      <c r="T111" s="9"/>
      <c r="U111" s="492"/>
      <c r="V111" s="502"/>
      <c r="W111" s="7"/>
      <c r="X111" s="8"/>
      <c r="Y111" s="8"/>
      <c r="Z111" s="9"/>
      <c r="AA111" s="492"/>
      <c r="AB111" s="491"/>
      <c r="AC111" s="8"/>
      <c r="AD111" s="8"/>
      <c r="AE111" s="9"/>
      <c r="AF111" s="492"/>
      <c r="AG111" s="491"/>
      <c r="AH111" s="8"/>
      <c r="AI111" s="8"/>
      <c r="AJ111" s="9"/>
      <c r="AK111" s="492"/>
      <c r="AL111" s="491"/>
      <c r="AM111" s="8"/>
      <c r="AN111" s="8"/>
      <c r="AO111" s="9"/>
      <c r="AP111" s="492"/>
      <c r="AQ111" s="506"/>
      <c r="AR111" s="491"/>
      <c r="AS111" s="8"/>
      <c r="AT111" s="8"/>
      <c r="AU111" s="9"/>
      <c r="AV111" s="9"/>
      <c r="AW111" s="17"/>
      <c r="AX111" s="492"/>
      <c r="AY111" s="491"/>
      <c r="AZ111" s="7"/>
      <c r="BA111" s="9"/>
      <c r="BB111" s="9"/>
      <c r="BC111" s="492"/>
      <c r="BD111" s="491"/>
      <c r="BE111" s="7"/>
      <c r="BF111" s="7"/>
      <c r="BG111" s="7"/>
      <c r="BH111" s="9"/>
      <c r="BI111" s="9"/>
      <c r="BJ111" s="492"/>
      <c r="BK111" s="491"/>
      <c r="BL111" s="7"/>
      <c r="BM111" s="7"/>
      <c r="BN111" s="7"/>
      <c r="BO111" s="7"/>
      <c r="BP111" s="7"/>
      <c r="BQ111" s="7"/>
      <c r="BR111" s="8"/>
      <c r="BS111" s="8"/>
      <c r="BT111" s="509"/>
      <c r="BU111" s="491"/>
      <c r="BV111" s="8"/>
      <c r="BW111" s="509"/>
      <c r="BX111" s="491"/>
      <c r="BY111" s="8"/>
      <c r="BZ111" s="509"/>
      <c r="CA111" s="751"/>
    </row>
    <row r="112" spans="1:79" ht="24.95" customHeight="1">
      <c r="A112" s="468">
        <f>IF('Student DATA Entry'!A109="","",'Student DATA Entry'!A109)</f>
        <v>106</v>
      </c>
      <c r="B112" s="459" t="str">
        <f>IF('Student DATA Entry'!B109="","",'Student DATA Entry'!B109)</f>
        <v/>
      </c>
      <c r="C112" s="459" t="str">
        <f>IF('Student DATA Entry'!C109="","",'Student DATA Entry'!C109)</f>
        <v/>
      </c>
      <c r="D112" s="459" t="str">
        <f>IF('Student DATA Entry'!D109="","",'Student DATA Entry'!D109)</f>
        <v/>
      </c>
      <c r="E112" s="459" t="str">
        <f>IF('Student DATA Entry'!E109="","",'Student DATA Entry'!E109)</f>
        <v/>
      </c>
      <c r="F112" s="460" t="str">
        <f>IF('Student DATA Entry'!K109="","",'Student DATA Entry'!K109)</f>
        <v/>
      </c>
      <c r="G112" s="461" t="str">
        <f>IF('Student DATA Entry'!G109="","",UPPER('Student DATA Entry'!G109))</f>
        <v/>
      </c>
      <c r="H112" s="461" t="str">
        <f>IF('Student DATA Entry'!H109="","",UPPER('Student DATA Entry'!H109))</f>
        <v/>
      </c>
      <c r="I112" s="462" t="str">
        <f>IF('Student DATA Entry'!I109="","",UPPER('Student DATA Entry'!I109))</f>
        <v/>
      </c>
      <c r="J112" s="463" t="str">
        <f>IF('Student DATA Entry'!L109="","",UPPER('Student DATA Entry'!L109))</f>
        <v/>
      </c>
      <c r="K112" s="469" t="str">
        <f>IF('Student DATA Entry'!J109="","",UPPER('Student DATA Entry'!J109))</f>
        <v/>
      </c>
      <c r="L112" s="491"/>
      <c r="M112" s="8"/>
      <c r="N112" s="8"/>
      <c r="O112" s="9"/>
      <c r="P112" s="492"/>
      <c r="Q112" s="491"/>
      <c r="R112" s="8"/>
      <c r="S112" s="8"/>
      <c r="T112" s="9"/>
      <c r="U112" s="492"/>
      <c r="V112" s="502"/>
      <c r="W112" s="7"/>
      <c r="X112" s="8"/>
      <c r="Y112" s="8"/>
      <c r="Z112" s="9"/>
      <c r="AA112" s="492"/>
      <c r="AB112" s="491"/>
      <c r="AC112" s="8"/>
      <c r="AD112" s="8"/>
      <c r="AE112" s="9"/>
      <c r="AF112" s="492"/>
      <c r="AG112" s="491"/>
      <c r="AH112" s="8"/>
      <c r="AI112" s="8"/>
      <c r="AJ112" s="9"/>
      <c r="AK112" s="492"/>
      <c r="AL112" s="491"/>
      <c r="AM112" s="8"/>
      <c r="AN112" s="8"/>
      <c r="AO112" s="9"/>
      <c r="AP112" s="492"/>
      <c r="AQ112" s="506"/>
      <c r="AR112" s="491"/>
      <c r="AS112" s="8"/>
      <c r="AT112" s="8"/>
      <c r="AU112" s="9"/>
      <c r="AV112" s="9"/>
      <c r="AW112" s="17"/>
      <c r="AX112" s="492"/>
      <c r="AY112" s="491"/>
      <c r="AZ112" s="7"/>
      <c r="BA112" s="9"/>
      <c r="BB112" s="9"/>
      <c r="BC112" s="492"/>
      <c r="BD112" s="491"/>
      <c r="BE112" s="7"/>
      <c r="BF112" s="7"/>
      <c r="BG112" s="7"/>
      <c r="BH112" s="9"/>
      <c r="BI112" s="9"/>
      <c r="BJ112" s="492"/>
      <c r="BK112" s="491"/>
      <c r="BL112" s="7"/>
      <c r="BM112" s="7"/>
      <c r="BN112" s="7"/>
      <c r="BO112" s="7"/>
      <c r="BP112" s="7"/>
      <c r="BQ112" s="7"/>
      <c r="BR112" s="8"/>
      <c r="BS112" s="8"/>
      <c r="BT112" s="509"/>
      <c r="BU112" s="491"/>
      <c r="BV112" s="8"/>
      <c r="BW112" s="509"/>
      <c r="BX112" s="491"/>
      <c r="BY112" s="8"/>
      <c r="BZ112" s="509"/>
      <c r="CA112" s="751"/>
    </row>
    <row r="113" spans="1:79" ht="24.95" customHeight="1">
      <c r="A113" s="468">
        <f>IF('Student DATA Entry'!A110="","",'Student DATA Entry'!A110)</f>
        <v>107</v>
      </c>
      <c r="B113" s="459" t="str">
        <f>IF('Student DATA Entry'!B110="","",'Student DATA Entry'!B110)</f>
        <v/>
      </c>
      <c r="C113" s="459" t="str">
        <f>IF('Student DATA Entry'!C110="","",'Student DATA Entry'!C110)</f>
        <v/>
      </c>
      <c r="D113" s="459" t="str">
        <f>IF('Student DATA Entry'!D110="","",'Student DATA Entry'!D110)</f>
        <v/>
      </c>
      <c r="E113" s="459" t="str">
        <f>IF('Student DATA Entry'!E110="","",'Student DATA Entry'!E110)</f>
        <v/>
      </c>
      <c r="F113" s="460" t="str">
        <f>IF('Student DATA Entry'!K110="","",'Student DATA Entry'!K110)</f>
        <v/>
      </c>
      <c r="G113" s="461" t="str">
        <f>IF('Student DATA Entry'!G110="","",UPPER('Student DATA Entry'!G110))</f>
        <v/>
      </c>
      <c r="H113" s="461" t="str">
        <f>IF('Student DATA Entry'!H110="","",UPPER('Student DATA Entry'!H110))</f>
        <v/>
      </c>
      <c r="I113" s="462" t="str">
        <f>IF('Student DATA Entry'!I110="","",UPPER('Student DATA Entry'!I110))</f>
        <v/>
      </c>
      <c r="J113" s="463" t="str">
        <f>IF('Student DATA Entry'!L110="","",UPPER('Student DATA Entry'!L110))</f>
        <v/>
      </c>
      <c r="K113" s="469" t="str">
        <f>IF('Student DATA Entry'!J110="","",UPPER('Student DATA Entry'!J110))</f>
        <v/>
      </c>
      <c r="L113" s="491"/>
      <c r="M113" s="8"/>
      <c r="N113" s="8"/>
      <c r="O113" s="9"/>
      <c r="P113" s="492"/>
      <c r="Q113" s="491"/>
      <c r="R113" s="8"/>
      <c r="S113" s="8"/>
      <c r="T113" s="9"/>
      <c r="U113" s="492"/>
      <c r="V113" s="502"/>
      <c r="W113" s="7"/>
      <c r="X113" s="8"/>
      <c r="Y113" s="8"/>
      <c r="Z113" s="9"/>
      <c r="AA113" s="492"/>
      <c r="AB113" s="491"/>
      <c r="AC113" s="8"/>
      <c r="AD113" s="8"/>
      <c r="AE113" s="9"/>
      <c r="AF113" s="492"/>
      <c r="AG113" s="491"/>
      <c r="AH113" s="8"/>
      <c r="AI113" s="8"/>
      <c r="AJ113" s="9"/>
      <c r="AK113" s="492"/>
      <c r="AL113" s="491"/>
      <c r="AM113" s="8"/>
      <c r="AN113" s="8"/>
      <c r="AO113" s="9"/>
      <c r="AP113" s="492"/>
      <c r="AQ113" s="506"/>
      <c r="AR113" s="491"/>
      <c r="AS113" s="8"/>
      <c r="AT113" s="8"/>
      <c r="AU113" s="9"/>
      <c r="AV113" s="9"/>
      <c r="AW113" s="17"/>
      <c r="AX113" s="492"/>
      <c r="AY113" s="491"/>
      <c r="AZ113" s="7"/>
      <c r="BA113" s="9"/>
      <c r="BB113" s="9"/>
      <c r="BC113" s="492"/>
      <c r="BD113" s="491"/>
      <c r="BE113" s="7"/>
      <c r="BF113" s="7"/>
      <c r="BG113" s="7"/>
      <c r="BH113" s="9"/>
      <c r="BI113" s="9"/>
      <c r="BJ113" s="492"/>
      <c r="BK113" s="491"/>
      <c r="BL113" s="7"/>
      <c r="BM113" s="7"/>
      <c r="BN113" s="7"/>
      <c r="BO113" s="7"/>
      <c r="BP113" s="7"/>
      <c r="BQ113" s="7"/>
      <c r="BR113" s="8"/>
      <c r="BS113" s="8"/>
      <c r="BT113" s="509"/>
      <c r="BU113" s="491"/>
      <c r="BV113" s="8"/>
      <c r="BW113" s="509"/>
      <c r="BX113" s="491"/>
      <c r="BY113" s="8"/>
      <c r="BZ113" s="509"/>
      <c r="CA113" s="751"/>
    </row>
    <row r="114" spans="1:79" ht="24.95" customHeight="1">
      <c r="A114" s="468">
        <f>IF('Student DATA Entry'!A111="","",'Student DATA Entry'!A111)</f>
        <v>108</v>
      </c>
      <c r="B114" s="459" t="str">
        <f>IF('Student DATA Entry'!B111="","",'Student DATA Entry'!B111)</f>
        <v/>
      </c>
      <c r="C114" s="459" t="str">
        <f>IF('Student DATA Entry'!C111="","",'Student DATA Entry'!C111)</f>
        <v/>
      </c>
      <c r="D114" s="459" t="str">
        <f>IF('Student DATA Entry'!D111="","",'Student DATA Entry'!D111)</f>
        <v/>
      </c>
      <c r="E114" s="459" t="str">
        <f>IF('Student DATA Entry'!E111="","",'Student DATA Entry'!E111)</f>
        <v/>
      </c>
      <c r="F114" s="460" t="str">
        <f>IF('Student DATA Entry'!K111="","",'Student DATA Entry'!K111)</f>
        <v/>
      </c>
      <c r="G114" s="461" t="str">
        <f>IF('Student DATA Entry'!G111="","",UPPER('Student DATA Entry'!G111))</f>
        <v/>
      </c>
      <c r="H114" s="461" t="str">
        <f>IF('Student DATA Entry'!H111="","",UPPER('Student DATA Entry'!H111))</f>
        <v/>
      </c>
      <c r="I114" s="462" t="str">
        <f>IF('Student DATA Entry'!I111="","",UPPER('Student DATA Entry'!I111))</f>
        <v/>
      </c>
      <c r="J114" s="463" t="str">
        <f>IF('Student DATA Entry'!L111="","",UPPER('Student DATA Entry'!L111))</f>
        <v/>
      </c>
      <c r="K114" s="469" t="str">
        <f>IF('Student DATA Entry'!J111="","",UPPER('Student DATA Entry'!J111))</f>
        <v/>
      </c>
      <c r="L114" s="491"/>
      <c r="M114" s="8"/>
      <c r="N114" s="8"/>
      <c r="O114" s="9"/>
      <c r="P114" s="492"/>
      <c r="Q114" s="491"/>
      <c r="R114" s="8"/>
      <c r="S114" s="8"/>
      <c r="T114" s="9"/>
      <c r="U114" s="492"/>
      <c r="V114" s="502"/>
      <c r="W114" s="7"/>
      <c r="X114" s="8"/>
      <c r="Y114" s="8"/>
      <c r="Z114" s="9"/>
      <c r="AA114" s="492"/>
      <c r="AB114" s="491"/>
      <c r="AC114" s="8"/>
      <c r="AD114" s="8"/>
      <c r="AE114" s="9"/>
      <c r="AF114" s="492"/>
      <c r="AG114" s="491"/>
      <c r="AH114" s="8"/>
      <c r="AI114" s="8"/>
      <c r="AJ114" s="9"/>
      <c r="AK114" s="492"/>
      <c r="AL114" s="491"/>
      <c r="AM114" s="8"/>
      <c r="AN114" s="8"/>
      <c r="AO114" s="9"/>
      <c r="AP114" s="492"/>
      <c r="AQ114" s="506"/>
      <c r="AR114" s="491"/>
      <c r="AS114" s="8"/>
      <c r="AT114" s="8"/>
      <c r="AU114" s="9"/>
      <c r="AV114" s="9"/>
      <c r="AW114" s="17"/>
      <c r="AX114" s="492"/>
      <c r="AY114" s="491"/>
      <c r="AZ114" s="7"/>
      <c r="BA114" s="9"/>
      <c r="BB114" s="9"/>
      <c r="BC114" s="492"/>
      <c r="BD114" s="491"/>
      <c r="BE114" s="7"/>
      <c r="BF114" s="7"/>
      <c r="BG114" s="7"/>
      <c r="BH114" s="9"/>
      <c r="BI114" s="9"/>
      <c r="BJ114" s="492"/>
      <c r="BK114" s="491"/>
      <c r="BL114" s="7"/>
      <c r="BM114" s="7"/>
      <c r="BN114" s="7"/>
      <c r="BO114" s="7"/>
      <c r="BP114" s="7"/>
      <c r="BQ114" s="7"/>
      <c r="BR114" s="8"/>
      <c r="BS114" s="8"/>
      <c r="BT114" s="509"/>
      <c r="BU114" s="491"/>
      <c r="BV114" s="8"/>
      <c r="BW114" s="509"/>
      <c r="BX114" s="491"/>
      <c r="BY114" s="8"/>
      <c r="BZ114" s="509"/>
      <c r="CA114" s="751"/>
    </row>
    <row r="115" spans="1:79" ht="24.95" customHeight="1">
      <c r="A115" s="468">
        <f>IF('Student DATA Entry'!A112="","",'Student DATA Entry'!A112)</f>
        <v>109</v>
      </c>
      <c r="B115" s="459" t="str">
        <f>IF('Student DATA Entry'!B112="","",'Student DATA Entry'!B112)</f>
        <v/>
      </c>
      <c r="C115" s="459" t="str">
        <f>IF('Student DATA Entry'!C112="","",'Student DATA Entry'!C112)</f>
        <v/>
      </c>
      <c r="D115" s="459" t="str">
        <f>IF('Student DATA Entry'!D112="","",'Student DATA Entry'!D112)</f>
        <v/>
      </c>
      <c r="E115" s="459" t="str">
        <f>IF('Student DATA Entry'!E112="","",'Student DATA Entry'!E112)</f>
        <v/>
      </c>
      <c r="F115" s="460" t="str">
        <f>IF('Student DATA Entry'!K112="","",'Student DATA Entry'!K112)</f>
        <v/>
      </c>
      <c r="G115" s="461" t="str">
        <f>IF('Student DATA Entry'!G112="","",UPPER('Student DATA Entry'!G112))</f>
        <v/>
      </c>
      <c r="H115" s="461" t="str">
        <f>IF('Student DATA Entry'!H112="","",UPPER('Student DATA Entry'!H112))</f>
        <v/>
      </c>
      <c r="I115" s="462" t="str">
        <f>IF('Student DATA Entry'!I112="","",UPPER('Student DATA Entry'!I112))</f>
        <v/>
      </c>
      <c r="J115" s="463" t="str">
        <f>IF('Student DATA Entry'!L112="","",UPPER('Student DATA Entry'!L112))</f>
        <v/>
      </c>
      <c r="K115" s="469" t="str">
        <f>IF('Student DATA Entry'!J112="","",UPPER('Student DATA Entry'!J112))</f>
        <v/>
      </c>
      <c r="L115" s="491"/>
      <c r="M115" s="8"/>
      <c r="N115" s="8"/>
      <c r="O115" s="9"/>
      <c r="P115" s="492"/>
      <c r="Q115" s="491"/>
      <c r="R115" s="8"/>
      <c r="S115" s="8"/>
      <c r="T115" s="9"/>
      <c r="U115" s="492"/>
      <c r="V115" s="502"/>
      <c r="W115" s="7"/>
      <c r="X115" s="8"/>
      <c r="Y115" s="8"/>
      <c r="Z115" s="9"/>
      <c r="AA115" s="492"/>
      <c r="AB115" s="491"/>
      <c r="AC115" s="8"/>
      <c r="AD115" s="8"/>
      <c r="AE115" s="9"/>
      <c r="AF115" s="492"/>
      <c r="AG115" s="491"/>
      <c r="AH115" s="8"/>
      <c r="AI115" s="8"/>
      <c r="AJ115" s="9"/>
      <c r="AK115" s="492"/>
      <c r="AL115" s="491"/>
      <c r="AM115" s="8"/>
      <c r="AN115" s="8"/>
      <c r="AO115" s="9"/>
      <c r="AP115" s="492"/>
      <c r="AQ115" s="506"/>
      <c r="AR115" s="491"/>
      <c r="AS115" s="8"/>
      <c r="AT115" s="8"/>
      <c r="AU115" s="9"/>
      <c r="AV115" s="9"/>
      <c r="AW115" s="17"/>
      <c r="AX115" s="492"/>
      <c r="AY115" s="491"/>
      <c r="AZ115" s="7"/>
      <c r="BA115" s="9"/>
      <c r="BB115" s="9"/>
      <c r="BC115" s="492"/>
      <c r="BD115" s="491"/>
      <c r="BE115" s="7"/>
      <c r="BF115" s="7"/>
      <c r="BG115" s="7"/>
      <c r="BH115" s="9"/>
      <c r="BI115" s="9"/>
      <c r="BJ115" s="492"/>
      <c r="BK115" s="491"/>
      <c r="BL115" s="7"/>
      <c r="BM115" s="7"/>
      <c r="BN115" s="7"/>
      <c r="BO115" s="7"/>
      <c r="BP115" s="7"/>
      <c r="BQ115" s="7"/>
      <c r="BR115" s="8"/>
      <c r="BS115" s="8"/>
      <c r="BT115" s="509"/>
      <c r="BU115" s="491"/>
      <c r="BV115" s="8"/>
      <c r="BW115" s="509"/>
      <c r="BX115" s="491"/>
      <c r="BY115" s="8"/>
      <c r="BZ115" s="509"/>
      <c r="CA115" s="751"/>
    </row>
    <row r="116" spans="1:79" ht="24.95" customHeight="1">
      <c r="A116" s="468">
        <f>IF('Student DATA Entry'!A113="","",'Student DATA Entry'!A113)</f>
        <v>110</v>
      </c>
      <c r="B116" s="459" t="str">
        <f>IF('Student DATA Entry'!B113="","",'Student DATA Entry'!B113)</f>
        <v/>
      </c>
      <c r="C116" s="459" t="str">
        <f>IF('Student DATA Entry'!C113="","",'Student DATA Entry'!C113)</f>
        <v/>
      </c>
      <c r="D116" s="459" t="str">
        <f>IF('Student DATA Entry'!D113="","",'Student DATA Entry'!D113)</f>
        <v/>
      </c>
      <c r="E116" s="459" t="str">
        <f>IF('Student DATA Entry'!E113="","",'Student DATA Entry'!E113)</f>
        <v/>
      </c>
      <c r="F116" s="460" t="str">
        <f>IF('Student DATA Entry'!K113="","",'Student DATA Entry'!K113)</f>
        <v/>
      </c>
      <c r="G116" s="461" t="str">
        <f>IF('Student DATA Entry'!G113="","",UPPER('Student DATA Entry'!G113))</f>
        <v/>
      </c>
      <c r="H116" s="461" t="str">
        <f>IF('Student DATA Entry'!H113="","",UPPER('Student DATA Entry'!H113))</f>
        <v/>
      </c>
      <c r="I116" s="462" t="str">
        <f>IF('Student DATA Entry'!I113="","",UPPER('Student DATA Entry'!I113))</f>
        <v/>
      </c>
      <c r="J116" s="463" t="str">
        <f>IF('Student DATA Entry'!L113="","",UPPER('Student DATA Entry'!L113))</f>
        <v/>
      </c>
      <c r="K116" s="469" t="str">
        <f>IF('Student DATA Entry'!J113="","",UPPER('Student DATA Entry'!J113))</f>
        <v/>
      </c>
      <c r="L116" s="491"/>
      <c r="M116" s="8"/>
      <c r="N116" s="8"/>
      <c r="O116" s="9"/>
      <c r="P116" s="492"/>
      <c r="Q116" s="491"/>
      <c r="R116" s="8"/>
      <c r="S116" s="8"/>
      <c r="T116" s="9"/>
      <c r="U116" s="492"/>
      <c r="V116" s="502"/>
      <c r="W116" s="7"/>
      <c r="X116" s="8"/>
      <c r="Y116" s="8"/>
      <c r="Z116" s="9"/>
      <c r="AA116" s="492"/>
      <c r="AB116" s="491"/>
      <c r="AC116" s="8"/>
      <c r="AD116" s="8"/>
      <c r="AE116" s="9"/>
      <c r="AF116" s="492"/>
      <c r="AG116" s="491"/>
      <c r="AH116" s="8"/>
      <c r="AI116" s="8"/>
      <c r="AJ116" s="9"/>
      <c r="AK116" s="492"/>
      <c r="AL116" s="491"/>
      <c r="AM116" s="8"/>
      <c r="AN116" s="8"/>
      <c r="AO116" s="9"/>
      <c r="AP116" s="492"/>
      <c r="AQ116" s="506"/>
      <c r="AR116" s="491"/>
      <c r="AS116" s="8"/>
      <c r="AT116" s="8"/>
      <c r="AU116" s="9"/>
      <c r="AV116" s="9"/>
      <c r="AW116" s="17"/>
      <c r="AX116" s="492"/>
      <c r="AY116" s="491"/>
      <c r="AZ116" s="7"/>
      <c r="BA116" s="9"/>
      <c r="BB116" s="9"/>
      <c r="BC116" s="492"/>
      <c r="BD116" s="491"/>
      <c r="BE116" s="7"/>
      <c r="BF116" s="7"/>
      <c r="BG116" s="7"/>
      <c r="BH116" s="9"/>
      <c r="BI116" s="9"/>
      <c r="BJ116" s="492"/>
      <c r="BK116" s="491"/>
      <c r="BL116" s="7"/>
      <c r="BM116" s="7"/>
      <c r="BN116" s="7"/>
      <c r="BO116" s="7"/>
      <c r="BP116" s="7"/>
      <c r="BQ116" s="7"/>
      <c r="BR116" s="8"/>
      <c r="BS116" s="8"/>
      <c r="BT116" s="509"/>
      <c r="BU116" s="491"/>
      <c r="BV116" s="8"/>
      <c r="BW116" s="509"/>
      <c r="BX116" s="491"/>
      <c r="BY116" s="8"/>
      <c r="BZ116" s="509"/>
      <c r="CA116" s="751"/>
    </row>
    <row r="117" spans="1:79" ht="24.95" customHeight="1">
      <c r="A117" s="468">
        <f>IF('Student DATA Entry'!A114="","",'Student DATA Entry'!A114)</f>
        <v>111</v>
      </c>
      <c r="B117" s="459" t="str">
        <f>IF('Student DATA Entry'!B114="","",'Student DATA Entry'!B114)</f>
        <v/>
      </c>
      <c r="C117" s="459" t="str">
        <f>IF('Student DATA Entry'!C114="","",'Student DATA Entry'!C114)</f>
        <v/>
      </c>
      <c r="D117" s="459" t="str">
        <f>IF('Student DATA Entry'!D114="","",'Student DATA Entry'!D114)</f>
        <v/>
      </c>
      <c r="E117" s="459" t="str">
        <f>IF('Student DATA Entry'!E114="","",'Student DATA Entry'!E114)</f>
        <v/>
      </c>
      <c r="F117" s="460" t="str">
        <f>IF('Student DATA Entry'!K114="","",'Student DATA Entry'!K114)</f>
        <v/>
      </c>
      <c r="G117" s="461" t="str">
        <f>IF('Student DATA Entry'!G114="","",UPPER('Student DATA Entry'!G114))</f>
        <v/>
      </c>
      <c r="H117" s="461" t="str">
        <f>IF('Student DATA Entry'!H114="","",UPPER('Student DATA Entry'!H114))</f>
        <v/>
      </c>
      <c r="I117" s="462" t="str">
        <f>IF('Student DATA Entry'!I114="","",UPPER('Student DATA Entry'!I114))</f>
        <v/>
      </c>
      <c r="J117" s="463" t="str">
        <f>IF('Student DATA Entry'!L114="","",UPPER('Student DATA Entry'!L114))</f>
        <v/>
      </c>
      <c r="K117" s="469" t="str">
        <f>IF('Student DATA Entry'!J114="","",UPPER('Student DATA Entry'!J114))</f>
        <v/>
      </c>
      <c r="L117" s="491"/>
      <c r="M117" s="8"/>
      <c r="N117" s="8"/>
      <c r="O117" s="9"/>
      <c r="P117" s="492"/>
      <c r="Q117" s="491"/>
      <c r="R117" s="8"/>
      <c r="S117" s="8"/>
      <c r="T117" s="9"/>
      <c r="U117" s="492"/>
      <c r="V117" s="502"/>
      <c r="W117" s="7"/>
      <c r="X117" s="8"/>
      <c r="Y117" s="8"/>
      <c r="Z117" s="9"/>
      <c r="AA117" s="492"/>
      <c r="AB117" s="491"/>
      <c r="AC117" s="8"/>
      <c r="AD117" s="8"/>
      <c r="AE117" s="9"/>
      <c r="AF117" s="492"/>
      <c r="AG117" s="491"/>
      <c r="AH117" s="8"/>
      <c r="AI117" s="8"/>
      <c r="AJ117" s="9"/>
      <c r="AK117" s="492"/>
      <c r="AL117" s="491"/>
      <c r="AM117" s="8"/>
      <c r="AN117" s="8"/>
      <c r="AO117" s="9"/>
      <c r="AP117" s="492"/>
      <c r="AQ117" s="506"/>
      <c r="AR117" s="491"/>
      <c r="AS117" s="8"/>
      <c r="AT117" s="8"/>
      <c r="AU117" s="9"/>
      <c r="AV117" s="9"/>
      <c r="AW117" s="17"/>
      <c r="AX117" s="492"/>
      <c r="AY117" s="491"/>
      <c r="AZ117" s="7"/>
      <c r="BA117" s="9"/>
      <c r="BB117" s="9"/>
      <c r="BC117" s="492"/>
      <c r="BD117" s="491"/>
      <c r="BE117" s="7"/>
      <c r="BF117" s="7"/>
      <c r="BG117" s="7"/>
      <c r="BH117" s="9"/>
      <c r="BI117" s="9"/>
      <c r="BJ117" s="492"/>
      <c r="BK117" s="491"/>
      <c r="BL117" s="7"/>
      <c r="BM117" s="7"/>
      <c r="BN117" s="7"/>
      <c r="BO117" s="7"/>
      <c r="BP117" s="7"/>
      <c r="BQ117" s="7"/>
      <c r="BR117" s="8"/>
      <c r="BS117" s="8"/>
      <c r="BT117" s="509"/>
      <c r="BU117" s="491"/>
      <c r="BV117" s="8"/>
      <c r="BW117" s="509"/>
      <c r="BX117" s="491"/>
      <c r="BY117" s="8"/>
      <c r="BZ117" s="509"/>
      <c r="CA117" s="751"/>
    </row>
    <row r="118" spans="1:79" ht="24.95" customHeight="1">
      <c r="A118" s="468">
        <f>IF('Student DATA Entry'!A115="","",'Student DATA Entry'!A115)</f>
        <v>112</v>
      </c>
      <c r="B118" s="459" t="str">
        <f>IF('Student DATA Entry'!B115="","",'Student DATA Entry'!B115)</f>
        <v/>
      </c>
      <c r="C118" s="459" t="str">
        <f>IF('Student DATA Entry'!C115="","",'Student DATA Entry'!C115)</f>
        <v/>
      </c>
      <c r="D118" s="459" t="str">
        <f>IF('Student DATA Entry'!D115="","",'Student DATA Entry'!D115)</f>
        <v/>
      </c>
      <c r="E118" s="459" t="str">
        <f>IF('Student DATA Entry'!E115="","",'Student DATA Entry'!E115)</f>
        <v/>
      </c>
      <c r="F118" s="460" t="str">
        <f>IF('Student DATA Entry'!K115="","",'Student DATA Entry'!K115)</f>
        <v/>
      </c>
      <c r="G118" s="461" t="str">
        <f>IF('Student DATA Entry'!G115="","",UPPER('Student DATA Entry'!G115))</f>
        <v/>
      </c>
      <c r="H118" s="461" t="str">
        <f>IF('Student DATA Entry'!H115="","",UPPER('Student DATA Entry'!H115))</f>
        <v/>
      </c>
      <c r="I118" s="462" t="str">
        <f>IF('Student DATA Entry'!I115="","",UPPER('Student DATA Entry'!I115))</f>
        <v/>
      </c>
      <c r="J118" s="463" t="str">
        <f>IF('Student DATA Entry'!L115="","",UPPER('Student DATA Entry'!L115))</f>
        <v/>
      </c>
      <c r="K118" s="469" t="str">
        <f>IF('Student DATA Entry'!J115="","",UPPER('Student DATA Entry'!J115))</f>
        <v/>
      </c>
      <c r="L118" s="491"/>
      <c r="M118" s="8"/>
      <c r="N118" s="8"/>
      <c r="O118" s="9"/>
      <c r="P118" s="492"/>
      <c r="Q118" s="491"/>
      <c r="R118" s="8"/>
      <c r="S118" s="8"/>
      <c r="T118" s="9"/>
      <c r="U118" s="492"/>
      <c r="V118" s="502"/>
      <c r="W118" s="7"/>
      <c r="X118" s="8"/>
      <c r="Y118" s="8"/>
      <c r="Z118" s="9"/>
      <c r="AA118" s="492"/>
      <c r="AB118" s="491"/>
      <c r="AC118" s="8"/>
      <c r="AD118" s="8"/>
      <c r="AE118" s="9"/>
      <c r="AF118" s="492"/>
      <c r="AG118" s="491"/>
      <c r="AH118" s="8"/>
      <c r="AI118" s="8"/>
      <c r="AJ118" s="9"/>
      <c r="AK118" s="492"/>
      <c r="AL118" s="491"/>
      <c r="AM118" s="8"/>
      <c r="AN118" s="8"/>
      <c r="AO118" s="9"/>
      <c r="AP118" s="492"/>
      <c r="AQ118" s="506"/>
      <c r="AR118" s="491"/>
      <c r="AS118" s="8"/>
      <c r="AT118" s="8"/>
      <c r="AU118" s="9"/>
      <c r="AV118" s="9"/>
      <c r="AW118" s="17"/>
      <c r="AX118" s="492"/>
      <c r="AY118" s="491"/>
      <c r="AZ118" s="7"/>
      <c r="BA118" s="9"/>
      <c r="BB118" s="9"/>
      <c r="BC118" s="492"/>
      <c r="BD118" s="491"/>
      <c r="BE118" s="7"/>
      <c r="BF118" s="7"/>
      <c r="BG118" s="7"/>
      <c r="BH118" s="9"/>
      <c r="BI118" s="9"/>
      <c r="BJ118" s="492"/>
      <c r="BK118" s="491"/>
      <c r="BL118" s="7"/>
      <c r="BM118" s="7"/>
      <c r="BN118" s="7"/>
      <c r="BO118" s="7"/>
      <c r="BP118" s="7"/>
      <c r="BQ118" s="7"/>
      <c r="BR118" s="8"/>
      <c r="BS118" s="8"/>
      <c r="BT118" s="509"/>
      <c r="BU118" s="491"/>
      <c r="BV118" s="8"/>
      <c r="BW118" s="509"/>
      <c r="BX118" s="491"/>
      <c r="BY118" s="8"/>
      <c r="BZ118" s="509"/>
      <c r="CA118" s="751"/>
    </row>
    <row r="119" spans="1:79" ht="24.95" customHeight="1">
      <c r="A119" s="468">
        <f>IF('Student DATA Entry'!A116="","",'Student DATA Entry'!A116)</f>
        <v>113</v>
      </c>
      <c r="B119" s="459" t="str">
        <f>IF('Student DATA Entry'!B116="","",'Student DATA Entry'!B116)</f>
        <v/>
      </c>
      <c r="C119" s="459" t="str">
        <f>IF('Student DATA Entry'!C116="","",'Student DATA Entry'!C116)</f>
        <v/>
      </c>
      <c r="D119" s="459" t="str">
        <f>IF('Student DATA Entry'!D116="","",'Student DATA Entry'!D116)</f>
        <v/>
      </c>
      <c r="E119" s="459" t="str">
        <f>IF('Student DATA Entry'!E116="","",'Student DATA Entry'!E116)</f>
        <v/>
      </c>
      <c r="F119" s="460" t="str">
        <f>IF('Student DATA Entry'!K116="","",'Student DATA Entry'!K116)</f>
        <v/>
      </c>
      <c r="G119" s="461" t="str">
        <f>IF('Student DATA Entry'!G116="","",UPPER('Student DATA Entry'!G116))</f>
        <v/>
      </c>
      <c r="H119" s="461" t="str">
        <f>IF('Student DATA Entry'!H116="","",UPPER('Student DATA Entry'!H116))</f>
        <v/>
      </c>
      <c r="I119" s="462" t="str">
        <f>IF('Student DATA Entry'!I116="","",UPPER('Student DATA Entry'!I116))</f>
        <v/>
      </c>
      <c r="J119" s="463" t="str">
        <f>IF('Student DATA Entry'!L116="","",UPPER('Student DATA Entry'!L116))</f>
        <v/>
      </c>
      <c r="K119" s="469" t="str">
        <f>IF('Student DATA Entry'!J116="","",UPPER('Student DATA Entry'!J116))</f>
        <v/>
      </c>
      <c r="L119" s="491"/>
      <c r="M119" s="8"/>
      <c r="N119" s="8"/>
      <c r="O119" s="9"/>
      <c r="P119" s="492"/>
      <c r="Q119" s="491"/>
      <c r="R119" s="8"/>
      <c r="S119" s="8"/>
      <c r="T119" s="9"/>
      <c r="U119" s="492"/>
      <c r="V119" s="502"/>
      <c r="W119" s="7"/>
      <c r="X119" s="8"/>
      <c r="Y119" s="8"/>
      <c r="Z119" s="9"/>
      <c r="AA119" s="492"/>
      <c r="AB119" s="491"/>
      <c r="AC119" s="8"/>
      <c r="AD119" s="8"/>
      <c r="AE119" s="9"/>
      <c r="AF119" s="492"/>
      <c r="AG119" s="491"/>
      <c r="AH119" s="8"/>
      <c r="AI119" s="8"/>
      <c r="AJ119" s="9"/>
      <c r="AK119" s="492"/>
      <c r="AL119" s="491"/>
      <c r="AM119" s="8"/>
      <c r="AN119" s="8"/>
      <c r="AO119" s="9"/>
      <c r="AP119" s="492"/>
      <c r="AQ119" s="506"/>
      <c r="AR119" s="491"/>
      <c r="AS119" s="8"/>
      <c r="AT119" s="8"/>
      <c r="AU119" s="9"/>
      <c r="AV119" s="9"/>
      <c r="AW119" s="17"/>
      <c r="AX119" s="492"/>
      <c r="AY119" s="491"/>
      <c r="AZ119" s="7"/>
      <c r="BA119" s="9"/>
      <c r="BB119" s="9"/>
      <c r="BC119" s="492"/>
      <c r="BD119" s="491"/>
      <c r="BE119" s="7"/>
      <c r="BF119" s="7"/>
      <c r="BG119" s="7"/>
      <c r="BH119" s="9"/>
      <c r="BI119" s="9"/>
      <c r="BJ119" s="492"/>
      <c r="BK119" s="491"/>
      <c r="BL119" s="7"/>
      <c r="BM119" s="7"/>
      <c r="BN119" s="7"/>
      <c r="BO119" s="7"/>
      <c r="BP119" s="7"/>
      <c r="BQ119" s="7"/>
      <c r="BR119" s="8"/>
      <c r="BS119" s="8"/>
      <c r="BT119" s="509"/>
      <c r="BU119" s="491"/>
      <c r="BV119" s="8"/>
      <c r="BW119" s="509"/>
      <c r="BX119" s="491"/>
      <c r="BY119" s="8"/>
      <c r="BZ119" s="509"/>
      <c r="CA119" s="751"/>
    </row>
    <row r="120" spans="1:79" ht="24.95" customHeight="1">
      <c r="A120" s="468">
        <f>IF('Student DATA Entry'!A117="","",'Student DATA Entry'!A117)</f>
        <v>114</v>
      </c>
      <c r="B120" s="459" t="str">
        <f>IF('Student DATA Entry'!B117="","",'Student DATA Entry'!B117)</f>
        <v/>
      </c>
      <c r="C120" s="459" t="str">
        <f>IF('Student DATA Entry'!C117="","",'Student DATA Entry'!C117)</f>
        <v/>
      </c>
      <c r="D120" s="459" t="str">
        <f>IF('Student DATA Entry'!D117="","",'Student DATA Entry'!D117)</f>
        <v/>
      </c>
      <c r="E120" s="459" t="str">
        <f>IF('Student DATA Entry'!E117="","",'Student DATA Entry'!E117)</f>
        <v/>
      </c>
      <c r="F120" s="460" t="str">
        <f>IF('Student DATA Entry'!K117="","",'Student DATA Entry'!K117)</f>
        <v/>
      </c>
      <c r="G120" s="461" t="str">
        <f>IF('Student DATA Entry'!G117="","",UPPER('Student DATA Entry'!G117))</f>
        <v/>
      </c>
      <c r="H120" s="461" t="str">
        <f>IF('Student DATA Entry'!H117="","",UPPER('Student DATA Entry'!H117))</f>
        <v/>
      </c>
      <c r="I120" s="462" t="str">
        <f>IF('Student DATA Entry'!I117="","",UPPER('Student DATA Entry'!I117))</f>
        <v/>
      </c>
      <c r="J120" s="463" t="str">
        <f>IF('Student DATA Entry'!L117="","",UPPER('Student DATA Entry'!L117))</f>
        <v/>
      </c>
      <c r="K120" s="469" t="str">
        <f>IF('Student DATA Entry'!J117="","",UPPER('Student DATA Entry'!J117))</f>
        <v/>
      </c>
      <c r="L120" s="491"/>
      <c r="M120" s="8"/>
      <c r="N120" s="8"/>
      <c r="O120" s="9"/>
      <c r="P120" s="492"/>
      <c r="Q120" s="491"/>
      <c r="R120" s="8"/>
      <c r="S120" s="8"/>
      <c r="T120" s="9"/>
      <c r="U120" s="492"/>
      <c r="V120" s="502"/>
      <c r="W120" s="7"/>
      <c r="X120" s="8"/>
      <c r="Y120" s="8"/>
      <c r="Z120" s="9"/>
      <c r="AA120" s="492"/>
      <c r="AB120" s="491"/>
      <c r="AC120" s="8"/>
      <c r="AD120" s="8"/>
      <c r="AE120" s="9"/>
      <c r="AF120" s="492"/>
      <c r="AG120" s="491"/>
      <c r="AH120" s="8"/>
      <c r="AI120" s="8"/>
      <c r="AJ120" s="9"/>
      <c r="AK120" s="492"/>
      <c r="AL120" s="491"/>
      <c r="AM120" s="8"/>
      <c r="AN120" s="8"/>
      <c r="AO120" s="9"/>
      <c r="AP120" s="492"/>
      <c r="AQ120" s="506"/>
      <c r="AR120" s="491"/>
      <c r="AS120" s="8"/>
      <c r="AT120" s="8"/>
      <c r="AU120" s="9"/>
      <c r="AV120" s="9"/>
      <c r="AW120" s="17"/>
      <c r="AX120" s="492"/>
      <c r="AY120" s="491"/>
      <c r="AZ120" s="7"/>
      <c r="BA120" s="9"/>
      <c r="BB120" s="9"/>
      <c r="BC120" s="492"/>
      <c r="BD120" s="491"/>
      <c r="BE120" s="7"/>
      <c r="BF120" s="7"/>
      <c r="BG120" s="7"/>
      <c r="BH120" s="9"/>
      <c r="BI120" s="9"/>
      <c r="BJ120" s="492"/>
      <c r="BK120" s="491"/>
      <c r="BL120" s="7"/>
      <c r="BM120" s="7"/>
      <c r="BN120" s="7"/>
      <c r="BO120" s="7"/>
      <c r="BP120" s="7"/>
      <c r="BQ120" s="7"/>
      <c r="BR120" s="8"/>
      <c r="BS120" s="8"/>
      <c r="BT120" s="509"/>
      <c r="BU120" s="491"/>
      <c r="BV120" s="8"/>
      <c r="BW120" s="509"/>
      <c r="BX120" s="491"/>
      <c r="BY120" s="8"/>
      <c r="BZ120" s="509"/>
      <c r="CA120" s="751"/>
    </row>
    <row r="121" spans="1:79" ht="24.95" customHeight="1">
      <c r="A121" s="468">
        <f>IF('Student DATA Entry'!A118="","",'Student DATA Entry'!A118)</f>
        <v>115</v>
      </c>
      <c r="B121" s="459" t="str">
        <f>IF('Student DATA Entry'!B118="","",'Student DATA Entry'!B118)</f>
        <v/>
      </c>
      <c r="C121" s="459" t="str">
        <f>IF('Student DATA Entry'!C118="","",'Student DATA Entry'!C118)</f>
        <v/>
      </c>
      <c r="D121" s="459" t="str">
        <f>IF('Student DATA Entry'!D118="","",'Student DATA Entry'!D118)</f>
        <v/>
      </c>
      <c r="E121" s="459" t="str">
        <f>IF('Student DATA Entry'!E118="","",'Student DATA Entry'!E118)</f>
        <v/>
      </c>
      <c r="F121" s="460" t="str">
        <f>IF('Student DATA Entry'!K118="","",'Student DATA Entry'!K118)</f>
        <v/>
      </c>
      <c r="G121" s="461" t="str">
        <f>IF('Student DATA Entry'!G118="","",UPPER('Student DATA Entry'!G118))</f>
        <v/>
      </c>
      <c r="H121" s="461" t="str">
        <f>IF('Student DATA Entry'!H118="","",UPPER('Student DATA Entry'!H118))</f>
        <v/>
      </c>
      <c r="I121" s="462" t="str">
        <f>IF('Student DATA Entry'!I118="","",UPPER('Student DATA Entry'!I118))</f>
        <v/>
      </c>
      <c r="J121" s="463" t="str">
        <f>IF('Student DATA Entry'!L118="","",UPPER('Student DATA Entry'!L118))</f>
        <v/>
      </c>
      <c r="K121" s="469" t="str">
        <f>IF('Student DATA Entry'!J118="","",UPPER('Student DATA Entry'!J118))</f>
        <v/>
      </c>
      <c r="L121" s="491"/>
      <c r="M121" s="8"/>
      <c r="N121" s="8"/>
      <c r="O121" s="9"/>
      <c r="P121" s="492"/>
      <c r="Q121" s="491"/>
      <c r="R121" s="8"/>
      <c r="S121" s="8"/>
      <c r="T121" s="9"/>
      <c r="U121" s="492"/>
      <c r="V121" s="502"/>
      <c r="W121" s="7"/>
      <c r="X121" s="8"/>
      <c r="Y121" s="8"/>
      <c r="Z121" s="9"/>
      <c r="AA121" s="492"/>
      <c r="AB121" s="491"/>
      <c r="AC121" s="8"/>
      <c r="AD121" s="8"/>
      <c r="AE121" s="9"/>
      <c r="AF121" s="492"/>
      <c r="AG121" s="491"/>
      <c r="AH121" s="8"/>
      <c r="AI121" s="8"/>
      <c r="AJ121" s="9"/>
      <c r="AK121" s="492"/>
      <c r="AL121" s="491"/>
      <c r="AM121" s="8"/>
      <c r="AN121" s="8"/>
      <c r="AO121" s="9"/>
      <c r="AP121" s="492"/>
      <c r="AQ121" s="506"/>
      <c r="AR121" s="491"/>
      <c r="AS121" s="8"/>
      <c r="AT121" s="8"/>
      <c r="AU121" s="9"/>
      <c r="AV121" s="9"/>
      <c r="AW121" s="17"/>
      <c r="AX121" s="492"/>
      <c r="AY121" s="491"/>
      <c r="AZ121" s="7"/>
      <c r="BA121" s="9"/>
      <c r="BB121" s="9"/>
      <c r="BC121" s="492"/>
      <c r="BD121" s="491"/>
      <c r="BE121" s="7"/>
      <c r="BF121" s="7"/>
      <c r="BG121" s="7"/>
      <c r="BH121" s="9"/>
      <c r="BI121" s="9"/>
      <c r="BJ121" s="492"/>
      <c r="BK121" s="491"/>
      <c r="BL121" s="7"/>
      <c r="BM121" s="7"/>
      <c r="BN121" s="7"/>
      <c r="BO121" s="7"/>
      <c r="BP121" s="7"/>
      <c r="BQ121" s="7"/>
      <c r="BR121" s="8"/>
      <c r="BS121" s="8"/>
      <c r="BT121" s="509"/>
      <c r="BU121" s="491"/>
      <c r="BV121" s="8"/>
      <c r="BW121" s="509"/>
      <c r="BX121" s="491"/>
      <c r="BY121" s="8"/>
      <c r="BZ121" s="509"/>
      <c r="CA121" s="751"/>
    </row>
    <row r="122" spans="1:79" ht="24.95" customHeight="1">
      <c r="A122" s="468">
        <f>IF('Student DATA Entry'!A119="","",'Student DATA Entry'!A119)</f>
        <v>116</v>
      </c>
      <c r="B122" s="459" t="str">
        <f>IF('Student DATA Entry'!B119="","",'Student DATA Entry'!B119)</f>
        <v/>
      </c>
      <c r="C122" s="459" t="str">
        <f>IF('Student DATA Entry'!C119="","",'Student DATA Entry'!C119)</f>
        <v/>
      </c>
      <c r="D122" s="459" t="str">
        <f>IF('Student DATA Entry'!D119="","",'Student DATA Entry'!D119)</f>
        <v/>
      </c>
      <c r="E122" s="459" t="str">
        <f>IF('Student DATA Entry'!E119="","",'Student DATA Entry'!E119)</f>
        <v/>
      </c>
      <c r="F122" s="460" t="str">
        <f>IF('Student DATA Entry'!K119="","",'Student DATA Entry'!K119)</f>
        <v/>
      </c>
      <c r="G122" s="461" t="str">
        <f>IF('Student DATA Entry'!G119="","",UPPER('Student DATA Entry'!G119))</f>
        <v/>
      </c>
      <c r="H122" s="461" t="str">
        <f>IF('Student DATA Entry'!H119="","",UPPER('Student DATA Entry'!H119))</f>
        <v/>
      </c>
      <c r="I122" s="462" t="str">
        <f>IF('Student DATA Entry'!I119="","",UPPER('Student DATA Entry'!I119))</f>
        <v/>
      </c>
      <c r="J122" s="463" t="str">
        <f>IF('Student DATA Entry'!L119="","",UPPER('Student DATA Entry'!L119))</f>
        <v/>
      </c>
      <c r="K122" s="469" t="str">
        <f>IF('Student DATA Entry'!J119="","",UPPER('Student DATA Entry'!J119))</f>
        <v/>
      </c>
      <c r="L122" s="491"/>
      <c r="M122" s="8"/>
      <c r="N122" s="8"/>
      <c r="O122" s="9"/>
      <c r="P122" s="492"/>
      <c r="Q122" s="491"/>
      <c r="R122" s="8"/>
      <c r="S122" s="8"/>
      <c r="T122" s="9"/>
      <c r="U122" s="492"/>
      <c r="V122" s="502"/>
      <c r="W122" s="7"/>
      <c r="X122" s="8"/>
      <c r="Y122" s="8"/>
      <c r="Z122" s="9"/>
      <c r="AA122" s="492"/>
      <c r="AB122" s="491"/>
      <c r="AC122" s="8"/>
      <c r="AD122" s="8"/>
      <c r="AE122" s="9"/>
      <c r="AF122" s="492"/>
      <c r="AG122" s="491"/>
      <c r="AH122" s="8"/>
      <c r="AI122" s="8"/>
      <c r="AJ122" s="9"/>
      <c r="AK122" s="492"/>
      <c r="AL122" s="491"/>
      <c r="AM122" s="8"/>
      <c r="AN122" s="8"/>
      <c r="AO122" s="9"/>
      <c r="AP122" s="492"/>
      <c r="AQ122" s="506"/>
      <c r="AR122" s="491"/>
      <c r="AS122" s="8"/>
      <c r="AT122" s="8"/>
      <c r="AU122" s="9"/>
      <c r="AV122" s="9"/>
      <c r="AW122" s="17"/>
      <c r="AX122" s="492"/>
      <c r="AY122" s="491"/>
      <c r="AZ122" s="7"/>
      <c r="BA122" s="9"/>
      <c r="BB122" s="9"/>
      <c r="BC122" s="492"/>
      <c r="BD122" s="491"/>
      <c r="BE122" s="7"/>
      <c r="BF122" s="7"/>
      <c r="BG122" s="7"/>
      <c r="BH122" s="9"/>
      <c r="BI122" s="9"/>
      <c r="BJ122" s="492"/>
      <c r="BK122" s="491"/>
      <c r="BL122" s="7"/>
      <c r="BM122" s="7"/>
      <c r="BN122" s="7"/>
      <c r="BO122" s="7"/>
      <c r="BP122" s="7"/>
      <c r="BQ122" s="7"/>
      <c r="BR122" s="8"/>
      <c r="BS122" s="8"/>
      <c r="BT122" s="509"/>
      <c r="BU122" s="491"/>
      <c r="BV122" s="8"/>
      <c r="BW122" s="509"/>
      <c r="BX122" s="491"/>
      <c r="BY122" s="8"/>
      <c r="BZ122" s="509"/>
      <c r="CA122" s="751"/>
    </row>
    <row r="123" spans="1:79" ht="24.95" customHeight="1">
      <c r="A123" s="468">
        <f>IF('Student DATA Entry'!A120="","",'Student DATA Entry'!A120)</f>
        <v>117</v>
      </c>
      <c r="B123" s="459" t="str">
        <f>IF('Student DATA Entry'!B120="","",'Student DATA Entry'!B120)</f>
        <v/>
      </c>
      <c r="C123" s="459" t="str">
        <f>IF('Student DATA Entry'!C120="","",'Student DATA Entry'!C120)</f>
        <v/>
      </c>
      <c r="D123" s="459" t="str">
        <f>IF('Student DATA Entry'!D120="","",'Student DATA Entry'!D120)</f>
        <v/>
      </c>
      <c r="E123" s="459" t="str">
        <f>IF('Student DATA Entry'!E120="","",'Student DATA Entry'!E120)</f>
        <v/>
      </c>
      <c r="F123" s="460" t="str">
        <f>IF('Student DATA Entry'!K120="","",'Student DATA Entry'!K120)</f>
        <v/>
      </c>
      <c r="G123" s="461" t="str">
        <f>IF('Student DATA Entry'!G120="","",UPPER('Student DATA Entry'!G120))</f>
        <v/>
      </c>
      <c r="H123" s="461" t="str">
        <f>IF('Student DATA Entry'!H120="","",UPPER('Student DATA Entry'!H120))</f>
        <v/>
      </c>
      <c r="I123" s="462" t="str">
        <f>IF('Student DATA Entry'!I120="","",UPPER('Student DATA Entry'!I120))</f>
        <v/>
      </c>
      <c r="J123" s="463" t="str">
        <f>IF('Student DATA Entry'!L120="","",UPPER('Student DATA Entry'!L120))</f>
        <v/>
      </c>
      <c r="K123" s="469" t="str">
        <f>IF('Student DATA Entry'!J120="","",UPPER('Student DATA Entry'!J120))</f>
        <v/>
      </c>
      <c r="L123" s="491"/>
      <c r="M123" s="8"/>
      <c r="N123" s="8"/>
      <c r="O123" s="9"/>
      <c r="P123" s="492"/>
      <c r="Q123" s="491"/>
      <c r="R123" s="8"/>
      <c r="S123" s="8"/>
      <c r="T123" s="9"/>
      <c r="U123" s="492"/>
      <c r="V123" s="502"/>
      <c r="W123" s="7"/>
      <c r="X123" s="8"/>
      <c r="Y123" s="8"/>
      <c r="Z123" s="9"/>
      <c r="AA123" s="492"/>
      <c r="AB123" s="491"/>
      <c r="AC123" s="8"/>
      <c r="AD123" s="8"/>
      <c r="AE123" s="9"/>
      <c r="AF123" s="492"/>
      <c r="AG123" s="491"/>
      <c r="AH123" s="8"/>
      <c r="AI123" s="8"/>
      <c r="AJ123" s="9"/>
      <c r="AK123" s="492"/>
      <c r="AL123" s="491"/>
      <c r="AM123" s="8"/>
      <c r="AN123" s="8"/>
      <c r="AO123" s="9"/>
      <c r="AP123" s="492"/>
      <c r="AQ123" s="506"/>
      <c r="AR123" s="491"/>
      <c r="AS123" s="8"/>
      <c r="AT123" s="8"/>
      <c r="AU123" s="9"/>
      <c r="AV123" s="9"/>
      <c r="AW123" s="17"/>
      <c r="AX123" s="492"/>
      <c r="AY123" s="491"/>
      <c r="AZ123" s="7"/>
      <c r="BA123" s="9"/>
      <c r="BB123" s="9"/>
      <c r="BC123" s="492"/>
      <c r="BD123" s="491"/>
      <c r="BE123" s="7"/>
      <c r="BF123" s="7"/>
      <c r="BG123" s="7"/>
      <c r="BH123" s="9"/>
      <c r="BI123" s="9"/>
      <c r="BJ123" s="492"/>
      <c r="BK123" s="491"/>
      <c r="BL123" s="7"/>
      <c r="BM123" s="7"/>
      <c r="BN123" s="7"/>
      <c r="BO123" s="7"/>
      <c r="BP123" s="7"/>
      <c r="BQ123" s="7"/>
      <c r="BR123" s="8"/>
      <c r="BS123" s="8"/>
      <c r="BT123" s="509"/>
      <c r="BU123" s="491"/>
      <c r="BV123" s="8"/>
      <c r="BW123" s="509"/>
      <c r="BX123" s="491"/>
      <c r="BY123" s="8"/>
      <c r="BZ123" s="509"/>
      <c r="CA123" s="751"/>
    </row>
    <row r="124" spans="1:79" ht="24.95" customHeight="1">
      <c r="A124" s="468">
        <f>IF('Student DATA Entry'!A121="","",'Student DATA Entry'!A121)</f>
        <v>118</v>
      </c>
      <c r="B124" s="459" t="str">
        <f>IF('Student DATA Entry'!B121="","",'Student DATA Entry'!B121)</f>
        <v/>
      </c>
      <c r="C124" s="459" t="str">
        <f>IF('Student DATA Entry'!C121="","",'Student DATA Entry'!C121)</f>
        <v/>
      </c>
      <c r="D124" s="459" t="str">
        <f>IF('Student DATA Entry'!D121="","",'Student DATA Entry'!D121)</f>
        <v/>
      </c>
      <c r="E124" s="459" t="str">
        <f>IF('Student DATA Entry'!E121="","",'Student DATA Entry'!E121)</f>
        <v/>
      </c>
      <c r="F124" s="460" t="str">
        <f>IF('Student DATA Entry'!K121="","",'Student DATA Entry'!K121)</f>
        <v/>
      </c>
      <c r="G124" s="461" t="str">
        <f>IF('Student DATA Entry'!G121="","",UPPER('Student DATA Entry'!G121))</f>
        <v/>
      </c>
      <c r="H124" s="461" t="str">
        <f>IF('Student DATA Entry'!H121="","",UPPER('Student DATA Entry'!H121))</f>
        <v/>
      </c>
      <c r="I124" s="462" t="str">
        <f>IF('Student DATA Entry'!I121="","",UPPER('Student DATA Entry'!I121))</f>
        <v/>
      </c>
      <c r="J124" s="463" t="str">
        <f>IF('Student DATA Entry'!L121="","",UPPER('Student DATA Entry'!L121))</f>
        <v/>
      </c>
      <c r="K124" s="469" t="str">
        <f>IF('Student DATA Entry'!J121="","",UPPER('Student DATA Entry'!J121))</f>
        <v/>
      </c>
      <c r="L124" s="491"/>
      <c r="M124" s="8"/>
      <c r="N124" s="8"/>
      <c r="O124" s="9"/>
      <c r="P124" s="492"/>
      <c r="Q124" s="491"/>
      <c r="R124" s="8"/>
      <c r="S124" s="8"/>
      <c r="T124" s="9"/>
      <c r="U124" s="492"/>
      <c r="V124" s="502"/>
      <c r="W124" s="7"/>
      <c r="X124" s="8"/>
      <c r="Y124" s="8"/>
      <c r="Z124" s="9"/>
      <c r="AA124" s="492"/>
      <c r="AB124" s="491"/>
      <c r="AC124" s="8"/>
      <c r="AD124" s="8"/>
      <c r="AE124" s="9"/>
      <c r="AF124" s="492"/>
      <c r="AG124" s="491"/>
      <c r="AH124" s="8"/>
      <c r="AI124" s="8"/>
      <c r="AJ124" s="9"/>
      <c r="AK124" s="492"/>
      <c r="AL124" s="491"/>
      <c r="AM124" s="8"/>
      <c r="AN124" s="8"/>
      <c r="AO124" s="9"/>
      <c r="AP124" s="492"/>
      <c r="AQ124" s="506"/>
      <c r="AR124" s="491"/>
      <c r="AS124" s="8"/>
      <c r="AT124" s="8"/>
      <c r="AU124" s="9"/>
      <c r="AV124" s="9"/>
      <c r="AW124" s="17"/>
      <c r="AX124" s="492"/>
      <c r="AY124" s="491"/>
      <c r="AZ124" s="7"/>
      <c r="BA124" s="9"/>
      <c r="BB124" s="9"/>
      <c r="BC124" s="492"/>
      <c r="BD124" s="491"/>
      <c r="BE124" s="7"/>
      <c r="BF124" s="7"/>
      <c r="BG124" s="7"/>
      <c r="BH124" s="9"/>
      <c r="BI124" s="9"/>
      <c r="BJ124" s="492"/>
      <c r="BK124" s="491"/>
      <c r="BL124" s="7"/>
      <c r="BM124" s="7"/>
      <c r="BN124" s="7"/>
      <c r="BO124" s="7"/>
      <c r="BP124" s="7"/>
      <c r="BQ124" s="7"/>
      <c r="BR124" s="8"/>
      <c r="BS124" s="8"/>
      <c r="BT124" s="509"/>
      <c r="BU124" s="491"/>
      <c r="BV124" s="8"/>
      <c r="BW124" s="509"/>
      <c r="BX124" s="491"/>
      <c r="BY124" s="8"/>
      <c r="BZ124" s="509"/>
      <c r="CA124" s="751"/>
    </row>
    <row r="125" spans="1:79" ht="24.95" customHeight="1">
      <c r="A125" s="468">
        <f>IF('Student DATA Entry'!A122="","",'Student DATA Entry'!A122)</f>
        <v>119</v>
      </c>
      <c r="B125" s="459" t="str">
        <f>IF('Student DATA Entry'!B122="","",'Student DATA Entry'!B122)</f>
        <v/>
      </c>
      <c r="C125" s="459" t="str">
        <f>IF('Student DATA Entry'!C122="","",'Student DATA Entry'!C122)</f>
        <v/>
      </c>
      <c r="D125" s="459" t="str">
        <f>IF('Student DATA Entry'!D122="","",'Student DATA Entry'!D122)</f>
        <v/>
      </c>
      <c r="E125" s="459" t="str">
        <f>IF('Student DATA Entry'!E122="","",'Student DATA Entry'!E122)</f>
        <v/>
      </c>
      <c r="F125" s="460" t="str">
        <f>IF('Student DATA Entry'!K122="","",'Student DATA Entry'!K122)</f>
        <v/>
      </c>
      <c r="G125" s="461" t="str">
        <f>IF('Student DATA Entry'!G122="","",UPPER('Student DATA Entry'!G122))</f>
        <v/>
      </c>
      <c r="H125" s="461" t="str">
        <f>IF('Student DATA Entry'!H122="","",UPPER('Student DATA Entry'!H122))</f>
        <v/>
      </c>
      <c r="I125" s="462" t="str">
        <f>IF('Student DATA Entry'!I122="","",UPPER('Student DATA Entry'!I122))</f>
        <v/>
      </c>
      <c r="J125" s="463" t="str">
        <f>IF('Student DATA Entry'!L122="","",UPPER('Student DATA Entry'!L122))</f>
        <v/>
      </c>
      <c r="K125" s="469" t="str">
        <f>IF('Student DATA Entry'!J122="","",UPPER('Student DATA Entry'!J122))</f>
        <v/>
      </c>
      <c r="L125" s="491"/>
      <c r="M125" s="8"/>
      <c r="N125" s="8"/>
      <c r="O125" s="9"/>
      <c r="P125" s="492"/>
      <c r="Q125" s="491"/>
      <c r="R125" s="8"/>
      <c r="S125" s="8"/>
      <c r="T125" s="9"/>
      <c r="U125" s="492"/>
      <c r="V125" s="502"/>
      <c r="W125" s="7"/>
      <c r="X125" s="8"/>
      <c r="Y125" s="8"/>
      <c r="Z125" s="9"/>
      <c r="AA125" s="492"/>
      <c r="AB125" s="491"/>
      <c r="AC125" s="8"/>
      <c r="AD125" s="8"/>
      <c r="AE125" s="9"/>
      <c r="AF125" s="492"/>
      <c r="AG125" s="491"/>
      <c r="AH125" s="8"/>
      <c r="AI125" s="8"/>
      <c r="AJ125" s="9"/>
      <c r="AK125" s="492"/>
      <c r="AL125" s="491"/>
      <c r="AM125" s="8"/>
      <c r="AN125" s="8"/>
      <c r="AO125" s="9"/>
      <c r="AP125" s="492"/>
      <c r="AQ125" s="506"/>
      <c r="AR125" s="491"/>
      <c r="AS125" s="8"/>
      <c r="AT125" s="8"/>
      <c r="AU125" s="9"/>
      <c r="AV125" s="9"/>
      <c r="AW125" s="17"/>
      <c r="AX125" s="492"/>
      <c r="AY125" s="491"/>
      <c r="AZ125" s="7"/>
      <c r="BA125" s="9"/>
      <c r="BB125" s="9"/>
      <c r="BC125" s="492"/>
      <c r="BD125" s="491"/>
      <c r="BE125" s="7"/>
      <c r="BF125" s="7"/>
      <c r="BG125" s="7"/>
      <c r="BH125" s="9"/>
      <c r="BI125" s="9"/>
      <c r="BJ125" s="492"/>
      <c r="BK125" s="491"/>
      <c r="BL125" s="7"/>
      <c r="BM125" s="7"/>
      <c r="BN125" s="7"/>
      <c r="BO125" s="7"/>
      <c r="BP125" s="7"/>
      <c r="BQ125" s="7"/>
      <c r="BR125" s="8"/>
      <c r="BS125" s="8"/>
      <c r="BT125" s="509"/>
      <c r="BU125" s="491"/>
      <c r="BV125" s="8"/>
      <c r="BW125" s="509"/>
      <c r="BX125" s="491"/>
      <c r="BY125" s="8"/>
      <c r="BZ125" s="509"/>
      <c r="CA125" s="751"/>
    </row>
    <row r="126" spans="1:79" ht="24.95" customHeight="1">
      <c r="A126" s="468">
        <f>IF('Student DATA Entry'!A123="","",'Student DATA Entry'!A123)</f>
        <v>120</v>
      </c>
      <c r="B126" s="459" t="str">
        <f>IF('Student DATA Entry'!B123="","",'Student DATA Entry'!B123)</f>
        <v/>
      </c>
      <c r="C126" s="459" t="str">
        <f>IF('Student DATA Entry'!C123="","",'Student DATA Entry'!C123)</f>
        <v/>
      </c>
      <c r="D126" s="459" t="str">
        <f>IF('Student DATA Entry'!D123="","",'Student DATA Entry'!D123)</f>
        <v/>
      </c>
      <c r="E126" s="459" t="str">
        <f>IF('Student DATA Entry'!E123="","",'Student DATA Entry'!E123)</f>
        <v/>
      </c>
      <c r="F126" s="460" t="str">
        <f>IF('Student DATA Entry'!K123="","",'Student DATA Entry'!K123)</f>
        <v/>
      </c>
      <c r="G126" s="461" t="str">
        <f>IF('Student DATA Entry'!G123="","",UPPER('Student DATA Entry'!G123))</f>
        <v/>
      </c>
      <c r="H126" s="461" t="str">
        <f>IF('Student DATA Entry'!H123="","",UPPER('Student DATA Entry'!H123))</f>
        <v/>
      </c>
      <c r="I126" s="462" t="str">
        <f>IF('Student DATA Entry'!I123="","",UPPER('Student DATA Entry'!I123))</f>
        <v/>
      </c>
      <c r="J126" s="463" t="str">
        <f>IF('Student DATA Entry'!L123="","",UPPER('Student DATA Entry'!L123))</f>
        <v/>
      </c>
      <c r="K126" s="469" t="str">
        <f>IF('Student DATA Entry'!J123="","",UPPER('Student DATA Entry'!J123))</f>
        <v/>
      </c>
      <c r="L126" s="491"/>
      <c r="M126" s="8"/>
      <c r="N126" s="8"/>
      <c r="O126" s="9"/>
      <c r="P126" s="492"/>
      <c r="Q126" s="491"/>
      <c r="R126" s="8"/>
      <c r="S126" s="8"/>
      <c r="T126" s="9"/>
      <c r="U126" s="492"/>
      <c r="V126" s="502"/>
      <c r="W126" s="7"/>
      <c r="X126" s="8"/>
      <c r="Y126" s="8"/>
      <c r="Z126" s="9"/>
      <c r="AA126" s="492"/>
      <c r="AB126" s="491"/>
      <c r="AC126" s="8"/>
      <c r="AD126" s="8"/>
      <c r="AE126" s="9"/>
      <c r="AF126" s="492"/>
      <c r="AG126" s="491"/>
      <c r="AH126" s="8"/>
      <c r="AI126" s="8"/>
      <c r="AJ126" s="9"/>
      <c r="AK126" s="492"/>
      <c r="AL126" s="491"/>
      <c r="AM126" s="8"/>
      <c r="AN126" s="8"/>
      <c r="AO126" s="9"/>
      <c r="AP126" s="492"/>
      <c r="AQ126" s="506"/>
      <c r="AR126" s="491"/>
      <c r="AS126" s="8"/>
      <c r="AT126" s="8"/>
      <c r="AU126" s="9"/>
      <c r="AV126" s="9"/>
      <c r="AW126" s="17"/>
      <c r="AX126" s="492"/>
      <c r="AY126" s="491"/>
      <c r="AZ126" s="7"/>
      <c r="BA126" s="9"/>
      <c r="BB126" s="9"/>
      <c r="BC126" s="492"/>
      <c r="BD126" s="491"/>
      <c r="BE126" s="7"/>
      <c r="BF126" s="7"/>
      <c r="BG126" s="7"/>
      <c r="BH126" s="9"/>
      <c r="BI126" s="9"/>
      <c r="BJ126" s="492"/>
      <c r="BK126" s="491"/>
      <c r="BL126" s="7"/>
      <c r="BM126" s="7"/>
      <c r="BN126" s="7"/>
      <c r="BO126" s="7"/>
      <c r="BP126" s="7"/>
      <c r="BQ126" s="7"/>
      <c r="BR126" s="8"/>
      <c r="BS126" s="8"/>
      <c r="BT126" s="509"/>
      <c r="BU126" s="491"/>
      <c r="BV126" s="8"/>
      <c r="BW126" s="509"/>
      <c r="BX126" s="491"/>
      <c r="BY126" s="8"/>
      <c r="BZ126" s="509"/>
      <c r="CA126" s="751"/>
    </row>
    <row r="127" spans="1:79" ht="24.95" customHeight="1">
      <c r="A127" s="468">
        <f>IF('Student DATA Entry'!A124="","",'Student DATA Entry'!A124)</f>
        <v>121</v>
      </c>
      <c r="B127" s="459" t="str">
        <f>IF('Student DATA Entry'!B124="","",'Student DATA Entry'!B124)</f>
        <v/>
      </c>
      <c r="C127" s="459" t="str">
        <f>IF('Student DATA Entry'!C124="","",'Student DATA Entry'!C124)</f>
        <v/>
      </c>
      <c r="D127" s="459" t="str">
        <f>IF('Student DATA Entry'!D124="","",'Student DATA Entry'!D124)</f>
        <v/>
      </c>
      <c r="E127" s="459" t="str">
        <f>IF('Student DATA Entry'!E124="","",'Student DATA Entry'!E124)</f>
        <v/>
      </c>
      <c r="F127" s="460" t="str">
        <f>IF('Student DATA Entry'!K124="","",'Student DATA Entry'!K124)</f>
        <v/>
      </c>
      <c r="G127" s="461" t="str">
        <f>IF('Student DATA Entry'!G124="","",UPPER('Student DATA Entry'!G124))</f>
        <v/>
      </c>
      <c r="H127" s="461" t="str">
        <f>IF('Student DATA Entry'!H124="","",UPPER('Student DATA Entry'!H124))</f>
        <v/>
      </c>
      <c r="I127" s="462" t="str">
        <f>IF('Student DATA Entry'!I124="","",UPPER('Student DATA Entry'!I124))</f>
        <v/>
      </c>
      <c r="J127" s="463" t="str">
        <f>IF('Student DATA Entry'!L124="","",UPPER('Student DATA Entry'!L124))</f>
        <v/>
      </c>
      <c r="K127" s="469" t="str">
        <f>IF('Student DATA Entry'!J124="","",UPPER('Student DATA Entry'!J124))</f>
        <v/>
      </c>
      <c r="L127" s="491"/>
      <c r="M127" s="8"/>
      <c r="N127" s="8"/>
      <c r="O127" s="9"/>
      <c r="P127" s="492"/>
      <c r="Q127" s="491"/>
      <c r="R127" s="8"/>
      <c r="S127" s="8"/>
      <c r="T127" s="9"/>
      <c r="U127" s="492"/>
      <c r="V127" s="502"/>
      <c r="W127" s="7"/>
      <c r="X127" s="8"/>
      <c r="Y127" s="8"/>
      <c r="Z127" s="9"/>
      <c r="AA127" s="492"/>
      <c r="AB127" s="491"/>
      <c r="AC127" s="8"/>
      <c r="AD127" s="8"/>
      <c r="AE127" s="9"/>
      <c r="AF127" s="492"/>
      <c r="AG127" s="491"/>
      <c r="AH127" s="8"/>
      <c r="AI127" s="8"/>
      <c r="AJ127" s="9"/>
      <c r="AK127" s="492"/>
      <c r="AL127" s="491"/>
      <c r="AM127" s="8"/>
      <c r="AN127" s="8"/>
      <c r="AO127" s="9"/>
      <c r="AP127" s="492"/>
      <c r="AQ127" s="506"/>
      <c r="AR127" s="491"/>
      <c r="AS127" s="8"/>
      <c r="AT127" s="8"/>
      <c r="AU127" s="9"/>
      <c r="AV127" s="9"/>
      <c r="AW127" s="17"/>
      <c r="AX127" s="492"/>
      <c r="AY127" s="491"/>
      <c r="AZ127" s="7"/>
      <c r="BA127" s="9"/>
      <c r="BB127" s="9"/>
      <c r="BC127" s="492"/>
      <c r="BD127" s="491"/>
      <c r="BE127" s="7"/>
      <c r="BF127" s="7"/>
      <c r="BG127" s="7"/>
      <c r="BH127" s="9"/>
      <c r="BI127" s="9"/>
      <c r="BJ127" s="492"/>
      <c r="BK127" s="491"/>
      <c r="BL127" s="7"/>
      <c r="BM127" s="7"/>
      <c r="BN127" s="7"/>
      <c r="BO127" s="7"/>
      <c r="BP127" s="7"/>
      <c r="BQ127" s="7"/>
      <c r="BR127" s="8"/>
      <c r="BS127" s="8"/>
      <c r="BT127" s="509"/>
      <c r="BU127" s="491"/>
      <c r="BV127" s="8"/>
      <c r="BW127" s="509"/>
      <c r="BX127" s="491"/>
      <c r="BY127" s="8"/>
      <c r="BZ127" s="509"/>
      <c r="CA127" s="751"/>
    </row>
    <row r="128" spans="1:79" ht="24.95" customHeight="1">
      <c r="A128" s="468">
        <f>IF('Student DATA Entry'!A125="","",'Student DATA Entry'!A125)</f>
        <v>122</v>
      </c>
      <c r="B128" s="459" t="str">
        <f>IF('Student DATA Entry'!B125="","",'Student DATA Entry'!B125)</f>
        <v/>
      </c>
      <c r="C128" s="459" t="str">
        <f>IF('Student DATA Entry'!C125="","",'Student DATA Entry'!C125)</f>
        <v/>
      </c>
      <c r="D128" s="459" t="str">
        <f>IF('Student DATA Entry'!D125="","",'Student DATA Entry'!D125)</f>
        <v/>
      </c>
      <c r="E128" s="459" t="str">
        <f>IF('Student DATA Entry'!E125="","",'Student DATA Entry'!E125)</f>
        <v/>
      </c>
      <c r="F128" s="460" t="str">
        <f>IF('Student DATA Entry'!K125="","",'Student DATA Entry'!K125)</f>
        <v/>
      </c>
      <c r="G128" s="461" t="str">
        <f>IF('Student DATA Entry'!G125="","",UPPER('Student DATA Entry'!G125))</f>
        <v/>
      </c>
      <c r="H128" s="461" t="str">
        <f>IF('Student DATA Entry'!H125="","",UPPER('Student DATA Entry'!H125))</f>
        <v/>
      </c>
      <c r="I128" s="462" t="str">
        <f>IF('Student DATA Entry'!I125="","",UPPER('Student DATA Entry'!I125))</f>
        <v/>
      </c>
      <c r="J128" s="463" t="str">
        <f>IF('Student DATA Entry'!L125="","",UPPER('Student DATA Entry'!L125))</f>
        <v/>
      </c>
      <c r="K128" s="469" t="str">
        <f>IF('Student DATA Entry'!J125="","",UPPER('Student DATA Entry'!J125))</f>
        <v/>
      </c>
      <c r="L128" s="491"/>
      <c r="M128" s="8"/>
      <c r="N128" s="8"/>
      <c r="O128" s="9"/>
      <c r="P128" s="492"/>
      <c r="Q128" s="491"/>
      <c r="R128" s="8"/>
      <c r="S128" s="8"/>
      <c r="T128" s="9"/>
      <c r="U128" s="492"/>
      <c r="V128" s="502"/>
      <c r="W128" s="7"/>
      <c r="X128" s="8"/>
      <c r="Y128" s="8"/>
      <c r="Z128" s="9"/>
      <c r="AA128" s="492"/>
      <c r="AB128" s="491"/>
      <c r="AC128" s="8"/>
      <c r="AD128" s="8"/>
      <c r="AE128" s="9"/>
      <c r="AF128" s="492"/>
      <c r="AG128" s="491"/>
      <c r="AH128" s="8"/>
      <c r="AI128" s="8"/>
      <c r="AJ128" s="9"/>
      <c r="AK128" s="492"/>
      <c r="AL128" s="491"/>
      <c r="AM128" s="8"/>
      <c r="AN128" s="8"/>
      <c r="AO128" s="9"/>
      <c r="AP128" s="492"/>
      <c r="AQ128" s="506"/>
      <c r="AR128" s="491"/>
      <c r="AS128" s="8"/>
      <c r="AT128" s="8"/>
      <c r="AU128" s="9"/>
      <c r="AV128" s="9"/>
      <c r="AW128" s="17"/>
      <c r="AX128" s="492"/>
      <c r="AY128" s="491"/>
      <c r="AZ128" s="7"/>
      <c r="BA128" s="9"/>
      <c r="BB128" s="9"/>
      <c r="BC128" s="492"/>
      <c r="BD128" s="491"/>
      <c r="BE128" s="7"/>
      <c r="BF128" s="7"/>
      <c r="BG128" s="7"/>
      <c r="BH128" s="9"/>
      <c r="BI128" s="9"/>
      <c r="BJ128" s="492"/>
      <c r="BK128" s="491"/>
      <c r="BL128" s="7"/>
      <c r="BM128" s="7"/>
      <c r="BN128" s="7"/>
      <c r="BO128" s="7"/>
      <c r="BP128" s="7"/>
      <c r="BQ128" s="7"/>
      <c r="BR128" s="8"/>
      <c r="BS128" s="8"/>
      <c r="BT128" s="509"/>
      <c r="BU128" s="491"/>
      <c r="BV128" s="8"/>
      <c r="BW128" s="509"/>
      <c r="BX128" s="491"/>
      <c r="BY128" s="8"/>
      <c r="BZ128" s="509"/>
      <c r="CA128" s="751"/>
    </row>
    <row r="129" spans="1:79" ht="24.95" customHeight="1">
      <c r="A129" s="468">
        <f>IF('Student DATA Entry'!A126="","",'Student DATA Entry'!A126)</f>
        <v>123</v>
      </c>
      <c r="B129" s="459" t="str">
        <f>IF('Student DATA Entry'!B126="","",'Student DATA Entry'!B126)</f>
        <v/>
      </c>
      <c r="C129" s="459" t="str">
        <f>IF('Student DATA Entry'!C126="","",'Student DATA Entry'!C126)</f>
        <v/>
      </c>
      <c r="D129" s="459" t="str">
        <f>IF('Student DATA Entry'!D126="","",'Student DATA Entry'!D126)</f>
        <v/>
      </c>
      <c r="E129" s="459" t="str">
        <f>IF('Student DATA Entry'!E126="","",'Student DATA Entry'!E126)</f>
        <v/>
      </c>
      <c r="F129" s="460" t="str">
        <f>IF('Student DATA Entry'!K126="","",'Student DATA Entry'!K126)</f>
        <v/>
      </c>
      <c r="G129" s="461" t="str">
        <f>IF('Student DATA Entry'!G126="","",UPPER('Student DATA Entry'!G126))</f>
        <v/>
      </c>
      <c r="H129" s="461" t="str">
        <f>IF('Student DATA Entry'!H126="","",UPPER('Student DATA Entry'!H126))</f>
        <v/>
      </c>
      <c r="I129" s="462" t="str">
        <f>IF('Student DATA Entry'!I126="","",UPPER('Student DATA Entry'!I126))</f>
        <v/>
      </c>
      <c r="J129" s="463" t="str">
        <f>IF('Student DATA Entry'!L126="","",UPPER('Student DATA Entry'!L126))</f>
        <v/>
      </c>
      <c r="K129" s="469" t="str">
        <f>IF('Student DATA Entry'!J126="","",UPPER('Student DATA Entry'!J126))</f>
        <v/>
      </c>
      <c r="L129" s="491"/>
      <c r="M129" s="8"/>
      <c r="N129" s="8"/>
      <c r="O129" s="9"/>
      <c r="P129" s="492"/>
      <c r="Q129" s="491"/>
      <c r="R129" s="8"/>
      <c r="S129" s="8"/>
      <c r="T129" s="9"/>
      <c r="U129" s="492"/>
      <c r="V129" s="502"/>
      <c r="W129" s="7"/>
      <c r="X129" s="8"/>
      <c r="Y129" s="8"/>
      <c r="Z129" s="9"/>
      <c r="AA129" s="492"/>
      <c r="AB129" s="491"/>
      <c r="AC129" s="8"/>
      <c r="AD129" s="8"/>
      <c r="AE129" s="9"/>
      <c r="AF129" s="492"/>
      <c r="AG129" s="491"/>
      <c r="AH129" s="8"/>
      <c r="AI129" s="8"/>
      <c r="AJ129" s="9"/>
      <c r="AK129" s="492"/>
      <c r="AL129" s="491"/>
      <c r="AM129" s="8"/>
      <c r="AN129" s="8"/>
      <c r="AO129" s="9"/>
      <c r="AP129" s="492"/>
      <c r="AQ129" s="506"/>
      <c r="AR129" s="491"/>
      <c r="AS129" s="8"/>
      <c r="AT129" s="8"/>
      <c r="AU129" s="9"/>
      <c r="AV129" s="9"/>
      <c r="AW129" s="17"/>
      <c r="AX129" s="492"/>
      <c r="AY129" s="491"/>
      <c r="AZ129" s="7"/>
      <c r="BA129" s="9"/>
      <c r="BB129" s="9"/>
      <c r="BC129" s="492"/>
      <c r="BD129" s="491"/>
      <c r="BE129" s="7"/>
      <c r="BF129" s="7"/>
      <c r="BG129" s="7"/>
      <c r="BH129" s="9"/>
      <c r="BI129" s="9"/>
      <c r="BJ129" s="492"/>
      <c r="BK129" s="491"/>
      <c r="BL129" s="7"/>
      <c r="BM129" s="7"/>
      <c r="BN129" s="7"/>
      <c r="BO129" s="7"/>
      <c r="BP129" s="7"/>
      <c r="BQ129" s="7"/>
      <c r="BR129" s="8"/>
      <c r="BS129" s="8"/>
      <c r="BT129" s="509"/>
      <c r="BU129" s="491"/>
      <c r="BV129" s="8"/>
      <c r="BW129" s="509"/>
      <c r="BX129" s="491"/>
      <c r="BY129" s="8"/>
      <c r="BZ129" s="509"/>
      <c r="CA129" s="751"/>
    </row>
    <row r="130" spans="1:79" ht="24.95" customHeight="1">
      <c r="A130" s="468">
        <f>IF('Student DATA Entry'!A127="","",'Student DATA Entry'!A127)</f>
        <v>124</v>
      </c>
      <c r="B130" s="459" t="str">
        <f>IF('Student DATA Entry'!B127="","",'Student DATA Entry'!B127)</f>
        <v/>
      </c>
      <c r="C130" s="459" t="str">
        <f>IF('Student DATA Entry'!C127="","",'Student DATA Entry'!C127)</f>
        <v/>
      </c>
      <c r="D130" s="459" t="str">
        <f>IF('Student DATA Entry'!D127="","",'Student DATA Entry'!D127)</f>
        <v/>
      </c>
      <c r="E130" s="459" t="str">
        <f>IF('Student DATA Entry'!E127="","",'Student DATA Entry'!E127)</f>
        <v/>
      </c>
      <c r="F130" s="460" t="str">
        <f>IF('Student DATA Entry'!K127="","",'Student DATA Entry'!K127)</f>
        <v/>
      </c>
      <c r="G130" s="461" t="str">
        <f>IF('Student DATA Entry'!G127="","",UPPER('Student DATA Entry'!G127))</f>
        <v/>
      </c>
      <c r="H130" s="461" t="str">
        <f>IF('Student DATA Entry'!H127="","",UPPER('Student DATA Entry'!H127))</f>
        <v/>
      </c>
      <c r="I130" s="462" t="str">
        <f>IF('Student DATA Entry'!I127="","",UPPER('Student DATA Entry'!I127))</f>
        <v/>
      </c>
      <c r="J130" s="463" t="str">
        <f>IF('Student DATA Entry'!L127="","",UPPER('Student DATA Entry'!L127))</f>
        <v/>
      </c>
      <c r="K130" s="469" t="str">
        <f>IF('Student DATA Entry'!J127="","",UPPER('Student DATA Entry'!J127))</f>
        <v/>
      </c>
      <c r="L130" s="491"/>
      <c r="M130" s="8"/>
      <c r="N130" s="8"/>
      <c r="O130" s="9"/>
      <c r="P130" s="492"/>
      <c r="Q130" s="491"/>
      <c r="R130" s="8"/>
      <c r="S130" s="8"/>
      <c r="T130" s="9"/>
      <c r="U130" s="492"/>
      <c r="V130" s="502"/>
      <c r="W130" s="7"/>
      <c r="X130" s="8"/>
      <c r="Y130" s="8"/>
      <c r="Z130" s="9"/>
      <c r="AA130" s="492"/>
      <c r="AB130" s="491"/>
      <c r="AC130" s="8"/>
      <c r="AD130" s="8"/>
      <c r="AE130" s="9"/>
      <c r="AF130" s="492"/>
      <c r="AG130" s="491"/>
      <c r="AH130" s="8"/>
      <c r="AI130" s="8"/>
      <c r="AJ130" s="9"/>
      <c r="AK130" s="492"/>
      <c r="AL130" s="491"/>
      <c r="AM130" s="8"/>
      <c r="AN130" s="8"/>
      <c r="AO130" s="9"/>
      <c r="AP130" s="492"/>
      <c r="AQ130" s="506"/>
      <c r="AR130" s="491"/>
      <c r="AS130" s="8"/>
      <c r="AT130" s="8"/>
      <c r="AU130" s="9"/>
      <c r="AV130" s="9"/>
      <c r="AW130" s="17"/>
      <c r="AX130" s="492"/>
      <c r="AY130" s="491"/>
      <c r="AZ130" s="7"/>
      <c r="BA130" s="9"/>
      <c r="BB130" s="9"/>
      <c r="BC130" s="492"/>
      <c r="BD130" s="491"/>
      <c r="BE130" s="7"/>
      <c r="BF130" s="7"/>
      <c r="BG130" s="7"/>
      <c r="BH130" s="9"/>
      <c r="BI130" s="9"/>
      <c r="BJ130" s="492"/>
      <c r="BK130" s="491"/>
      <c r="BL130" s="7"/>
      <c r="BM130" s="7"/>
      <c r="BN130" s="7"/>
      <c r="BO130" s="7"/>
      <c r="BP130" s="7"/>
      <c r="BQ130" s="7"/>
      <c r="BR130" s="8"/>
      <c r="BS130" s="8"/>
      <c r="BT130" s="509"/>
      <c r="BU130" s="491"/>
      <c r="BV130" s="8"/>
      <c r="BW130" s="509"/>
      <c r="BX130" s="491"/>
      <c r="BY130" s="8"/>
      <c r="BZ130" s="509"/>
      <c r="CA130" s="751"/>
    </row>
    <row r="131" spans="1:79" ht="24.95" customHeight="1">
      <c r="A131" s="468">
        <f>IF('Student DATA Entry'!A128="","",'Student DATA Entry'!A128)</f>
        <v>125</v>
      </c>
      <c r="B131" s="459" t="str">
        <f>IF('Student DATA Entry'!B128="","",'Student DATA Entry'!B128)</f>
        <v/>
      </c>
      <c r="C131" s="459" t="str">
        <f>IF('Student DATA Entry'!C128="","",'Student DATA Entry'!C128)</f>
        <v/>
      </c>
      <c r="D131" s="459" t="str">
        <f>IF('Student DATA Entry'!D128="","",'Student DATA Entry'!D128)</f>
        <v/>
      </c>
      <c r="E131" s="459" t="str">
        <f>IF('Student DATA Entry'!E128="","",'Student DATA Entry'!E128)</f>
        <v/>
      </c>
      <c r="F131" s="460" t="str">
        <f>IF('Student DATA Entry'!K128="","",'Student DATA Entry'!K128)</f>
        <v/>
      </c>
      <c r="G131" s="461" t="str">
        <f>IF('Student DATA Entry'!G128="","",UPPER('Student DATA Entry'!G128))</f>
        <v/>
      </c>
      <c r="H131" s="461" t="str">
        <f>IF('Student DATA Entry'!H128="","",UPPER('Student DATA Entry'!H128))</f>
        <v/>
      </c>
      <c r="I131" s="462" t="str">
        <f>IF('Student DATA Entry'!I128="","",UPPER('Student DATA Entry'!I128))</f>
        <v/>
      </c>
      <c r="J131" s="463" t="str">
        <f>IF('Student DATA Entry'!L128="","",UPPER('Student DATA Entry'!L128))</f>
        <v/>
      </c>
      <c r="K131" s="469" t="str">
        <f>IF('Student DATA Entry'!J128="","",UPPER('Student DATA Entry'!J128))</f>
        <v/>
      </c>
      <c r="L131" s="491"/>
      <c r="M131" s="8"/>
      <c r="N131" s="8"/>
      <c r="O131" s="9"/>
      <c r="P131" s="492"/>
      <c r="Q131" s="491"/>
      <c r="R131" s="8"/>
      <c r="S131" s="8"/>
      <c r="T131" s="9"/>
      <c r="U131" s="492"/>
      <c r="V131" s="502"/>
      <c r="W131" s="7"/>
      <c r="X131" s="8"/>
      <c r="Y131" s="8"/>
      <c r="Z131" s="9"/>
      <c r="AA131" s="492"/>
      <c r="AB131" s="491"/>
      <c r="AC131" s="8"/>
      <c r="AD131" s="8"/>
      <c r="AE131" s="9"/>
      <c r="AF131" s="492"/>
      <c r="AG131" s="491"/>
      <c r="AH131" s="8"/>
      <c r="AI131" s="8"/>
      <c r="AJ131" s="9"/>
      <c r="AK131" s="492"/>
      <c r="AL131" s="491"/>
      <c r="AM131" s="8"/>
      <c r="AN131" s="8"/>
      <c r="AO131" s="9"/>
      <c r="AP131" s="492"/>
      <c r="AQ131" s="506"/>
      <c r="AR131" s="491"/>
      <c r="AS131" s="8"/>
      <c r="AT131" s="8"/>
      <c r="AU131" s="9"/>
      <c r="AV131" s="9"/>
      <c r="AW131" s="17"/>
      <c r="AX131" s="492"/>
      <c r="AY131" s="491"/>
      <c r="AZ131" s="7"/>
      <c r="BA131" s="9"/>
      <c r="BB131" s="9"/>
      <c r="BC131" s="492"/>
      <c r="BD131" s="491"/>
      <c r="BE131" s="7"/>
      <c r="BF131" s="7"/>
      <c r="BG131" s="7"/>
      <c r="BH131" s="9"/>
      <c r="BI131" s="9"/>
      <c r="BJ131" s="492"/>
      <c r="BK131" s="491"/>
      <c r="BL131" s="7"/>
      <c r="BM131" s="7"/>
      <c r="BN131" s="7"/>
      <c r="BO131" s="7"/>
      <c r="BP131" s="7"/>
      <c r="BQ131" s="7"/>
      <c r="BR131" s="8"/>
      <c r="BS131" s="8"/>
      <c r="BT131" s="509"/>
      <c r="BU131" s="491"/>
      <c r="BV131" s="8"/>
      <c r="BW131" s="509"/>
      <c r="BX131" s="491"/>
      <c r="BY131" s="8"/>
      <c r="BZ131" s="509"/>
      <c r="CA131" s="751"/>
    </row>
    <row r="132" spans="1:79" ht="24.95" customHeight="1">
      <c r="A132" s="468">
        <f>IF('Student DATA Entry'!A129="","",'Student DATA Entry'!A129)</f>
        <v>126</v>
      </c>
      <c r="B132" s="459" t="str">
        <f>IF('Student DATA Entry'!B129="","",'Student DATA Entry'!B129)</f>
        <v/>
      </c>
      <c r="C132" s="459" t="str">
        <f>IF('Student DATA Entry'!C129="","",'Student DATA Entry'!C129)</f>
        <v/>
      </c>
      <c r="D132" s="459" t="str">
        <f>IF('Student DATA Entry'!D129="","",'Student DATA Entry'!D129)</f>
        <v/>
      </c>
      <c r="E132" s="459" t="str">
        <f>IF('Student DATA Entry'!E129="","",'Student DATA Entry'!E129)</f>
        <v/>
      </c>
      <c r="F132" s="460" t="str">
        <f>IF('Student DATA Entry'!K129="","",'Student DATA Entry'!K129)</f>
        <v/>
      </c>
      <c r="G132" s="461" t="str">
        <f>IF('Student DATA Entry'!G129="","",UPPER('Student DATA Entry'!G129))</f>
        <v/>
      </c>
      <c r="H132" s="461" t="str">
        <f>IF('Student DATA Entry'!H129="","",UPPER('Student DATA Entry'!H129))</f>
        <v/>
      </c>
      <c r="I132" s="462" t="str">
        <f>IF('Student DATA Entry'!I129="","",UPPER('Student DATA Entry'!I129))</f>
        <v/>
      </c>
      <c r="J132" s="463" t="str">
        <f>IF('Student DATA Entry'!L129="","",UPPER('Student DATA Entry'!L129))</f>
        <v/>
      </c>
      <c r="K132" s="469" t="str">
        <f>IF('Student DATA Entry'!J129="","",UPPER('Student DATA Entry'!J129))</f>
        <v/>
      </c>
      <c r="L132" s="491"/>
      <c r="M132" s="8"/>
      <c r="N132" s="8"/>
      <c r="O132" s="9"/>
      <c r="P132" s="492"/>
      <c r="Q132" s="491"/>
      <c r="R132" s="8"/>
      <c r="S132" s="8"/>
      <c r="T132" s="9"/>
      <c r="U132" s="492"/>
      <c r="V132" s="502"/>
      <c r="W132" s="7"/>
      <c r="X132" s="8"/>
      <c r="Y132" s="8"/>
      <c r="Z132" s="9"/>
      <c r="AA132" s="492"/>
      <c r="AB132" s="491"/>
      <c r="AC132" s="8"/>
      <c r="AD132" s="8"/>
      <c r="AE132" s="9"/>
      <c r="AF132" s="492"/>
      <c r="AG132" s="491"/>
      <c r="AH132" s="8"/>
      <c r="AI132" s="8"/>
      <c r="AJ132" s="9"/>
      <c r="AK132" s="492"/>
      <c r="AL132" s="491"/>
      <c r="AM132" s="8"/>
      <c r="AN132" s="8"/>
      <c r="AO132" s="9"/>
      <c r="AP132" s="492"/>
      <c r="AQ132" s="506"/>
      <c r="AR132" s="491"/>
      <c r="AS132" s="8"/>
      <c r="AT132" s="8"/>
      <c r="AU132" s="9"/>
      <c r="AV132" s="9"/>
      <c r="AW132" s="17"/>
      <c r="AX132" s="492"/>
      <c r="AY132" s="491"/>
      <c r="AZ132" s="7"/>
      <c r="BA132" s="9"/>
      <c r="BB132" s="9"/>
      <c r="BC132" s="492"/>
      <c r="BD132" s="491"/>
      <c r="BE132" s="7"/>
      <c r="BF132" s="7"/>
      <c r="BG132" s="7"/>
      <c r="BH132" s="9"/>
      <c r="BI132" s="9"/>
      <c r="BJ132" s="492"/>
      <c r="BK132" s="491"/>
      <c r="BL132" s="7"/>
      <c r="BM132" s="7"/>
      <c r="BN132" s="7"/>
      <c r="BO132" s="7"/>
      <c r="BP132" s="7"/>
      <c r="BQ132" s="7"/>
      <c r="BR132" s="8"/>
      <c r="BS132" s="8"/>
      <c r="BT132" s="509"/>
      <c r="BU132" s="491"/>
      <c r="BV132" s="8"/>
      <c r="BW132" s="509"/>
      <c r="BX132" s="491"/>
      <c r="BY132" s="8"/>
      <c r="BZ132" s="509"/>
      <c r="CA132" s="751"/>
    </row>
    <row r="133" spans="1:79" ht="24.95" customHeight="1">
      <c r="A133" s="468">
        <f>IF('Student DATA Entry'!A130="","",'Student DATA Entry'!A130)</f>
        <v>127</v>
      </c>
      <c r="B133" s="459" t="str">
        <f>IF('Student DATA Entry'!B130="","",'Student DATA Entry'!B130)</f>
        <v/>
      </c>
      <c r="C133" s="459" t="str">
        <f>IF('Student DATA Entry'!C130="","",'Student DATA Entry'!C130)</f>
        <v/>
      </c>
      <c r="D133" s="459" t="str">
        <f>IF('Student DATA Entry'!D130="","",'Student DATA Entry'!D130)</f>
        <v/>
      </c>
      <c r="E133" s="459" t="str">
        <f>IF('Student DATA Entry'!E130="","",'Student DATA Entry'!E130)</f>
        <v/>
      </c>
      <c r="F133" s="460" t="str">
        <f>IF('Student DATA Entry'!K130="","",'Student DATA Entry'!K130)</f>
        <v/>
      </c>
      <c r="G133" s="461" t="str">
        <f>IF('Student DATA Entry'!G130="","",UPPER('Student DATA Entry'!G130))</f>
        <v/>
      </c>
      <c r="H133" s="461" t="str">
        <f>IF('Student DATA Entry'!H130="","",UPPER('Student DATA Entry'!H130))</f>
        <v/>
      </c>
      <c r="I133" s="462" t="str">
        <f>IF('Student DATA Entry'!I130="","",UPPER('Student DATA Entry'!I130))</f>
        <v/>
      </c>
      <c r="J133" s="463" t="str">
        <f>IF('Student DATA Entry'!L130="","",UPPER('Student DATA Entry'!L130))</f>
        <v/>
      </c>
      <c r="K133" s="469" t="str">
        <f>IF('Student DATA Entry'!J130="","",UPPER('Student DATA Entry'!J130))</f>
        <v/>
      </c>
      <c r="L133" s="491"/>
      <c r="M133" s="8"/>
      <c r="N133" s="8"/>
      <c r="O133" s="9"/>
      <c r="P133" s="492"/>
      <c r="Q133" s="491"/>
      <c r="R133" s="8"/>
      <c r="S133" s="8"/>
      <c r="T133" s="9"/>
      <c r="U133" s="492"/>
      <c r="V133" s="502"/>
      <c r="W133" s="7"/>
      <c r="X133" s="8"/>
      <c r="Y133" s="8"/>
      <c r="Z133" s="9"/>
      <c r="AA133" s="492"/>
      <c r="AB133" s="491"/>
      <c r="AC133" s="8"/>
      <c r="AD133" s="8"/>
      <c r="AE133" s="9"/>
      <c r="AF133" s="492"/>
      <c r="AG133" s="491"/>
      <c r="AH133" s="8"/>
      <c r="AI133" s="8"/>
      <c r="AJ133" s="9"/>
      <c r="AK133" s="492"/>
      <c r="AL133" s="491"/>
      <c r="AM133" s="8"/>
      <c r="AN133" s="8"/>
      <c r="AO133" s="9"/>
      <c r="AP133" s="492"/>
      <c r="AQ133" s="506"/>
      <c r="AR133" s="491"/>
      <c r="AS133" s="8"/>
      <c r="AT133" s="8"/>
      <c r="AU133" s="9"/>
      <c r="AV133" s="9"/>
      <c r="AW133" s="17"/>
      <c r="AX133" s="492"/>
      <c r="AY133" s="491"/>
      <c r="AZ133" s="7"/>
      <c r="BA133" s="9"/>
      <c r="BB133" s="9"/>
      <c r="BC133" s="492"/>
      <c r="BD133" s="491"/>
      <c r="BE133" s="7"/>
      <c r="BF133" s="7"/>
      <c r="BG133" s="7"/>
      <c r="BH133" s="9"/>
      <c r="BI133" s="9"/>
      <c r="BJ133" s="492"/>
      <c r="BK133" s="491"/>
      <c r="BL133" s="7"/>
      <c r="BM133" s="7"/>
      <c r="BN133" s="7"/>
      <c r="BO133" s="7"/>
      <c r="BP133" s="7"/>
      <c r="BQ133" s="7"/>
      <c r="BR133" s="8"/>
      <c r="BS133" s="8"/>
      <c r="BT133" s="509"/>
      <c r="BU133" s="491"/>
      <c r="BV133" s="8"/>
      <c r="BW133" s="509"/>
      <c r="BX133" s="491"/>
      <c r="BY133" s="8"/>
      <c r="BZ133" s="509"/>
      <c r="CA133" s="751"/>
    </row>
    <row r="134" spans="1:79" ht="24.95" customHeight="1">
      <c r="A134" s="468">
        <f>IF('Student DATA Entry'!A131="","",'Student DATA Entry'!A131)</f>
        <v>128</v>
      </c>
      <c r="B134" s="459" t="str">
        <f>IF('Student DATA Entry'!B131="","",'Student DATA Entry'!B131)</f>
        <v/>
      </c>
      <c r="C134" s="459" t="str">
        <f>IF('Student DATA Entry'!C131="","",'Student DATA Entry'!C131)</f>
        <v/>
      </c>
      <c r="D134" s="459" t="str">
        <f>IF('Student DATA Entry'!D131="","",'Student DATA Entry'!D131)</f>
        <v/>
      </c>
      <c r="E134" s="459" t="str">
        <f>IF('Student DATA Entry'!E131="","",'Student DATA Entry'!E131)</f>
        <v/>
      </c>
      <c r="F134" s="460" t="str">
        <f>IF('Student DATA Entry'!K131="","",'Student DATA Entry'!K131)</f>
        <v/>
      </c>
      <c r="G134" s="461" t="str">
        <f>IF('Student DATA Entry'!G131="","",UPPER('Student DATA Entry'!G131))</f>
        <v/>
      </c>
      <c r="H134" s="461" t="str">
        <f>IF('Student DATA Entry'!H131="","",UPPER('Student DATA Entry'!H131))</f>
        <v/>
      </c>
      <c r="I134" s="462" t="str">
        <f>IF('Student DATA Entry'!I131="","",UPPER('Student DATA Entry'!I131))</f>
        <v/>
      </c>
      <c r="J134" s="463" t="str">
        <f>IF('Student DATA Entry'!L131="","",UPPER('Student DATA Entry'!L131))</f>
        <v/>
      </c>
      <c r="K134" s="469" t="str">
        <f>IF('Student DATA Entry'!J131="","",UPPER('Student DATA Entry'!J131))</f>
        <v/>
      </c>
      <c r="L134" s="491"/>
      <c r="M134" s="8"/>
      <c r="N134" s="8"/>
      <c r="O134" s="9"/>
      <c r="P134" s="492"/>
      <c r="Q134" s="491"/>
      <c r="R134" s="8"/>
      <c r="S134" s="8"/>
      <c r="T134" s="9"/>
      <c r="U134" s="492"/>
      <c r="V134" s="502"/>
      <c r="W134" s="7"/>
      <c r="X134" s="8"/>
      <c r="Y134" s="8"/>
      <c r="Z134" s="9"/>
      <c r="AA134" s="492"/>
      <c r="AB134" s="491"/>
      <c r="AC134" s="8"/>
      <c r="AD134" s="8"/>
      <c r="AE134" s="9"/>
      <c r="AF134" s="492"/>
      <c r="AG134" s="491"/>
      <c r="AH134" s="8"/>
      <c r="AI134" s="8"/>
      <c r="AJ134" s="9"/>
      <c r="AK134" s="492"/>
      <c r="AL134" s="491"/>
      <c r="AM134" s="8"/>
      <c r="AN134" s="8"/>
      <c r="AO134" s="9"/>
      <c r="AP134" s="492"/>
      <c r="AQ134" s="506"/>
      <c r="AR134" s="491"/>
      <c r="AS134" s="8"/>
      <c r="AT134" s="8"/>
      <c r="AU134" s="9"/>
      <c r="AV134" s="9"/>
      <c r="AW134" s="17"/>
      <c r="AX134" s="492"/>
      <c r="AY134" s="491"/>
      <c r="AZ134" s="7"/>
      <c r="BA134" s="9"/>
      <c r="BB134" s="9"/>
      <c r="BC134" s="492"/>
      <c r="BD134" s="491"/>
      <c r="BE134" s="7"/>
      <c r="BF134" s="7"/>
      <c r="BG134" s="7"/>
      <c r="BH134" s="9"/>
      <c r="BI134" s="9"/>
      <c r="BJ134" s="492"/>
      <c r="BK134" s="491"/>
      <c r="BL134" s="7"/>
      <c r="BM134" s="7"/>
      <c r="BN134" s="7"/>
      <c r="BO134" s="7"/>
      <c r="BP134" s="7"/>
      <c r="BQ134" s="7"/>
      <c r="BR134" s="8"/>
      <c r="BS134" s="8"/>
      <c r="BT134" s="509"/>
      <c r="BU134" s="491"/>
      <c r="BV134" s="8"/>
      <c r="BW134" s="509"/>
      <c r="BX134" s="491"/>
      <c r="BY134" s="8"/>
      <c r="BZ134" s="509"/>
      <c r="CA134" s="751"/>
    </row>
    <row r="135" spans="1:79" ht="24.95" customHeight="1">
      <c r="A135" s="468">
        <f>IF('Student DATA Entry'!A132="","",'Student DATA Entry'!A132)</f>
        <v>129</v>
      </c>
      <c r="B135" s="459" t="str">
        <f>IF('Student DATA Entry'!B132="","",'Student DATA Entry'!B132)</f>
        <v/>
      </c>
      <c r="C135" s="459" t="str">
        <f>IF('Student DATA Entry'!C132="","",'Student DATA Entry'!C132)</f>
        <v/>
      </c>
      <c r="D135" s="459" t="str">
        <f>IF('Student DATA Entry'!D132="","",'Student DATA Entry'!D132)</f>
        <v/>
      </c>
      <c r="E135" s="459" t="str">
        <f>IF('Student DATA Entry'!E132="","",'Student DATA Entry'!E132)</f>
        <v/>
      </c>
      <c r="F135" s="460" t="str">
        <f>IF('Student DATA Entry'!K132="","",'Student DATA Entry'!K132)</f>
        <v/>
      </c>
      <c r="G135" s="461" t="str">
        <f>IF('Student DATA Entry'!G132="","",UPPER('Student DATA Entry'!G132))</f>
        <v/>
      </c>
      <c r="H135" s="461" t="str">
        <f>IF('Student DATA Entry'!H132="","",UPPER('Student DATA Entry'!H132))</f>
        <v/>
      </c>
      <c r="I135" s="462" t="str">
        <f>IF('Student DATA Entry'!I132="","",UPPER('Student DATA Entry'!I132))</f>
        <v/>
      </c>
      <c r="J135" s="463" t="str">
        <f>IF('Student DATA Entry'!L132="","",UPPER('Student DATA Entry'!L132))</f>
        <v/>
      </c>
      <c r="K135" s="469" t="str">
        <f>IF('Student DATA Entry'!J132="","",UPPER('Student DATA Entry'!J132))</f>
        <v/>
      </c>
      <c r="L135" s="491"/>
      <c r="M135" s="8"/>
      <c r="N135" s="8"/>
      <c r="O135" s="9"/>
      <c r="P135" s="492"/>
      <c r="Q135" s="491"/>
      <c r="R135" s="8"/>
      <c r="S135" s="8"/>
      <c r="T135" s="9"/>
      <c r="U135" s="492"/>
      <c r="V135" s="502"/>
      <c r="W135" s="7"/>
      <c r="X135" s="8"/>
      <c r="Y135" s="8"/>
      <c r="Z135" s="9"/>
      <c r="AA135" s="492"/>
      <c r="AB135" s="491"/>
      <c r="AC135" s="8"/>
      <c r="AD135" s="8"/>
      <c r="AE135" s="9"/>
      <c r="AF135" s="492"/>
      <c r="AG135" s="491"/>
      <c r="AH135" s="8"/>
      <c r="AI135" s="8"/>
      <c r="AJ135" s="9"/>
      <c r="AK135" s="492"/>
      <c r="AL135" s="491"/>
      <c r="AM135" s="8"/>
      <c r="AN135" s="8"/>
      <c r="AO135" s="9"/>
      <c r="AP135" s="492"/>
      <c r="AQ135" s="506"/>
      <c r="AR135" s="491"/>
      <c r="AS135" s="8"/>
      <c r="AT135" s="8"/>
      <c r="AU135" s="9"/>
      <c r="AV135" s="9"/>
      <c r="AW135" s="17"/>
      <c r="AX135" s="492"/>
      <c r="AY135" s="491"/>
      <c r="AZ135" s="7"/>
      <c r="BA135" s="9"/>
      <c r="BB135" s="9"/>
      <c r="BC135" s="492"/>
      <c r="BD135" s="491"/>
      <c r="BE135" s="7"/>
      <c r="BF135" s="7"/>
      <c r="BG135" s="7"/>
      <c r="BH135" s="9"/>
      <c r="BI135" s="9"/>
      <c r="BJ135" s="492"/>
      <c r="BK135" s="491"/>
      <c r="BL135" s="7"/>
      <c r="BM135" s="7"/>
      <c r="BN135" s="7"/>
      <c r="BO135" s="7"/>
      <c r="BP135" s="7"/>
      <c r="BQ135" s="7"/>
      <c r="BR135" s="8"/>
      <c r="BS135" s="8"/>
      <c r="BT135" s="509"/>
      <c r="BU135" s="491"/>
      <c r="BV135" s="8"/>
      <c r="BW135" s="509"/>
      <c r="BX135" s="491"/>
      <c r="BY135" s="8"/>
      <c r="BZ135" s="509"/>
      <c r="CA135" s="751"/>
    </row>
    <row r="136" spans="1:79" ht="24.95" customHeight="1">
      <c r="A136" s="468">
        <f>IF('Student DATA Entry'!A133="","",'Student DATA Entry'!A133)</f>
        <v>130</v>
      </c>
      <c r="B136" s="459" t="str">
        <f>IF('Student DATA Entry'!B133="","",'Student DATA Entry'!B133)</f>
        <v/>
      </c>
      <c r="C136" s="459" t="str">
        <f>IF('Student DATA Entry'!C133="","",'Student DATA Entry'!C133)</f>
        <v/>
      </c>
      <c r="D136" s="459" t="str">
        <f>IF('Student DATA Entry'!D133="","",'Student DATA Entry'!D133)</f>
        <v/>
      </c>
      <c r="E136" s="459" t="str">
        <f>IF('Student DATA Entry'!E133="","",'Student DATA Entry'!E133)</f>
        <v/>
      </c>
      <c r="F136" s="460" t="str">
        <f>IF('Student DATA Entry'!K133="","",'Student DATA Entry'!K133)</f>
        <v/>
      </c>
      <c r="G136" s="461" t="str">
        <f>IF('Student DATA Entry'!G133="","",UPPER('Student DATA Entry'!G133))</f>
        <v/>
      </c>
      <c r="H136" s="461" t="str">
        <f>IF('Student DATA Entry'!H133="","",UPPER('Student DATA Entry'!H133))</f>
        <v/>
      </c>
      <c r="I136" s="462" t="str">
        <f>IF('Student DATA Entry'!I133="","",UPPER('Student DATA Entry'!I133))</f>
        <v/>
      </c>
      <c r="J136" s="463" t="str">
        <f>IF('Student DATA Entry'!L133="","",UPPER('Student DATA Entry'!L133))</f>
        <v/>
      </c>
      <c r="K136" s="469" t="str">
        <f>IF('Student DATA Entry'!J133="","",UPPER('Student DATA Entry'!J133))</f>
        <v/>
      </c>
      <c r="L136" s="491"/>
      <c r="M136" s="8"/>
      <c r="N136" s="8"/>
      <c r="O136" s="9"/>
      <c r="P136" s="492"/>
      <c r="Q136" s="491"/>
      <c r="R136" s="8"/>
      <c r="S136" s="8"/>
      <c r="T136" s="9"/>
      <c r="U136" s="492"/>
      <c r="V136" s="502"/>
      <c r="W136" s="7"/>
      <c r="X136" s="8"/>
      <c r="Y136" s="8"/>
      <c r="Z136" s="9"/>
      <c r="AA136" s="492"/>
      <c r="AB136" s="491"/>
      <c r="AC136" s="8"/>
      <c r="AD136" s="8"/>
      <c r="AE136" s="9"/>
      <c r="AF136" s="492"/>
      <c r="AG136" s="491"/>
      <c r="AH136" s="8"/>
      <c r="AI136" s="8"/>
      <c r="AJ136" s="9"/>
      <c r="AK136" s="492"/>
      <c r="AL136" s="491"/>
      <c r="AM136" s="8"/>
      <c r="AN136" s="8"/>
      <c r="AO136" s="9"/>
      <c r="AP136" s="492"/>
      <c r="AQ136" s="506"/>
      <c r="AR136" s="491"/>
      <c r="AS136" s="8"/>
      <c r="AT136" s="8"/>
      <c r="AU136" s="9"/>
      <c r="AV136" s="9"/>
      <c r="AW136" s="17"/>
      <c r="AX136" s="492"/>
      <c r="AY136" s="491"/>
      <c r="AZ136" s="7"/>
      <c r="BA136" s="9"/>
      <c r="BB136" s="9"/>
      <c r="BC136" s="492"/>
      <c r="BD136" s="491"/>
      <c r="BE136" s="7"/>
      <c r="BF136" s="7"/>
      <c r="BG136" s="7"/>
      <c r="BH136" s="9"/>
      <c r="BI136" s="9"/>
      <c r="BJ136" s="492"/>
      <c r="BK136" s="491"/>
      <c r="BL136" s="7"/>
      <c r="BM136" s="7"/>
      <c r="BN136" s="7"/>
      <c r="BO136" s="7"/>
      <c r="BP136" s="7"/>
      <c r="BQ136" s="7"/>
      <c r="BR136" s="8"/>
      <c r="BS136" s="8"/>
      <c r="BT136" s="509"/>
      <c r="BU136" s="491"/>
      <c r="BV136" s="8"/>
      <c r="BW136" s="509"/>
      <c r="BX136" s="491"/>
      <c r="BY136" s="8"/>
      <c r="BZ136" s="509"/>
      <c r="CA136" s="751"/>
    </row>
    <row r="137" spans="1:79" ht="24.95" customHeight="1">
      <c r="A137" s="468">
        <f>IF('Student DATA Entry'!A134="","",'Student DATA Entry'!A134)</f>
        <v>131</v>
      </c>
      <c r="B137" s="459" t="str">
        <f>IF('Student DATA Entry'!B134="","",'Student DATA Entry'!B134)</f>
        <v/>
      </c>
      <c r="C137" s="459" t="str">
        <f>IF('Student DATA Entry'!C134="","",'Student DATA Entry'!C134)</f>
        <v/>
      </c>
      <c r="D137" s="459" t="str">
        <f>IF('Student DATA Entry'!D134="","",'Student DATA Entry'!D134)</f>
        <v/>
      </c>
      <c r="E137" s="459" t="str">
        <f>IF('Student DATA Entry'!E134="","",'Student DATA Entry'!E134)</f>
        <v/>
      </c>
      <c r="F137" s="460" t="str">
        <f>IF('Student DATA Entry'!K134="","",'Student DATA Entry'!K134)</f>
        <v/>
      </c>
      <c r="G137" s="461" t="str">
        <f>IF('Student DATA Entry'!G134="","",UPPER('Student DATA Entry'!G134))</f>
        <v/>
      </c>
      <c r="H137" s="461" t="str">
        <f>IF('Student DATA Entry'!H134="","",UPPER('Student DATA Entry'!H134))</f>
        <v/>
      </c>
      <c r="I137" s="462" t="str">
        <f>IF('Student DATA Entry'!I134="","",UPPER('Student DATA Entry'!I134))</f>
        <v/>
      </c>
      <c r="J137" s="463" t="str">
        <f>IF('Student DATA Entry'!L134="","",UPPER('Student DATA Entry'!L134))</f>
        <v/>
      </c>
      <c r="K137" s="469" t="str">
        <f>IF('Student DATA Entry'!J134="","",UPPER('Student DATA Entry'!J134))</f>
        <v/>
      </c>
      <c r="L137" s="491"/>
      <c r="M137" s="8"/>
      <c r="N137" s="8"/>
      <c r="O137" s="9"/>
      <c r="P137" s="492"/>
      <c r="Q137" s="491"/>
      <c r="R137" s="8"/>
      <c r="S137" s="8"/>
      <c r="T137" s="9"/>
      <c r="U137" s="492"/>
      <c r="V137" s="502"/>
      <c r="W137" s="7"/>
      <c r="X137" s="8"/>
      <c r="Y137" s="8"/>
      <c r="Z137" s="9"/>
      <c r="AA137" s="492"/>
      <c r="AB137" s="491"/>
      <c r="AC137" s="8"/>
      <c r="AD137" s="8"/>
      <c r="AE137" s="9"/>
      <c r="AF137" s="492"/>
      <c r="AG137" s="491"/>
      <c r="AH137" s="8"/>
      <c r="AI137" s="8"/>
      <c r="AJ137" s="9"/>
      <c r="AK137" s="492"/>
      <c r="AL137" s="491"/>
      <c r="AM137" s="8"/>
      <c r="AN137" s="8"/>
      <c r="AO137" s="9"/>
      <c r="AP137" s="492"/>
      <c r="AQ137" s="506"/>
      <c r="AR137" s="491"/>
      <c r="AS137" s="8"/>
      <c r="AT137" s="8"/>
      <c r="AU137" s="9"/>
      <c r="AV137" s="9"/>
      <c r="AW137" s="17"/>
      <c r="AX137" s="492"/>
      <c r="AY137" s="491"/>
      <c r="AZ137" s="7"/>
      <c r="BA137" s="9"/>
      <c r="BB137" s="9"/>
      <c r="BC137" s="492"/>
      <c r="BD137" s="491"/>
      <c r="BE137" s="7"/>
      <c r="BF137" s="7"/>
      <c r="BG137" s="7"/>
      <c r="BH137" s="9"/>
      <c r="BI137" s="9"/>
      <c r="BJ137" s="492"/>
      <c r="BK137" s="491"/>
      <c r="BL137" s="7"/>
      <c r="BM137" s="7"/>
      <c r="BN137" s="7"/>
      <c r="BO137" s="7"/>
      <c r="BP137" s="7"/>
      <c r="BQ137" s="7"/>
      <c r="BR137" s="8"/>
      <c r="BS137" s="8"/>
      <c r="BT137" s="509"/>
      <c r="BU137" s="491"/>
      <c r="BV137" s="8"/>
      <c r="BW137" s="509"/>
      <c r="BX137" s="491"/>
      <c r="BY137" s="8"/>
      <c r="BZ137" s="509"/>
      <c r="CA137" s="751"/>
    </row>
    <row r="138" spans="1:79" ht="24.95" customHeight="1">
      <c r="A138" s="468">
        <f>IF('Student DATA Entry'!A135="","",'Student DATA Entry'!A135)</f>
        <v>132</v>
      </c>
      <c r="B138" s="459" t="str">
        <f>IF('Student DATA Entry'!B135="","",'Student DATA Entry'!B135)</f>
        <v/>
      </c>
      <c r="C138" s="459" t="str">
        <f>IF('Student DATA Entry'!C135="","",'Student DATA Entry'!C135)</f>
        <v/>
      </c>
      <c r="D138" s="459" t="str">
        <f>IF('Student DATA Entry'!D135="","",'Student DATA Entry'!D135)</f>
        <v/>
      </c>
      <c r="E138" s="459" t="str">
        <f>IF('Student DATA Entry'!E135="","",'Student DATA Entry'!E135)</f>
        <v/>
      </c>
      <c r="F138" s="460" t="str">
        <f>IF('Student DATA Entry'!K135="","",'Student DATA Entry'!K135)</f>
        <v/>
      </c>
      <c r="G138" s="461" t="str">
        <f>IF('Student DATA Entry'!G135="","",UPPER('Student DATA Entry'!G135))</f>
        <v/>
      </c>
      <c r="H138" s="461" t="str">
        <f>IF('Student DATA Entry'!H135="","",UPPER('Student DATA Entry'!H135))</f>
        <v/>
      </c>
      <c r="I138" s="462" t="str">
        <f>IF('Student DATA Entry'!I135="","",UPPER('Student DATA Entry'!I135))</f>
        <v/>
      </c>
      <c r="J138" s="463" t="str">
        <f>IF('Student DATA Entry'!L135="","",UPPER('Student DATA Entry'!L135))</f>
        <v/>
      </c>
      <c r="K138" s="469" t="str">
        <f>IF('Student DATA Entry'!J135="","",UPPER('Student DATA Entry'!J135))</f>
        <v/>
      </c>
      <c r="L138" s="491"/>
      <c r="M138" s="8"/>
      <c r="N138" s="8"/>
      <c r="O138" s="9"/>
      <c r="P138" s="492"/>
      <c r="Q138" s="491"/>
      <c r="R138" s="8"/>
      <c r="S138" s="8"/>
      <c r="T138" s="9"/>
      <c r="U138" s="492"/>
      <c r="V138" s="502"/>
      <c r="W138" s="7"/>
      <c r="X138" s="8"/>
      <c r="Y138" s="8"/>
      <c r="Z138" s="9"/>
      <c r="AA138" s="492"/>
      <c r="AB138" s="491"/>
      <c r="AC138" s="8"/>
      <c r="AD138" s="8"/>
      <c r="AE138" s="9"/>
      <c r="AF138" s="492"/>
      <c r="AG138" s="491"/>
      <c r="AH138" s="8"/>
      <c r="AI138" s="8"/>
      <c r="AJ138" s="9"/>
      <c r="AK138" s="492"/>
      <c r="AL138" s="491"/>
      <c r="AM138" s="8"/>
      <c r="AN138" s="8"/>
      <c r="AO138" s="9"/>
      <c r="AP138" s="492"/>
      <c r="AQ138" s="506"/>
      <c r="AR138" s="491"/>
      <c r="AS138" s="8"/>
      <c r="AT138" s="8"/>
      <c r="AU138" s="9"/>
      <c r="AV138" s="9"/>
      <c r="AW138" s="17"/>
      <c r="AX138" s="492"/>
      <c r="AY138" s="491"/>
      <c r="AZ138" s="7"/>
      <c r="BA138" s="9"/>
      <c r="BB138" s="9"/>
      <c r="BC138" s="492"/>
      <c r="BD138" s="491"/>
      <c r="BE138" s="7"/>
      <c r="BF138" s="7"/>
      <c r="BG138" s="7"/>
      <c r="BH138" s="9"/>
      <c r="BI138" s="9"/>
      <c r="BJ138" s="492"/>
      <c r="BK138" s="491"/>
      <c r="BL138" s="7"/>
      <c r="BM138" s="7"/>
      <c r="BN138" s="7"/>
      <c r="BO138" s="7"/>
      <c r="BP138" s="7"/>
      <c r="BQ138" s="7"/>
      <c r="BR138" s="8"/>
      <c r="BS138" s="8"/>
      <c r="BT138" s="509"/>
      <c r="BU138" s="491"/>
      <c r="BV138" s="8"/>
      <c r="BW138" s="509"/>
      <c r="BX138" s="491"/>
      <c r="BY138" s="8"/>
      <c r="BZ138" s="509"/>
      <c r="CA138" s="751"/>
    </row>
    <row r="139" spans="1:79" ht="24.95" customHeight="1">
      <c r="A139" s="468">
        <f>IF('Student DATA Entry'!A136="","",'Student DATA Entry'!A136)</f>
        <v>133</v>
      </c>
      <c r="B139" s="459" t="str">
        <f>IF('Student DATA Entry'!B136="","",'Student DATA Entry'!B136)</f>
        <v/>
      </c>
      <c r="C139" s="459" t="str">
        <f>IF('Student DATA Entry'!C136="","",'Student DATA Entry'!C136)</f>
        <v/>
      </c>
      <c r="D139" s="459" t="str">
        <f>IF('Student DATA Entry'!D136="","",'Student DATA Entry'!D136)</f>
        <v/>
      </c>
      <c r="E139" s="459" t="str">
        <f>IF('Student DATA Entry'!E136="","",'Student DATA Entry'!E136)</f>
        <v/>
      </c>
      <c r="F139" s="460" t="str">
        <f>IF('Student DATA Entry'!K136="","",'Student DATA Entry'!K136)</f>
        <v/>
      </c>
      <c r="G139" s="461" t="str">
        <f>IF('Student DATA Entry'!G136="","",UPPER('Student DATA Entry'!G136))</f>
        <v/>
      </c>
      <c r="H139" s="461" t="str">
        <f>IF('Student DATA Entry'!H136="","",UPPER('Student DATA Entry'!H136))</f>
        <v/>
      </c>
      <c r="I139" s="462" t="str">
        <f>IF('Student DATA Entry'!I136="","",UPPER('Student DATA Entry'!I136))</f>
        <v/>
      </c>
      <c r="J139" s="463" t="str">
        <f>IF('Student DATA Entry'!L136="","",UPPER('Student DATA Entry'!L136))</f>
        <v/>
      </c>
      <c r="K139" s="469" t="str">
        <f>IF('Student DATA Entry'!J136="","",UPPER('Student DATA Entry'!J136))</f>
        <v/>
      </c>
      <c r="L139" s="491"/>
      <c r="M139" s="8"/>
      <c r="N139" s="8"/>
      <c r="O139" s="9"/>
      <c r="P139" s="492"/>
      <c r="Q139" s="491"/>
      <c r="R139" s="8"/>
      <c r="S139" s="8"/>
      <c r="T139" s="9"/>
      <c r="U139" s="492"/>
      <c r="V139" s="502"/>
      <c r="W139" s="7"/>
      <c r="X139" s="8"/>
      <c r="Y139" s="8"/>
      <c r="Z139" s="9"/>
      <c r="AA139" s="492"/>
      <c r="AB139" s="491"/>
      <c r="AC139" s="8"/>
      <c r="AD139" s="8"/>
      <c r="AE139" s="9"/>
      <c r="AF139" s="492"/>
      <c r="AG139" s="491"/>
      <c r="AH139" s="8"/>
      <c r="AI139" s="8"/>
      <c r="AJ139" s="9"/>
      <c r="AK139" s="492"/>
      <c r="AL139" s="491"/>
      <c r="AM139" s="8"/>
      <c r="AN139" s="8"/>
      <c r="AO139" s="9"/>
      <c r="AP139" s="492"/>
      <c r="AQ139" s="506"/>
      <c r="AR139" s="491"/>
      <c r="AS139" s="8"/>
      <c r="AT139" s="8"/>
      <c r="AU139" s="9"/>
      <c r="AV139" s="9"/>
      <c r="AW139" s="17"/>
      <c r="AX139" s="492"/>
      <c r="AY139" s="491"/>
      <c r="AZ139" s="7"/>
      <c r="BA139" s="9"/>
      <c r="BB139" s="9"/>
      <c r="BC139" s="492"/>
      <c r="BD139" s="491"/>
      <c r="BE139" s="7"/>
      <c r="BF139" s="7"/>
      <c r="BG139" s="7"/>
      <c r="BH139" s="9"/>
      <c r="BI139" s="9"/>
      <c r="BJ139" s="492"/>
      <c r="BK139" s="491"/>
      <c r="BL139" s="7"/>
      <c r="BM139" s="7"/>
      <c r="BN139" s="7"/>
      <c r="BO139" s="7"/>
      <c r="BP139" s="7"/>
      <c r="BQ139" s="7"/>
      <c r="BR139" s="8"/>
      <c r="BS139" s="8"/>
      <c r="BT139" s="509"/>
      <c r="BU139" s="491"/>
      <c r="BV139" s="8"/>
      <c r="BW139" s="509"/>
      <c r="BX139" s="491"/>
      <c r="BY139" s="8"/>
      <c r="BZ139" s="509"/>
      <c r="CA139" s="751"/>
    </row>
    <row r="140" spans="1:79" ht="24.95" customHeight="1">
      <c r="A140" s="468">
        <f>IF('Student DATA Entry'!A137="","",'Student DATA Entry'!A137)</f>
        <v>134</v>
      </c>
      <c r="B140" s="459" t="str">
        <f>IF('Student DATA Entry'!B137="","",'Student DATA Entry'!B137)</f>
        <v/>
      </c>
      <c r="C140" s="459" t="str">
        <f>IF('Student DATA Entry'!C137="","",'Student DATA Entry'!C137)</f>
        <v/>
      </c>
      <c r="D140" s="459" t="str">
        <f>IF('Student DATA Entry'!D137="","",'Student DATA Entry'!D137)</f>
        <v/>
      </c>
      <c r="E140" s="459" t="str">
        <f>IF('Student DATA Entry'!E137="","",'Student DATA Entry'!E137)</f>
        <v/>
      </c>
      <c r="F140" s="460" t="str">
        <f>IF('Student DATA Entry'!K137="","",'Student DATA Entry'!K137)</f>
        <v/>
      </c>
      <c r="G140" s="461" t="str">
        <f>IF('Student DATA Entry'!G137="","",UPPER('Student DATA Entry'!G137))</f>
        <v/>
      </c>
      <c r="H140" s="461" t="str">
        <f>IF('Student DATA Entry'!H137="","",UPPER('Student DATA Entry'!H137))</f>
        <v/>
      </c>
      <c r="I140" s="462" t="str">
        <f>IF('Student DATA Entry'!I137="","",UPPER('Student DATA Entry'!I137))</f>
        <v/>
      </c>
      <c r="J140" s="463" t="str">
        <f>IF('Student DATA Entry'!L137="","",UPPER('Student DATA Entry'!L137))</f>
        <v/>
      </c>
      <c r="K140" s="469" t="str">
        <f>IF('Student DATA Entry'!J137="","",UPPER('Student DATA Entry'!J137))</f>
        <v/>
      </c>
      <c r="L140" s="491"/>
      <c r="M140" s="8"/>
      <c r="N140" s="8"/>
      <c r="O140" s="9"/>
      <c r="P140" s="492"/>
      <c r="Q140" s="491"/>
      <c r="R140" s="8"/>
      <c r="S140" s="8"/>
      <c r="T140" s="9"/>
      <c r="U140" s="492"/>
      <c r="V140" s="502"/>
      <c r="W140" s="7"/>
      <c r="X140" s="8"/>
      <c r="Y140" s="8"/>
      <c r="Z140" s="9"/>
      <c r="AA140" s="492"/>
      <c r="AB140" s="491"/>
      <c r="AC140" s="8"/>
      <c r="AD140" s="8"/>
      <c r="AE140" s="9"/>
      <c r="AF140" s="492"/>
      <c r="AG140" s="491"/>
      <c r="AH140" s="8"/>
      <c r="AI140" s="8"/>
      <c r="AJ140" s="9"/>
      <c r="AK140" s="492"/>
      <c r="AL140" s="491"/>
      <c r="AM140" s="8"/>
      <c r="AN140" s="8"/>
      <c r="AO140" s="9"/>
      <c r="AP140" s="492"/>
      <c r="AQ140" s="506"/>
      <c r="AR140" s="491"/>
      <c r="AS140" s="8"/>
      <c r="AT140" s="8"/>
      <c r="AU140" s="9"/>
      <c r="AV140" s="9"/>
      <c r="AW140" s="17"/>
      <c r="AX140" s="492"/>
      <c r="AY140" s="491"/>
      <c r="AZ140" s="7"/>
      <c r="BA140" s="9"/>
      <c r="BB140" s="9"/>
      <c r="BC140" s="492"/>
      <c r="BD140" s="491"/>
      <c r="BE140" s="7"/>
      <c r="BF140" s="7"/>
      <c r="BG140" s="7"/>
      <c r="BH140" s="9"/>
      <c r="BI140" s="9"/>
      <c r="BJ140" s="492"/>
      <c r="BK140" s="491"/>
      <c r="BL140" s="7"/>
      <c r="BM140" s="7"/>
      <c r="BN140" s="7"/>
      <c r="BO140" s="7"/>
      <c r="BP140" s="7"/>
      <c r="BQ140" s="7"/>
      <c r="BR140" s="8"/>
      <c r="BS140" s="8"/>
      <c r="BT140" s="509"/>
      <c r="BU140" s="491"/>
      <c r="BV140" s="8"/>
      <c r="BW140" s="509"/>
      <c r="BX140" s="491"/>
      <c r="BY140" s="8"/>
      <c r="BZ140" s="509"/>
      <c r="CA140" s="751"/>
    </row>
    <row r="141" spans="1:79" ht="24.95" customHeight="1">
      <c r="A141" s="468">
        <f>IF('Student DATA Entry'!A138="","",'Student DATA Entry'!A138)</f>
        <v>135</v>
      </c>
      <c r="B141" s="459" t="str">
        <f>IF('Student DATA Entry'!B138="","",'Student DATA Entry'!B138)</f>
        <v/>
      </c>
      <c r="C141" s="459" t="str">
        <f>IF('Student DATA Entry'!C138="","",'Student DATA Entry'!C138)</f>
        <v/>
      </c>
      <c r="D141" s="459" t="str">
        <f>IF('Student DATA Entry'!D138="","",'Student DATA Entry'!D138)</f>
        <v/>
      </c>
      <c r="E141" s="459" t="str">
        <f>IF('Student DATA Entry'!E138="","",'Student DATA Entry'!E138)</f>
        <v/>
      </c>
      <c r="F141" s="460" t="str">
        <f>IF('Student DATA Entry'!K138="","",'Student DATA Entry'!K138)</f>
        <v/>
      </c>
      <c r="G141" s="461" t="str">
        <f>IF('Student DATA Entry'!G138="","",UPPER('Student DATA Entry'!G138))</f>
        <v/>
      </c>
      <c r="H141" s="461" t="str">
        <f>IF('Student DATA Entry'!H138="","",UPPER('Student DATA Entry'!H138))</f>
        <v/>
      </c>
      <c r="I141" s="462" t="str">
        <f>IF('Student DATA Entry'!I138="","",UPPER('Student DATA Entry'!I138))</f>
        <v/>
      </c>
      <c r="J141" s="463" t="str">
        <f>IF('Student DATA Entry'!L138="","",UPPER('Student DATA Entry'!L138))</f>
        <v/>
      </c>
      <c r="K141" s="469" t="str">
        <f>IF('Student DATA Entry'!J138="","",UPPER('Student DATA Entry'!J138))</f>
        <v/>
      </c>
      <c r="L141" s="491"/>
      <c r="M141" s="8"/>
      <c r="N141" s="8"/>
      <c r="O141" s="9"/>
      <c r="P141" s="492"/>
      <c r="Q141" s="491"/>
      <c r="R141" s="8"/>
      <c r="S141" s="8"/>
      <c r="T141" s="9"/>
      <c r="U141" s="492"/>
      <c r="V141" s="502"/>
      <c r="W141" s="7"/>
      <c r="X141" s="8"/>
      <c r="Y141" s="8"/>
      <c r="Z141" s="9"/>
      <c r="AA141" s="492"/>
      <c r="AB141" s="491"/>
      <c r="AC141" s="8"/>
      <c r="AD141" s="8"/>
      <c r="AE141" s="9"/>
      <c r="AF141" s="492"/>
      <c r="AG141" s="491"/>
      <c r="AH141" s="8"/>
      <c r="AI141" s="8"/>
      <c r="AJ141" s="9"/>
      <c r="AK141" s="492"/>
      <c r="AL141" s="491"/>
      <c r="AM141" s="8"/>
      <c r="AN141" s="8"/>
      <c r="AO141" s="9"/>
      <c r="AP141" s="492"/>
      <c r="AQ141" s="506"/>
      <c r="AR141" s="491"/>
      <c r="AS141" s="8"/>
      <c r="AT141" s="8"/>
      <c r="AU141" s="9"/>
      <c r="AV141" s="9"/>
      <c r="AW141" s="17"/>
      <c r="AX141" s="492"/>
      <c r="AY141" s="491"/>
      <c r="AZ141" s="7"/>
      <c r="BA141" s="9"/>
      <c r="BB141" s="9"/>
      <c r="BC141" s="492"/>
      <c r="BD141" s="491"/>
      <c r="BE141" s="7"/>
      <c r="BF141" s="7"/>
      <c r="BG141" s="7"/>
      <c r="BH141" s="9"/>
      <c r="BI141" s="9"/>
      <c r="BJ141" s="492"/>
      <c r="BK141" s="491"/>
      <c r="BL141" s="7"/>
      <c r="BM141" s="7"/>
      <c r="BN141" s="7"/>
      <c r="BO141" s="7"/>
      <c r="BP141" s="7"/>
      <c r="BQ141" s="7"/>
      <c r="BR141" s="8"/>
      <c r="BS141" s="8"/>
      <c r="BT141" s="509"/>
      <c r="BU141" s="491"/>
      <c r="BV141" s="8"/>
      <c r="BW141" s="509"/>
      <c r="BX141" s="491"/>
      <c r="BY141" s="8"/>
      <c r="BZ141" s="509"/>
      <c r="CA141" s="751"/>
    </row>
    <row r="142" spans="1:79" ht="24.95" customHeight="1">
      <c r="A142" s="468">
        <f>IF('Student DATA Entry'!A139="","",'Student DATA Entry'!A139)</f>
        <v>136</v>
      </c>
      <c r="B142" s="459" t="str">
        <f>IF('Student DATA Entry'!B139="","",'Student DATA Entry'!B139)</f>
        <v/>
      </c>
      <c r="C142" s="459" t="str">
        <f>IF('Student DATA Entry'!C139="","",'Student DATA Entry'!C139)</f>
        <v/>
      </c>
      <c r="D142" s="459" t="str">
        <f>IF('Student DATA Entry'!D139="","",'Student DATA Entry'!D139)</f>
        <v/>
      </c>
      <c r="E142" s="459" t="str">
        <f>IF('Student DATA Entry'!E139="","",'Student DATA Entry'!E139)</f>
        <v/>
      </c>
      <c r="F142" s="460" t="str">
        <f>IF('Student DATA Entry'!K139="","",'Student DATA Entry'!K139)</f>
        <v/>
      </c>
      <c r="G142" s="461" t="str">
        <f>IF('Student DATA Entry'!G139="","",UPPER('Student DATA Entry'!G139))</f>
        <v/>
      </c>
      <c r="H142" s="461" t="str">
        <f>IF('Student DATA Entry'!H139="","",UPPER('Student DATA Entry'!H139))</f>
        <v/>
      </c>
      <c r="I142" s="462" t="str">
        <f>IF('Student DATA Entry'!I139="","",UPPER('Student DATA Entry'!I139))</f>
        <v/>
      </c>
      <c r="J142" s="463" t="str">
        <f>IF('Student DATA Entry'!L139="","",UPPER('Student DATA Entry'!L139))</f>
        <v/>
      </c>
      <c r="K142" s="469" t="str">
        <f>IF('Student DATA Entry'!J139="","",UPPER('Student DATA Entry'!J139))</f>
        <v/>
      </c>
      <c r="L142" s="491"/>
      <c r="M142" s="8"/>
      <c r="N142" s="8"/>
      <c r="O142" s="9"/>
      <c r="P142" s="492"/>
      <c r="Q142" s="491"/>
      <c r="R142" s="8"/>
      <c r="S142" s="8"/>
      <c r="T142" s="9"/>
      <c r="U142" s="492"/>
      <c r="V142" s="502"/>
      <c r="W142" s="7"/>
      <c r="X142" s="8"/>
      <c r="Y142" s="8"/>
      <c r="Z142" s="9"/>
      <c r="AA142" s="492"/>
      <c r="AB142" s="491"/>
      <c r="AC142" s="8"/>
      <c r="AD142" s="8"/>
      <c r="AE142" s="9"/>
      <c r="AF142" s="492"/>
      <c r="AG142" s="491"/>
      <c r="AH142" s="8"/>
      <c r="AI142" s="8"/>
      <c r="AJ142" s="9"/>
      <c r="AK142" s="492"/>
      <c r="AL142" s="491"/>
      <c r="AM142" s="8"/>
      <c r="AN142" s="8"/>
      <c r="AO142" s="9"/>
      <c r="AP142" s="492"/>
      <c r="AQ142" s="506"/>
      <c r="AR142" s="491"/>
      <c r="AS142" s="8"/>
      <c r="AT142" s="8"/>
      <c r="AU142" s="9"/>
      <c r="AV142" s="9"/>
      <c r="AW142" s="17"/>
      <c r="AX142" s="492"/>
      <c r="AY142" s="491"/>
      <c r="AZ142" s="7"/>
      <c r="BA142" s="9"/>
      <c r="BB142" s="9"/>
      <c r="BC142" s="492"/>
      <c r="BD142" s="491"/>
      <c r="BE142" s="7"/>
      <c r="BF142" s="7"/>
      <c r="BG142" s="7"/>
      <c r="BH142" s="9"/>
      <c r="BI142" s="9"/>
      <c r="BJ142" s="492"/>
      <c r="BK142" s="491"/>
      <c r="BL142" s="7"/>
      <c r="BM142" s="7"/>
      <c r="BN142" s="7"/>
      <c r="BO142" s="7"/>
      <c r="BP142" s="7"/>
      <c r="BQ142" s="7"/>
      <c r="BR142" s="8"/>
      <c r="BS142" s="8"/>
      <c r="BT142" s="509"/>
      <c r="BU142" s="491"/>
      <c r="BV142" s="8"/>
      <c r="BW142" s="509"/>
      <c r="BX142" s="491"/>
      <c r="BY142" s="8"/>
      <c r="BZ142" s="509"/>
      <c r="CA142" s="751"/>
    </row>
    <row r="143" spans="1:79" ht="24.95" customHeight="1">
      <c r="A143" s="468">
        <f>IF('Student DATA Entry'!A140="","",'Student DATA Entry'!A140)</f>
        <v>137</v>
      </c>
      <c r="B143" s="459" t="str">
        <f>IF('Student DATA Entry'!B140="","",'Student DATA Entry'!B140)</f>
        <v/>
      </c>
      <c r="C143" s="459" t="str">
        <f>IF('Student DATA Entry'!C140="","",'Student DATA Entry'!C140)</f>
        <v/>
      </c>
      <c r="D143" s="459" t="str">
        <f>IF('Student DATA Entry'!D140="","",'Student DATA Entry'!D140)</f>
        <v/>
      </c>
      <c r="E143" s="459" t="str">
        <f>IF('Student DATA Entry'!E140="","",'Student DATA Entry'!E140)</f>
        <v/>
      </c>
      <c r="F143" s="460" t="str">
        <f>IF('Student DATA Entry'!K140="","",'Student DATA Entry'!K140)</f>
        <v/>
      </c>
      <c r="G143" s="461" t="str">
        <f>IF('Student DATA Entry'!G140="","",UPPER('Student DATA Entry'!G140))</f>
        <v/>
      </c>
      <c r="H143" s="461" t="str">
        <f>IF('Student DATA Entry'!H140="","",UPPER('Student DATA Entry'!H140))</f>
        <v/>
      </c>
      <c r="I143" s="462" t="str">
        <f>IF('Student DATA Entry'!I140="","",UPPER('Student DATA Entry'!I140))</f>
        <v/>
      </c>
      <c r="J143" s="463" t="str">
        <f>IF('Student DATA Entry'!L140="","",UPPER('Student DATA Entry'!L140))</f>
        <v/>
      </c>
      <c r="K143" s="469" t="str">
        <f>IF('Student DATA Entry'!J140="","",UPPER('Student DATA Entry'!J140))</f>
        <v/>
      </c>
      <c r="L143" s="491"/>
      <c r="M143" s="8"/>
      <c r="N143" s="8"/>
      <c r="O143" s="9"/>
      <c r="P143" s="492"/>
      <c r="Q143" s="491"/>
      <c r="R143" s="8"/>
      <c r="S143" s="8"/>
      <c r="T143" s="9"/>
      <c r="U143" s="492"/>
      <c r="V143" s="502"/>
      <c r="W143" s="7"/>
      <c r="X143" s="8"/>
      <c r="Y143" s="8"/>
      <c r="Z143" s="9"/>
      <c r="AA143" s="492"/>
      <c r="AB143" s="491"/>
      <c r="AC143" s="8"/>
      <c r="AD143" s="8"/>
      <c r="AE143" s="9"/>
      <c r="AF143" s="492"/>
      <c r="AG143" s="491"/>
      <c r="AH143" s="8"/>
      <c r="AI143" s="8"/>
      <c r="AJ143" s="9"/>
      <c r="AK143" s="492"/>
      <c r="AL143" s="491"/>
      <c r="AM143" s="8"/>
      <c r="AN143" s="8"/>
      <c r="AO143" s="9"/>
      <c r="AP143" s="492"/>
      <c r="AQ143" s="506"/>
      <c r="AR143" s="491"/>
      <c r="AS143" s="8"/>
      <c r="AT143" s="8"/>
      <c r="AU143" s="9"/>
      <c r="AV143" s="9"/>
      <c r="AW143" s="17"/>
      <c r="AX143" s="492"/>
      <c r="AY143" s="491"/>
      <c r="AZ143" s="7"/>
      <c r="BA143" s="9"/>
      <c r="BB143" s="9"/>
      <c r="BC143" s="492"/>
      <c r="BD143" s="491"/>
      <c r="BE143" s="7"/>
      <c r="BF143" s="7"/>
      <c r="BG143" s="7"/>
      <c r="BH143" s="9"/>
      <c r="BI143" s="9"/>
      <c r="BJ143" s="492"/>
      <c r="BK143" s="491"/>
      <c r="BL143" s="7"/>
      <c r="BM143" s="7"/>
      <c r="BN143" s="7"/>
      <c r="BO143" s="7"/>
      <c r="BP143" s="7"/>
      <c r="BQ143" s="7"/>
      <c r="BR143" s="8"/>
      <c r="BS143" s="8"/>
      <c r="BT143" s="509"/>
      <c r="BU143" s="491"/>
      <c r="BV143" s="8"/>
      <c r="BW143" s="509"/>
      <c r="BX143" s="491"/>
      <c r="BY143" s="8"/>
      <c r="BZ143" s="509"/>
      <c r="CA143" s="751"/>
    </row>
    <row r="144" spans="1:79" ht="24.95" customHeight="1">
      <c r="A144" s="468">
        <f>IF('Student DATA Entry'!A141="","",'Student DATA Entry'!A141)</f>
        <v>138</v>
      </c>
      <c r="B144" s="459" t="str">
        <f>IF('Student DATA Entry'!B141="","",'Student DATA Entry'!B141)</f>
        <v/>
      </c>
      <c r="C144" s="459" t="str">
        <f>IF('Student DATA Entry'!C141="","",'Student DATA Entry'!C141)</f>
        <v/>
      </c>
      <c r="D144" s="459" t="str">
        <f>IF('Student DATA Entry'!D141="","",'Student DATA Entry'!D141)</f>
        <v/>
      </c>
      <c r="E144" s="459" t="str">
        <f>IF('Student DATA Entry'!E141="","",'Student DATA Entry'!E141)</f>
        <v/>
      </c>
      <c r="F144" s="460" t="str">
        <f>IF('Student DATA Entry'!K141="","",'Student DATA Entry'!K141)</f>
        <v/>
      </c>
      <c r="G144" s="461" t="str">
        <f>IF('Student DATA Entry'!G141="","",UPPER('Student DATA Entry'!G141))</f>
        <v/>
      </c>
      <c r="H144" s="461" t="str">
        <f>IF('Student DATA Entry'!H141="","",UPPER('Student DATA Entry'!H141))</f>
        <v/>
      </c>
      <c r="I144" s="462" t="str">
        <f>IF('Student DATA Entry'!I141="","",UPPER('Student DATA Entry'!I141))</f>
        <v/>
      </c>
      <c r="J144" s="463" t="str">
        <f>IF('Student DATA Entry'!L141="","",UPPER('Student DATA Entry'!L141))</f>
        <v/>
      </c>
      <c r="K144" s="469" t="str">
        <f>IF('Student DATA Entry'!J141="","",UPPER('Student DATA Entry'!J141))</f>
        <v/>
      </c>
      <c r="L144" s="491"/>
      <c r="M144" s="8"/>
      <c r="N144" s="8"/>
      <c r="O144" s="9"/>
      <c r="P144" s="492"/>
      <c r="Q144" s="491"/>
      <c r="R144" s="8"/>
      <c r="S144" s="8"/>
      <c r="T144" s="9"/>
      <c r="U144" s="492"/>
      <c r="V144" s="502"/>
      <c r="W144" s="7"/>
      <c r="X144" s="8"/>
      <c r="Y144" s="8"/>
      <c r="Z144" s="9"/>
      <c r="AA144" s="492"/>
      <c r="AB144" s="491"/>
      <c r="AC144" s="8"/>
      <c r="AD144" s="8"/>
      <c r="AE144" s="9"/>
      <c r="AF144" s="492"/>
      <c r="AG144" s="491"/>
      <c r="AH144" s="8"/>
      <c r="AI144" s="8"/>
      <c r="AJ144" s="9"/>
      <c r="AK144" s="492"/>
      <c r="AL144" s="491"/>
      <c r="AM144" s="8"/>
      <c r="AN144" s="8"/>
      <c r="AO144" s="9"/>
      <c r="AP144" s="492"/>
      <c r="AQ144" s="506"/>
      <c r="AR144" s="491"/>
      <c r="AS144" s="8"/>
      <c r="AT144" s="8"/>
      <c r="AU144" s="9"/>
      <c r="AV144" s="9"/>
      <c r="AW144" s="17"/>
      <c r="AX144" s="492"/>
      <c r="AY144" s="491"/>
      <c r="AZ144" s="7"/>
      <c r="BA144" s="9"/>
      <c r="BB144" s="9"/>
      <c r="BC144" s="492"/>
      <c r="BD144" s="491"/>
      <c r="BE144" s="7"/>
      <c r="BF144" s="7"/>
      <c r="BG144" s="7"/>
      <c r="BH144" s="9"/>
      <c r="BI144" s="9"/>
      <c r="BJ144" s="492"/>
      <c r="BK144" s="491"/>
      <c r="BL144" s="7"/>
      <c r="BM144" s="7"/>
      <c r="BN144" s="7"/>
      <c r="BO144" s="7"/>
      <c r="BP144" s="7"/>
      <c r="BQ144" s="7"/>
      <c r="BR144" s="8"/>
      <c r="BS144" s="8"/>
      <c r="BT144" s="509"/>
      <c r="BU144" s="491"/>
      <c r="BV144" s="8"/>
      <c r="BW144" s="509"/>
      <c r="BX144" s="491"/>
      <c r="BY144" s="8"/>
      <c r="BZ144" s="509"/>
      <c r="CA144" s="751"/>
    </row>
    <row r="145" spans="1:79" ht="24.95" customHeight="1">
      <c r="A145" s="468">
        <f>IF('Student DATA Entry'!A142="","",'Student DATA Entry'!A142)</f>
        <v>139</v>
      </c>
      <c r="B145" s="459" t="str">
        <f>IF('Student DATA Entry'!B142="","",'Student DATA Entry'!B142)</f>
        <v/>
      </c>
      <c r="C145" s="459" t="str">
        <f>IF('Student DATA Entry'!C142="","",'Student DATA Entry'!C142)</f>
        <v/>
      </c>
      <c r="D145" s="459" t="str">
        <f>IF('Student DATA Entry'!D142="","",'Student DATA Entry'!D142)</f>
        <v/>
      </c>
      <c r="E145" s="459" t="str">
        <f>IF('Student DATA Entry'!E142="","",'Student DATA Entry'!E142)</f>
        <v/>
      </c>
      <c r="F145" s="460" t="str">
        <f>IF('Student DATA Entry'!K142="","",'Student DATA Entry'!K142)</f>
        <v/>
      </c>
      <c r="G145" s="461" t="str">
        <f>IF('Student DATA Entry'!G142="","",UPPER('Student DATA Entry'!G142))</f>
        <v/>
      </c>
      <c r="H145" s="461" t="str">
        <f>IF('Student DATA Entry'!H142="","",UPPER('Student DATA Entry'!H142))</f>
        <v/>
      </c>
      <c r="I145" s="462" t="str">
        <f>IF('Student DATA Entry'!I142="","",UPPER('Student DATA Entry'!I142))</f>
        <v/>
      </c>
      <c r="J145" s="463" t="str">
        <f>IF('Student DATA Entry'!L142="","",UPPER('Student DATA Entry'!L142))</f>
        <v/>
      </c>
      <c r="K145" s="469" t="str">
        <f>IF('Student DATA Entry'!J142="","",UPPER('Student DATA Entry'!J142))</f>
        <v/>
      </c>
      <c r="L145" s="491"/>
      <c r="M145" s="8"/>
      <c r="N145" s="8"/>
      <c r="O145" s="9"/>
      <c r="P145" s="492"/>
      <c r="Q145" s="491"/>
      <c r="R145" s="8"/>
      <c r="S145" s="8"/>
      <c r="T145" s="9"/>
      <c r="U145" s="492"/>
      <c r="V145" s="502"/>
      <c r="W145" s="7"/>
      <c r="X145" s="8"/>
      <c r="Y145" s="8"/>
      <c r="Z145" s="9"/>
      <c r="AA145" s="492"/>
      <c r="AB145" s="491"/>
      <c r="AC145" s="8"/>
      <c r="AD145" s="8"/>
      <c r="AE145" s="9"/>
      <c r="AF145" s="492"/>
      <c r="AG145" s="491"/>
      <c r="AH145" s="8"/>
      <c r="AI145" s="8"/>
      <c r="AJ145" s="9"/>
      <c r="AK145" s="492"/>
      <c r="AL145" s="491"/>
      <c r="AM145" s="8"/>
      <c r="AN145" s="8"/>
      <c r="AO145" s="9"/>
      <c r="AP145" s="492"/>
      <c r="AQ145" s="506"/>
      <c r="AR145" s="491"/>
      <c r="AS145" s="8"/>
      <c r="AT145" s="8"/>
      <c r="AU145" s="9"/>
      <c r="AV145" s="9"/>
      <c r="AW145" s="17"/>
      <c r="AX145" s="492"/>
      <c r="AY145" s="491"/>
      <c r="AZ145" s="7"/>
      <c r="BA145" s="9"/>
      <c r="BB145" s="9"/>
      <c r="BC145" s="492"/>
      <c r="BD145" s="491"/>
      <c r="BE145" s="7"/>
      <c r="BF145" s="7"/>
      <c r="BG145" s="7"/>
      <c r="BH145" s="9"/>
      <c r="BI145" s="9"/>
      <c r="BJ145" s="492"/>
      <c r="BK145" s="491"/>
      <c r="BL145" s="7"/>
      <c r="BM145" s="7"/>
      <c r="BN145" s="7"/>
      <c r="BO145" s="7"/>
      <c r="BP145" s="7"/>
      <c r="BQ145" s="7"/>
      <c r="BR145" s="8"/>
      <c r="BS145" s="8"/>
      <c r="BT145" s="509"/>
      <c r="BU145" s="491"/>
      <c r="BV145" s="8"/>
      <c r="BW145" s="509"/>
      <c r="BX145" s="491"/>
      <c r="BY145" s="8"/>
      <c r="BZ145" s="509"/>
      <c r="CA145" s="751"/>
    </row>
    <row r="146" spans="1:79" ht="24.95" customHeight="1">
      <c r="A146" s="468">
        <f>IF('Student DATA Entry'!A143="","",'Student DATA Entry'!A143)</f>
        <v>140</v>
      </c>
      <c r="B146" s="459" t="str">
        <f>IF('Student DATA Entry'!B143="","",'Student DATA Entry'!B143)</f>
        <v/>
      </c>
      <c r="C146" s="459" t="str">
        <f>IF('Student DATA Entry'!C143="","",'Student DATA Entry'!C143)</f>
        <v/>
      </c>
      <c r="D146" s="459" t="str">
        <f>IF('Student DATA Entry'!D143="","",'Student DATA Entry'!D143)</f>
        <v/>
      </c>
      <c r="E146" s="459" t="str">
        <f>IF('Student DATA Entry'!E143="","",'Student DATA Entry'!E143)</f>
        <v/>
      </c>
      <c r="F146" s="460" t="str">
        <f>IF('Student DATA Entry'!K143="","",'Student DATA Entry'!K143)</f>
        <v/>
      </c>
      <c r="G146" s="461" t="str">
        <f>IF('Student DATA Entry'!G143="","",UPPER('Student DATA Entry'!G143))</f>
        <v/>
      </c>
      <c r="H146" s="461" t="str">
        <f>IF('Student DATA Entry'!H143="","",UPPER('Student DATA Entry'!H143))</f>
        <v/>
      </c>
      <c r="I146" s="462" t="str">
        <f>IF('Student DATA Entry'!I143="","",UPPER('Student DATA Entry'!I143))</f>
        <v/>
      </c>
      <c r="J146" s="463" t="str">
        <f>IF('Student DATA Entry'!L143="","",UPPER('Student DATA Entry'!L143))</f>
        <v/>
      </c>
      <c r="K146" s="469" t="str">
        <f>IF('Student DATA Entry'!J143="","",UPPER('Student DATA Entry'!J143))</f>
        <v/>
      </c>
      <c r="L146" s="491"/>
      <c r="M146" s="8"/>
      <c r="N146" s="8"/>
      <c r="O146" s="9"/>
      <c r="P146" s="492"/>
      <c r="Q146" s="491"/>
      <c r="R146" s="8"/>
      <c r="S146" s="8"/>
      <c r="T146" s="9"/>
      <c r="U146" s="492"/>
      <c r="V146" s="502"/>
      <c r="W146" s="7"/>
      <c r="X146" s="8"/>
      <c r="Y146" s="8"/>
      <c r="Z146" s="9"/>
      <c r="AA146" s="492"/>
      <c r="AB146" s="491"/>
      <c r="AC146" s="8"/>
      <c r="AD146" s="8"/>
      <c r="AE146" s="9"/>
      <c r="AF146" s="492"/>
      <c r="AG146" s="491"/>
      <c r="AH146" s="8"/>
      <c r="AI146" s="8"/>
      <c r="AJ146" s="9"/>
      <c r="AK146" s="492"/>
      <c r="AL146" s="491"/>
      <c r="AM146" s="8"/>
      <c r="AN146" s="8"/>
      <c r="AO146" s="9"/>
      <c r="AP146" s="492"/>
      <c r="AQ146" s="506"/>
      <c r="AR146" s="491"/>
      <c r="AS146" s="8"/>
      <c r="AT146" s="8"/>
      <c r="AU146" s="9"/>
      <c r="AV146" s="9"/>
      <c r="AW146" s="17"/>
      <c r="AX146" s="492"/>
      <c r="AY146" s="491"/>
      <c r="AZ146" s="7"/>
      <c r="BA146" s="9"/>
      <c r="BB146" s="9"/>
      <c r="BC146" s="492"/>
      <c r="BD146" s="491"/>
      <c r="BE146" s="7"/>
      <c r="BF146" s="7"/>
      <c r="BG146" s="7"/>
      <c r="BH146" s="9"/>
      <c r="BI146" s="9"/>
      <c r="BJ146" s="492"/>
      <c r="BK146" s="491"/>
      <c r="BL146" s="7"/>
      <c r="BM146" s="7"/>
      <c r="BN146" s="7"/>
      <c r="BO146" s="7"/>
      <c r="BP146" s="7"/>
      <c r="BQ146" s="7"/>
      <c r="BR146" s="8"/>
      <c r="BS146" s="8"/>
      <c r="BT146" s="509"/>
      <c r="BU146" s="491"/>
      <c r="BV146" s="8"/>
      <c r="BW146" s="509"/>
      <c r="BX146" s="491"/>
      <c r="BY146" s="8"/>
      <c r="BZ146" s="509"/>
      <c r="CA146" s="751"/>
    </row>
    <row r="147" spans="1:79" ht="24.95" customHeight="1">
      <c r="A147" s="468">
        <f>IF('Student DATA Entry'!A144="","",'Student DATA Entry'!A144)</f>
        <v>141</v>
      </c>
      <c r="B147" s="459" t="str">
        <f>IF('Student DATA Entry'!B144="","",'Student DATA Entry'!B144)</f>
        <v/>
      </c>
      <c r="C147" s="459" t="str">
        <f>IF('Student DATA Entry'!C144="","",'Student DATA Entry'!C144)</f>
        <v/>
      </c>
      <c r="D147" s="459" t="str">
        <f>IF('Student DATA Entry'!D144="","",'Student DATA Entry'!D144)</f>
        <v/>
      </c>
      <c r="E147" s="459" t="str">
        <f>IF('Student DATA Entry'!E144="","",'Student DATA Entry'!E144)</f>
        <v/>
      </c>
      <c r="F147" s="460" t="str">
        <f>IF('Student DATA Entry'!K144="","",'Student DATA Entry'!K144)</f>
        <v/>
      </c>
      <c r="G147" s="461" t="str">
        <f>IF('Student DATA Entry'!G144="","",UPPER('Student DATA Entry'!G144))</f>
        <v/>
      </c>
      <c r="H147" s="461" t="str">
        <f>IF('Student DATA Entry'!H144="","",UPPER('Student DATA Entry'!H144))</f>
        <v/>
      </c>
      <c r="I147" s="462" t="str">
        <f>IF('Student DATA Entry'!I144="","",UPPER('Student DATA Entry'!I144))</f>
        <v/>
      </c>
      <c r="J147" s="463" t="str">
        <f>IF('Student DATA Entry'!L144="","",UPPER('Student DATA Entry'!L144))</f>
        <v/>
      </c>
      <c r="K147" s="469" t="str">
        <f>IF('Student DATA Entry'!J144="","",UPPER('Student DATA Entry'!J144))</f>
        <v/>
      </c>
      <c r="L147" s="491"/>
      <c r="M147" s="8"/>
      <c r="N147" s="8"/>
      <c r="O147" s="9"/>
      <c r="P147" s="492"/>
      <c r="Q147" s="491"/>
      <c r="R147" s="8"/>
      <c r="S147" s="8"/>
      <c r="T147" s="9"/>
      <c r="U147" s="492"/>
      <c r="V147" s="502"/>
      <c r="W147" s="7"/>
      <c r="X147" s="8"/>
      <c r="Y147" s="8"/>
      <c r="Z147" s="9"/>
      <c r="AA147" s="492"/>
      <c r="AB147" s="491"/>
      <c r="AC147" s="8"/>
      <c r="AD147" s="8"/>
      <c r="AE147" s="9"/>
      <c r="AF147" s="492"/>
      <c r="AG147" s="491"/>
      <c r="AH147" s="8"/>
      <c r="AI147" s="8"/>
      <c r="AJ147" s="9"/>
      <c r="AK147" s="492"/>
      <c r="AL147" s="491"/>
      <c r="AM147" s="8"/>
      <c r="AN147" s="8"/>
      <c r="AO147" s="9"/>
      <c r="AP147" s="492"/>
      <c r="AQ147" s="506"/>
      <c r="AR147" s="491"/>
      <c r="AS147" s="8"/>
      <c r="AT147" s="8"/>
      <c r="AU147" s="9"/>
      <c r="AV147" s="9"/>
      <c r="AW147" s="17"/>
      <c r="AX147" s="492"/>
      <c r="AY147" s="491"/>
      <c r="AZ147" s="7"/>
      <c r="BA147" s="9"/>
      <c r="BB147" s="9"/>
      <c r="BC147" s="492"/>
      <c r="BD147" s="491"/>
      <c r="BE147" s="7"/>
      <c r="BF147" s="7"/>
      <c r="BG147" s="7"/>
      <c r="BH147" s="9"/>
      <c r="BI147" s="9"/>
      <c r="BJ147" s="492"/>
      <c r="BK147" s="491"/>
      <c r="BL147" s="7"/>
      <c r="BM147" s="7"/>
      <c r="BN147" s="7"/>
      <c r="BO147" s="7"/>
      <c r="BP147" s="7"/>
      <c r="BQ147" s="7"/>
      <c r="BR147" s="8"/>
      <c r="BS147" s="8"/>
      <c r="BT147" s="509"/>
      <c r="BU147" s="491"/>
      <c r="BV147" s="8"/>
      <c r="BW147" s="509"/>
      <c r="BX147" s="491"/>
      <c r="BY147" s="8"/>
      <c r="BZ147" s="509"/>
      <c r="CA147" s="751"/>
    </row>
    <row r="148" spans="1:79" ht="24.95" customHeight="1">
      <c r="A148" s="468">
        <f>IF('Student DATA Entry'!A145="","",'Student DATA Entry'!A145)</f>
        <v>142</v>
      </c>
      <c r="B148" s="459" t="str">
        <f>IF('Student DATA Entry'!B145="","",'Student DATA Entry'!B145)</f>
        <v/>
      </c>
      <c r="C148" s="459" t="str">
        <f>IF('Student DATA Entry'!C145="","",'Student DATA Entry'!C145)</f>
        <v/>
      </c>
      <c r="D148" s="459" t="str">
        <f>IF('Student DATA Entry'!D145="","",'Student DATA Entry'!D145)</f>
        <v/>
      </c>
      <c r="E148" s="459" t="str">
        <f>IF('Student DATA Entry'!E145="","",'Student DATA Entry'!E145)</f>
        <v/>
      </c>
      <c r="F148" s="460" t="str">
        <f>IF('Student DATA Entry'!K145="","",'Student DATA Entry'!K145)</f>
        <v/>
      </c>
      <c r="G148" s="461" t="str">
        <f>IF('Student DATA Entry'!G145="","",UPPER('Student DATA Entry'!G145))</f>
        <v/>
      </c>
      <c r="H148" s="461" t="str">
        <f>IF('Student DATA Entry'!H145="","",UPPER('Student DATA Entry'!H145))</f>
        <v/>
      </c>
      <c r="I148" s="462" t="str">
        <f>IF('Student DATA Entry'!I145="","",UPPER('Student DATA Entry'!I145))</f>
        <v/>
      </c>
      <c r="J148" s="463" t="str">
        <f>IF('Student DATA Entry'!L145="","",UPPER('Student DATA Entry'!L145))</f>
        <v/>
      </c>
      <c r="K148" s="469" t="str">
        <f>IF('Student DATA Entry'!J145="","",UPPER('Student DATA Entry'!J145))</f>
        <v/>
      </c>
      <c r="L148" s="491"/>
      <c r="M148" s="8"/>
      <c r="N148" s="8"/>
      <c r="O148" s="9"/>
      <c r="P148" s="492"/>
      <c r="Q148" s="491"/>
      <c r="R148" s="8"/>
      <c r="S148" s="8"/>
      <c r="T148" s="9"/>
      <c r="U148" s="492"/>
      <c r="V148" s="502"/>
      <c r="W148" s="7"/>
      <c r="X148" s="8"/>
      <c r="Y148" s="8"/>
      <c r="Z148" s="9"/>
      <c r="AA148" s="492"/>
      <c r="AB148" s="491"/>
      <c r="AC148" s="8"/>
      <c r="AD148" s="8"/>
      <c r="AE148" s="9"/>
      <c r="AF148" s="492"/>
      <c r="AG148" s="491"/>
      <c r="AH148" s="8"/>
      <c r="AI148" s="8"/>
      <c r="AJ148" s="9"/>
      <c r="AK148" s="492"/>
      <c r="AL148" s="491"/>
      <c r="AM148" s="8"/>
      <c r="AN148" s="8"/>
      <c r="AO148" s="9"/>
      <c r="AP148" s="492"/>
      <c r="AQ148" s="506"/>
      <c r="AR148" s="491"/>
      <c r="AS148" s="8"/>
      <c r="AT148" s="8"/>
      <c r="AU148" s="9"/>
      <c r="AV148" s="9"/>
      <c r="AW148" s="17"/>
      <c r="AX148" s="492"/>
      <c r="AY148" s="491"/>
      <c r="AZ148" s="7"/>
      <c r="BA148" s="9"/>
      <c r="BB148" s="9"/>
      <c r="BC148" s="492"/>
      <c r="BD148" s="491"/>
      <c r="BE148" s="7"/>
      <c r="BF148" s="7"/>
      <c r="BG148" s="7"/>
      <c r="BH148" s="9"/>
      <c r="BI148" s="9"/>
      <c r="BJ148" s="492"/>
      <c r="BK148" s="491"/>
      <c r="BL148" s="7"/>
      <c r="BM148" s="7"/>
      <c r="BN148" s="7"/>
      <c r="BO148" s="7"/>
      <c r="BP148" s="7"/>
      <c r="BQ148" s="7"/>
      <c r="BR148" s="8"/>
      <c r="BS148" s="8"/>
      <c r="BT148" s="509"/>
      <c r="BU148" s="491"/>
      <c r="BV148" s="8"/>
      <c r="BW148" s="509"/>
      <c r="BX148" s="491"/>
      <c r="BY148" s="8"/>
      <c r="BZ148" s="509"/>
      <c r="CA148" s="751"/>
    </row>
    <row r="149" spans="1:79" ht="24.95" customHeight="1">
      <c r="A149" s="468">
        <f>IF('Student DATA Entry'!A146="","",'Student DATA Entry'!A146)</f>
        <v>143</v>
      </c>
      <c r="B149" s="459" t="str">
        <f>IF('Student DATA Entry'!B146="","",'Student DATA Entry'!B146)</f>
        <v/>
      </c>
      <c r="C149" s="459" t="str">
        <f>IF('Student DATA Entry'!C146="","",'Student DATA Entry'!C146)</f>
        <v/>
      </c>
      <c r="D149" s="459" t="str">
        <f>IF('Student DATA Entry'!D146="","",'Student DATA Entry'!D146)</f>
        <v/>
      </c>
      <c r="E149" s="459" t="str">
        <f>IF('Student DATA Entry'!E146="","",'Student DATA Entry'!E146)</f>
        <v/>
      </c>
      <c r="F149" s="460" t="str">
        <f>IF('Student DATA Entry'!K146="","",'Student DATA Entry'!K146)</f>
        <v/>
      </c>
      <c r="G149" s="461" t="str">
        <f>IF('Student DATA Entry'!G146="","",UPPER('Student DATA Entry'!G146))</f>
        <v/>
      </c>
      <c r="H149" s="461" t="str">
        <f>IF('Student DATA Entry'!H146="","",UPPER('Student DATA Entry'!H146))</f>
        <v/>
      </c>
      <c r="I149" s="462" t="str">
        <f>IF('Student DATA Entry'!I146="","",UPPER('Student DATA Entry'!I146))</f>
        <v/>
      </c>
      <c r="J149" s="463" t="str">
        <f>IF('Student DATA Entry'!L146="","",UPPER('Student DATA Entry'!L146))</f>
        <v/>
      </c>
      <c r="K149" s="469" t="str">
        <f>IF('Student DATA Entry'!J146="","",UPPER('Student DATA Entry'!J146))</f>
        <v/>
      </c>
      <c r="L149" s="491"/>
      <c r="M149" s="8"/>
      <c r="N149" s="8"/>
      <c r="O149" s="9"/>
      <c r="P149" s="492"/>
      <c r="Q149" s="491"/>
      <c r="R149" s="8"/>
      <c r="S149" s="8"/>
      <c r="T149" s="9"/>
      <c r="U149" s="492"/>
      <c r="V149" s="502"/>
      <c r="W149" s="7"/>
      <c r="X149" s="8"/>
      <c r="Y149" s="8"/>
      <c r="Z149" s="9"/>
      <c r="AA149" s="492"/>
      <c r="AB149" s="491"/>
      <c r="AC149" s="8"/>
      <c r="AD149" s="8"/>
      <c r="AE149" s="9"/>
      <c r="AF149" s="492"/>
      <c r="AG149" s="491"/>
      <c r="AH149" s="8"/>
      <c r="AI149" s="8"/>
      <c r="AJ149" s="9"/>
      <c r="AK149" s="492"/>
      <c r="AL149" s="491"/>
      <c r="AM149" s="8"/>
      <c r="AN149" s="8"/>
      <c r="AO149" s="9"/>
      <c r="AP149" s="492"/>
      <c r="AQ149" s="506"/>
      <c r="AR149" s="491"/>
      <c r="AS149" s="8"/>
      <c r="AT149" s="8"/>
      <c r="AU149" s="9"/>
      <c r="AV149" s="9"/>
      <c r="AW149" s="17"/>
      <c r="AX149" s="492"/>
      <c r="AY149" s="491"/>
      <c r="AZ149" s="7"/>
      <c r="BA149" s="9"/>
      <c r="BB149" s="9"/>
      <c r="BC149" s="492"/>
      <c r="BD149" s="491"/>
      <c r="BE149" s="7"/>
      <c r="BF149" s="7"/>
      <c r="BG149" s="7"/>
      <c r="BH149" s="9"/>
      <c r="BI149" s="9"/>
      <c r="BJ149" s="492"/>
      <c r="BK149" s="491"/>
      <c r="BL149" s="7"/>
      <c r="BM149" s="7"/>
      <c r="BN149" s="7"/>
      <c r="BO149" s="7"/>
      <c r="BP149" s="7"/>
      <c r="BQ149" s="7"/>
      <c r="BR149" s="8"/>
      <c r="BS149" s="8"/>
      <c r="BT149" s="509"/>
      <c r="BU149" s="491"/>
      <c r="BV149" s="8"/>
      <c r="BW149" s="509"/>
      <c r="BX149" s="491"/>
      <c r="BY149" s="8"/>
      <c r="BZ149" s="509"/>
      <c r="CA149" s="751"/>
    </row>
    <row r="150" spans="1:79" ht="24.95" customHeight="1">
      <c r="A150" s="468">
        <f>IF('Student DATA Entry'!A147="","",'Student DATA Entry'!A147)</f>
        <v>144</v>
      </c>
      <c r="B150" s="459" t="str">
        <f>IF('Student DATA Entry'!B147="","",'Student DATA Entry'!B147)</f>
        <v/>
      </c>
      <c r="C150" s="459" t="str">
        <f>IF('Student DATA Entry'!C147="","",'Student DATA Entry'!C147)</f>
        <v/>
      </c>
      <c r="D150" s="459" t="str">
        <f>IF('Student DATA Entry'!D147="","",'Student DATA Entry'!D147)</f>
        <v/>
      </c>
      <c r="E150" s="459" t="str">
        <f>IF('Student DATA Entry'!E147="","",'Student DATA Entry'!E147)</f>
        <v/>
      </c>
      <c r="F150" s="460" t="str">
        <f>IF('Student DATA Entry'!K147="","",'Student DATA Entry'!K147)</f>
        <v/>
      </c>
      <c r="G150" s="461" t="str">
        <f>IF('Student DATA Entry'!G147="","",UPPER('Student DATA Entry'!G147))</f>
        <v/>
      </c>
      <c r="H150" s="461" t="str">
        <f>IF('Student DATA Entry'!H147="","",UPPER('Student DATA Entry'!H147))</f>
        <v/>
      </c>
      <c r="I150" s="462" t="str">
        <f>IF('Student DATA Entry'!I147="","",UPPER('Student DATA Entry'!I147))</f>
        <v/>
      </c>
      <c r="J150" s="463" t="str">
        <f>IF('Student DATA Entry'!L147="","",UPPER('Student DATA Entry'!L147))</f>
        <v/>
      </c>
      <c r="K150" s="469" t="str">
        <f>IF('Student DATA Entry'!J147="","",UPPER('Student DATA Entry'!J147))</f>
        <v/>
      </c>
      <c r="L150" s="491"/>
      <c r="M150" s="8"/>
      <c r="N150" s="8"/>
      <c r="O150" s="9"/>
      <c r="P150" s="492"/>
      <c r="Q150" s="491"/>
      <c r="R150" s="8"/>
      <c r="S150" s="8"/>
      <c r="T150" s="9"/>
      <c r="U150" s="492"/>
      <c r="V150" s="502"/>
      <c r="W150" s="7"/>
      <c r="X150" s="8"/>
      <c r="Y150" s="8"/>
      <c r="Z150" s="9"/>
      <c r="AA150" s="492"/>
      <c r="AB150" s="491"/>
      <c r="AC150" s="8"/>
      <c r="AD150" s="8"/>
      <c r="AE150" s="9"/>
      <c r="AF150" s="492"/>
      <c r="AG150" s="491"/>
      <c r="AH150" s="8"/>
      <c r="AI150" s="8"/>
      <c r="AJ150" s="9"/>
      <c r="AK150" s="492"/>
      <c r="AL150" s="491"/>
      <c r="AM150" s="8"/>
      <c r="AN150" s="8"/>
      <c r="AO150" s="9"/>
      <c r="AP150" s="492"/>
      <c r="AQ150" s="506"/>
      <c r="AR150" s="491"/>
      <c r="AS150" s="8"/>
      <c r="AT150" s="8"/>
      <c r="AU150" s="9"/>
      <c r="AV150" s="9"/>
      <c r="AW150" s="17"/>
      <c r="AX150" s="492"/>
      <c r="AY150" s="491"/>
      <c r="AZ150" s="7"/>
      <c r="BA150" s="9"/>
      <c r="BB150" s="9"/>
      <c r="BC150" s="492"/>
      <c r="BD150" s="491"/>
      <c r="BE150" s="7"/>
      <c r="BF150" s="7"/>
      <c r="BG150" s="7"/>
      <c r="BH150" s="9"/>
      <c r="BI150" s="9"/>
      <c r="BJ150" s="492"/>
      <c r="BK150" s="491"/>
      <c r="BL150" s="7"/>
      <c r="BM150" s="7"/>
      <c r="BN150" s="7"/>
      <c r="BO150" s="7"/>
      <c r="BP150" s="7"/>
      <c r="BQ150" s="7"/>
      <c r="BR150" s="8"/>
      <c r="BS150" s="8"/>
      <c r="BT150" s="509"/>
      <c r="BU150" s="491"/>
      <c r="BV150" s="8"/>
      <c r="BW150" s="509"/>
      <c r="BX150" s="491"/>
      <c r="BY150" s="8"/>
      <c r="BZ150" s="509"/>
      <c r="CA150" s="751"/>
    </row>
    <row r="151" spans="1:79" ht="24.95" customHeight="1">
      <c r="A151" s="468">
        <f>IF('Student DATA Entry'!A148="","",'Student DATA Entry'!A148)</f>
        <v>145</v>
      </c>
      <c r="B151" s="459" t="str">
        <f>IF('Student DATA Entry'!B148="","",'Student DATA Entry'!B148)</f>
        <v/>
      </c>
      <c r="C151" s="459" t="str">
        <f>IF('Student DATA Entry'!C148="","",'Student DATA Entry'!C148)</f>
        <v/>
      </c>
      <c r="D151" s="459" t="str">
        <f>IF('Student DATA Entry'!D148="","",'Student DATA Entry'!D148)</f>
        <v/>
      </c>
      <c r="E151" s="459" t="str">
        <f>IF('Student DATA Entry'!E148="","",'Student DATA Entry'!E148)</f>
        <v/>
      </c>
      <c r="F151" s="460" t="str">
        <f>IF('Student DATA Entry'!K148="","",'Student DATA Entry'!K148)</f>
        <v/>
      </c>
      <c r="G151" s="461" t="str">
        <f>IF('Student DATA Entry'!G148="","",UPPER('Student DATA Entry'!G148))</f>
        <v/>
      </c>
      <c r="H151" s="461" t="str">
        <f>IF('Student DATA Entry'!H148="","",UPPER('Student DATA Entry'!H148))</f>
        <v/>
      </c>
      <c r="I151" s="462" t="str">
        <f>IF('Student DATA Entry'!I148="","",UPPER('Student DATA Entry'!I148))</f>
        <v/>
      </c>
      <c r="J151" s="463" t="str">
        <f>IF('Student DATA Entry'!L148="","",UPPER('Student DATA Entry'!L148))</f>
        <v/>
      </c>
      <c r="K151" s="469" t="str">
        <f>IF('Student DATA Entry'!J148="","",UPPER('Student DATA Entry'!J148))</f>
        <v/>
      </c>
      <c r="L151" s="491"/>
      <c r="M151" s="8"/>
      <c r="N151" s="8"/>
      <c r="O151" s="9"/>
      <c r="P151" s="492"/>
      <c r="Q151" s="491"/>
      <c r="R151" s="8"/>
      <c r="S151" s="8"/>
      <c r="T151" s="9"/>
      <c r="U151" s="492"/>
      <c r="V151" s="502"/>
      <c r="W151" s="7"/>
      <c r="X151" s="8"/>
      <c r="Y151" s="8"/>
      <c r="Z151" s="9"/>
      <c r="AA151" s="492"/>
      <c r="AB151" s="491"/>
      <c r="AC151" s="8"/>
      <c r="AD151" s="8"/>
      <c r="AE151" s="9"/>
      <c r="AF151" s="492"/>
      <c r="AG151" s="491"/>
      <c r="AH151" s="8"/>
      <c r="AI151" s="8"/>
      <c r="AJ151" s="9"/>
      <c r="AK151" s="492"/>
      <c r="AL151" s="491"/>
      <c r="AM151" s="8"/>
      <c r="AN151" s="8"/>
      <c r="AO151" s="9"/>
      <c r="AP151" s="492"/>
      <c r="AQ151" s="506"/>
      <c r="AR151" s="491"/>
      <c r="AS151" s="8"/>
      <c r="AT151" s="8"/>
      <c r="AU151" s="9"/>
      <c r="AV151" s="9"/>
      <c r="AW151" s="17"/>
      <c r="AX151" s="492"/>
      <c r="AY151" s="491"/>
      <c r="AZ151" s="7"/>
      <c r="BA151" s="9"/>
      <c r="BB151" s="9"/>
      <c r="BC151" s="492"/>
      <c r="BD151" s="491"/>
      <c r="BE151" s="7"/>
      <c r="BF151" s="7"/>
      <c r="BG151" s="7"/>
      <c r="BH151" s="9"/>
      <c r="BI151" s="9"/>
      <c r="BJ151" s="492"/>
      <c r="BK151" s="491"/>
      <c r="BL151" s="7"/>
      <c r="BM151" s="7"/>
      <c r="BN151" s="7"/>
      <c r="BO151" s="7"/>
      <c r="BP151" s="7"/>
      <c r="BQ151" s="7"/>
      <c r="BR151" s="8"/>
      <c r="BS151" s="8"/>
      <c r="BT151" s="509"/>
      <c r="BU151" s="491"/>
      <c r="BV151" s="8"/>
      <c r="BW151" s="509"/>
      <c r="BX151" s="491"/>
      <c r="BY151" s="8"/>
      <c r="BZ151" s="509"/>
      <c r="CA151" s="751"/>
    </row>
    <row r="152" spans="1:79" ht="24.95" customHeight="1">
      <c r="A152" s="468">
        <f>IF('Student DATA Entry'!A149="","",'Student DATA Entry'!A149)</f>
        <v>146</v>
      </c>
      <c r="B152" s="459" t="str">
        <f>IF('Student DATA Entry'!B149="","",'Student DATA Entry'!B149)</f>
        <v/>
      </c>
      <c r="C152" s="459" t="str">
        <f>IF('Student DATA Entry'!C149="","",'Student DATA Entry'!C149)</f>
        <v/>
      </c>
      <c r="D152" s="459" t="str">
        <f>IF('Student DATA Entry'!D149="","",'Student DATA Entry'!D149)</f>
        <v/>
      </c>
      <c r="E152" s="459" t="str">
        <f>IF('Student DATA Entry'!E149="","",'Student DATA Entry'!E149)</f>
        <v/>
      </c>
      <c r="F152" s="460" t="str">
        <f>IF('Student DATA Entry'!K149="","",'Student DATA Entry'!K149)</f>
        <v/>
      </c>
      <c r="G152" s="461" t="str">
        <f>IF('Student DATA Entry'!G149="","",UPPER('Student DATA Entry'!G149))</f>
        <v/>
      </c>
      <c r="H152" s="461" t="str">
        <f>IF('Student DATA Entry'!H149="","",UPPER('Student DATA Entry'!H149))</f>
        <v/>
      </c>
      <c r="I152" s="462" t="str">
        <f>IF('Student DATA Entry'!I149="","",UPPER('Student DATA Entry'!I149))</f>
        <v/>
      </c>
      <c r="J152" s="463" t="str">
        <f>IF('Student DATA Entry'!L149="","",UPPER('Student DATA Entry'!L149))</f>
        <v/>
      </c>
      <c r="K152" s="469" t="str">
        <f>IF('Student DATA Entry'!J149="","",UPPER('Student DATA Entry'!J149))</f>
        <v/>
      </c>
      <c r="L152" s="491"/>
      <c r="M152" s="8"/>
      <c r="N152" s="8"/>
      <c r="O152" s="9"/>
      <c r="P152" s="492"/>
      <c r="Q152" s="491"/>
      <c r="R152" s="8"/>
      <c r="S152" s="8"/>
      <c r="T152" s="9"/>
      <c r="U152" s="492"/>
      <c r="V152" s="502"/>
      <c r="W152" s="7"/>
      <c r="X152" s="8"/>
      <c r="Y152" s="8"/>
      <c r="Z152" s="9"/>
      <c r="AA152" s="492"/>
      <c r="AB152" s="491"/>
      <c r="AC152" s="8"/>
      <c r="AD152" s="8"/>
      <c r="AE152" s="9"/>
      <c r="AF152" s="492"/>
      <c r="AG152" s="491"/>
      <c r="AH152" s="8"/>
      <c r="AI152" s="8"/>
      <c r="AJ152" s="9"/>
      <c r="AK152" s="492"/>
      <c r="AL152" s="491"/>
      <c r="AM152" s="8"/>
      <c r="AN152" s="8"/>
      <c r="AO152" s="9"/>
      <c r="AP152" s="492"/>
      <c r="AQ152" s="506"/>
      <c r="AR152" s="491"/>
      <c r="AS152" s="8"/>
      <c r="AT152" s="8"/>
      <c r="AU152" s="9"/>
      <c r="AV152" s="9"/>
      <c r="AW152" s="17"/>
      <c r="AX152" s="492"/>
      <c r="AY152" s="491"/>
      <c r="AZ152" s="7"/>
      <c r="BA152" s="9"/>
      <c r="BB152" s="9"/>
      <c r="BC152" s="492"/>
      <c r="BD152" s="491"/>
      <c r="BE152" s="7"/>
      <c r="BF152" s="7"/>
      <c r="BG152" s="7"/>
      <c r="BH152" s="9"/>
      <c r="BI152" s="9"/>
      <c r="BJ152" s="492"/>
      <c r="BK152" s="491"/>
      <c r="BL152" s="7"/>
      <c r="BM152" s="7"/>
      <c r="BN152" s="7"/>
      <c r="BO152" s="7"/>
      <c r="BP152" s="7"/>
      <c r="BQ152" s="7"/>
      <c r="BR152" s="8"/>
      <c r="BS152" s="8"/>
      <c r="BT152" s="509"/>
      <c r="BU152" s="491"/>
      <c r="BV152" s="8"/>
      <c r="BW152" s="509"/>
      <c r="BX152" s="491"/>
      <c r="BY152" s="8"/>
      <c r="BZ152" s="509"/>
      <c r="CA152" s="751"/>
    </row>
    <row r="153" spans="1:79" ht="24.95" customHeight="1">
      <c r="A153" s="468">
        <f>IF('Student DATA Entry'!A150="","",'Student DATA Entry'!A150)</f>
        <v>147</v>
      </c>
      <c r="B153" s="459" t="str">
        <f>IF('Student DATA Entry'!B150="","",'Student DATA Entry'!B150)</f>
        <v/>
      </c>
      <c r="C153" s="459" t="str">
        <f>IF('Student DATA Entry'!C150="","",'Student DATA Entry'!C150)</f>
        <v/>
      </c>
      <c r="D153" s="459" t="str">
        <f>IF('Student DATA Entry'!D150="","",'Student DATA Entry'!D150)</f>
        <v/>
      </c>
      <c r="E153" s="459" t="str">
        <f>IF('Student DATA Entry'!E150="","",'Student DATA Entry'!E150)</f>
        <v/>
      </c>
      <c r="F153" s="460" t="str">
        <f>IF('Student DATA Entry'!K150="","",'Student DATA Entry'!K150)</f>
        <v/>
      </c>
      <c r="G153" s="461" t="str">
        <f>IF('Student DATA Entry'!G150="","",UPPER('Student DATA Entry'!G150))</f>
        <v/>
      </c>
      <c r="H153" s="461" t="str">
        <f>IF('Student DATA Entry'!H150="","",UPPER('Student DATA Entry'!H150))</f>
        <v/>
      </c>
      <c r="I153" s="462" t="str">
        <f>IF('Student DATA Entry'!I150="","",UPPER('Student DATA Entry'!I150))</f>
        <v/>
      </c>
      <c r="J153" s="463" t="str">
        <f>IF('Student DATA Entry'!L150="","",UPPER('Student DATA Entry'!L150))</f>
        <v/>
      </c>
      <c r="K153" s="469" t="str">
        <f>IF('Student DATA Entry'!J150="","",UPPER('Student DATA Entry'!J150))</f>
        <v/>
      </c>
      <c r="L153" s="491"/>
      <c r="M153" s="8"/>
      <c r="N153" s="8"/>
      <c r="O153" s="9"/>
      <c r="P153" s="492"/>
      <c r="Q153" s="491"/>
      <c r="R153" s="8"/>
      <c r="S153" s="8"/>
      <c r="T153" s="9"/>
      <c r="U153" s="492"/>
      <c r="V153" s="502"/>
      <c r="W153" s="7"/>
      <c r="X153" s="8"/>
      <c r="Y153" s="8"/>
      <c r="Z153" s="9"/>
      <c r="AA153" s="492"/>
      <c r="AB153" s="491"/>
      <c r="AC153" s="8"/>
      <c r="AD153" s="8"/>
      <c r="AE153" s="9"/>
      <c r="AF153" s="492"/>
      <c r="AG153" s="491"/>
      <c r="AH153" s="8"/>
      <c r="AI153" s="8"/>
      <c r="AJ153" s="9"/>
      <c r="AK153" s="492"/>
      <c r="AL153" s="491"/>
      <c r="AM153" s="8"/>
      <c r="AN153" s="8"/>
      <c r="AO153" s="9"/>
      <c r="AP153" s="492"/>
      <c r="AQ153" s="506"/>
      <c r="AR153" s="491"/>
      <c r="AS153" s="8"/>
      <c r="AT153" s="8"/>
      <c r="AU153" s="9"/>
      <c r="AV153" s="9"/>
      <c r="AW153" s="17"/>
      <c r="AX153" s="492"/>
      <c r="AY153" s="491"/>
      <c r="AZ153" s="7"/>
      <c r="BA153" s="9"/>
      <c r="BB153" s="9"/>
      <c r="BC153" s="492"/>
      <c r="BD153" s="491"/>
      <c r="BE153" s="7"/>
      <c r="BF153" s="7"/>
      <c r="BG153" s="7"/>
      <c r="BH153" s="9"/>
      <c r="BI153" s="9"/>
      <c r="BJ153" s="492"/>
      <c r="BK153" s="491"/>
      <c r="BL153" s="7"/>
      <c r="BM153" s="7"/>
      <c r="BN153" s="7"/>
      <c r="BO153" s="7"/>
      <c r="BP153" s="7"/>
      <c r="BQ153" s="7"/>
      <c r="BR153" s="8"/>
      <c r="BS153" s="8"/>
      <c r="BT153" s="509"/>
      <c r="BU153" s="491"/>
      <c r="BV153" s="8"/>
      <c r="BW153" s="509"/>
      <c r="BX153" s="491"/>
      <c r="BY153" s="8"/>
      <c r="BZ153" s="509"/>
      <c r="CA153" s="751"/>
    </row>
    <row r="154" spans="1:79" ht="24.95" customHeight="1">
      <c r="A154" s="468">
        <f>IF('Student DATA Entry'!A151="","",'Student DATA Entry'!A151)</f>
        <v>148</v>
      </c>
      <c r="B154" s="459" t="str">
        <f>IF('Student DATA Entry'!B151="","",'Student DATA Entry'!B151)</f>
        <v/>
      </c>
      <c r="C154" s="459" t="str">
        <f>IF('Student DATA Entry'!C151="","",'Student DATA Entry'!C151)</f>
        <v/>
      </c>
      <c r="D154" s="459" t="str">
        <f>IF('Student DATA Entry'!D151="","",'Student DATA Entry'!D151)</f>
        <v/>
      </c>
      <c r="E154" s="459" t="str">
        <f>IF('Student DATA Entry'!E151="","",'Student DATA Entry'!E151)</f>
        <v/>
      </c>
      <c r="F154" s="460" t="str">
        <f>IF('Student DATA Entry'!K151="","",'Student DATA Entry'!K151)</f>
        <v/>
      </c>
      <c r="G154" s="461" t="str">
        <f>IF('Student DATA Entry'!G151="","",UPPER('Student DATA Entry'!G151))</f>
        <v/>
      </c>
      <c r="H154" s="461" t="str">
        <f>IF('Student DATA Entry'!H151="","",UPPER('Student DATA Entry'!H151))</f>
        <v/>
      </c>
      <c r="I154" s="462" t="str">
        <f>IF('Student DATA Entry'!I151="","",UPPER('Student DATA Entry'!I151))</f>
        <v/>
      </c>
      <c r="J154" s="463" t="str">
        <f>IF('Student DATA Entry'!L151="","",UPPER('Student DATA Entry'!L151))</f>
        <v/>
      </c>
      <c r="K154" s="469" t="str">
        <f>IF('Student DATA Entry'!J151="","",UPPER('Student DATA Entry'!J151))</f>
        <v/>
      </c>
      <c r="L154" s="491"/>
      <c r="M154" s="8"/>
      <c r="N154" s="8"/>
      <c r="O154" s="9"/>
      <c r="P154" s="492"/>
      <c r="Q154" s="491"/>
      <c r="R154" s="8"/>
      <c r="S154" s="8"/>
      <c r="T154" s="9"/>
      <c r="U154" s="492"/>
      <c r="V154" s="502"/>
      <c r="W154" s="7"/>
      <c r="X154" s="8"/>
      <c r="Y154" s="8"/>
      <c r="Z154" s="9"/>
      <c r="AA154" s="492"/>
      <c r="AB154" s="491"/>
      <c r="AC154" s="8"/>
      <c r="AD154" s="8"/>
      <c r="AE154" s="9"/>
      <c r="AF154" s="492"/>
      <c r="AG154" s="491"/>
      <c r="AH154" s="8"/>
      <c r="AI154" s="8"/>
      <c r="AJ154" s="9"/>
      <c r="AK154" s="492"/>
      <c r="AL154" s="491"/>
      <c r="AM154" s="8"/>
      <c r="AN154" s="8"/>
      <c r="AO154" s="9"/>
      <c r="AP154" s="492"/>
      <c r="AQ154" s="506"/>
      <c r="AR154" s="491"/>
      <c r="AS154" s="8"/>
      <c r="AT154" s="8"/>
      <c r="AU154" s="9"/>
      <c r="AV154" s="9"/>
      <c r="AW154" s="17"/>
      <c r="AX154" s="492"/>
      <c r="AY154" s="491"/>
      <c r="AZ154" s="7"/>
      <c r="BA154" s="9"/>
      <c r="BB154" s="9"/>
      <c r="BC154" s="492"/>
      <c r="BD154" s="491"/>
      <c r="BE154" s="7"/>
      <c r="BF154" s="7"/>
      <c r="BG154" s="7"/>
      <c r="BH154" s="9"/>
      <c r="BI154" s="9"/>
      <c r="BJ154" s="492"/>
      <c r="BK154" s="491"/>
      <c r="BL154" s="7"/>
      <c r="BM154" s="7"/>
      <c r="BN154" s="7"/>
      <c r="BO154" s="7"/>
      <c r="BP154" s="7"/>
      <c r="BQ154" s="7"/>
      <c r="BR154" s="8"/>
      <c r="BS154" s="8"/>
      <c r="BT154" s="509"/>
      <c r="BU154" s="491"/>
      <c r="BV154" s="8"/>
      <c r="BW154" s="509"/>
      <c r="BX154" s="491"/>
      <c r="BY154" s="8"/>
      <c r="BZ154" s="509"/>
      <c r="CA154" s="751"/>
    </row>
    <row r="155" spans="1:79" ht="24.95" customHeight="1">
      <c r="A155" s="468">
        <f>IF('Student DATA Entry'!A152="","",'Student DATA Entry'!A152)</f>
        <v>149</v>
      </c>
      <c r="B155" s="459" t="str">
        <f>IF('Student DATA Entry'!B152="","",'Student DATA Entry'!B152)</f>
        <v/>
      </c>
      <c r="C155" s="459" t="str">
        <f>IF('Student DATA Entry'!C152="","",'Student DATA Entry'!C152)</f>
        <v/>
      </c>
      <c r="D155" s="459" t="str">
        <f>IF('Student DATA Entry'!D152="","",'Student DATA Entry'!D152)</f>
        <v/>
      </c>
      <c r="E155" s="459" t="str">
        <f>IF('Student DATA Entry'!E152="","",'Student DATA Entry'!E152)</f>
        <v/>
      </c>
      <c r="F155" s="460" t="str">
        <f>IF('Student DATA Entry'!K152="","",'Student DATA Entry'!K152)</f>
        <v/>
      </c>
      <c r="G155" s="461" t="str">
        <f>IF('Student DATA Entry'!G152="","",UPPER('Student DATA Entry'!G152))</f>
        <v/>
      </c>
      <c r="H155" s="461" t="str">
        <f>IF('Student DATA Entry'!H152="","",UPPER('Student DATA Entry'!H152))</f>
        <v/>
      </c>
      <c r="I155" s="462" t="str">
        <f>IF('Student DATA Entry'!I152="","",UPPER('Student DATA Entry'!I152))</f>
        <v/>
      </c>
      <c r="J155" s="463" t="str">
        <f>IF('Student DATA Entry'!L152="","",UPPER('Student DATA Entry'!L152))</f>
        <v/>
      </c>
      <c r="K155" s="469" t="str">
        <f>IF('Student DATA Entry'!J152="","",UPPER('Student DATA Entry'!J152))</f>
        <v/>
      </c>
      <c r="L155" s="491"/>
      <c r="M155" s="8"/>
      <c r="N155" s="8"/>
      <c r="O155" s="9"/>
      <c r="P155" s="492"/>
      <c r="Q155" s="491"/>
      <c r="R155" s="8"/>
      <c r="S155" s="8"/>
      <c r="T155" s="9"/>
      <c r="U155" s="492"/>
      <c r="V155" s="502"/>
      <c r="W155" s="7"/>
      <c r="X155" s="8"/>
      <c r="Y155" s="8"/>
      <c r="Z155" s="9"/>
      <c r="AA155" s="492"/>
      <c r="AB155" s="491"/>
      <c r="AC155" s="8"/>
      <c r="AD155" s="8"/>
      <c r="AE155" s="9"/>
      <c r="AF155" s="492"/>
      <c r="AG155" s="491"/>
      <c r="AH155" s="8"/>
      <c r="AI155" s="8"/>
      <c r="AJ155" s="9"/>
      <c r="AK155" s="492"/>
      <c r="AL155" s="491"/>
      <c r="AM155" s="8"/>
      <c r="AN155" s="8"/>
      <c r="AO155" s="9"/>
      <c r="AP155" s="492"/>
      <c r="AQ155" s="506"/>
      <c r="AR155" s="491"/>
      <c r="AS155" s="8"/>
      <c r="AT155" s="8"/>
      <c r="AU155" s="9"/>
      <c r="AV155" s="9"/>
      <c r="AW155" s="17"/>
      <c r="AX155" s="492"/>
      <c r="AY155" s="491"/>
      <c r="AZ155" s="7"/>
      <c r="BA155" s="9"/>
      <c r="BB155" s="9"/>
      <c r="BC155" s="492"/>
      <c r="BD155" s="491"/>
      <c r="BE155" s="7"/>
      <c r="BF155" s="7"/>
      <c r="BG155" s="7"/>
      <c r="BH155" s="9"/>
      <c r="BI155" s="9"/>
      <c r="BJ155" s="492"/>
      <c r="BK155" s="491"/>
      <c r="BL155" s="7"/>
      <c r="BM155" s="7"/>
      <c r="BN155" s="7"/>
      <c r="BO155" s="7"/>
      <c r="BP155" s="7"/>
      <c r="BQ155" s="7"/>
      <c r="BR155" s="8"/>
      <c r="BS155" s="8"/>
      <c r="BT155" s="509"/>
      <c r="BU155" s="491"/>
      <c r="BV155" s="8"/>
      <c r="BW155" s="509"/>
      <c r="BX155" s="491"/>
      <c r="BY155" s="8"/>
      <c r="BZ155" s="509"/>
      <c r="CA155" s="751"/>
    </row>
    <row r="156" spans="1:79" ht="24.95" customHeight="1">
      <c r="A156" s="468">
        <f>IF('Student DATA Entry'!A153="","",'Student DATA Entry'!A153)</f>
        <v>150</v>
      </c>
      <c r="B156" s="459" t="str">
        <f>IF('Student DATA Entry'!B153="","",'Student DATA Entry'!B153)</f>
        <v/>
      </c>
      <c r="C156" s="459" t="str">
        <f>IF('Student DATA Entry'!C153="","",'Student DATA Entry'!C153)</f>
        <v/>
      </c>
      <c r="D156" s="459" t="str">
        <f>IF('Student DATA Entry'!D153="","",'Student DATA Entry'!D153)</f>
        <v/>
      </c>
      <c r="E156" s="459" t="str">
        <f>IF('Student DATA Entry'!E153="","",'Student DATA Entry'!E153)</f>
        <v/>
      </c>
      <c r="F156" s="460" t="str">
        <f>IF('Student DATA Entry'!K153="","",'Student DATA Entry'!K153)</f>
        <v/>
      </c>
      <c r="G156" s="461" t="str">
        <f>IF('Student DATA Entry'!G153="","",UPPER('Student DATA Entry'!G153))</f>
        <v/>
      </c>
      <c r="H156" s="461" t="str">
        <f>IF('Student DATA Entry'!H153="","",UPPER('Student DATA Entry'!H153))</f>
        <v/>
      </c>
      <c r="I156" s="462" t="str">
        <f>IF('Student DATA Entry'!I153="","",UPPER('Student DATA Entry'!I153))</f>
        <v/>
      </c>
      <c r="J156" s="463" t="str">
        <f>IF('Student DATA Entry'!L153="","",UPPER('Student DATA Entry'!L153))</f>
        <v/>
      </c>
      <c r="K156" s="469" t="str">
        <f>IF('Student DATA Entry'!J153="","",UPPER('Student DATA Entry'!J153))</f>
        <v/>
      </c>
      <c r="L156" s="491"/>
      <c r="M156" s="8"/>
      <c r="N156" s="8"/>
      <c r="O156" s="9"/>
      <c r="P156" s="492"/>
      <c r="Q156" s="491"/>
      <c r="R156" s="8"/>
      <c r="S156" s="8"/>
      <c r="T156" s="9"/>
      <c r="U156" s="492"/>
      <c r="V156" s="502"/>
      <c r="W156" s="7"/>
      <c r="X156" s="8"/>
      <c r="Y156" s="8"/>
      <c r="Z156" s="9"/>
      <c r="AA156" s="492"/>
      <c r="AB156" s="491"/>
      <c r="AC156" s="8"/>
      <c r="AD156" s="8"/>
      <c r="AE156" s="9"/>
      <c r="AF156" s="492"/>
      <c r="AG156" s="491"/>
      <c r="AH156" s="8"/>
      <c r="AI156" s="8"/>
      <c r="AJ156" s="9"/>
      <c r="AK156" s="492"/>
      <c r="AL156" s="491"/>
      <c r="AM156" s="8"/>
      <c r="AN156" s="8"/>
      <c r="AO156" s="9"/>
      <c r="AP156" s="492"/>
      <c r="AQ156" s="506"/>
      <c r="AR156" s="491"/>
      <c r="AS156" s="8"/>
      <c r="AT156" s="8"/>
      <c r="AU156" s="9"/>
      <c r="AV156" s="9"/>
      <c r="AW156" s="17"/>
      <c r="AX156" s="492"/>
      <c r="AY156" s="491"/>
      <c r="AZ156" s="7"/>
      <c r="BA156" s="9"/>
      <c r="BB156" s="9"/>
      <c r="BC156" s="492"/>
      <c r="BD156" s="491"/>
      <c r="BE156" s="7"/>
      <c r="BF156" s="7"/>
      <c r="BG156" s="7"/>
      <c r="BH156" s="9"/>
      <c r="BI156" s="9"/>
      <c r="BJ156" s="492"/>
      <c r="BK156" s="491"/>
      <c r="BL156" s="7"/>
      <c r="BM156" s="7"/>
      <c r="BN156" s="7"/>
      <c r="BO156" s="7"/>
      <c r="BP156" s="7"/>
      <c r="BQ156" s="7"/>
      <c r="BR156" s="8"/>
      <c r="BS156" s="8"/>
      <c r="BT156" s="509"/>
      <c r="BU156" s="491"/>
      <c r="BV156" s="8"/>
      <c r="BW156" s="509"/>
      <c r="BX156" s="491"/>
      <c r="BY156" s="8"/>
      <c r="BZ156" s="509"/>
      <c r="CA156" s="751"/>
    </row>
    <row r="157" spans="1:79" ht="24.95" customHeight="1">
      <c r="A157" s="468">
        <f>IF('Student DATA Entry'!A154="","",'Student DATA Entry'!A154)</f>
        <v>151</v>
      </c>
      <c r="B157" s="459" t="str">
        <f>IF('Student DATA Entry'!B154="","",'Student DATA Entry'!B154)</f>
        <v/>
      </c>
      <c r="C157" s="459" t="str">
        <f>IF('Student DATA Entry'!C154="","",'Student DATA Entry'!C154)</f>
        <v/>
      </c>
      <c r="D157" s="459" t="str">
        <f>IF('Student DATA Entry'!D154="","",'Student DATA Entry'!D154)</f>
        <v/>
      </c>
      <c r="E157" s="459" t="str">
        <f>IF('Student DATA Entry'!E154="","",'Student DATA Entry'!E154)</f>
        <v/>
      </c>
      <c r="F157" s="460" t="str">
        <f>IF('Student DATA Entry'!K154="","",'Student DATA Entry'!K154)</f>
        <v/>
      </c>
      <c r="G157" s="461" t="str">
        <f>IF('Student DATA Entry'!G154="","",UPPER('Student DATA Entry'!G154))</f>
        <v/>
      </c>
      <c r="H157" s="461" t="str">
        <f>IF('Student DATA Entry'!H154="","",UPPER('Student DATA Entry'!H154))</f>
        <v/>
      </c>
      <c r="I157" s="462" t="str">
        <f>IF('Student DATA Entry'!I154="","",UPPER('Student DATA Entry'!I154))</f>
        <v/>
      </c>
      <c r="J157" s="463" t="str">
        <f>IF('Student DATA Entry'!L154="","",UPPER('Student DATA Entry'!L154))</f>
        <v/>
      </c>
      <c r="K157" s="469" t="str">
        <f>IF('Student DATA Entry'!J154="","",UPPER('Student DATA Entry'!J154))</f>
        <v/>
      </c>
      <c r="L157" s="491"/>
      <c r="M157" s="8"/>
      <c r="N157" s="8"/>
      <c r="O157" s="9"/>
      <c r="P157" s="492"/>
      <c r="Q157" s="491"/>
      <c r="R157" s="8"/>
      <c r="S157" s="8"/>
      <c r="T157" s="9"/>
      <c r="U157" s="492"/>
      <c r="V157" s="502"/>
      <c r="W157" s="7"/>
      <c r="X157" s="8"/>
      <c r="Y157" s="8"/>
      <c r="Z157" s="9"/>
      <c r="AA157" s="492"/>
      <c r="AB157" s="491"/>
      <c r="AC157" s="8"/>
      <c r="AD157" s="8"/>
      <c r="AE157" s="9"/>
      <c r="AF157" s="492"/>
      <c r="AG157" s="491"/>
      <c r="AH157" s="8"/>
      <c r="AI157" s="8"/>
      <c r="AJ157" s="9"/>
      <c r="AK157" s="492"/>
      <c r="AL157" s="491"/>
      <c r="AM157" s="8"/>
      <c r="AN157" s="8"/>
      <c r="AO157" s="9"/>
      <c r="AP157" s="492"/>
      <c r="AQ157" s="506"/>
      <c r="AR157" s="491"/>
      <c r="AS157" s="8"/>
      <c r="AT157" s="8"/>
      <c r="AU157" s="9"/>
      <c r="AV157" s="9"/>
      <c r="AW157" s="17"/>
      <c r="AX157" s="492"/>
      <c r="AY157" s="491"/>
      <c r="AZ157" s="7"/>
      <c r="BA157" s="9"/>
      <c r="BB157" s="9"/>
      <c r="BC157" s="492"/>
      <c r="BD157" s="491"/>
      <c r="BE157" s="7"/>
      <c r="BF157" s="7"/>
      <c r="BG157" s="7"/>
      <c r="BH157" s="9"/>
      <c r="BI157" s="9"/>
      <c r="BJ157" s="492"/>
      <c r="BK157" s="491"/>
      <c r="BL157" s="7"/>
      <c r="BM157" s="7"/>
      <c r="BN157" s="7"/>
      <c r="BO157" s="7"/>
      <c r="BP157" s="7"/>
      <c r="BQ157" s="7"/>
      <c r="BR157" s="8"/>
      <c r="BS157" s="8"/>
      <c r="BT157" s="509"/>
      <c r="BU157" s="491"/>
      <c r="BV157" s="8"/>
      <c r="BW157" s="509"/>
      <c r="BX157" s="491"/>
      <c r="BY157" s="8"/>
      <c r="BZ157" s="509"/>
      <c r="CA157" s="751"/>
    </row>
    <row r="158" spans="1:79" ht="24.95" customHeight="1">
      <c r="A158" s="468">
        <f>IF('Student DATA Entry'!A155="","",'Student DATA Entry'!A155)</f>
        <v>152</v>
      </c>
      <c r="B158" s="459" t="str">
        <f>IF('Student DATA Entry'!B155="","",'Student DATA Entry'!B155)</f>
        <v/>
      </c>
      <c r="C158" s="459" t="str">
        <f>IF('Student DATA Entry'!C155="","",'Student DATA Entry'!C155)</f>
        <v/>
      </c>
      <c r="D158" s="459" t="str">
        <f>IF('Student DATA Entry'!D155="","",'Student DATA Entry'!D155)</f>
        <v/>
      </c>
      <c r="E158" s="459" t="str">
        <f>IF('Student DATA Entry'!E155="","",'Student DATA Entry'!E155)</f>
        <v/>
      </c>
      <c r="F158" s="460" t="str">
        <f>IF('Student DATA Entry'!K155="","",'Student DATA Entry'!K155)</f>
        <v/>
      </c>
      <c r="G158" s="461" t="str">
        <f>IF('Student DATA Entry'!G155="","",UPPER('Student DATA Entry'!G155))</f>
        <v/>
      </c>
      <c r="H158" s="461" t="str">
        <f>IF('Student DATA Entry'!H155="","",UPPER('Student DATA Entry'!H155))</f>
        <v/>
      </c>
      <c r="I158" s="462" t="str">
        <f>IF('Student DATA Entry'!I155="","",UPPER('Student DATA Entry'!I155))</f>
        <v/>
      </c>
      <c r="J158" s="463" t="str">
        <f>IF('Student DATA Entry'!L155="","",UPPER('Student DATA Entry'!L155))</f>
        <v/>
      </c>
      <c r="K158" s="469" t="str">
        <f>IF('Student DATA Entry'!J155="","",UPPER('Student DATA Entry'!J155))</f>
        <v/>
      </c>
      <c r="L158" s="491"/>
      <c r="M158" s="8"/>
      <c r="N158" s="8"/>
      <c r="O158" s="9"/>
      <c r="P158" s="492"/>
      <c r="Q158" s="491"/>
      <c r="R158" s="8"/>
      <c r="S158" s="8"/>
      <c r="T158" s="9"/>
      <c r="U158" s="492"/>
      <c r="V158" s="502"/>
      <c r="W158" s="7"/>
      <c r="X158" s="8"/>
      <c r="Y158" s="8"/>
      <c r="Z158" s="9"/>
      <c r="AA158" s="492"/>
      <c r="AB158" s="491"/>
      <c r="AC158" s="8"/>
      <c r="AD158" s="8"/>
      <c r="AE158" s="9"/>
      <c r="AF158" s="492"/>
      <c r="AG158" s="491"/>
      <c r="AH158" s="8"/>
      <c r="AI158" s="8"/>
      <c r="AJ158" s="9"/>
      <c r="AK158" s="492"/>
      <c r="AL158" s="491"/>
      <c r="AM158" s="8"/>
      <c r="AN158" s="8"/>
      <c r="AO158" s="9"/>
      <c r="AP158" s="492"/>
      <c r="AQ158" s="506"/>
      <c r="AR158" s="491"/>
      <c r="AS158" s="8"/>
      <c r="AT158" s="8"/>
      <c r="AU158" s="9"/>
      <c r="AV158" s="9"/>
      <c r="AW158" s="17"/>
      <c r="AX158" s="492"/>
      <c r="AY158" s="491"/>
      <c r="AZ158" s="7"/>
      <c r="BA158" s="9"/>
      <c r="BB158" s="9"/>
      <c r="BC158" s="492"/>
      <c r="BD158" s="491"/>
      <c r="BE158" s="7"/>
      <c r="BF158" s="7"/>
      <c r="BG158" s="7"/>
      <c r="BH158" s="9"/>
      <c r="BI158" s="9"/>
      <c r="BJ158" s="492"/>
      <c r="BK158" s="491"/>
      <c r="BL158" s="7"/>
      <c r="BM158" s="7"/>
      <c r="BN158" s="7"/>
      <c r="BO158" s="7"/>
      <c r="BP158" s="7"/>
      <c r="BQ158" s="7"/>
      <c r="BR158" s="8"/>
      <c r="BS158" s="8"/>
      <c r="BT158" s="509"/>
      <c r="BU158" s="491"/>
      <c r="BV158" s="8"/>
      <c r="BW158" s="509"/>
      <c r="BX158" s="491"/>
      <c r="BY158" s="8"/>
      <c r="BZ158" s="509"/>
      <c r="CA158" s="751"/>
    </row>
    <row r="159" spans="1:79" ht="24.95" customHeight="1">
      <c r="A159" s="468">
        <f>IF('Student DATA Entry'!A156="","",'Student DATA Entry'!A156)</f>
        <v>153</v>
      </c>
      <c r="B159" s="459" t="str">
        <f>IF('Student DATA Entry'!B156="","",'Student DATA Entry'!B156)</f>
        <v/>
      </c>
      <c r="C159" s="459" t="str">
        <f>IF('Student DATA Entry'!C156="","",'Student DATA Entry'!C156)</f>
        <v/>
      </c>
      <c r="D159" s="459" t="str">
        <f>IF('Student DATA Entry'!D156="","",'Student DATA Entry'!D156)</f>
        <v/>
      </c>
      <c r="E159" s="459" t="str">
        <f>IF('Student DATA Entry'!E156="","",'Student DATA Entry'!E156)</f>
        <v/>
      </c>
      <c r="F159" s="460" t="str">
        <f>IF('Student DATA Entry'!K156="","",'Student DATA Entry'!K156)</f>
        <v/>
      </c>
      <c r="G159" s="461" t="str">
        <f>IF('Student DATA Entry'!G156="","",UPPER('Student DATA Entry'!G156))</f>
        <v/>
      </c>
      <c r="H159" s="461" t="str">
        <f>IF('Student DATA Entry'!H156="","",UPPER('Student DATA Entry'!H156))</f>
        <v/>
      </c>
      <c r="I159" s="462" t="str">
        <f>IF('Student DATA Entry'!I156="","",UPPER('Student DATA Entry'!I156))</f>
        <v/>
      </c>
      <c r="J159" s="463" t="str">
        <f>IF('Student DATA Entry'!L156="","",UPPER('Student DATA Entry'!L156))</f>
        <v/>
      </c>
      <c r="K159" s="469" t="str">
        <f>IF('Student DATA Entry'!J156="","",UPPER('Student DATA Entry'!J156))</f>
        <v/>
      </c>
      <c r="L159" s="491"/>
      <c r="M159" s="8"/>
      <c r="N159" s="8"/>
      <c r="O159" s="9"/>
      <c r="P159" s="492"/>
      <c r="Q159" s="491"/>
      <c r="R159" s="8"/>
      <c r="S159" s="8"/>
      <c r="T159" s="9"/>
      <c r="U159" s="492"/>
      <c r="V159" s="502"/>
      <c r="W159" s="7"/>
      <c r="X159" s="8"/>
      <c r="Y159" s="8"/>
      <c r="Z159" s="9"/>
      <c r="AA159" s="492"/>
      <c r="AB159" s="491"/>
      <c r="AC159" s="8"/>
      <c r="AD159" s="8"/>
      <c r="AE159" s="9"/>
      <c r="AF159" s="492"/>
      <c r="AG159" s="491"/>
      <c r="AH159" s="8"/>
      <c r="AI159" s="8"/>
      <c r="AJ159" s="9"/>
      <c r="AK159" s="492"/>
      <c r="AL159" s="491"/>
      <c r="AM159" s="8"/>
      <c r="AN159" s="8"/>
      <c r="AO159" s="9"/>
      <c r="AP159" s="492"/>
      <c r="AQ159" s="506"/>
      <c r="AR159" s="491"/>
      <c r="AS159" s="8"/>
      <c r="AT159" s="8"/>
      <c r="AU159" s="9"/>
      <c r="AV159" s="9"/>
      <c r="AW159" s="17"/>
      <c r="AX159" s="492"/>
      <c r="AY159" s="491"/>
      <c r="AZ159" s="7"/>
      <c r="BA159" s="9"/>
      <c r="BB159" s="9"/>
      <c r="BC159" s="492"/>
      <c r="BD159" s="491"/>
      <c r="BE159" s="7"/>
      <c r="BF159" s="7"/>
      <c r="BG159" s="7"/>
      <c r="BH159" s="9"/>
      <c r="BI159" s="9"/>
      <c r="BJ159" s="492"/>
      <c r="BK159" s="491"/>
      <c r="BL159" s="7"/>
      <c r="BM159" s="7"/>
      <c r="BN159" s="7"/>
      <c r="BO159" s="7"/>
      <c r="BP159" s="7"/>
      <c r="BQ159" s="7"/>
      <c r="BR159" s="8"/>
      <c r="BS159" s="8"/>
      <c r="BT159" s="509"/>
      <c r="BU159" s="491"/>
      <c r="BV159" s="8"/>
      <c r="BW159" s="509"/>
      <c r="BX159" s="491"/>
      <c r="BY159" s="8"/>
      <c r="BZ159" s="509"/>
      <c r="CA159" s="751"/>
    </row>
    <row r="160" spans="1:79" ht="24.95" customHeight="1">
      <c r="A160" s="468">
        <f>IF('Student DATA Entry'!A157="","",'Student DATA Entry'!A157)</f>
        <v>154</v>
      </c>
      <c r="B160" s="459" t="str">
        <f>IF('Student DATA Entry'!B157="","",'Student DATA Entry'!B157)</f>
        <v/>
      </c>
      <c r="C160" s="459" t="str">
        <f>IF('Student DATA Entry'!C157="","",'Student DATA Entry'!C157)</f>
        <v/>
      </c>
      <c r="D160" s="459" t="str">
        <f>IF('Student DATA Entry'!D157="","",'Student DATA Entry'!D157)</f>
        <v/>
      </c>
      <c r="E160" s="459" t="str">
        <f>IF('Student DATA Entry'!E157="","",'Student DATA Entry'!E157)</f>
        <v/>
      </c>
      <c r="F160" s="460" t="str">
        <f>IF('Student DATA Entry'!K157="","",'Student DATA Entry'!K157)</f>
        <v/>
      </c>
      <c r="G160" s="461" t="str">
        <f>IF('Student DATA Entry'!G157="","",UPPER('Student DATA Entry'!G157))</f>
        <v/>
      </c>
      <c r="H160" s="461" t="str">
        <f>IF('Student DATA Entry'!H157="","",UPPER('Student DATA Entry'!H157))</f>
        <v/>
      </c>
      <c r="I160" s="462" t="str">
        <f>IF('Student DATA Entry'!I157="","",UPPER('Student DATA Entry'!I157))</f>
        <v/>
      </c>
      <c r="J160" s="463" t="str">
        <f>IF('Student DATA Entry'!L157="","",UPPER('Student DATA Entry'!L157))</f>
        <v/>
      </c>
      <c r="K160" s="469" t="str">
        <f>IF('Student DATA Entry'!J157="","",UPPER('Student DATA Entry'!J157))</f>
        <v/>
      </c>
      <c r="L160" s="491"/>
      <c r="M160" s="8"/>
      <c r="N160" s="8"/>
      <c r="O160" s="9"/>
      <c r="P160" s="492"/>
      <c r="Q160" s="491"/>
      <c r="R160" s="8"/>
      <c r="S160" s="8"/>
      <c r="T160" s="9"/>
      <c r="U160" s="492"/>
      <c r="V160" s="502"/>
      <c r="W160" s="7"/>
      <c r="X160" s="8"/>
      <c r="Y160" s="8"/>
      <c r="Z160" s="9"/>
      <c r="AA160" s="492"/>
      <c r="AB160" s="491"/>
      <c r="AC160" s="8"/>
      <c r="AD160" s="8"/>
      <c r="AE160" s="9"/>
      <c r="AF160" s="492"/>
      <c r="AG160" s="491"/>
      <c r="AH160" s="8"/>
      <c r="AI160" s="8"/>
      <c r="AJ160" s="9"/>
      <c r="AK160" s="492"/>
      <c r="AL160" s="491"/>
      <c r="AM160" s="8"/>
      <c r="AN160" s="8"/>
      <c r="AO160" s="9"/>
      <c r="AP160" s="492"/>
      <c r="AQ160" s="506"/>
      <c r="AR160" s="491"/>
      <c r="AS160" s="8"/>
      <c r="AT160" s="8"/>
      <c r="AU160" s="9"/>
      <c r="AV160" s="9"/>
      <c r="AW160" s="17"/>
      <c r="AX160" s="492"/>
      <c r="AY160" s="491"/>
      <c r="AZ160" s="7"/>
      <c r="BA160" s="9"/>
      <c r="BB160" s="9"/>
      <c r="BC160" s="492"/>
      <c r="BD160" s="491"/>
      <c r="BE160" s="7"/>
      <c r="BF160" s="7"/>
      <c r="BG160" s="7"/>
      <c r="BH160" s="9"/>
      <c r="BI160" s="9"/>
      <c r="BJ160" s="492"/>
      <c r="BK160" s="491"/>
      <c r="BL160" s="7"/>
      <c r="BM160" s="7"/>
      <c r="BN160" s="7"/>
      <c r="BO160" s="7"/>
      <c r="BP160" s="7"/>
      <c r="BQ160" s="7"/>
      <c r="BR160" s="8"/>
      <c r="BS160" s="8"/>
      <c r="BT160" s="509"/>
      <c r="BU160" s="491"/>
      <c r="BV160" s="8"/>
      <c r="BW160" s="509"/>
      <c r="BX160" s="491"/>
      <c r="BY160" s="8"/>
      <c r="BZ160" s="509"/>
      <c r="CA160" s="751"/>
    </row>
    <row r="161" spans="1:79" ht="24.95" customHeight="1">
      <c r="A161" s="468">
        <f>IF('Student DATA Entry'!A158="","",'Student DATA Entry'!A158)</f>
        <v>155</v>
      </c>
      <c r="B161" s="459" t="str">
        <f>IF('Student DATA Entry'!B158="","",'Student DATA Entry'!B158)</f>
        <v/>
      </c>
      <c r="C161" s="459" t="str">
        <f>IF('Student DATA Entry'!C158="","",'Student DATA Entry'!C158)</f>
        <v/>
      </c>
      <c r="D161" s="459" t="str">
        <f>IF('Student DATA Entry'!D158="","",'Student DATA Entry'!D158)</f>
        <v/>
      </c>
      <c r="E161" s="459" t="str">
        <f>IF('Student DATA Entry'!E158="","",'Student DATA Entry'!E158)</f>
        <v/>
      </c>
      <c r="F161" s="460" t="str">
        <f>IF('Student DATA Entry'!K158="","",'Student DATA Entry'!K158)</f>
        <v/>
      </c>
      <c r="G161" s="461" t="str">
        <f>IF('Student DATA Entry'!G158="","",UPPER('Student DATA Entry'!G158))</f>
        <v/>
      </c>
      <c r="H161" s="461" t="str">
        <f>IF('Student DATA Entry'!H158="","",UPPER('Student DATA Entry'!H158))</f>
        <v/>
      </c>
      <c r="I161" s="462" t="str">
        <f>IF('Student DATA Entry'!I158="","",UPPER('Student DATA Entry'!I158))</f>
        <v/>
      </c>
      <c r="J161" s="463" t="str">
        <f>IF('Student DATA Entry'!L158="","",UPPER('Student DATA Entry'!L158))</f>
        <v/>
      </c>
      <c r="K161" s="469" t="str">
        <f>IF('Student DATA Entry'!J158="","",UPPER('Student DATA Entry'!J158))</f>
        <v/>
      </c>
      <c r="L161" s="491"/>
      <c r="M161" s="8"/>
      <c r="N161" s="8"/>
      <c r="O161" s="9"/>
      <c r="P161" s="492"/>
      <c r="Q161" s="491"/>
      <c r="R161" s="8"/>
      <c r="S161" s="8"/>
      <c r="T161" s="9"/>
      <c r="U161" s="492"/>
      <c r="V161" s="502"/>
      <c r="W161" s="7"/>
      <c r="X161" s="8"/>
      <c r="Y161" s="8"/>
      <c r="Z161" s="9"/>
      <c r="AA161" s="492"/>
      <c r="AB161" s="491"/>
      <c r="AC161" s="8"/>
      <c r="AD161" s="8"/>
      <c r="AE161" s="9"/>
      <c r="AF161" s="492"/>
      <c r="AG161" s="491"/>
      <c r="AH161" s="8"/>
      <c r="AI161" s="8"/>
      <c r="AJ161" s="9"/>
      <c r="AK161" s="492"/>
      <c r="AL161" s="491"/>
      <c r="AM161" s="8"/>
      <c r="AN161" s="8"/>
      <c r="AO161" s="9"/>
      <c r="AP161" s="492"/>
      <c r="AQ161" s="506"/>
      <c r="AR161" s="491"/>
      <c r="AS161" s="8"/>
      <c r="AT161" s="8"/>
      <c r="AU161" s="9"/>
      <c r="AV161" s="9"/>
      <c r="AW161" s="17"/>
      <c r="AX161" s="492"/>
      <c r="AY161" s="491"/>
      <c r="AZ161" s="7"/>
      <c r="BA161" s="9"/>
      <c r="BB161" s="9"/>
      <c r="BC161" s="492"/>
      <c r="BD161" s="491"/>
      <c r="BE161" s="7"/>
      <c r="BF161" s="7"/>
      <c r="BG161" s="7"/>
      <c r="BH161" s="9"/>
      <c r="BI161" s="9"/>
      <c r="BJ161" s="492"/>
      <c r="BK161" s="491"/>
      <c r="BL161" s="7"/>
      <c r="BM161" s="7"/>
      <c r="BN161" s="7"/>
      <c r="BO161" s="7"/>
      <c r="BP161" s="7"/>
      <c r="BQ161" s="7"/>
      <c r="BR161" s="8"/>
      <c r="BS161" s="8"/>
      <c r="BT161" s="509"/>
      <c r="BU161" s="491"/>
      <c r="BV161" s="8"/>
      <c r="BW161" s="509"/>
      <c r="BX161" s="491"/>
      <c r="BY161" s="8"/>
      <c r="BZ161" s="509"/>
      <c r="CA161" s="751"/>
    </row>
    <row r="162" spans="1:79" ht="24.95" customHeight="1">
      <c r="A162" s="468">
        <f>IF('Student DATA Entry'!A159="","",'Student DATA Entry'!A159)</f>
        <v>156</v>
      </c>
      <c r="B162" s="459" t="str">
        <f>IF('Student DATA Entry'!B159="","",'Student DATA Entry'!B159)</f>
        <v/>
      </c>
      <c r="C162" s="459" t="str">
        <f>IF('Student DATA Entry'!C159="","",'Student DATA Entry'!C159)</f>
        <v/>
      </c>
      <c r="D162" s="459" t="str">
        <f>IF('Student DATA Entry'!D159="","",'Student DATA Entry'!D159)</f>
        <v/>
      </c>
      <c r="E162" s="459" t="str">
        <f>IF('Student DATA Entry'!E159="","",'Student DATA Entry'!E159)</f>
        <v/>
      </c>
      <c r="F162" s="460" t="str">
        <f>IF('Student DATA Entry'!K159="","",'Student DATA Entry'!K159)</f>
        <v/>
      </c>
      <c r="G162" s="461" t="str">
        <f>IF('Student DATA Entry'!G159="","",UPPER('Student DATA Entry'!G159))</f>
        <v/>
      </c>
      <c r="H162" s="461" t="str">
        <f>IF('Student DATA Entry'!H159="","",UPPER('Student DATA Entry'!H159))</f>
        <v/>
      </c>
      <c r="I162" s="462" t="str">
        <f>IF('Student DATA Entry'!I159="","",UPPER('Student DATA Entry'!I159))</f>
        <v/>
      </c>
      <c r="J162" s="463" t="str">
        <f>IF('Student DATA Entry'!L159="","",UPPER('Student DATA Entry'!L159))</f>
        <v/>
      </c>
      <c r="K162" s="469" t="str">
        <f>IF('Student DATA Entry'!J159="","",UPPER('Student DATA Entry'!J159))</f>
        <v/>
      </c>
      <c r="L162" s="491"/>
      <c r="M162" s="8"/>
      <c r="N162" s="8"/>
      <c r="O162" s="9"/>
      <c r="P162" s="492"/>
      <c r="Q162" s="491"/>
      <c r="R162" s="8"/>
      <c r="S162" s="8"/>
      <c r="T162" s="9"/>
      <c r="U162" s="492"/>
      <c r="V162" s="502"/>
      <c r="W162" s="7"/>
      <c r="X162" s="8"/>
      <c r="Y162" s="8"/>
      <c r="Z162" s="9"/>
      <c r="AA162" s="492"/>
      <c r="AB162" s="491"/>
      <c r="AC162" s="8"/>
      <c r="AD162" s="8"/>
      <c r="AE162" s="9"/>
      <c r="AF162" s="492"/>
      <c r="AG162" s="491"/>
      <c r="AH162" s="8"/>
      <c r="AI162" s="8"/>
      <c r="AJ162" s="9"/>
      <c r="AK162" s="492"/>
      <c r="AL162" s="491"/>
      <c r="AM162" s="8"/>
      <c r="AN162" s="8"/>
      <c r="AO162" s="9"/>
      <c r="AP162" s="492"/>
      <c r="AQ162" s="506"/>
      <c r="AR162" s="491"/>
      <c r="AS162" s="8"/>
      <c r="AT162" s="8"/>
      <c r="AU162" s="9"/>
      <c r="AV162" s="9"/>
      <c r="AW162" s="17"/>
      <c r="AX162" s="492"/>
      <c r="AY162" s="491"/>
      <c r="AZ162" s="7"/>
      <c r="BA162" s="9"/>
      <c r="BB162" s="9"/>
      <c r="BC162" s="492"/>
      <c r="BD162" s="491"/>
      <c r="BE162" s="7"/>
      <c r="BF162" s="7"/>
      <c r="BG162" s="7"/>
      <c r="BH162" s="9"/>
      <c r="BI162" s="9"/>
      <c r="BJ162" s="492"/>
      <c r="BK162" s="491"/>
      <c r="BL162" s="7"/>
      <c r="BM162" s="7"/>
      <c r="BN162" s="7"/>
      <c r="BO162" s="7"/>
      <c r="BP162" s="7"/>
      <c r="BQ162" s="7"/>
      <c r="BR162" s="8"/>
      <c r="BS162" s="8"/>
      <c r="BT162" s="509"/>
      <c r="BU162" s="491"/>
      <c r="BV162" s="8"/>
      <c r="BW162" s="509"/>
      <c r="BX162" s="491"/>
      <c r="BY162" s="8"/>
      <c r="BZ162" s="509"/>
      <c r="CA162" s="751"/>
    </row>
    <row r="163" spans="1:79" ht="24.95" customHeight="1">
      <c r="A163" s="468">
        <f>IF('Student DATA Entry'!A160="","",'Student DATA Entry'!A160)</f>
        <v>157</v>
      </c>
      <c r="B163" s="459" t="str">
        <f>IF('Student DATA Entry'!B160="","",'Student DATA Entry'!B160)</f>
        <v/>
      </c>
      <c r="C163" s="459" t="str">
        <f>IF('Student DATA Entry'!C160="","",'Student DATA Entry'!C160)</f>
        <v/>
      </c>
      <c r="D163" s="459" t="str">
        <f>IF('Student DATA Entry'!D160="","",'Student DATA Entry'!D160)</f>
        <v/>
      </c>
      <c r="E163" s="459" t="str">
        <f>IF('Student DATA Entry'!E160="","",'Student DATA Entry'!E160)</f>
        <v/>
      </c>
      <c r="F163" s="460" t="str">
        <f>IF('Student DATA Entry'!K160="","",'Student DATA Entry'!K160)</f>
        <v/>
      </c>
      <c r="G163" s="461" t="str">
        <f>IF('Student DATA Entry'!G160="","",UPPER('Student DATA Entry'!G160))</f>
        <v/>
      </c>
      <c r="H163" s="461" t="str">
        <f>IF('Student DATA Entry'!H160="","",UPPER('Student DATA Entry'!H160))</f>
        <v/>
      </c>
      <c r="I163" s="462" t="str">
        <f>IF('Student DATA Entry'!I160="","",UPPER('Student DATA Entry'!I160))</f>
        <v/>
      </c>
      <c r="J163" s="463" t="str">
        <f>IF('Student DATA Entry'!L160="","",UPPER('Student DATA Entry'!L160))</f>
        <v/>
      </c>
      <c r="K163" s="469" t="str">
        <f>IF('Student DATA Entry'!J160="","",UPPER('Student DATA Entry'!J160))</f>
        <v/>
      </c>
      <c r="L163" s="491"/>
      <c r="M163" s="8"/>
      <c r="N163" s="8"/>
      <c r="O163" s="9"/>
      <c r="P163" s="492"/>
      <c r="Q163" s="491"/>
      <c r="R163" s="8"/>
      <c r="S163" s="8"/>
      <c r="T163" s="9"/>
      <c r="U163" s="492"/>
      <c r="V163" s="502"/>
      <c r="W163" s="7"/>
      <c r="X163" s="8"/>
      <c r="Y163" s="8"/>
      <c r="Z163" s="9"/>
      <c r="AA163" s="492"/>
      <c r="AB163" s="491"/>
      <c r="AC163" s="8"/>
      <c r="AD163" s="8"/>
      <c r="AE163" s="9"/>
      <c r="AF163" s="492"/>
      <c r="AG163" s="491"/>
      <c r="AH163" s="8"/>
      <c r="AI163" s="8"/>
      <c r="AJ163" s="9"/>
      <c r="AK163" s="492"/>
      <c r="AL163" s="491"/>
      <c r="AM163" s="8"/>
      <c r="AN163" s="8"/>
      <c r="AO163" s="9"/>
      <c r="AP163" s="492"/>
      <c r="AQ163" s="506"/>
      <c r="AR163" s="491"/>
      <c r="AS163" s="8"/>
      <c r="AT163" s="8"/>
      <c r="AU163" s="9"/>
      <c r="AV163" s="9"/>
      <c r="AW163" s="17"/>
      <c r="AX163" s="492"/>
      <c r="AY163" s="491"/>
      <c r="AZ163" s="7"/>
      <c r="BA163" s="9"/>
      <c r="BB163" s="9"/>
      <c r="BC163" s="492"/>
      <c r="BD163" s="491"/>
      <c r="BE163" s="7"/>
      <c r="BF163" s="7"/>
      <c r="BG163" s="7"/>
      <c r="BH163" s="9"/>
      <c r="BI163" s="9"/>
      <c r="BJ163" s="492"/>
      <c r="BK163" s="491"/>
      <c r="BL163" s="7"/>
      <c r="BM163" s="7"/>
      <c r="BN163" s="7"/>
      <c r="BO163" s="7"/>
      <c r="BP163" s="7"/>
      <c r="BQ163" s="7"/>
      <c r="BR163" s="8"/>
      <c r="BS163" s="8"/>
      <c r="BT163" s="509"/>
      <c r="BU163" s="491"/>
      <c r="BV163" s="8"/>
      <c r="BW163" s="509"/>
      <c r="BX163" s="491"/>
      <c r="BY163" s="8"/>
      <c r="BZ163" s="509"/>
      <c r="CA163" s="751"/>
    </row>
    <row r="164" spans="1:79" ht="24.95" customHeight="1">
      <c r="A164" s="468">
        <f>IF('Student DATA Entry'!A161="","",'Student DATA Entry'!A161)</f>
        <v>158</v>
      </c>
      <c r="B164" s="459" t="str">
        <f>IF('Student DATA Entry'!B161="","",'Student DATA Entry'!B161)</f>
        <v/>
      </c>
      <c r="C164" s="459" t="str">
        <f>IF('Student DATA Entry'!C161="","",'Student DATA Entry'!C161)</f>
        <v/>
      </c>
      <c r="D164" s="459" t="str">
        <f>IF('Student DATA Entry'!D161="","",'Student DATA Entry'!D161)</f>
        <v/>
      </c>
      <c r="E164" s="459" t="str">
        <f>IF('Student DATA Entry'!E161="","",'Student DATA Entry'!E161)</f>
        <v/>
      </c>
      <c r="F164" s="460" t="str">
        <f>IF('Student DATA Entry'!K161="","",'Student DATA Entry'!K161)</f>
        <v/>
      </c>
      <c r="G164" s="461" t="str">
        <f>IF('Student DATA Entry'!G161="","",UPPER('Student DATA Entry'!G161))</f>
        <v/>
      </c>
      <c r="H164" s="461" t="str">
        <f>IF('Student DATA Entry'!H161="","",UPPER('Student DATA Entry'!H161))</f>
        <v/>
      </c>
      <c r="I164" s="462" t="str">
        <f>IF('Student DATA Entry'!I161="","",UPPER('Student DATA Entry'!I161))</f>
        <v/>
      </c>
      <c r="J164" s="463" t="str">
        <f>IF('Student DATA Entry'!L161="","",UPPER('Student DATA Entry'!L161))</f>
        <v/>
      </c>
      <c r="K164" s="469" t="str">
        <f>IF('Student DATA Entry'!J161="","",UPPER('Student DATA Entry'!J161))</f>
        <v/>
      </c>
      <c r="L164" s="491"/>
      <c r="M164" s="8"/>
      <c r="N164" s="8"/>
      <c r="O164" s="9"/>
      <c r="P164" s="492"/>
      <c r="Q164" s="491"/>
      <c r="R164" s="8"/>
      <c r="S164" s="8"/>
      <c r="T164" s="9"/>
      <c r="U164" s="492"/>
      <c r="V164" s="502"/>
      <c r="W164" s="7"/>
      <c r="X164" s="8"/>
      <c r="Y164" s="8"/>
      <c r="Z164" s="9"/>
      <c r="AA164" s="492"/>
      <c r="AB164" s="491"/>
      <c r="AC164" s="8"/>
      <c r="AD164" s="8"/>
      <c r="AE164" s="9"/>
      <c r="AF164" s="492"/>
      <c r="AG164" s="491"/>
      <c r="AH164" s="8"/>
      <c r="AI164" s="8"/>
      <c r="AJ164" s="9"/>
      <c r="AK164" s="492"/>
      <c r="AL164" s="491"/>
      <c r="AM164" s="8"/>
      <c r="AN164" s="8"/>
      <c r="AO164" s="9"/>
      <c r="AP164" s="492"/>
      <c r="AQ164" s="506"/>
      <c r="AR164" s="491"/>
      <c r="AS164" s="8"/>
      <c r="AT164" s="8"/>
      <c r="AU164" s="9"/>
      <c r="AV164" s="9"/>
      <c r="AW164" s="17"/>
      <c r="AX164" s="492"/>
      <c r="AY164" s="491"/>
      <c r="AZ164" s="7"/>
      <c r="BA164" s="9"/>
      <c r="BB164" s="9"/>
      <c r="BC164" s="492"/>
      <c r="BD164" s="491"/>
      <c r="BE164" s="7"/>
      <c r="BF164" s="7"/>
      <c r="BG164" s="7"/>
      <c r="BH164" s="9"/>
      <c r="BI164" s="9"/>
      <c r="BJ164" s="492"/>
      <c r="BK164" s="491"/>
      <c r="BL164" s="7"/>
      <c r="BM164" s="7"/>
      <c r="BN164" s="7"/>
      <c r="BO164" s="7"/>
      <c r="BP164" s="7"/>
      <c r="BQ164" s="7"/>
      <c r="BR164" s="8"/>
      <c r="BS164" s="8"/>
      <c r="BT164" s="509"/>
      <c r="BU164" s="491"/>
      <c r="BV164" s="8"/>
      <c r="BW164" s="509"/>
      <c r="BX164" s="491"/>
      <c r="BY164" s="8"/>
      <c r="BZ164" s="509"/>
      <c r="CA164" s="751"/>
    </row>
    <row r="165" spans="1:79" ht="24.95" customHeight="1">
      <c r="A165" s="468">
        <f>IF('Student DATA Entry'!A162="","",'Student DATA Entry'!A162)</f>
        <v>159</v>
      </c>
      <c r="B165" s="459" t="str">
        <f>IF('Student DATA Entry'!B162="","",'Student DATA Entry'!B162)</f>
        <v/>
      </c>
      <c r="C165" s="459" t="str">
        <f>IF('Student DATA Entry'!C162="","",'Student DATA Entry'!C162)</f>
        <v/>
      </c>
      <c r="D165" s="459" t="str">
        <f>IF('Student DATA Entry'!D162="","",'Student DATA Entry'!D162)</f>
        <v/>
      </c>
      <c r="E165" s="459" t="str">
        <f>IF('Student DATA Entry'!E162="","",'Student DATA Entry'!E162)</f>
        <v/>
      </c>
      <c r="F165" s="460" t="str">
        <f>IF('Student DATA Entry'!K162="","",'Student DATA Entry'!K162)</f>
        <v/>
      </c>
      <c r="G165" s="461" t="str">
        <f>IF('Student DATA Entry'!G162="","",UPPER('Student DATA Entry'!G162))</f>
        <v/>
      </c>
      <c r="H165" s="461" t="str">
        <f>IF('Student DATA Entry'!H162="","",UPPER('Student DATA Entry'!H162))</f>
        <v/>
      </c>
      <c r="I165" s="462" t="str">
        <f>IF('Student DATA Entry'!I162="","",UPPER('Student DATA Entry'!I162))</f>
        <v/>
      </c>
      <c r="J165" s="463" t="str">
        <f>IF('Student DATA Entry'!L162="","",UPPER('Student DATA Entry'!L162))</f>
        <v/>
      </c>
      <c r="K165" s="469" t="str">
        <f>IF('Student DATA Entry'!J162="","",UPPER('Student DATA Entry'!J162))</f>
        <v/>
      </c>
      <c r="L165" s="491"/>
      <c r="M165" s="8"/>
      <c r="N165" s="8"/>
      <c r="O165" s="9"/>
      <c r="P165" s="492"/>
      <c r="Q165" s="491"/>
      <c r="R165" s="8"/>
      <c r="S165" s="8"/>
      <c r="T165" s="9"/>
      <c r="U165" s="492"/>
      <c r="V165" s="502"/>
      <c r="W165" s="7"/>
      <c r="X165" s="8"/>
      <c r="Y165" s="8"/>
      <c r="Z165" s="9"/>
      <c r="AA165" s="492"/>
      <c r="AB165" s="491"/>
      <c r="AC165" s="8"/>
      <c r="AD165" s="8"/>
      <c r="AE165" s="9"/>
      <c r="AF165" s="492"/>
      <c r="AG165" s="491"/>
      <c r="AH165" s="8"/>
      <c r="AI165" s="8"/>
      <c r="AJ165" s="9"/>
      <c r="AK165" s="492"/>
      <c r="AL165" s="491"/>
      <c r="AM165" s="8"/>
      <c r="AN165" s="8"/>
      <c r="AO165" s="9"/>
      <c r="AP165" s="492"/>
      <c r="AQ165" s="506"/>
      <c r="AR165" s="491"/>
      <c r="AS165" s="8"/>
      <c r="AT165" s="8"/>
      <c r="AU165" s="9"/>
      <c r="AV165" s="9"/>
      <c r="AW165" s="17"/>
      <c r="AX165" s="492"/>
      <c r="AY165" s="491"/>
      <c r="AZ165" s="7"/>
      <c r="BA165" s="9"/>
      <c r="BB165" s="9"/>
      <c r="BC165" s="492"/>
      <c r="BD165" s="491"/>
      <c r="BE165" s="7"/>
      <c r="BF165" s="7"/>
      <c r="BG165" s="7"/>
      <c r="BH165" s="9"/>
      <c r="BI165" s="9"/>
      <c r="BJ165" s="492"/>
      <c r="BK165" s="491"/>
      <c r="BL165" s="7"/>
      <c r="BM165" s="7"/>
      <c r="BN165" s="7"/>
      <c r="BO165" s="7"/>
      <c r="BP165" s="7"/>
      <c r="BQ165" s="7"/>
      <c r="BR165" s="8"/>
      <c r="BS165" s="8"/>
      <c r="BT165" s="509"/>
      <c r="BU165" s="491"/>
      <c r="BV165" s="8"/>
      <c r="BW165" s="509"/>
      <c r="BX165" s="491"/>
      <c r="BY165" s="8"/>
      <c r="BZ165" s="509"/>
      <c r="CA165" s="751"/>
    </row>
    <row r="166" spans="1:79" ht="24.95" customHeight="1">
      <c r="A166" s="468">
        <f>IF('Student DATA Entry'!A163="","",'Student DATA Entry'!A163)</f>
        <v>160</v>
      </c>
      <c r="B166" s="459" t="str">
        <f>IF('Student DATA Entry'!B163="","",'Student DATA Entry'!B163)</f>
        <v/>
      </c>
      <c r="C166" s="459" t="str">
        <f>IF('Student DATA Entry'!C163="","",'Student DATA Entry'!C163)</f>
        <v/>
      </c>
      <c r="D166" s="459" t="str">
        <f>IF('Student DATA Entry'!D163="","",'Student DATA Entry'!D163)</f>
        <v/>
      </c>
      <c r="E166" s="459" t="str">
        <f>IF('Student DATA Entry'!E163="","",'Student DATA Entry'!E163)</f>
        <v/>
      </c>
      <c r="F166" s="460" t="str">
        <f>IF('Student DATA Entry'!K163="","",'Student DATA Entry'!K163)</f>
        <v/>
      </c>
      <c r="G166" s="461" t="str">
        <f>IF('Student DATA Entry'!G163="","",UPPER('Student DATA Entry'!G163))</f>
        <v/>
      </c>
      <c r="H166" s="461" t="str">
        <f>IF('Student DATA Entry'!H163="","",UPPER('Student DATA Entry'!H163))</f>
        <v/>
      </c>
      <c r="I166" s="462" t="str">
        <f>IF('Student DATA Entry'!I163="","",UPPER('Student DATA Entry'!I163))</f>
        <v/>
      </c>
      <c r="J166" s="463" t="str">
        <f>IF('Student DATA Entry'!L163="","",UPPER('Student DATA Entry'!L163))</f>
        <v/>
      </c>
      <c r="K166" s="469" t="str">
        <f>IF('Student DATA Entry'!J163="","",UPPER('Student DATA Entry'!J163))</f>
        <v/>
      </c>
      <c r="L166" s="491"/>
      <c r="M166" s="8"/>
      <c r="N166" s="8"/>
      <c r="O166" s="9"/>
      <c r="P166" s="492"/>
      <c r="Q166" s="491"/>
      <c r="R166" s="8"/>
      <c r="S166" s="8"/>
      <c r="T166" s="9"/>
      <c r="U166" s="492"/>
      <c r="V166" s="502"/>
      <c r="W166" s="7"/>
      <c r="X166" s="8"/>
      <c r="Y166" s="8"/>
      <c r="Z166" s="9"/>
      <c r="AA166" s="492"/>
      <c r="AB166" s="491"/>
      <c r="AC166" s="8"/>
      <c r="AD166" s="8"/>
      <c r="AE166" s="9"/>
      <c r="AF166" s="492"/>
      <c r="AG166" s="491"/>
      <c r="AH166" s="8"/>
      <c r="AI166" s="8"/>
      <c r="AJ166" s="9"/>
      <c r="AK166" s="492"/>
      <c r="AL166" s="491"/>
      <c r="AM166" s="8"/>
      <c r="AN166" s="8"/>
      <c r="AO166" s="9"/>
      <c r="AP166" s="492"/>
      <c r="AQ166" s="506"/>
      <c r="AR166" s="491"/>
      <c r="AS166" s="8"/>
      <c r="AT166" s="8"/>
      <c r="AU166" s="9"/>
      <c r="AV166" s="9"/>
      <c r="AW166" s="17"/>
      <c r="AX166" s="492"/>
      <c r="AY166" s="491"/>
      <c r="AZ166" s="7"/>
      <c r="BA166" s="9"/>
      <c r="BB166" s="9"/>
      <c r="BC166" s="492"/>
      <c r="BD166" s="491"/>
      <c r="BE166" s="7"/>
      <c r="BF166" s="7"/>
      <c r="BG166" s="7"/>
      <c r="BH166" s="9"/>
      <c r="BI166" s="9"/>
      <c r="BJ166" s="492"/>
      <c r="BK166" s="491"/>
      <c r="BL166" s="7"/>
      <c r="BM166" s="7"/>
      <c r="BN166" s="7"/>
      <c r="BO166" s="7"/>
      <c r="BP166" s="7"/>
      <c r="BQ166" s="7"/>
      <c r="BR166" s="8"/>
      <c r="BS166" s="8"/>
      <c r="BT166" s="509"/>
      <c r="BU166" s="491"/>
      <c r="BV166" s="8"/>
      <c r="BW166" s="509"/>
      <c r="BX166" s="491"/>
      <c r="BY166" s="8"/>
      <c r="BZ166" s="509"/>
      <c r="CA166" s="751"/>
    </row>
    <row r="167" spans="1:79" ht="24.95" customHeight="1">
      <c r="A167" s="468">
        <f>IF('Student DATA Entry'!A164="","",'Student DATA Entry'!A164)</f>
        <v>161</v>
      </c>
      <c r="B167" s="459" t="str">
        <f>IF('Student DATA Entry'!B164="","",'Student DATA Entry'!B164)</f>
        <v/>
      </c>
      <c r="C167" s="459" t="str">
        <f>IF('Student DATA Entry'!C164="","",'Student DATA Entry'!C164)</f>
        <v/>
      </c>
      <c r="D167" s="459" t="str">
        <f>IF('Student DATA Entry'!D164="","",'Student DATA Entry'!D164)</f>
        <v/>
      </c>
      <c r="E167" s="459" t="str">
        <f>IF('Student DATA Entry'!E164="","",'Student DATA Entry'!E164)</f>
        <v/>
      </c>
      <c r="F167" s="460" t="str">
        <f>IF('Student DATA Entry'!K164="","",'Student DATA Entry'!K164)</f>
        <v/>
      </c>
      <c r="G167" s="461" t="str">
        <f>IF('Student DATA Entry'!G164="","",UPPER('Student DATA Entry'!G164))</f>
        <v/>
      </c>
      <c r="H167" s="461" t="str">
        <f>IF('Student DATA Entry'!H164="","",UPPER('Student DATA Entry'!H164))</f>
        <v/>
      </c>
      <c r="I167" s="462" t="str">
        <f>IF('Student DATA Entry'!I164="","",UPPER('Student DATA Entry'!I164))</f>
        <v/>
      </c>
      <c r="J167" s="463" t="str">
        <f>IF('Student DATA Entry'!L164="","",UPPER('Student DATA Entry'!L164))</f>
        <v/>
      </c>
      <c r="K167" s="469" t="str">
        <f>IF('Student DATA Entry'!J164="","",UPPER('Student DATA Entry'!J164))</f>
        <v/>
      </c>
      <c r="L167" s="491"/>
      <c r="M167" s="8"/>
      <c r="N167" s="8"/>
      <c r="O167" s="9"/>
      <c r="P167" s="492"/>
      <c r="Q167" s="491"/>
      <c r="R167" s="8"/>
      <c r="S167" s="8"/>
      <c r="T167" s="9"/>
      <c r="U167" s="492"/>
      <c r="V167" s="502"/>
      <c r="W167" s="7"/>
      <c r="X167" s="8"/>
      <c r="Y167" s="8"/>
      <c r="Z167" s="9"/>
      <c r="AA167" s="492"/>
      <c r="AB167" s="491"/>
      <c r="AC167" s="8"/>
      <c r="AD167" s="8"/>
      <c r="AE167" s="9"/>
      <c r="AF167" s="492"/>
      <c r="AG167" s="491"/>
      <c r="AH167" s="8"/>
      <c r="AI167" s="8"/>
      <c r="AJ167" s="9"/>
      <c r="AK167" s="492"/>
      <c r="AL167" s="491"/>
      <c r="AM167" s="8"/>
      <c r="AN167" s="8"/>
      <c r="AO167" s="9"/>
      <c r="AP167" s="492"/>
      <c r="AQ167" s="506"/>
      <c r="AR167" s="491"/>
      <c r="AS167" s="8"/>
      <c r="AT167" s="8"/>
      <c r="AU167" s="9"/>
      <c r="AV167" s="9"/>
      <c r="AW167" s="17"/>
      <c r="AX167" s="492"/>
      <c r="AY167" s="491"/>
      <c r="AZ167" s="7"/>
      <c r="BA167" s="9"/>
      <c r="BB167" s="9"/>
      <c r="BC167" s="492"/>
      <c r="BD167" s="491"/>
      <c r="BE167" s="7"/>
      <c r="BF167" s="7"/>
      <c r="BG167" s="7"/>
      <c r="BH167" s="9"/>
      <c r="BI167" s="9"/>
      <c r="BJ167" s="492"/>
      <c r="BK167" s="491"/>
      <c r="BL167" s="7"/>
      <c r="BM167" s="7"/>
      <c r="BN167" s="7"/>
      <c r="BO167" s="7"/>
      <c r="BP167" s="7"/>
      <c r="BQ167" s="7"/>
      <c r="BR167" s="8"/>
      <c r="BS167" s="8"/>
      <c r="BT167" s="509"/>
      <c r="BU167" s="491"/>
      <c r="BV167" s="8"/>
      <c r="BW167" s="509"/>
      <c r="BX167" s="491"/>
      <c r="BY167" s="8"/>
      <c r="BZ167" s="509"/>
      <c r="CA167" s="751"/>
    </row>
    <row r="168" spans="1:79" ht="24.95" customHeight="1">
      <c r="A168" s="468">
        <f>IF('Student DATA Entry'!A165="","",'Student DATA Entry'!A165)</f>
        <v>162</v>
      </c>
      <c r="B168" s="459" t="str">
        <f>IF('Student DATA Entry'!B165="","",'Student DATA Entry'!B165)</f>
        <v/>
      </c>
      <c r="C168" s="459" t="str">
        <f>IF('Student DATA Entry'!C165="","",'Student DATA Entry'!C165)</f>
        <v/>
      </c>
      <c r="D168" s="459" t="str">
        <f>IF('Student DATA Entry'!D165="","",'Student DATA Entry'!D165)</f>
        <v/>
      </c>
      <c r="E168" s="459" t="str">
        <f>IF('Student DATA Entry'!E165="","",'Student DATA Entry'!E165)</f>
        <v/>
      </c>
      <c r="F168" s="460" t="str">
        <f>IF('Student DATA Entry'!K165="","",'Student DATA Entry'!K165)</f>
        <v/>
      </c>
      <c r="G168" s="461" t="str">
        <f>IF('Student DATA Entry'!G165="","",UPPER('Student DATA Entry'!G165))</f>
        <v/>
      </c>
      <c r="H168" s="461" t="str">
        <f>IF('Student DATA Entry'!H165="","",UPPER('Student DATA Entry'!H165))</f>
        <v/>
      </c>
      <c r="I168" s="462" t="str">
        <f>IF('Student DATA Entry'!I165="","",UPPER('Student DATA Entry'!I165))</f>
        <v/>
      </c>
      <c r="J168" s="463" t="str">
        <f>IF('Student DATA Entry'!L165="","",UPPER('Student DATA Entry'!L165))</f>
        <v/>
      </c>
      <c r="K168" s="469" t="str">
        <f>IF('Student DATA Entry'!J165="","",UPPER('Student DATA Entry'!J165))</f>
        <v/>
      </c>
      <c r="L168" s="491"/>
      <c r="M168" s="8"/>
      <c r="N168" s="8"/>
      <c r="O168" s="9"/>
      <c r="P168" s="492"/>
      <c r="Q168" s="491"/>
      <c r="R168" s="8"/>
      <c r="S168" s="8"/>
      <c r="T168" s="9"/>
      <c r="U168" s="492"/>
      <c r="V168" s="502"/>
      <c r="W168" s="7"/>
      <c r="X168" s="8"/>
      <c r="Y168" s="8"/>
      <c r="Z168" s="9"/>
      <c r="AA168" s="492"/>
      <c r="AB168" s="491"/>
      <c r="AC168" s="8"/>
      <c r="AD168" s="8"/>
      <c r="AE168" s="9"/>
      <c r="AF168" s="492"/>
      <c r="AG168" s="491"/>
      <c r="AH168" s="8"/>
      <c r="AI168" s="8"/>
      <c r="AJ168" s="9"/>
      <c r="AK168" s="492"/>
      <c r="AL168" s="491"/>
      <c r="AM168" s="8"/>
      <c r="AN168" s="8"/>
      <c r="AO168" s="9"/>
      <c r="AP168" s="492"/>
      <c r="AQ168" s="506"/>
      <c r="AR168" s="491"/>
      <c r="AS168" s="8"/>
      <c r="AT168" s="8"/>
      <c r="AU168" s="9"/>
      <c r="AV168" s="9"/>
      <c r="AW168" s="17"/>
      <c r="AX168" s="492"/>
      <c r="AY168" s="491"/>
      <c r="AZ168" s="7"/>
      <c r="BA168" s="9"/>
      <c r="BB168" s="9"/>
      <c r="BC168" s="492"/>
      <c r="BD168" s="491"/>
      <c r="BE168" s="7"/>
      <c r="BF168" s="7"/>
      <c r="BG168" s="7"/>
      <c r="BH168" s="9"/>
      <c r="BI168" s="9"/>
      <c r="BJ168" s="492"/>
      <c r="BK168" s="491"/>
      <c r="BL168" s="7"/>
      <c r="BM168" s="7"/>
      <c r="BN168" s="7"/>
      <c r="BO168" s="7"/>
      <c r="BP168" s="7"/>
      <c r="BQ168" s="7"/>
      <c r="BR168" s="8"/>
      <c r="BS168" s="8"/>
      <c r="BT168" s="509"/>
      <c r="BU168" s="491"/>
      <c r="BV168" s="8"/>
      <c r="BW168" s="509"/>
      <c r="BX168" s="491"/>
      <c r="BY168" s="8"/>
      <c r="BZ168" s="509"/>
      <c r="CA168" s="751"/>
    </row>
    <row r="169" spans="1:79" ht="24.95" customHeight="1">
      <c r="A169" s="468">
        <f>IF('Student DATA Entry'!A166="","",'Student DATA Entry'!A166)</f>
        <v>163</v>
      </c>
      <c r="B169" s="459" t="str">
        <f>IF('Student DATA Entry'!B166="","",'Student DATA Entry'!B166)</f>
        <v/>
      </c>
      <c r="C169" s="459" t="str">
        <f>IF('Student DATA Entry'!C166="","",'Student DATA Entry'!C166)</f>
        <v/>
      </c>
      <c r="D169" s="459" t="str">
        <f>IF('Student DATA Entry'!D166="","",'Student DATA Entry'!D166)</f>
        <v/>
      </c>
      <c r="E169" s="459" t="str">
        <f>IF('Student DATA Entry'!E166="","",'Student DATA Entry'!E166)</f>
        <v/>
      </c>
      <c r="F169" s="460" t="str">
        <f>IF('Student DATA Entry'!K166="","",'Student DATA Entry'!K166)</f>
        <v/>
      </c>
      <c r="G169" s="461" t="str">
        <f>IF('Student DATA Entry'!G166="","",UPPER('Student DATA Entry'!G166))</f>
        <v/>
      </c>
      <c r="H169" s="461" t="str">
        <f>IF('Student DATA Entry'!H166="","",UPPER('Student DATA Entry'!H166))</f>
        <v/>
      </c>
      <c r="I169" s="462" t="str">
        <f>IF('Student DATA Entry'!I166="","",UPPER('Student DATA Entry'!I166))</f>
        <v/>
      </c>
      <c r="J169" s="463" t="str">
        <f>IF('Student DATA Entry'!L166="","",UPPER('Student DATA Entry'!L166))</f>
        <v/>
      </c>
      <c r="K169" s="469" t="str">
        <f>IF('Student DATA Entry'!J166="","",UPPER('Student DATA Entry'!J166))</f>
        <v/>
      </c>
      <c r="L169" s="491"/>
      <c r="M169" s="8"/>
      <c r="N169" s="8"/>
      <c r="O169" s="9"/>
      <c r="P169" s="492"/>
      <c r="Q169" s="491"/>
      <c r="R169" s="8"/>
      <c r="S169" s="8"/>
      <c r="T169" s="9"/>
      <c r="U169" s="492"/>
      <c r="V169" s="502"/>
      <c r="W169" s="7"/>
      <c r="X169" s="8"/>
      <c r="Y169" s="8"/>
      <c r="Z169" s="9"/>
      <c r="AA169" s="492"/>
      <c r="AB169" s="491"/>
      <c r="AC169" s="8"/>
      <c r="AD169" s="8"/>
      <c r="AE169" s="9"/>
      <c r="AF169" s="492"/>
      <c r="AG169" s="491"/>
      <c r="AH169" s="8"/>
      <c r="AI169" s="8"/>
      <c r="AJ169" s="9"/>
      <c r="AK169" s="492"/>
      <c r="AL169" s="491"/>
      <c r="AM169" s="8"/>
      <c r="AN169" s="8"/>
      <c r="AO169" s="9"/>
      <c r="AP169" s="492"/>
      <c r="AQ169" s="506"/>
      <c r="AR169" s="491"/>
      <c r="AS169" s="8"/>
      <c r="AT169" s="8"/>
      <c r="AU169" s="9"/>
      <c r="AV169" s="9"/>
      <c r="AW169" s="17"/>
      <c r="AX169" s="492"/>
      <c r="AY169" s="491"/>
      <c r="AZ169" s="7"/>
      <c r="BA169" s="9"/>
      <c r="BB169" s="9"/>
      <c r="BC169" s="492"/>
      <c r="BD169" s="491"/>
      <c r="BE169" s="7"/>
      <c r="BF169" s="7"/>
      <c r="BG169" s="7"/>
      <c r="BH169" s="9"/>
      <c r="BI169" s="9"/>
      <c r="BJ169" s="492"/>
      <c r="BK169" s="491"/>
      <c r="BL169" s="7"/>
      <c r="BM169" s="7"/>
      <c r="BN169" s="7"/>
      <c r="BO169" s="7"/>
      <c r="BP169" s="7"/>
      <c r="BQ169" s="7"/>
      <c r="BR169" s="8"/>
      <c r="BS169" s="8"/>
      <c r="BT169" s="509"/>
      <c r="BU169" s="491"/>
      <c r="BV169" s="8"/>
      <c r="BW169" s="509"/>
      <c r="BX169" s="491"/>
      <c r="BY169" s="8"/>
      <c r="BZ169" s="509"/>
      <c r="CA169" s="751"/>
    </row>
    <row r="170" spans="1:79" ht="24.95" customHeight="1">
      <c r="A170" s="468">
        <f>IF('Student DATA Entry'!A167="","",'Student DATA Entry'!A167)</f>
        <v>164</v>
      </c>
      <c r="B170" s="459" t="str">
        <f>IF('Student DATA Entry'!B167="","",'Student DATA Entry'!B167)</f>
        <v/>
      </c>
      <c r="C170" s="459" t="str">
        <f>IF('Student DATA Entry'!C167="","",'Student DATA Entry'!C167)</f>
        <v/>
      </c>
      <c r="D170" s="459" t="str">
        <f>IF('Student DATA Entry'!D167="","",'Student DATA Entry'!D167)</f>
        <v/>
      </c>
      <c r="E170" s="459" t="str">
        <f>IF('Student DATA Entry'!E167="","",'Student DATA Entry'!E167)</f>
        <v/>
      </c>
      <c r="F170" s="460" t="str">
        <f>IF('Student DATA Entry'!K167="","",'Student DATA Entry'!K167)</f>
        <v/>
      </c>
      <c r="G170" s="461" t="str">
        <f>IF('Student DATA Entry'!G167="","",UPPER('Student DATA Entry'!G167))</f>
        <v/>
      </c>
      <c r="H170" s="461" t="str">
        <f>IF('Student DATA Entry'!H167="","",UPPER('Student DATA Entry'!H167))</f>
        <v/>
      </c>
      <c r="I170" s="462" t="str">
        <f>IF('Student DATA Entry'!I167="","",UPPER('Student DATA Entry'!I167))</f>
        <v/>
      </c>
      <c r="J170" s="463" t="str">
        <f>IF('Student DATA Entry'!L167="","",UPPER('Student DATA Entry'!L167))</f>
        <v/>
      </c>
      <c r="K170" s="469" t="str">
        <f>IF('Student DATA Entry'!J167="","",UPPER('Student DATA Entry'!J167))</f>
        <v/>
      </c>
      <c r="L170" s="491"/>
      <c r="M170" s="8"/>
      <c r="N170" s="8"/>
      <c r="O170" s="9"/>
      <c r="P170" s="492"/>
      <c r="Q170" s="491"/>
      <c r="R170" s="8"/>
      <c r="S170" s="8"/>
      <c r="T170" s="9"/>
      <c r="U170" s="492"/>
      <c r="V170" s="502"/>
      <c r="W170" s="7"/>
      <c r="X170" s="8"/>
      <c r="Y170" s="8"/>
      <c r="Z170" s="9"/>
      <c r="AA170" s="492"/>
      <c r="AB170" s="491"/>
      <c r="AC170" s="8"/>
      <c r="AD170" s="8"/>
      <c r="AE170" s="9"/>
      <c r="AF170" s="492"/>
      <c r="AG170" s="491"/>
      <c r="AH170" s="8"/>
      <c r="AI170" s="8"/>
      <c r="AJ170" s="9"/>
      <c r="AK170" s="492"/>
      <c r="AL170" s="491"/>
      <c r="AM170" s="8"/>
      <c r="AN170" s="8"/>
      <c r="AO170" s="9"/>
      <c r="AP170" s="492"/>
      <c r="AQ170" s="506"/>
      <c r="AR170" s="491"/>
      <c r="AS170" s="8"/>
      <c r="AT170" s="8"/>
      <c r="AU170" s="9"/>
      <c r="AV170" s="9"/>
      <c r="AW170" s="17"/>
      <c r="AX170" s="492"/>
      <c r="AY170" s="491"/>
      <c r="AZ170" s="7"/>
      <c r="BA170" s="9"/>
      <c r="BB170" s="9"/>
      <c r="BC170" s="492"/>
      <c r="BD170" s="491"/>
      <c r="BE170" s="7"/>
      <c r="BF170" s="7"/>
      <c r="BG170" s="7"/>
      <c r="BH170" s="9"/>
      <c r="BI170" s="9"/>
      <c r="BJ170" s="492"/>
      <c r="BK170" s="491"/>
      <c r="BL170" s="7"/>
      <c r="BM170" s="7"/>
      <c r="BN170" s="7"/>
      <c r="BO170" s="7"/>
      <c r="BP170" s="7"/>
      <c r="BQ170" s="7"/>
      <c r="BR170" s="8"/>
      <c r="BS170" s="8"/>
      <c r="BT170" s="509"/>
      <c r="BU170" s="491"/>
      <c r="BV170" s="8"/>
      <c r="BW170" s="509"/>
      <c r="BX170" s="491"/>
      <c r="BY170" s="8"/>
      <c r="BZ170" s="509"/>
      <c r="CA170" s="751"/>
    </row>
    <row r="171" spans="1:79" ht="24.95" customHeight="1">
      <c r="A171" s="468">
        <f>IF('Student DATA Entry'!A168="","",'Student DATA Entry'!A168)</f>
        <v>165</v>
      </c>
      <c r="B171" s="459" t="str">
        <f>IF('Student DATA Entry'!B168="","",'Student DATA Entry'!B168)</f>
        <v/>
      </c>
      <c r="C171" s="459" t="str">
        <f>IF('Student DATA Entry'!C168="","",'Student DATA Entry'!C168)</f>
        <v/>
      </c>
      <c r="D171" s="459" t="str">
        <f>IF('Student DATA Entry'!D168="","",'Student DATA Entry'!D168)</f>
        <v/>
      </c>
      <c r="E171" s="459" t="str">
        <f>IF('Student DATA Entry'!E168="","",'Student DATA Entry'!E168)</f>
        <v/>
      </c>
      <c r="F171" s="460" t="str">
        <f>IF('Student DATA Entry'!K168="","",'Student DATA Entry'!K168)</f>
        <v/>
      </c>
      <c r="G171" s="461" t="str">
        <f>IF('Student DATA Entry'!G168="","",UPPER('Student DATA Entry'!G168))</f>
        <v/>
      </c>
      <c r="H171" s="461" t="str">
        <f>IF('Student DATA Entry'!H168="","",UPPER('Student DATA Entry'!H168))</f>
        <v/>
      </c>
      <c r="I171" s="462" t="str">
        <f>IF('Student DATA Entry'!I168="","",UPPER('Student DATA Entry'!I168))</f>
        <v/>
      </c>
      <c r="J171" s="463" t="str">
        <f>IF('Student DATA Entry'!L168="","",UPPER('Student DATA Entry'!L168))</f>
        <v/>
      </c>
      <c r="K171" s="469" t="str">
        <f>IF('Student DATA Entry'!J168="","",UPPER('Student DATA Entry'!J168))</f>
        <v/>
      </c>
      <c r="L171" s="491"/>
      <c r="M171" s="8"/>
      <c r="N171" s="8"/>
      <c r="O171" s="9"/>
      <c r="P171" s="492"/>
      <c r="Q171" s="491"/>
      <c r="R171" s="8"/>
      <c r="S171" s="8"/>
      <c r="T171" s="9"/>
      <c r="U171" s="492"/>
      <c r="V171" s="502"/>
      <c r="W171" s="7"/>
      <c r="X171" s="8"/>
      <c r="Y171" s="8"/>
      <c r="Z171" s="9"/>
      <c r="AA171" s="492"/>
      <c r="AB171" s="491"/>
      <c r="AC171" s="8"/>
      <c r="AD171" s="8"/>
      <c r="AE171" s="9"/>
      <c r="AF171" s="492"/>
      <c r="AG171" s="491"/>
      <c r="AH171" s="8"/>
      <c r="AI171" s="8"/>
      <c r="AJ171" s="9"/>
      <c r="AK171" s="492"/>
      <c r="AL171" s="491"/>
      <c r="AM171" s="8"/>
      <c r="AN171" s="8"/>
      <c r="AO171" s="9"/>
      <c r="AP171" s="492"/>
      <c r="AQ171" s="506"/>
      <c r="AR171" s="491"/>
      <c r="AS171" s="8"/>
      <c r="AT171" s="8"/>
      <c r="AU171" s="9"/>
      <c r="AV171" s="9"/>
      <c r="AW171" s="17"/>
      <c r="AX171" s="492"/>
      <c r="AY171" s="491"/>
      <c r="AZ171" s="7"/>
      <c r="BA171" s="9"/>
      <c r="BB171" s="9"/>
      <c r="BC171" s="492"/>
      <c r="BD171" s="491"/>
      <c r="BE171" s="7"/>
      <c r="BF171" s="7"/>
      <c r="BG171" s="7"/>
      <c r="BH171" s="9"/>
      <c r="BI171" s="9"/>
      <c r="BJ171" s="492"/>
      <c r="BK171" s="491"/>
      <c r="BL171" s="7"/>
      <c r="BM171" s="7"/>
      <c r="BN171" s="7"/>
      <c r="BO171" s="7"/>
      <c r="BP171" s="7"/>
      <c r="BQ171" s="7"/>
      <c r="BR171" s="8"/>
      <c r="BS171" s="8"/>
      <c r="BT171" s="509"/>
      <c r="BU171" s="491"/>
      <c r="BV171" s="8"/>
      <c r="BW171" s="509"/>
      <c r="BX171" s="491"/>
      <c r="BY171" s="8"/>
      <c r="BZ171" s="509"/>
      <c r="CA171" s="751"/>
    </row>
    <row r="172" spans="1:79" ht="24.95" customHeight="1">
      <c r="A172" s="468">
        <f>IF('Student DATA Entry'!A169="","",'Student DATA Entry'!A169)</f>
        <v>166</v>
      </c>
      <c r="B172" s="459" t="str">
        <f>IF('Student DATA Entry'!B169="","",'Student DATA Entry'!B169)</f>
        <v/>
      </c>
      <c r="C172" s="459" t="str">
        <f>IF('Student DATA Entry'!C169="","",'Student DATA Entry'!C169)</f>
        <v/>
      </c>
      <c r="D172" s="459" t="str">
        <f>IF('Student DATA Entry'!D169="","",'Student DATA Entry'!D169)</f>
        <v/>
      </c>
      <c r="E172" s="459" t="str">
        <f>IF('Student DATA Entry'!E169="","",'Student DATA Entry'!E169)</f>
        <v/>
      </c>
      <c r="F172" s="460" t="str">
        <f>IF('Student DATA Entry'!K169="","",'Student DATA Entry'!K169)</f>
        <v/>
      </c>
      <c r="G172" s="461" t="str">
        <f>IF('Student DATA Entry'!G169="","",UPPER('Student DATA Entry'!G169))</f>
        <v/>
      </c>
      <c r="H172" s="461" t="str">
        <f>IF('Student DATA Entry'!H169="","",UPPER('Student DATA Entry'!H169))</f>
        <v/>
      </c>
      <c r="I172" s="462" t="str">
        <f>IF('Student DATA Entry'!I169="","",UPPER('Student DATA Entry'!I169))</f>
        <v/>
      </c>
      <c r="J172" s="463" t="str">
        <f>IF('Student DATA Entry'!L169="","",UPPER('Student DATA Entry'!L169))</f>
        <v/>
      </c>
      <c r="K172" s="469" t="str">
        <f>IF('Student DATA Entry'!J169="","",UPPER('Student DATA Entry'!J169))</f>
        <v/>
      </c>
      <c r="L172" s="491"/>
      <c r="M172" s="8"/>
      <c r="N172" s="8"/>
      <c r="O172" s="9"/>
      <c r="P172" s="492"/>
      <c r="Q172" s="491"/>
      <c r="R172" s="8"/>
      <c r="S172" s="8"/>
      <c r="T172" s="9"/>
      <c r="U172" s="492"/>
      <c r="V172" s="502"/>
      <c r="W172" s="7"/>
      <c r="X172" s="8"/>
      <c r="Y172" s="8"/>
      <c r="Z172" s="9"/>
      <c r="AA172" s="492"/>
      <c r="AB172" s="491"/>
      <c r="AC172" s="8"/>
      <c r="AD172" s="8"/>
      <c r="AE172" s="9"/>
      <c r="AF172" s="492"/>
      <c r="AG172" s="491"/>
      <c r="AH172" s="8"/>
      <c r="AI172" s="8"/>
      <c r="AJ172" s="9"/>
      <c r="AK172" s="492"/>
      <c r="AL172" s="491"/>
      <c r="AM172" s="8"/>
      <c r="AN172" s="8"/>
      <c r="AO172" s="9"/>
      <c r="AP172" s="492"/>
      <c r="AQ172" s="506"/>
      <c r="AR172" s="491"/>
      <c r="AS172" s="8"/>
      <c r="AT172" s="8"/>
      <c r="AU172" s="9"/>
      <c r="AV172" s="9"/>
      <c r="AW172" s="17"/>
      <c r="AX172" s="492"/>
      <c r="AY172" s="491"/>
      <c r="AZ172" s="7"/>
      <c r="BA172" s="9"/>
      <c r="BB172" s="9"/>
      <c r="BC172" s="492"/>
      <c r="BD172" s="491"/>
      <c r="BE172" s="7"/>
      <c r="BF172" s="7"/>
      <c r="BG172" s="7"/>
      <c r="BH172" s="9"/>
      <c r="BI172" s="9"/>
      <c r="BJ172" s="492"/>
      <c r="BK172" s="491"/>
      <c r="BL172" s="7"/>
      <c r="BM172" s="7"/>
      <c r="BN172" s="7"/>
      <c r="BO172" s="7"/>
      <c r="BP172" s="7"/>
      <c r="BQ172" s="7"/>
      <c r="BR172" s="8"/>
      <c r="BS172" s="8"/>
      <c r="BT172" s="509"/>
      <c r="BU172" s="491"/>
      <c r="BV172" s="8"/>
      <c r="BW172" s="509"/>
      <c r="BX172" s="491"/>
      <c r="BY172" s="8"/>
      <c r="BZ172" s="509"/>
      <c r="CA172" s="751"/>
    </row>
    <row r="173" spans="1:79" ht="24.95" customHeight="1">
      <c r="A173" s="468">
        <f>IF('Student DATA Entry'!A170="","",'Student DATA Entry'!A170)</f>
        <v>167</v>
      </c>
      <c r="B173" s="459" t="str">
        <f>IF('Student DATA Entry'!B170="","",'Student DATA Entry'!B170)</f>
        <v/>
      </c>
      <c r="C173" s="459" t="str">
        <f>IF('Student DATA Entry'!C170="","",'Student DATA Entry'!C170)</f>
        <v/>
      </c>
      <c r="D173" s="459" t="str">
        <f>IF('Student DATA Entry'!D170="","",'Student DATA Entry'!D170)</f>
        <v/>
      </c>
      <c r="E173" s="459" t="str">
        <f>IF('Student DATA Entry'!E170="","",'Student DATA Entry'!E170)</f>
        <v/>
      </c>
      <c r="F173" s="460" t="str">
        <f>IF('Student DATA Entry'!K170="","",'Student DATA Entry'!K170)</f>
        <v/>
      </c>
      <c r="G173" s="461" t="str">
        <f>IF('Student DATA Entry'!G170="","",UPPER('Student DATA Entry'!G170))</f>
        <v/>
      </c>
      <c r="H173" s="461" t="str">
        <f>IF('Student DATA Entry'!H170="","",UPPER('Student DATA Entry'!H170))</f>
        <v/>
      </c>
      <c r="I173" s="462" t="str">
        <f>IF('Student DATA Entry'!I170="","",UPPER('Student DATA Entry'!I170))</f>
        <v/>
      </c>
      <c r="J173" s="463" t="str">
        <f>IF('Student DATA Entry'!L170="","",UPPER('Student DATA Entry'!L170))</f>
        <v/>
      </c>
      <c r="K173" s="469" t="str">
        <f>IF('Student DATA Entry'!J170="","",UPPER('Student DATA Entry'!J170))</f>
        <v/>
      </c>
      <c r="L173" s="491"/>
      <c r="M173" s="8"/>
      <c r="N173" s="8"/>
      <c r="O173" s="9"/>
      <c r="P173" s="492"/>
      <c r="Q173" s="491"/>
      <c r="R173" s="8"/>
      <c r="S173" s="8"/>
      <c r="T173" s="9"/>
      <c r="U173" s="492"/>
      <c r="V173" s="502"/>
      <c r="W173" s="7"/>
      <c r="X173" s="8"/>
      <c r="Y173" s="8"/>
      <c r="Z173" s="9"/>
      <c r="AA173" s="492"/>
      <c r="AB173" s="491"/>
      <c r="AC173" s="8"/>
      <c r="AD173" s="8"/>
      <c r="AE173" s="9"/>
      <c r="AF173" s="492"/>
      <c r="AG173" s="491"/>
      <c r="AH173" s="8"/>
      <c r="AI173" s="8"/>
      <c r="AJ173" s="9"/>
      <c r="AK173" s="492"/>
      <c r="AL173" s="491"/>
      <c r="AM173" s="8"/>
      <c r="AN173" s="8"/>
      <c r="AO173" s="9"/>
      <c r="AP173" s="492"/>
      <c r="AQ173" s="506"/>
      <c r="AR173" s="491"/>
      <c r="AS173" s="8"/>
      <c r="AT173" s="8"/>
      <c r="AU173" s="9"/>
      <c r="AV173" s="9"/>
      <c r="AW173" s="17"/>
      <c r="AX173" s="492"/>
      <c r="AY173" s="491"/>
      <c r="AZ173" s="7"/>
      <c r="BA173" s="9"/>
      <c r="BB173" s="9"/>
      <c r="BC173" s="492"/>
      <c r="BD173" s="491"/>
      <c r="BE173" s="7"/>
      <c r="BF173" s="7"/>
      <c r="BG173" s="7"/>
      <c r="BH173" s="9"/>
      <c r="BI173" s="9"/>
      <c r="BJ173" s="492"/>
      <c r="BK173" s="491"/>
      <c r="BL173" s="7"/>
      <c r="BM173" s="7"/>
      <c r="BN173" s="7"/>
      <c r="BO173" s="7"/>
      <c r="BP173" s="7"/>
      <c r="BQ173" s="7"/>
      <c r="BR173" s="8"/>
      <c r="BS173" s="8"/>
      <c r="BT173" s="509"/>
      <c r="BU173" s="491"/>
      <c r="BV173" s="8"/>
      <c r="BW173" s="509"/>
      <c r="BX173" s="491"/>
      <c r="BY173" s="8"/>
      <c r="BZ173" s="509"/>
      <c r="CA173" s="751"/>
    </row>
    <row r="174" spans="1:79" ht="24.95" customHeight="1">
      <c r="A174" s="468">
        <f>IF('Student DATA Entry'!A171="","",'Student DATA Entry'!A171)</f>
        <v>168</v>
      </c>
      <c r="B174" s="459" t="str">
        <f>IF('Student DATA Entry'!B171="","",'Student DATA Entry'!B171)</f>
        <v/>
      </c>
      <c r="C174" s="459" t="str">
        <f>IF('Student DATA Entry'!C171="","",'Student DATA Entry'!C171)</f>
        <v/>
      </c>
      <c r="D174" s="459" t="str">
        <f>IF('Student DATA Entry'!D171="","",'Student DATA Entry'!D171)</f>
        <v/>
      </c>
      <c r="E174" s="459" t="str">
        <f>IF('Student DATA Entry'!E171="","",'Student DATA Entry'!E171)</f>
        <v/>
      </c>
      <c r="F174" s="460" t="str">
        <f>IF('Student DATA Entry'!K171="","",'Student DATA Entry'!K171)</f>
        <v/>
      </c>
      <c r="G174" s="461" t="str">
        <f>IF('Student DATA Entry'!G171="","",UPPER('Student DATA Entry'!G171))</f>
        <v/>
      </c>
      <c r="H174" s="461" t="str">
        <f>IF('Student DATA Entry'!H171="","",UPPER('Student DATA Entry'!H171))</f>
        <v/>
      </c>
      <c r="I174" s="462" t="str">
        <f>IF('Student DATA Entry'!I171="","",UPPER('Student DATA Entry'!I171))</f>
        <v/>
      </c>
      <c r="J174" s="463" t="str">
        <f>IF('Student DATA Entry'!L171="","",UPPER('Student DATA Entry'!L171))</f>
        <v/>
      </c>
      <c r="K174" s="469" t="str">
        <f>IF('Student DATA Entry'!J171="","",UPPER('Student DATA Entry'!J171))</f>
        <v/>
      </c>
      <c r="L174" s="491"/>
      <c r="M174" s="8"/>
      <c r="N174" s="8"/>
      <c r="O174" s="9"/>
      <c r="P174" s="492"/>
      <c r="Q174" s="491"/>
      <c r="R174" s="8"/>
      <c r="S174" s="8"/>
      <c r="T174" s="9"/>
      <c r="U174" s="492"/>
      <c r="V174" s="502"/>
      <c r="W174" s="7"/>
      <c r="X174" s="8"/>
      <c r="Y174" s="8"/>
      <c r="Z174" s="9"/>
      <c r="AA174" s="492"/>
      <c r="AB174" s="491"/>
      <c r="AC174" s="8"/>
      <c r="AD174" s="8"/>
      <c r="AE174" s="9"/>
      <c r="AF174" s="492"/>
      <c r="AG174" s="491"/>
      <c r="AH174" s="8"/>
      <c r="AI174" s="8"/>
      <c r="AJ174" s="9"/>
      <c r="AK174" s="492"/>
      <c r="AL174" s="491"/>
      <c r="AM174" s="8"/>
      <c r="AN174" s="8"/>
      <c r="AO174" s="9"/>
      <c r="AP174" s="492"/>
      <c r="AQ174" s="506"/>
      <c r="AR174" s="491"/>
      <c r="AS174" s="8"/>
      <c r="AT174" s="8"/>
      <c r="AU174" s="9"/>
      <c r="AV174" s="9"/>
      <c r="AW174" s="17"/>
      <c r="AX174" s="492"/>
      <c r="AY174" s="491"/>
      <c r="AZ174" s="7"/>
      <c r="BA174" s="9"/>
      <c r="BB174" s="9"/>
      <c r="BC174" s="492"/>
      <c r="BD174" s="491"/>
      <c r="BE174" s="7"/>
      <c r="BF174" s="7"/>
      <c r="BG174" s="7"/>
      <c r="BH174" s="9"/>
      <c r="BI174" s="9"/>
      <c r="BJ174" s="492"/>
      <c r="BK174" s="491"/>
      <c r="BL174" s="7"/>
      <c r="BM174" s="7"/>
      <c r="BN174" s="7"/>
      <c r="BO174" s="7"/>
      <c r="BP174" s="7"/>
      <c r="BQ174" s="7"/>
      <c r="BR174" s="8"/>
      <c r="BS174" s="8"/>
      <c r="BT174" s="509"/>
      <c r="BU174" s="491"/>
      <c r="BV174" s="8"/>
      <c r="BW174" s="509"/>
      <c r="BX174" s="491"/>
      <c r="BY174" s="8"/>
      <c r="BZ174" s="509"/>
      <c r="CA174" s="751"/>
    </row>
    <row r="175" spans="1:79" ht="24.95" customHeight="1">
      <c r="A175" s="468">
        <f>IF('Student DATA Entry'!A172="","",'Student DATA Entry'!A172)</f>
        <v>169</v>
      </c>
      <c r="B175" s="459" t="str">
        <f>IF('Student DATA Entry'!B172="","",'Student DATA Entry'!B172)</f>
        <v/>
      </c>
      <c r="C175" s="459" t="str">
        <f>IF('Student DATA Entry'!C172="","",'Student DATA Entry'!C172)</f>
        <v/>
      </c>
      <c r="D175" s="459" t="str">
        <f>IF('Student DATA Entry'!D172="","",'Student DATA Entry'!D172)</f>
        <v/>
      </c>
      <c r="E175" s="459" t="str">
        <f>IF('Student DATA Entry'!E172="","",'Student DATA Entry'!E172)</f>
        <v/>
      </c>
      <c r="F175" s="460" t="str">
        <f>IF('Student DATA Entry'!K172="","",'Student DATA Entry'!K172)</f>
        <v/>
      </c>
      <c r="G175" s="461" t="str">
        <f>IF('Student DATA Entry'!G172="","",UPPER('Student DATA Entry'!G172))</f>
        <v/>
      </c>
      <c r="H175" s="461" t="str">
        <f>IF('Student DATA Entry'!H172="","",UPPER('Student DATA Entry'!H172))</f>
        <v/>
      </c>
      <c r="I175" s="462" t="str">
        <f>IF('Student DATA Entry'!I172="","",UPPER('Student DATA Entry'!I172))</f>
        <v/>
      </c>
      <c r="J175" s="463" t="str">
        <f>IF('Student DATA Entry'!L172="","",UPPER('Student DATA Entry'!L172))</f>
        <v/>
      </c>
      <c r="K175" s="469" t="str">
        <f>IF('Student DATA Entry'!J172="","",UPPER('Student DATA Entry'!J172))</f>
        <v/>
      </c>
      <c r="L175" s="491"/>
      <c r="M175" s="8"/>
      <c r="N175" s="8"/>
      <c r="O175" s="9"/>
      <c r="P175" s="492"/>
      <c r="Q175" s="491"/>
      <c r="R175" s="8"/>
      <c r="S175" s="8"/>
      <c r="T175" s="9"/>
      <c r="U175" s="492"/>
      <c r="V175" s="502"/>
      <c r="W175" s="7"/>
      <c r="X175" s="8"/>
      <c r="Y175" s="8"/>
      <c r="Z175" s="9"/>
      <c r="AA175" s="492"/>
      <c r="AB175" s="491"/>
      <c r="AC175" s="8"/>
      <c r="AD175" s="8"/>
      <c r="AE175" s="9"/>
      <c r="AF175" s="492"/>
      <c r="AG175" s="491"/>
      <c r="AH175" s="8"/>
      <c r="AI175" s="8"/>
      <c r="AJ175" s="9"/>
      <c r="AK175" s="492"/>
      <c r="AL175" s="491"/>
      <c r="AM175" s="8"/>
      <c r="AN175" s="8"/>
      <c r="AO175" s="9"/>
      <c r="AP175" s="492"/>
      <c r="AQ175" s="506"/>
      <c r="AR175" s="491"/>
      <c r="AS175" s="8"/>
      <c r="AT175" s="8"/>
      <c r="AU175" s="9"/>
      <c r="AV175" s="9"/>
      <c r="AW175" s="17"/>
      <c r="AX175" s="492"/>
      <c r="AY175" s="491"/>
      <c r="AZ175" s="7"/>
      <c r="BA175" s="9"/>
      <c r="BB175" s="9"/>
      <c r="BC175" s="492"/>
      <c r="BD175" s="491"/>
      <c r="BE175" s="7"/>
      <c r="BF175" s="7"/>
      <c r="BG175" s="7"/>
      <c r="BH175" s="9"/>
      <c r="BI175" s="9"/>
      <c r="BJ175" s="492"/>
      <c r="BK175" s="491"/>
      <c r="BL175" s="7"/>
      <c r="BM175" s="7"/>
      <c r="BN175" s="7"/>
      <c r="BO175" s="7"/>
      <c r="BP175" s="7"/>
      <c r="BQ175" s="7"/>
      <c r="BR175" s="8"/>
      <c r="BS175" s="8"/>
      <c r="BT175" s="509"/>
      <c r="BU175" s="491"/>
      <c r="BV175" s="8"/>
      <c r="BW175" s="509"/>
      <c r="BX175" s="491"/>
      <c r="BY175" s="8"/>
      <c r="BZ175" s="509"/>
      <c r="CA175" s="751"/>
    </row>
    <row r="176" spans="1:79" ht="24.95" customHeight="1">
      <c r="A176" s="468">
        <f>IF('Student DATA Entry'!A173="","",'Student DATA Entry'!A173)</f>
        <v>170</v>
      </c>
      <c r="B176" s="459" t="str">
        <f>IF('Student DATA Entry'!B173="","",'Student DATA Entry'!B173)</f>
        <v/>
      </c>
      <c r="C176" s="459" t="str">
        <f>IF('Student DATA Entry'!C173="","",'Student DATA Entry'!C173)</f>
        <v/>
      </c>
      <c r="D176" s="459" t="str">
        <f>IF('Student DATA Entry'!D173="","",'Student DATA Entry'!D173)</f>
        <v/>
      </c>
      <c r="E176" s="459" t="str">
        <f>IF('Student DATA Entry'!E173="","",'Student DATA Entry'!E173)</f>
        <v/>
      </c>
      <c r="F176" s="460" t="str">
        <f>IF('Student DATA Entry'!K173="","",'Student DATA Entry'!K173)</f>
        <v/>
      </c>
      <c r="G176" s="461" t="str">
        <f>IF('Student DATA Entry'!G173="","",UPPER('Student DATA Entry'!G173))</f>
        <v/>
      </c>
      <c r="H176" s="461" t="str">
        <f>IF('Student DATA Entry'!H173="","",UPPER('Student DATA Entry'!H173))</f>
        <v/>
      </c>
      <c r="I176" s="462" t="str">
        <f>IF('Student DATA Entry'!I173="","",UPPER('Student DATA Entry'!I173))</f>
        <v/>
      </c>
      <c r="J176" s="463" t="str">
        <f>IF('Student DATA Entry'!L173="","",UPPER('Student DATA Entry'!L173))</f>
        <v/>
      </c>
      <c r="K176" s="469" t="str">
        <f>IF('Student DATA Entry'!J173="","",UPPER('Student DATA Entry'!J173))</f>
        <v/>
      </c>
      <c r="L176" s="491"/>
      <c r="M176" s="8"/>
      <c r="N176" s="8"/>
      <c r="O176" s="9"/>
      <c r="P176" s="492"/>
      <c r="Q176" s="491"/>
      <c r="R176" s="8"/>
      <c r="S176" s="8"/>
      <c r="T176" s="9"/>
      <c r="U176" s="492"/>
      <c r="V176" s="502"/>
      <c r="W176" s="7"/>
      <c r="X176" s="8"/>
      <c r="Y176" s="8"/>
      <c r="Z176" s="9"/>
      <c r="AA176" s="492"/>
      <c r="AB176" s="491"/>
      <c r="AC176" s="8"/>
      <c r="AD176" s="8"/>
      <c r="AE176" s="9"/>
      <c r="AF176" s="492"/>
      <c r="AG176" s="491"/>
      <c r="AH176" s="8"/>
      <c r="AI176" s="8"/>
      <c r="AJ176" s="9"/>
      <c r="AK176" s="492"/>
      <c r="AL176" s="491"/>
      <c r="AM176" s="8"/>
      <c r="AN176" s="8"/>
      <c r="AO176" s="9"/>
      <c r="AP176" s="492"/>
      <c r="AQ176" s="506"/>
      <c r="AR176" s="491"/>
      <c r="AS176" s="8"/>
      <c r="AT176" s="8"/>
      <c r="AU176" s="9"/>
      <c r="AV176" s="9"/>
      <c r="AW176" s="17"/>
      <c r="AX176" s="492"/>
      <c r="AY176" s="491"/>
      <c r="AZ176" s="7"/>
      <c r="BA176" s="9"/>
      <c r="BB176" s="9"/>
      <c r="BC176" s="492"/>
      <c r="BD176" s="491"/>
      <c r="BE176" s="7"/>
      <c r="BF176" s="7"/>
      <c r="BG176" s="7"/>
      <c r="BH176" s="9"/>
      <c r="BI176" s="9"/>
      <c r="BJ176" s="492"/>
      <c r="BK176" s="491"/>
      <c r="BL176" s="7"/>
      <c r="BM176" s="7"/>
      <c r="BN176" s="7"/>
      <c r="BO176" s="7"/>
      <c r="BP176" s="7"/>
      <c r="BQ176" s="7"/>
      <c r="BR176" s="8"/>
      <c r="BS176" s="8"/>
      <c r="BT176" s="509"/>
      <c r="BU176" s="491"/>
      <c r="BV176" s="8"/>
      <c r="BW176" s="509"/>
      <c r="BX176" s="491"/>
      <c r="BY176" s="8"/>
      <c r="BZ176" s="509"/>
      <c r="CA176" s="751"/>
    </row>
    <row r="177" spans="1:79" ht="24.95" customHeight="1">
      <c r="A177" s="468">
        <f>IF('Student DATA Entry'!A174="","",'Student DATA Entry'!A174)</f>
        <v>171</v>
      </c>
      <c r="B177" s="459" t="str">
        <f>IF('Student DATA Entry'!B174="","",'Student DATA Entry'!B174)</f>
        <v/>
      </c>
      <c r="C177" s="459" t="str">
        <f>IF('Student DATA Entry'!C174="","",'Student DATA Entry'!C174)</f>
        <v/>
      </c>
      <c r="D177" s="459" t="str">
        <f>IF('Student DATA Entry'!D174="","",'Student DATA Entry'!D174)</f>
        <v/>
      </c>
      <c r="E177" s="459" t="str">
        <f>IF('Student DATA Entry'!E174="","",'Student DATA Entry'!E174)</f>
        <v/>
      </c>
      <c r="F177" s="460" t="str">
        <f>IF('Student DATA Entry'!K174="","",'Student DATA Entry'!K174)</f>
        <v/>
      </c>
      <c r="G177" s="461" t="str">
        <f>IF('Student DATA Entry'!G174="","",UPPER('Student DATA Entry'!G174))</f>
        <v/>
      </c>
      <c r="H177" s="461" t="str">
        <f>IF('Student DATA Entry'!H174="","",UPPER('Student DATA Entry'!H174))</f>
        <v/>
      </c>
      <c r="I177" s="462" t="str">
        <f>IF('Student DATA Entry'!I174="","",UPPER('Student DATA Entry'!I174))</f>
        <v/>
      </c>
      <c r="J177" s="463" t="str">
        <f>IF('Student DATA Entry'!L174="","",UPPER('Student DATA Entry'!L174))</f>
        <v/>
      </c>
      <c r="K177" s="469" t="str">
        <f>IF('Student DATA Entry'!J174="","",UPPER('Student DATA Entry'!J174))</f>
        <v/>
      </c>
      <c r="L177" s="491"/>
      <c r="M177" s="8"/>
      <c r="N177" s="8"/>
      <c r="O177" s="9"/>
      <c r="P177" s="492"/>
      <c r="Q177" s="491"/>
      <c r="R177" s="8"/>
      <c r="S177" s="8"/>
      <c r="T177" s="9"/>
      <c r="U177" s="492"/>
      <c r="V177" s="502"/>
      <c r="W177" s="7"/>
      <c r="X177" s="8"/>
      <c r="Y177" s="8"/>
      <c r="Z177" s="9"/>
      <c r="AA177" s="492"/>
      <c r="AB177" s="491"/>
      <c r="AC177" s="8"/>
      <c r="AD177" s="8"/>
      <c r="AE177" s="9"/>
      <c r="AF177" s="492"/>
      <c r="AG177" s="491"/>
      <c r="AH177" s="8"/>
      <c r="AI177" s="8"/>
      <c r="AJ177" s="9"/>
      <c r="AK177" s="492"/>
      <c r="AL177" s="491"/>
      <c r="AM177" s="8"/>
      <c r="AN177" s="8"/>
      <c r="AO177" s="9"/>
      <c r="AP177" s="492"/>
      <c r="AQ177" s="506"/>
      <c r="AR177" s="491"/>
      <c r="AS177" s="8"/>
      <c r="AT177" s="8"/>
      <c r="AU177" s="9"/>
      <c r="AV177" s="9"/>
      <c r="AW177" s="17"/>
      <c r="AX177" s="492"/>
      <c r="AY177" s="491"/>
      <c r="AZ177" s="7"/>
      <c r="BA177" s="9"/>
      <c r="BB177" s="9"/>
      <c r="BC177" s="492"/>
      <c r="BD177" s="491"/>
      <c r="BE177" s="7"/>
      <c r="BF177" s="7"/>
      <c r="BG177" s="7"/>
      <c r="BH177" s="9"/>
      <c r="BI177" s="9"/>
      <c r="BJ177" s="492"/>
      <c r="BK177" s="491"/>
      <c r="BL177" s="7"/>
      <c r="BM177" s="7"/>
      <c r="BN177" s="7"/>
      <c r="BO177" s="7"/>
      <c r="BP177" s="7"/>
      <c r="BQ177" s="7"/>
      <c r="BR177" s="8"/>
      <c r="BS177" s="8"/>
      <c r="BT177" s="509"/>
      <c r="BU177" s="491"/>
      <c r="BV177" s="8"/>
      <c r="BW177" s="509"/>
      <c r="BX177" s="491"/>
      <c r="BY177" s="8"/>
      <c r="BZ177" s="509"/>
      <c r="CA177" s="751"/>
    </row>
    <row r="178" spans="1:79" ht="24.95" customHeight="1">
      <c r="A178" s="468">
        <f>IF('Student DATA Entry'!A175="","",'Student DATA Entry'!A175)</f>
        <v>172</v>
      </c>
      <c r="B178" s="459" t="str">
        <f>IF('Student DATA Entry'!B175="","",'Student DATA Entry'!B175)</f>
        <v/>
      </c>
      <c r="C178" s="459" t="str">
        <f>IF('Student DATA Entry'!C175="","",'Student DATA Entry'!C175)</f>
        <v/>
      </c>
      <c r="D178" s="459" t="str">
        <f>IF('Student DATA Entry'!D175="","",'Student DATA Entry'!D175)</f>
        <v/>
      </c>
      <c r="E178" s="459" t="str">
        <f>IF('Student DATA Entry'!E175="","",'Student DATA Entry'!E175)</f>
        <v/>
      </c>
      <c r="F178" s="460" t="str">
        <f>IF('Student DATA Entry'!K175="","",'Student DATA Entry'!K175)</f>
        <v/>
      </c>
      <c r="G178" s="461" t="str">
        <f>IF('Student DATA Entry'!G175="","",UPPER('Student DATA Entry'!G175))</f>
        <v/>
      </c>
      <c r="H178" s="461" t="str">
        <f>IF('Student DATA Entry'!H175="","",UPPER('Student DATA Entry'!H175))</f>
        <v/>
      </c>
      <c r="I178" s="462" t="str">
        <f>IF('Student DATA Entry'!I175="","",UPPER('Student DATA Entry'!I175))</f>
        <v/>
      </c>
      <c r="J178" s="463" t="str">
        <f>IF('Student DATA Entry'!L175="","",UPPER('Student DATA Entry'!L175))</f>
        <v/>
      </c>
      <c r="K178" s="469" t="str">
        <f>IF('Student DATA Entry'!J175="","",UPPER('Student DATA Entry'!J175))</f>
        <v/>
      </c>
      <c r="L178" s="491"/>
      <c r="M178" s="8"/>
      <c r="N178" s="8"/>
      <c r="O178" s="9"/>
      <c r="P178" s="492"/>
      <c r="Q178" s="491"/>
      <c r="R178" s="8"/>
      <c r="S178" s="8"/>
      <c r="T178" s="9"/>
      <c r="U178" s="492"/>
      <c r="V178" s="502"/>
      <c r="W178" s="7"/>
      <c r="X178" s="8"/>
      <c r="Y178" s="8"/>
      <c r="Z178" s="9"/>
      <c r="AA178" s="492"/>
      <c r="AB178" s="491"/>
      <c r="AC178" s="8"/>
      <c r="AD178" s="8"/>
      <c r="AE178" s="9"/>
      <c r="AF178" s="492"/>
      <c r="AG178" s="491"/>
      <c r="AH178" s="8"/>
      <c r="AI178" s="8"/>
      <c r="AJ178" s="9"/>
      <c r="AK178" s="492"/>
      <c r="AL178" s="491"/>
      <c r="AM178" s="8"/>
      <c r="AN178" s="8"/>
      <c r="AO178" s="9"/>
      <c r="AP178" s="492"/>
      <c r="AQ178" s="506"/>
      <c r="AR178" s="491"/>
      <c r="AS178" s="8"/>
      <c r="AT178" s="8"/>
      <c r="AU178" s="9"/>
      <c r="AV178" s="9"/>
      <c r="AW178" s="17"/>
      <c r="AX178" s="492"/>
      <c r="AY178" s="491"/>
      <c r="AZ178" s="7"/>
      <c r="BA178" s="9"/>
      <c r="BB178" s="9"/>
      <c r="BC178" s="492"/>
      <c r="BD178" s="491"/>
      <c r="BE178" s="7"/>
      <c r="BF178" s="7"/>
      <c r="BG178" s="7"/>
      <c r="BH178" s="9"/>
      <c r="BI178" s="9"/>
      <c r="BJ178" s="492"/>
      <c r="BK178" s="491"/>
      <c r="BL178" s="7"/>
      <c r="BM178" s="7"/>
      <c r="BN178" s="7"/>
      <c r="BO178" s="7"/>
      <c r="BP178" s="7"/>
      <c r="BQ178" s="7"/>
      <c r="BR178" s="8"/>
      <c r="BS178" s="8"/>
      <c r="BT178" s="509"/>
      <c r="BU178" s="491"/>
      <c r="BV178" s="8"/>
      <c r="BW178" s="509"/>
      <c r="BX178" s="491"/>
      <c r="BY178" s="8"/>
      <c r="BZ178" s="509"/>
      <c r="CA178" s="751"/>
    </row>
    <row r="179" spans="1:79" ht="24.95" customHeight="1">
      <c r="A179" s="468">
        <f>IF('Student DATA Entry'!A176="","",'Student DATA Entry'!A176)</f>
        <v>173</v>
      </c>
      <c r="B179" s="459" t="str">
        <f>IF('Student DATA Entry'!B176="","",'Student DATA Entry'!B176)</f>
        <v/>
      </c>
      <c r="C179" s="459" t="str">
        <f>IF('Student DATA Entry'!C176="","",'Student DATA Entry'!C176)</f>
        <v/>
      </c>
      <c r="D179" s="459" t="str">
        <f>IF('Student DATA Entry'!D176="","",'Student DATA Entry'!D176)</f>
        <v/>
      </c>
      <c r="E179" s="459" t="str">
        <f>IF('Student DATA Entry'!E176="","",'Student DATA Entry'!E176)</f>
        <v/>
      </c>
      <c r="F179" s="460" t="str">
        <f>IF('Student DATA Entry'!K176="","",'Student DATA Entry'!K176)</f>
        <v/>
      </c>
      <c r="G179" s="461" t="str">
        <f>IF('Student DATA Entry'!G176="","",UPPER('Student DATA Entry'!G176))</f>
        <v/>
      </c>
      <c r="H179" s="461" t="str">
        <f>IF('Student DATA Entry'!H176="","",UPPER('Student DATA Entry'!H176))</f>
        <v/>
      </c>
      <c r="I179" s="462" t="str">
        <f>IF('Student DATA Entry'!I176="","",UPPER('Student DATA Entry'!I176))</f>
        <v/>
      </c>
      <c r="J179" s="463" t="str">
        <f>IF('Student DATA Entry'!L176="","",UPPER('Student DATA Entry'!L176))</f>
        <v/>
      </c>
      <c r="K179" s="469" t="str">
        <f>IF('Student DATA Entry'!J176="","",UPPER('Student DATA Entry'!J176))</f>
        <v/>
      </c>
      <c r="L179" s="491"/>
      <c r="M179" s="8"/>
      <c r="N179" s="8"/>
      <c r="O179" s="9"/>
      <c r="P179" s="492"/>
      <c r="Q179" s="491"/>
      <c r="R179" s="8"/>
      <c r="S179" s="8"/>
      <c r="T179" s="9"/>
      <c r="U179" s="492"/>
      <c r="V179" s="502"/>
      <c r="W179" s="7"/>
      <c r="X179" s="8"/>
      <c r="Y179" s="8"/>
      <c r="Z179" s="9"/>
      <c r="AA179" s="492"/>
      <c r="AB179" s="491"/>
      <c r="AC179" s="8"/>
      <c r="AD179" s="8"/>
      <c r="AE179" s="9"/>
      <c r="AF179" s="492"/>
      <c r="AG179" s="491"/>
      <c r="AH179" s="8"/>
      <c r="AI179" s="8"/>
      <c r="AJ179" s="9"/>
      <c r="AK179" s="492"/>
      <c r="AL179" s="491"/>
      <c r="AM179" s="8"/>
      <c r="AN179" s="8"/>
      <c r="AO179" s="9"/>
      <c r="AP179" s="492"/>
      <c r="AQ179" s="506"/>
      <c r="AR179" s="491"/>
      <c r="AS179" s="8"/>
      <c r="AT179" s="8"/>
      <c r="AU179" s="9"/>
      <c r="AV179" s="9"/>
      <c r="AW179" s="17"/>
      <c r="AX179" s="492"/>
      <c r="AY179" s="491"/>
      <c r="AZ179" s="7"/>
      <c r="BA179" s="9"/>
      <c r="BB179" s="9"/>
      <c r="BC179" s="492"/>
      <c r="BD179" s="491"/>
      <c r="BE179" s="7"/>
      <c r="BF179" s="7"/>
      <c r="BG179" s="7"/>
      <c r="BH179" s="9"/>
      <c r="BI179" s="9"/>
      <c r="BJ179" s="492"/>
      <c r="BK179" s="491"/>
      <c r="BL179" s="7"/>
      <c r="BM179" s="7"/>
      <c r="BN179" s="7"/>
      <c r="BO179" s="7"/>
      <c r="BP179" s="7"/>
      <c r="BQ179" s="7"/>
      <c r="BR179" s="8"/>
      <c r="BS179" s="8"/>
      <c r="BT179" s="509"/>
      <c r="BU179" s="491"/>
      <c r="BV179" s="8"/>
      <c r="BW179" s="509"/>
      <c r="BX179" s="491"/>
      <c r="BY179" s="8"/>
      <c r="BZ179" s="509"/>
      <c r="CA179" s="751"/>
    </row>
    <row r="180" spans="1:79" ht="24.95" customHeight="1">
      <c r="A180" s="468">
        <f>IF('Student DATA Entry'!A177="","",'Student DATA Entry'!A177)</f>
        <v>174</v>
      </c>
      <c r="B180" s="459" t="str">
        <f>IF('Student DATA Entry'!B177="","",'Student DATA Entry'!B177)</f>
        <v/>
      </c>
      <c r="C180" s="459" t="str">
        <f>IF('Student DATA Entry'!C177="","",'Student DATA Entry'!C177)</f>
        <v/>
      </c>
      <c r="D180" s="459" t="str">
        <f>IF('Student DATA Entry'!D177="","",'Student DATA Entry'!D177)</f>
        <v/>
      </c>
      <c r="E180" s="459" t="str">
        <f>IF('Student DATA Entry'!E177="","",'Student DATA Entry'!E177)</f>
        <v/>
      </c>
      <c r="F180" s="460" t="str">
        <f>IF('Student DATA Entry'!K177="","",'Student DATA Entry'!K177)</f>
        <v/>
      </c>
      <c r="G180" s="461" t="str">
        <f>IF('Student DATA Entry'!G177="","",UPPER('Student DATA Entry'!G177))</f>
        <v/>
      </c>
      <c r="H180" s="461" t="str">
        <f>IF('Student DATA Entry'!H177="","",UPPER('Student DATA Entry'!H177))</f>
        <v/>
      </c>
      <c r="I180" s="462" t="str">
        <f>IF('Student DATA Entry'!I177="","",UPPER('Student DATA Entry'!I177))</f>
        <v/>
      </c>
      <c r="J180" s="463" t="str">
        <f>IF('Student DATA Entry'!L177="","",UPPER('Student DATA Entry'!L177))</f>
        <v/>
      </c>
      <c r="K180" s="469" t="str">
        <f>IF('Student DATA Entry'!J177="","",UPPER('Student DATA Entry'!J177))</f>
        <v/>
      </c>
      <c r="L180" s="491"/>
      <c r="M180" s="8"/>
      <c r="N180" s="8"/>
      <c r="O180" s="9"/>
      <c r="P180" s="492"/>
      <c r="Q180" s="491"/>
      <c r="R180" s="8"/>
      <c r="S180" s="8"/>
      <c r="T180" s="9"/>
      <c r="U180" s="492"/>
      <c r="V180" s="502"/>
      <c r="W180" s="7"/>
      <c r="X180" s="8"/>
      <c r="Y180" s="8"/>
      <c r="Z180" s="9"/>
      <c r="AA180" s="492"/>
      <c r="AB180" s="491"/>
      <c r="AC180" s="8"/>
      <c r="AD180" s="8"/>
      <c r="AE180" s="9"/>
      <c r="AF180" s="492"/>
      <c r="AG180" s="491"/>
      <c r="AH180" s="8"/>
      <c r="AI180" s="8"/>
      <c r="AJ180" s="9"/>
      <c r="AK180" s="492"/>
      <c r="AL180" s="491"/>
      <c r="AM180" s="8"/>
      <c r="AN180" s="8"/>
      <c r="AO180" s="9"/>
      <c r="AP180" s="492"/>
      <c r="AQ180" s="506"/>
      <c r="AR180" s="491"/>
      <c r="AS180" s="8"/>
      <c r="AT180" s="8"/>
      <c r="AU180" s="9"/>
      <c r="AV180" s="9"/>
      <c r="AW180" s="17"/>
      <c r="AX180" s="492"/>
      <c r="AY180" s="491"/>
      <c r="AZ180" s="7"/>
      <c r="BA180" s="9"/>
      <c r="BB180" s="9"/>
      <c r="BC180" s="492"/>
      <c r="BD180" s="491"/>
      <c r="BE180" s="7"/>
      <c r="BF180" s="7"/>
      <c r="BG180" s="7"/>
      <c r="BH180" s="9"/>
      <c r="BI180" s="9"/>
      <c r="BJ180" s="492"/>
      <c r="BK180" s="491"/>
      <c r="BL180" s="7"/>
      <c r="BM180" s="7"/>
      <c r="BN180" s="7"/>
      <c r="BO180" s="7"/>
      <c r="BP180" s="7"/>
      <c r="BQ180" s="7"/>
      <c r="BR180" s="8"/>
      <c r="BS180" s="8"/>
      <c r="BT180" s="509"/>
      <c r="BU180" s="491"/>
      <c r="BV180" s="8"/>
      <c r="BW180" s="509"/>
      <c r="BX180" s="491"/>
      <c r="BY180" s="8"/>
      <c r="BZ180" s="509"/>
      <c r="CA180" s="751"/>
    </row>
    <row r="181" spans="1:79" ht="24.95" customHeight="1">
      <c r="A181" s="468">
        <f>IF('Student DATA Entry'!A178="","",'Student DATA Entry'!A178)</f>
        <v>175</v>
      </c>
      <c r="B181" s="459" t="str">
        <f>IF('Student DATA Entry'!B178="","",'Student DATA Entry'!B178)</f>
        <v/>
      </c>
      <c r="C181" s="459" t="str">
        <f>IF('Student DATA Entry'!C178="","",'Student DATA Entry'!C178)</f>
        <v/>
      </c>
      <c r="D181" s="459" t="str">
        <f>IF('Student DATA Entry'!D178="","",'Student DATA Entry'!D178)</f>
        <v/>
      </c>
      <c r="E181" s="459" t="str">
        <f>IF('Student DATA Entry'!E178="","",'Student DATA Entry'!E178)</f>
        <v/>
      </c>
      <c r="F181" s="460" t="str">
        <f>IF('Student DATA Entry'!K178="","",'Student DATA Entry'!K178)</f>
        <v/>
      </c>
      <c r="G181" s="461" t="str">
        <f>IF('Student DATA Entry'!G178="","",UPPER('Student DATA Entry'!G178))</f>
        <v/>
      </c>
      <c r="H181" s="461" t="str">
        <f>IF('Student DATA Entry'!H178="","",UPPER('Student DATA Entry'!H178))</f>
        <v/>
      </c>
      <c r="I181" s="462" t="str">
        <f>IF('Student DATA Entry'!I178="","",UPPER('Student DATA Entry'!I178))</f>
        <v/>
      </c>
      <c r="J181" s="463" t="str">
        <f>IF('Student DATA Entry'!L178="","",UPPER('Student DATA Entry'!L178))</f>
        <v/>
      </c>
      <c r="K181" s="469" t="str">
        <f>IF('Student DATA Entry'!J178="","",UPPER('Student DATA Entry'!J178))</f>
        <v/>
      </c>
      <c r="L181" s="491"/>
      <c r="M181" s="8"/>
      <c r="N181" s="8"/>
      <c r="O181" s="9"/>
      <c r="P181" s="492"/>
      <c r="Q181" s="491"/>
      <c r="R181" s="8"/>
      <c r="S181" s="8"/>
      <c r="T181" s="9"/>
      <c r="U181" s="492"/>
      <c r="V181" s="502"/>
      <c r="W181" s="7"/>
      <c r="X181" s="8"/>
      <c r="Y181" s="8"/>
      <c r="Z181" s="9"/>
      <c r="AA181" s="492"/>
      <c r="AB181" s="491"/>
      <c r="AC181" s="8"/>
      <c r="AD181" s="8"/>
      <c r="AE181" s="9"/>
      <c r="AF181" s="492"/>
      <c r="AG181" s="491"/>
      <c r="AH181" s="8"/>
      <c r="AI181" s="8"/>
      <c r="AJ181" s="9"/>
      <c r="AK181" s="492"/>
      <c r="AL181" s="491"/>
      <c r="AM181" s="8"/>
      <c r="AN181" s="8"/>
      <c r="AO181" s="9"/>
      <c r="AP181" s="492"/>
      <c r="AQ181" s="506"/>
      <c r="AR181" s="491"/>
      <c r="AS181" s="8"/>
      <c r="AT181" s="8"/>
      <c r="AU181" s="9"/>
      <c r="AV181" s="9"/>
      <c r="AW181" s="17"/>
      <c r="AX181" s="492"/>
      <c r="AY181" s="491"/>
      <c r="AZ181" s="7"/>
      <c r="BA181" s="9"/>
      <c r="BB181" s="9"/>
      <c r="BC181" s="492"/>
      <c r="BD181" s="491"/>
      <c r="BE181" s="7"/>
      <c r="BF181" s="7"/>
      <c r="BG181" s="7"/>
      <c r="BH181" s="9"/>
      <c r="BI181" s="9"/>
      <c r="BJ181" s="492"/>
      <c r="BK181" s="491"/>
      <c r="BL181" s="7"/>
      <c r="BM181" s="7"/>
      <c r="BN181" s="7"/>
      <c r="BO181" s="7"/>
      <c r="BP181" s="7"/>
      <c r="BQ181" s="7"/>
      <c r="BR181" s="8"/>
      <c r="BS181" s="8"/>
      <c r="BT181" s="509"/>
      <c r="BU181" s="491"/>
      <c r="BV181" s="8"/>
      <c r="BW181" s="509"/>
      <c r="BX181" s="491"/>
      <c r="BY181" s="8"/>
      <c r="BZ181" s="509"/>
      <c r="CA181" s="751"/>
    </row>
    <row r="182" spans="1:79" ht="24.95" customHeight="1">
      <c r="A182" s="468">
        <f>IF('Student DATA Entry'!A179="","",'Student DATA Entry'!A179)</f>
        <v>176</v>
      </c>
      <c r="B182" s="459" t="str">
        <f>IF('Student DATA Entry'!B179="","",'Student DATA Entry'!B179)</f>
        <v/>
      </c>
      <c r="C182" s="459" t="str">
        <f>IF('Student DATA Entry'!C179="","",'Student DATA Entry'!C179)</f>
        <v/>
      </c>
      <c r="D182" s="459" t="str">
        <f>IF('Student DATA Entry'!D179="","",'Student DATA Entry'!D179)</f>
        <v/>
      </c>
      <c r="E182" s="459" t="str">
        <f>IF('Student DATA Entry'!E179="","",'Student DATA Entry'!E179)</f>
        <v/>
      </c>
      <c r="F182" s="460" t="str">
        <f>IF('Student DATA Entry'!K179="","",'Student DATA Entry'!K179)</f>
        <v/>
      </c>
      <c r="G182" s="461" t="str">
        <f>IF('Student DATA Entry'!G179="","",UPPER('Student DATA Entry'!G179))</f>
        <v/>
      </c>
      <c r="H182" s="461" t="str">
        <f>IF('Student DATA Entry'!H179="","",UPPER('Student DATA Entry'!H179))</f>
        <v/>
      </c>
      <c r="I182" s="462" t="str">
        <f>IF('Student DATA Entry'!I179="","",UPPER('Student DATA Entry'!I179))</f>
        <v/>
      </c>
      <c r="J182" s="463" t="str">
        <f>IF('Student DATA Entry'!L179="","",UPPER('Student DATA Entry'!L179))</f>
        <v/>
      </c>
      <c r="K182" s="469" t="str">
        <f>IF('Student DATA Entry'!J179="","",UPPER('Student DATA Entry'!J179))</f>
        <v/>
      </c>
      <c r="L182" s="491"/>
      <c r="M182" s="8"/>
      <c r="N182" s="8"/>
      <c r="O182" s="9"/>
      <c r="P182" s="492"/>
      <c r="Q182" s="491"/>
      <c r="R182" s="8"/>
      <c r="S182" s="8"/>
      <c r="T182" s="9"/>
      <c r="U182" s="492"/>
      <c r="V182" s="502"/>
      <c r="W182" s="7"/>
      <c r="X182" s="8"/>
      <c r="Y182" s="8"/>
      <c r="Z182" s="9"/>
      <c r="AA182" s="492"/>
      <c r="AB182" s="491"/>
      <c r="AC182" s="8"/>
      <c r="AD182" s="8"/>
      <c r="AE182" s="9"/>
      <c r="AF182" s="492"/>
      <c r="AG182" s="491"/>
      <c r="AH182" s="8"/>
      <c r="AI182" s="8"/>
      <c r="AJ182" s="9"/>
      <c r="AK182" s="492"/>
      <c r="AL182" s="491"/>
      <c r="AM182" s="8"/>
      <c r="AN182" s="8"/>
      <c r="AO182" s="9"/>
      <c r="AP182" s="492"/>
      <c r="AQ182" s="506"/>
      <c r="AR182" s="491"/>
      <c r="AS182" s="8"/>
      <c r="AT182" s="8"/>
      <c r="AU182" s="9"/>
      <c r="AV182" s="9"/>
      <c r="AW182" s="17"/>
      <c r="AX182" s="492"/>
      <c r="AY182" s="491"/>
      <c r="AZ182" s="7"/>
      <c r="BA182" s="9"/>
      <c r="BB182" s="9"/>
      <c r="BC182" s="492"/>
      <c r="BD182" s="491"/>
      <c r="BE182" s="7"/>
      <c r="BF182" s="7"/>
      <c r="BG182" s="7"/>
      <c r="BH182" s="9"/>
      <c r="BI182" s="9"/>
      <c r="BJ182" s="492"/>
      <c r="BK182" s="491"/>
      <c r="BL182" s="7"/>
      <c r="BM182" s="7"/>
      <c r="BN182" s="7"/>
      <c r="BO182" s="7"/>
      <c r="BP182" s="7"/>
      <c r="BQ182" s="7"/>
      <c r="BR182" s="8"/>
      <c r="BS182" s="8"/>
      <c r="BT182" s="509"/>
      <c r="BU182" s="491"/>
      <c r="BV182" s="8"/>
      <c r="BW182" s="509"/>
      <c r="BX182" s="491"/>
      <c r="BY182" s="8"/>
      <c r="BZ182" s="509"/>
      <c r="CA182" s="751"/>
    </row>
    <row r="183" spans="1:79" ht="24.95" customHeight="1">
      <c r="A183" s="468">
        <f>IF('Student DATA Entry'!A180="","",'Student DATA Entry'!A180)</f>
        <v>177</v>
      </c>
      <c r="B183" s="459" t="str">
        <f>IF('Student DATA Entry'!B180="","",'Student DATA Entry'!B180)</f>
        <v/>
      </c>
      <c r="C183" s="459" t="str">
        <f>IF('Student DATA Entry'!C180="","",'Student DATA Entry'!C180)</f>
        <v/>
      </c>
      <c r="D183" s="459" t="str">
        <f>IF('Student DATA Entry'!D180="","",'Student DATA Entry'!D180)</f>
        <v/>
      </c>
      <c r="E183" s="459" t="str">
        <f>IF('Student DATA Entry'!E180="","",'Student DATA Entry'!E180)</f>
        <v/>
      </c>
      <c r="F183" s="460" t="str">
        <f>IF('Student DATA Entry'!K180="","",'Student DATA Entry'!K180)</f>
        <v/>
      </c>
      <c r="G183" s="461" t="str">
        <f>IF('Student DATA Entry'!G180="","",UPPER('Student DATA Entry'!G180))</f>
        <v/>
      </c>
      <c r="H183" s="461" t="str">
        <f>IF('Student DATA Entry'!H180="","",UPPER('Student DATA Entry'!H180))</f>
        <v/>
      </c>
      <c r="I183" s="462" t="str">
        <f>IF('Student DATA Entry'!I180="","",UPPER('Student DATA Entry'!I180))</f>
        <v/>
      </c>
      <c r="J183" s="463" t="str">
        <f>IF('Student DATA Entry'!L180="","",UPPER('Student DATA Entry'!L180))</f>
        <v/>
      </c>
      <c r="K183" s="469" t="str">
        <f>IF('Student DATA Entry'!J180="","",UPPER('Student DATA Entry'!J180))</f>
        <v/>
      </c>
      <c r="L183" s="491"/>
      <c r="M183" s="8"/>
      <c r="N183" s="8"/>
      <c r="O183" s="9"/>
      <c r="P183" s="492"/>
      <c r="Q183" s="491"/>
      <c r="R183" s="8"/>
      <c r="S183" s="8"/>
      <c r="T183" s="9"/>
      <c r="U183" s="492"/>
      <c r="V183" s="502"/>
      <c r="W183" s="7"/>
      <c r="X183" s="8"/>
      <c r="Y183" s="8"/>
      <c r="Z183" s="9"/>
      <c r="AA183" s="492"/>
      <c r="AB183" s="491"/>
      <c r="AC183" s="8"/>
      <c r="AD183" s="8"/>
      <c r="AE183" s="9"/>
      <c r="AF183" s="492"/>
      <c r="AG183" s="491"/>
      <c r="AH183" s="8"/>
      <c r="AI183" s="8"/>
      <c r="AJ183" s="9"/>
      <c r="AK183" s="492"/>
      <c r="AL183" s="491"/>
      <c r="AM183" s="8"/>
      <c r="AN183" s="8"/>
      <c r="AO183" s="9"/>
      <c r="AP183" s="492"/>
      <c r="AQ183" s="506"/>
      <c r="AR183" s="491"/>
      <c r="AS183" s="8"/>
      <c r="AT183" s="8"/>
      <c r="AU183" s="9"/>
      <c r="AV183" s="9"/>
      <c r="AW183" s="17"/>
      <c r="AX183" s="492"/>
      <c r="AY183" s="491"/>
      <c r="AZ183" s="7"/>
      <c r="BA183" s="9"/>
      <c r="BB183" s="9"/>
      <c r="BC183" s="492"/>
      <c r="BD183" s="491"/>
      <c r="BE183" s="7"/>
      <c r="BF183" s="7"/>
      <c r="BG183" s="7"/>
      <c r="BH183" s="9"/>
      <c r="BI183" s="9"/>
      <c r="BJ183" s="492"/>
      <c r="BK183" s="491"/>
      <c r="BL183" s="7"/>
      <c r="BM183" s="7"/>
      <c r="BN183" s="7"/>
      <c r="BO183" s="7"/>
      <c r="BP183" s="7"/>
      <c r="BQ183" s="7"/>
      <c r="BR183" s="8"/>
      <c r="BS183" s="8"/>
      <c r="BT183" s="509"/>
      <c r="BU183" s="491"/>
      <c r="BV183" s="8"/>
      <c r="BW183" s="509"/>
      <c r="BX183" s="491"/>
      <c r="BY183" s="8"/>
      <c r="BZ183" s="509"/>
      <c r="CA183" s="751"/>
    </row>
    <row r="184" spans="1:79" ht="24.95" customHeight="1">
      <c r="A184" s="468">
        <f>IF('Student DATA Entry'!A181="","",'Student DATA Entry'!A181)</f>
        <v>178</v>
      </c>
      <c r="B184" s="459" t="str">
        <f>IF('Student DATA Entry'!B181="","",'Student DATA Entry'!B181)</f>
        <v/>
      </c>
      <c r="C184" s="459" t="str">
        <f>IF('Student DATA Entry'!C181="","",'Student DATA Entry'!C181)</f>
        <v/>
      </c>
      <c r="D184" s="459" t="str">
        <f>IF('Student DATA Entry'!D181="","",'Student DATA Entry'!D181)</f>
        <v/>
      </c>
      <c r="E184" s="459" t="str">
        <f>IF('Student DATA Entry'!E181="","",'Student DATA Entry'!E181)</f>
        <v/>
      </c>
      <c r="F184" s="460" t="str">
        <f>IF('Student DATA Entry'!K181="","",'Student DATA Entry'!K181)</f>
        <v/>
      </c>
      <c r="G184" s="461" t="str">
        <f>IF('Student DATA Entry'!G181="","",UPPER('Student DATA Entry'!G181))</f>
        <v/>
      </c>
      <c r="H184" s="461" t="str">
        <f>IF('Student DATA Entry'!H181="","",UPPER('Student DATA Entry'!H181))</f>
        <v/>
      </c>
      <c r="I184" s="462" t="str">
        <f>IF('Student DATA Entry'!I181="","",UPPER('Student DATA Entry'!I181))</f>
        <v/>
      </c>
      <c r="J184" s="463" t="str">
        <f>IF('Student DATA Entry'!L181="","",UPPER('Student DATA Entry'!L181))</f>
        <v/>
      </c>
      <c r="K184" s="469" t="str">
        <f>IF('Student DATA Entry'!J181="","",UPPER('Student DATA Entry'!J181))</f>
        <v/>
      </c>
      <c r="L184" s="491"/>
      <c r="M184" s="8"/>
      <c r="N184" s="8"/>
      <c r="O184" s="9"/>
      <c r="P184" s="492"/>
      <c r="Q184" s="491"/>
      <c r="R184" s="8"/>
      <c r="S184" s="8"/>
      <c r="T184" s="9"/>
      <c r="U184" s="492"/>
      <c r="V184" s="502"/>
      <c r="W184" s="7"/>
      <c r="X184" s="8"/>
      <c r="Y184" s="8"/>
      <c r="Z184" s="9"/>
      <c r="AA184" s="492"/>
      <c r="AB184" s="491"/>
      <c r="AC184" s="8"/>
      <c r="AD184" s="8"/>
      <c r="AE184" s="9"/>
      <c r="AF184" s="492"/>
      <c r="AG184" s="491"/>
      <c r="AH184" s="8"/>
      <c r="AI184" s="8"/>
      <c r="AJ184" s="9"/>
      <c r="AK184" s="492"/>
      <c r="AL184" s="491"/>
      <c r="AM184" s="8"/>
      <c r="AN184" s="8"/>
      <c r="AO184" s="9"/>
      <c r="AP184" s="492"/>
      <c r="AQ184" s="506"/>
      <c r="AR184" s="491"/>
      <c r="AS184" s="8"/>
      <c r="AT184" s="8"/>
      <c r="AU184" s="9"/>
      <c r="AV184" s="9"/>
      <c r="AW184" s="17"/>
      <c r="AX184" s="492"/>
      <c r="AY184" s="491"/>
      <c r="AZ184" s="7"/>
      <c r="BA184" s="9"/>
      <c r="BB184" s="9"/>
      <c r="BC184" s="492"/>
      <c r="BD184" s="491"/>
      <c r="BE184" s="7"/>
      <c r="BF184" s="7"/>
      <c r="BG184" s="7"/>
      <c r="BH184" s="9"/>
      <c r="BI184" s="9"/>
      <c r="BJ184" s="492"/>
      <c r="BK184" s="491"/>
      <c r="BL184" s="7"/>
      <c r="BM184" s="7"/>
      <c r="BN184" s="7"/>
      <c r="BO184" s="7"/>
      <c r="BP184" s="7"/>
      <c r="BQ184" s="7"/>
      <c r="BR184" s="8"/>
      <c r="BS184" s="8"/>
      <c r="BT184" s="509"/>
      <c r="BU184" s="491"/>
      <c r="BV184" s="8"/>
      <c r="BW184" s="509"/>
      <c r="BX184" s="491"/>
      <c r="BY184" s="8"/>
      <c r="BZ184" s="509"/>
      <c r="CA184" s="751"/>
    </row>
    <row r="185" spans="1:79" ht="24.95" customHeight="1">
      <c r="A185" s="468">
        <f>IF('Student DATA Entry'!A182="","",'Student DATA Entry'!A182)</f>
        <v>179</v>
      </c>
      <c r="B185" s="459" t="str">
        <f>IF('Student DATA Entry'!B182="","",'Student DATA Entry'!B182)</f>
        <v/>
      </c>
      <c r="C185" s="459" t="str">
        <f>IF('Student DATA Entry'!C182="","",'Student DATA Entry'!C182)</f>
        <v/>
      </c>
      <c r="D185" s="459" t="str">
        <f>IF('Student DATA Entry'!D182="","",'Student DATA Entry'!D182)</f>
        <v/>
      </c>
      <c r="E185" s="459" t="str">
        <f>IF('Student DATA Entry'!E182="","",'Student DATA Entry'!E182)</f>
        <v/>
      </c>
      <c r="F185" s="460" t="str">
        <f>IF('Student DATA Entry'!K182="","",'Student DATA Entry'!K182)</f>
        <v/>
      </c>
      <c r="G185" s="461" t="str">
        <f>IF('Student DATA Entry'!G182="","",UPPER('Student DATA Entry'!G182))</f>
        <v/>
      </c>
      <c r="H185" s="461" t="str">
        <f>IF('Student DATA Entry'!H182="","",UPPER('Student DATA Entry'!H182))</f>
        <v/>
      </c>
      <c r="I185" s="462" t="str">
        <f>IF('Student DATA Entry'!I182="","",UPPER('Student DATA Entry'!I182))</f>
        <v/>
      </c>
      <c r="J185" s="463" t="str">
        <f>IF('Student DATA Entry'!L182="","",UPPER('Student DATA Entry'!L182))</f>
        <v/>
      </c>
      <c r="K185" s="469" t="str">
        <f>IF('Student DATA Entry'!J182="","",UPPER('Student DATA Entry'!J182))</f>
        <v/>
      </c>
      <c r="L185" s="491"/>
      <c r="M185" s="8"/>
      <c r="N185" s="8"/>
      <c r="O185" s="9"/>
      <c r="P185" s="492"/>
      <c r="Q185" s="491"/>
      <c r="R185" s="8"/>
      <c r="S185" s="8"/>
      <c r="T185" s="9"/>
      <c r="U185" s="492"/>
      <c r="V185" s="502"/>
      <c r="W185" s="7"/>
      <c r="X185" s="8"/>
      <c r="Y185" s="8"/>
      <c r="Z185" s="9"/>
      <c r="AA185" s="492"/>
      <c r="AB185" s="491"/>
      <c r="AC185" s="8"/>
      <c r="AD185" s="8"/>
      <c r="AE185" s="9"/>
      <c r="AF185" s="492"/>
      <c r="AG185" s="491"/>
      <c r="AH185" s="8"/>
      <c r="AI185" s="8"/>
      <c r="AJ185" s="9"/>
      <c r="AK185" s="492"/>
      <c r="AL185" s="491"/>
      <c r="AM185" s="8"/>
      <c r="AN185" s="8"/>
      <c r="AO185" s="9"/>
      <c r="AP185" s="492"/>
      <c r="AQ185" s="506"/>
      <c r="AR185" s="491"/>
      <c r="AS185" s="8"/>
      <c r="AT185" s="8"/>
      <c r="AU185" s="9"/>
      <c r="AV185" s="9"/>
      <c r="AW185" s="17"/>
      <c r="AX185" s="492"/>
      <c r="AY185" s="491"/>
      <c r="AZ185" s="7"/>
      <c r="BA185" s="9"/>
      <c r="BB185" s="9"/>
      <c r="BC185" s="492"/>
      <c r="BD185" s="491"/>
      <c r="BE185" s="7"/>
      <c r="BF185" s="7"/>
      <c r="BG185" s="7"/>
      <c r="BH185" s="9"/>
      <c r="BI185" s="9"/>
      <c r="BJ185" s="492"/>
      <c r="BK185" s="491"/>
      <c r="BL185" s="7"/>
      <c r="BM185" s="7"/>
      <c r="BN185" s="7"/>
      <c r="BO185" s="7"/>
      <c r="BP185" s="7"/>
      <c r="BQ185" s="7"/>
      <c r="BR185" s="8"/>
      <c r="BS185" s="8"/>
      <c r="BT185" s="509"/>
      <c r="BU185" s="491"/>
      <c r="BV185" s="8"/>
      <c r="BW185" s="509"/>
      <c r="BX185" s="491"/>
      <c r="BY185" s="8"/>
      <c r="BZ185" s="509"/>
      <c r="CA185" s="751"/>
    </row>
    <row r="186" spans="1:79" ht="24.95" customHeight="1">
      <c r="A186" s="468">
        <f>IF('Student DATA Entry'!A183="","",'Student DATA Entry'!A183)</f>
        <v>180</v>
      </c>
      <c r="B186" s="459" t="str">
        <f>IF('Student DATA Entry'!B183="","",'Student DATA Entry'!B183)</f>
        <v/>
      </c>
      <c r="C186" s="459" t="str">
        <f>IF('Student DATA Entry'!C183="","",'Student DATA Entry'!C183)</f>
        <v/>
      </c>
      <c r="D186" s="459" t="str">
        <f>IF('Student DATA Entry'!D183="","",'Student DATA Entry'!D183)</f>
        <v/>
      </c>
      <c r="E186" s="459" t="str">
        <f>IF('Student DATA Entry'!E183="","",'Student DATA Entry'!E183)</f>
        <v/>
      </c>
      <c r="F186" s="460" t="str">
        <f>IF('Student DATA Entry'!K183="","",'Student DATA Entry'!K183)</f>
        <v/>
      </c>
      <c r="G186" s="461" t="str">
        <f>IF('Student DATA Entry'!G183="","",UPPER('Student DATA Entry'!G183))</f>
        <v/>
      </c>
      <c r="H186" s="461" t="str">
        <f>IF('Student DATA Entry'!H183="","",UPPER('Student DATA Entry'!H183))</f>
        <v/>
      </c>
      <c r="I186" s="462" t="str">
        <f>IF('Student DATA Entry'!I183="","",UPPER('Student DATA Entry'!I183))</f>
        <v/>
      </c>
      <c r="J186" s="463" t="str">
        <f>IF('Student DATA Entry'!L183="","",UPPER('Student DATA Entry'!L183))</f>
        <v/>
      </c>
      <c r="K186" s="469" t="str">
        <f>IF('Student DATA Entry'!J183="","",UPPER('Student DATA Entry'!J183))</f>
        <v/>
      </c>
      <c r="L186" s="491"/>
      <c r="M186" s="8"/>
      <c r="N186" s="8"/>
      <c r="O186" s="9"/>
      <c r="P186" s="492"/>
      <c r="Q186" s="491"/>
      <c r="R186" s="8"/>
      <c r="S186" s="8"/>
      <c r="T186" s="9"/>
      <c r="U186" s="492"/>
      <c r="V186" s="502"/>
      <c r="W186" s="7"/>
      <c r="X186" s="8"/>
      <c r="Y186" s="8"/>
      <c r="Z186" s="9"/>
      <c r="AA186" s="492"/>
      <c r="AB186" s="491"/>
      <c r="AC186" s="8"/>
      <c r="AD186" s="8"/>
      <c r="AE186" s="9"/>
      <c r="AF186" s="492"/>
      <c r="AG186" s="491"/>
      <c r="AH186" s="8"/>
      <c r="AI186" s="8"/>
      <c r="AJ186" s="9"/>
      <c r="AK186" s="492"/>
      <c r="AL186" s="491"/>
      <c r="AM186" s="8"/>
      <c r="AN186" s="8"/>
      <c r="AO186" s="9"/>
      <c r="AP186" s="492"/>
      <c r="AQ186" s="506"/>
      <c r="AR186" s="491"/>
      <c r="AS186" s="8"/>
      <c r="AT186" s="8"/>
      <c r="AU186" s="9"/>
      <c r="AV186" s="9"/>
      <c r="AW186" s="17"/>
      <c r="AX186" s="492"/>
      <c r="AY186" s="491"/>
      <c r="AZ186" s="7"/>
      <c r="BA186" s="9"/>
      <c r="BB186" s="9"/>
      <c r="BC186" s="492"/>
      <c r="BD186" s="491"/>
      <c r="BE186" s="7"/>
      <c r="BF186" s="7"/>
      <c r="BG186" s="7"/>
      <c r="BH186" s="9"/>
      <c r="BI186" s="9"/>
      <c r="BJ186" s="492"/>
      <c r="BK186" s="491"/>
      <c r="BL186" s="7"/>
      <c r="BM186" s="7"/>
      <c r="BN186" s="7"/>
      <c r="BO186" s="7"/>
      <c r="BP186" s="7"/>
      <c r="BQ186" s="7"/>
      <c r="BR186" s="8"/>
      <c r="BS186" s="8"/>
      <c r="BT186" s="509"/>
      <c r="BU186" s="491"/>
      <c r="BV186" s="8"/>
      <c r="BW186" s="509"/>
      <c r="BX186" s="491"/>
      <c r="BY186" s="8"/>
      <c r="BZ186" s="509"/>
      <c r="CA186" s="751"/>
    </row>
    <row r="187" spans="1:79" ht="24.95" customHeight="1">
      <c r="A187" s="468">
        <f>IF('Student DATA Entry'!A184="","",'Student DATA Entry'!A184)</f>
        <v>181</v>
      </c>
      <c r="B187" s="459" t="str">
        <f>IF('Student DATA Entry'!B184="","",'Student DATA Entry'!B184)</f>
        <v/>
      </c>
      <c r="C187" s="459" t="str">
        <f>IF('Student DATA Entry'!C184="","",'Student DATA Entry'!C184)</f>
        <v/>
      </c>
      <c r="D187" s="459" t="str">
        <f>IF('Student DATA Entry'!D184="","",'Student DATA Entry'!D184)</f>
        <v/>
      </c>
      <c r="E187" s="459" t="str">
        <f>IF('Student DATA Entry'!E184="","",'Student DATA Entry'!E184)</f>
        <v/>
      </c>
      <c r="F187" s="460" t="str">
        <f>IF('Student DATA Entry'!K184="","",'Student DATA Entry'!K184)</f>
        <v/>
      </c>
      <c r="G187" s="461" t="str">
        <f>IF('Student DATA Entry'!G184="","",UPPER('Student DATA Entry'!G184))</f>
        <v/>
      </c>
      <c r="H187" s="461" t="str">
        <f>IF('Student DATA Entry'!H184="","",UPPER('Student DATA Entry'!H184))</f>
        <v/>
      </c>
      <c r="I187" s="462" t="str">
        <f>IF('Student DATA Entry'!I184="","",UPPER('Student DATA Entry'!I184))</f>
        <v/>
      </c>
      <c r="J187" s="463" t="str">
        <f>IF('Student DATA Entry'!L184="","",UPPER('Student DATA Entry'!L184))</f>
        <v/>
      </c>
      <c r="K187" s="469" t="str">
        <f>IF('Student DATA Entry'!J184="","",UPPER('Student DATA Entry'!J184))</f>
        <v/>
      </c>
      <c r="L187" s="491"/>
      <c r="M187" s="8"/>
      <c r="N187" s="8"/>
      <c r="O187" s="9"/>
      <c r="P187" s="492"/>
      <c r="Q187" s="491"/>
      <c r="R187" s="8"/>
      <c r="S187" s="8"/>
      <c r="T187" s="9"/>
      <c r="U187" s="492"/>
      <c r="V187" s="502"/>
      <c r="W187" s="7"/>
      <c r="X187" s="8"/>
      <c r="Y187" s="8"/>
      <c r="Z187" s="9"/>
      <c r="AA187" s="492"/>
      <c r="AB187" s="491"/>
      <c r="AC187" s="8"/>
      <c r="AD187" s="8"/>
      <c r="AE187" s="9"/>
      <c r="AF187" s="492"/>
      <c r="AG187" s="491"/>
      <c r="AH187" s="8"/>
      <c r="AI187" s="8"/>
      <c r="AJ187" s="9"/>
      <c r="AK187" s="492"/>
      <c r="AL187" s="491"/>
      <c r="AM187" s="8"/>
      <c r="AN187" s="8"/>
      <c r="AO187" s="9"/>
      <c r="AP187" s="492"/>
      <c r="AQ187" s="506"/>
      <c r="AR187" s="491"/>
      <c r="AS187" s="8"/>
      <c r="AT187" s="8"/>
      <c r="AU187" s="9"/>
      <c r="AV187" s="9"/>
      <c r="AW187" s="17"/>
      <c r="AX187" s="492"/>
      <c r="AY187" s="491"/>
      <c r="AZ187" s="7"/>
      <c r="BA187" s="9"/>
      <c r="BB187" s="9"/>
      <c r="BC187" s="492"/>
      <c r="BD187" s="491"/>
      <c r="BE187" s="7"/>
      <c r="BF187" s="7"/>
      <c r="BG187" s="7"/>
      <c r="BH187" s="9"/>
      <c r="BI187" s="9"/>
      <c r="BJ187" s="492"/>
      <c r="BK187" s="491"/>
      <c r="BL187" s="7"/>
      <c r="BM187" s="7"/>
      <c r="BN187" s="7"/>
      <c r="BO187" s="7"/>
      <c r="BP187" s="7"/>
      <c r="BQ187" s="7"/>
      <c r="BR187" s="8"/>
      <c r="BS187" s="8"/>
      <c r="BT187" s="509"/>
      <c r="BU187" s="491"/>
      <c r="BV187" s="8"/>
      <c r="BW187" s="509"/>
      <c r="BX187" s="491"/>
      <c r="BY187" s="8"/>
      <c r="BZ187" s="509"/>
      <c r="CA187" s="751"/>
    </row>
    <row r="188" spans="1:79" ht="24.95" customHeight="1">
      <c r="A188" s="468">
        <f>IF('Student DATA Entry'!A185="","",'Student DATA Entry'!A185)</f>
        <v>182</v>
      </c>
      <c r="B188" s="459" t="str">
        <f>IF('Student DATA Entry'!B185="","",'Student DATA Entry'!B185)</f>
        <v/>
      </c>
      <c r="C188" s="459" t="str">
        <f>IF('Student DATA Entry'!C185="","",'Student DATA Entry'!C185)</f>
        <v/>
      </c>
      <c r="D188" s="459" t="str">
        <f>IF('Student DATA Entry'!D185="","",'Student DATA Entry'!D185)</f>
        <v/>
      </c>
      <c r="E188" s="459" t="str">
        <f>IF('Student DATA Entry'!E185="","",'Student DATA Entry'!E185)</f>
        <v/>
      </c>
      <c r="F188" s="460" t="str">
        <f>IF('Student DATA Entry'!K185="","",'Student DATA Entry'!K185)</f>
        <v/>
      </c>
      <c r="G188" s="461" t="str">
        <f>IF('Student DATA Entry'!G185="","",UPPER('Student DATA Entry'!G185))</f>
        <v/>
      </c>
      <c r="H188" s="461" t="str">
        <f>IF('Student DATA Entry'!H185="","",UPPER('Student DATA Entry'!H185))</f>
        <v/>
      </c>
      <c r="I188" s="462" t="str">
        <f>IF('Student DATA Entry'!I185="","",UPPER('Student DATA Entry'!I185))</f>
        <v/>
      </c>
      <c r="J188" s="463" t="str">
        <f>IF('Student DATA Entry'!L185="","",UPPER('Student DATA Entry'!L185))</f>
        <v/>
      </c>
      <c r="K188" s="469" t="str">
        <f>IF('Student DATA Entry'!J185="","",UPPER('Student DATA Entry'!J185))</f>
        <v/>
      </c>
      <c r="L188" s="491"/>
      <c r="M188" s="8"/>
      <c r="N188" s="8"/>
      <c r="O188" s="9"/>
      <c r="P188" s="492"/>
      <c r="Q188" s="491"/>
      <c r="R188" s="8"/>
      <c r="S188" s="8"/>
      <c r="T188" s="9"/>
      <c r="U188" s="492"/>
      <c r="V188" s="502"/>
      <c r="W188" s="7"/>
      <c r="X188" s="8"/>
      <c r="Y188" s="8"/>
      <c r="Z188" s="9"/>
      <c r="AA188" s="492"/>
      <c r="AB188" s="491"/>
      <c r="AC188" s="8"/>
      <c r="AD188" s="8"/>
      <c r="AE188" s="9"/>
      <c r="AF188" s="492"/>
      <c r="AG188" s="491"/>
      <c r="AH188" s="8"/>
      <c r="AI188" s="8"/>
      <c r="AJ188" s="9"/>
      <c r="AK188" s="492"/>
      <c r="AL188" s="491"/>
      <c r="AM188" s="8"/>
      <c r="AN188" s="8"/>
      <c r="AO188" s="9"/>
      <c r="AP188" s="492"/>
      <c r="AQ188" s="506"/>
      <c r="AR188" s="491"/>
      <c r="AS188" s="8"/>
      <c r="AT188" s="8"/>
      <c r="AU188" s="9"/>
      <c r="AV188" s="9"/>
      <c r="AW188" s="17"/>
      <c r="AX188" s="492"/>
      <c r="AY188" s="491"/>
      <c r="AZ188" s="7"/>
      <c r="BA188" s="9"/>
      <c r="BB188" s="9"/>
      <c r="BC188" s="492"/>
      <c r="BD188" s="491"/>
      <c r="BE188" s="7"/>
      <c r="BF188" s="7"/>
      <c r="BG188" s="7"/>
      <c r="BH188" s="9"/>
      <c r="BI188" s="9"/>
      <c r="BJ188" s="492"/>
      <c r="BK188" s="491"/>
      <c r="BL188" s="7"/>
      <c r="BM188" s="7"/>
      <c r="BN188" s="7"/>
      <c r="BO188" s="7"/>
      <c r="BP188" s="7"/>
      <c r="BQ188" s="7"/>
      <c r="BR188" s="8"/>
      <c r="BS188" s="8"/>
      <c r="BT188" s="509"/>
      <c r="BU188" s="491"/>
      <c r="BV188" s="8"/>
      <c r="BW188" s="509"/>
      <c r="BX188" s="491"/>
      <c r="BY188" s="8"/>
      <c r="BZ188" s="509"/>
      <c r="CA188" s="751"/>
    </row>
    <row r="189" spans="1:79" ht="24.95" customHeight="1">
      <c r="A189" s="468">
        <f>IF('Student DATA Entry'!A186="","",'Student DATA Entry'!A186)</f>
        <v>183</v>
      </c>
      <c r="B189" s="459" t="str">
        <f>IF('Student DATA Entry'!B186="","",'Student DATA Entry'!B186)</f>
        <v/>
      </c>
      <c r="C189" s="459" t="str">
        <f>IF('Student DATA Entry'!C186="","",'Student DATA Entry'!C186)</f>
        <v/>
      </c>
      <c r="D189" s="459" t="str">
        <f>IF('Student DATA Entry'!D186="","",'Student DATA Entry'!D186)</f>
        <v/>
      </c>
      <c r="E189" s="459" t="str">
        <f>IF('Student DATA Entry'!E186="","",'Student DATA Entry'!E186)</f>
        <v/>
      </c>
      <c r="F189" s="460" t="str">
        <f>IF('Student DATA Entry'!K186="","",'Student DATA Entry'!K186)</f>
        <v/>
      </c>
      <c r="G189" s="461" t="str">
        <f>IF('Student DATA Entry'!G186="","",UPPER('Student DATA Entry'!G186))</f>
        <v/>
      </c>
      <c r="H189" s="461" t="str">
        <f>IF('Student DATA Entry'!H186="","",UPPER('Student DATA Entry'!H186))</f>
        <v/>
      </c>
      <c r="I189" s="462" t="str">
        <f>IF('Student DATA Entry'!I186="","",UPPER('Student DATA Entry'!I186))</f>
        <v/>
      </c>
      <c r="J189" s="463" t="str">
        <f>IF('Student DATA Entry'!L186="","",UPPER('Student DATA Entry'!L186))</f>
        <v/>
      </c>
      <c r="K189" s="469" t="str">
        <f>IF('Student DATA Entry'!J186="","",UPPER('Student DATA Entry'!J186))</f>
        <v/>
      </c>
      <c r="L189" s="491"/>
      <c r="M189" s="8"/>
      <c r="N189" s="8"/>
      <c r="O189" s="9"/>
      <c r="P189" s="492"/>
      <c r="Q189" s="491"/>
      <c r="R189" s="8"/>
      <c r="S189" s="8"/>
      <c r="T189" s="9"/>
      <c r="U189" s="492"/>
      <c r="V189" s="502"/>
      <c r="W189" s="7"/>
      <c r="X189" s="8"/>
      <c r="Y189" s="8"/>
      <c r="Z189" s="9"/>
      <c r="AA189" s="492"/>
      <c r="AB189" s="491"/>
      <c r="AC189" s="8"/>
      <c r="AD189" s="8"/>
      <c r="AE189" s="9"/>
      <c r="AF189" s="492"/>
      <c r="AG189" s="491"/>
      <c r="AH189" s="8"/>
      <c r="AI189" s="8"/>
      <c r="AJ189" s="9"/>
      <c r="AK189" s="492"/>
      <c r="AL189" s="491"/>
      <c r="AM189" s="8"/>
      <c r="AN189" s="8"/>
      <c r="AO189" s="9"/>
      <c r="AP189" s="492"/>
      <c r="AQ189" s="506"/>
      <c r="AR189" s="491"/>
      <c r="AS189" s="8"/>
      <c r="AT189" s="8"/>
      <c r="AU189" s="9"/>
      <c r="AV189" s="9"/>
      <c r="AW189" s="17"/>
      <c r="AX189" s="492"/>
      <c r="AY189" s="491"/>
      <c r="AZ189" s="7"/>
      <c r="BA189" s="9"/>
      <c r="BB189" s="9"/>
      <c r="BC189" s="492"/>
      <c r="BD189" s="491"/>
      <c r="BE189" s="7"/>
      <c r="BF189" s="7"/>
      <c r="BG189" s="7"/>
      <c r="BH189" s="9"/>
      <c r="BI189" s="9"/>
      <c r="BJ189" s="492"/>
      <c r="BK189" s="491"/>
      <c r="BL189" s="7"/>
      <c r="BM189" s="7"/>
      <c r="BN189" s="7"/>
      <c r="BO189" s="7"/>
      <c r="BP189" s="7"/>
      <c r="BQ189" s="7"/>
      <c r="BR189" s="8"/>
      <c r="BS189" s="8"/>
      <c r="BT189" s="509"/>
      <c r="BU189" s="491"/>
      <c r="BV189" s="8"/>
      <c r="BW189" s="509"/>
      <c r="BX189" s="491"/>
      <c r="BY189" s="8"/>
      <c r="BZ189" s="509"/>
      <c r="CA189" s="751"/>
    </row>
    <row r="190" spans="1:79" ht="24.95" customHeight="1">
      <c r="A190" s="468">
        <f>IF('Student DATA Entry'!A187="","",'Student DATA Entry'!A187)</f>
        <v>184</v>
      </c>
      <c r="B190" s="459" t="str">
        <f>IF('Student DATA Entry'!B187="","",'Student DATA Entry'!B187)</f>
        <v/>
      </c>
      <c r="C190" s="459" t="str">
        <f>IF('Student DATA Entry'!C187="","",'Student DATA Entry'!C187)</f>
        <v/>
      </c>
      <c r="D190" s="459" t="str">
        <f>IF('Student DATA Entry'!D187="","",'Student DATA Entry'!D187)</f>
        <v/>
      </c>
      <c r="E190" s="459" t="str">
        <f>IF('Student DATA Entry'!E187="","",'Student DATA Entry'!E187)</f>
        <v/>
      </c>
      <c r="F190" s="460" t="str">
        <f>IF('Student DATA Entry'!K187="","",'Student DATA Entry'!K187)</f>
        <v/>
      </c>
      <c r="G190" s="461" t="str">
        <f>IF('Student DATA Entry'!G187="","",UPPER('Student DATA Entry'!G187))</f>
        <v/>
      </c>
      <c r="H190" s="461" t="str">
        <f>IF('Student DATA Entry'!H187="","",UPPER('Student DATA Entry'!H187))</f>
        <v/>
      </c>
      <c r="I190" s="462" t="str">
        <f>IF('Student DATA Entry'!I187="","",UPPER('Student DATA Entry'!I187))</f>
        <v/>
      </c>
      <c r="J190" s="463" t="str">
        <f>IF('Student DATA Entry'!L187="","",UPPER('Student DATA Entry'!L187))</f>
        <v/>
      </c>
      <c r="K190" s="469" t="str">
        <f>IF('Student DATA Entry'!J187="","",UPPER('Student DATA Entry'!J187))</f>
        <v/>
      </c>
      <c r="L190" s="491"/>
      <c r="M190" s="8"/>
      <c r="N190" s="8"/>
      <c r="O190" s="9"/>
      <c r="P190" s="492"/>
      <c r="Q190" s="491"/>
      <c r="R190" s="8"/>
      <c r="S190" s="8"/>
      <c r="T190" s="9"/>
      <c r="U190" s="492"/>
      <c r="V190" s="502"/>
      <c r="W190" s="7"/>
      <c r="X190" s="8"/>
      <c r="Y190" s="8"/>
      <c r="Z190" s="9"/>
      <c r="AA190" s="492"/>
      <c r="AB190" s="491"/>
      <c r="AC190" s="8"/>
      <c r="AD190" s="8"/>
      <c r="AE190" s="9"/>
      <c r="AF190" s="492"/>
      <c r="AG190" s="491"/>
      <c r="AH190" s="8"/>
      <c r="AI190" s="8"/>
      <c r="AJ190" s="9"/>
      <c r="AK190" s="492"/>
      <c r="AL190" s="491"/>
      <c r="AM190" s="8"/>
      <c r="AN190" s="8"/>
      <c r="AO190" s="9"/>
      <c r="AP190" s="492"/>
      <c r="AQ190" s="506"/>
      <c r="AR190" s="491"/>
      <c r="AS190" s="8"/>
      <c r="AT190" s="8"/>
      <c r="AU190" s="9"/>
      <c r="AV190" s="9"/>
      <c r="AW190" s="17"/>
      <c r="AX190" s="492"/>
      <c r="AY190" s="491"/>
      <c r="AZ190" s="7"/>
      <c r="BA190" s="9"/>
      <c r="BB190" s="9"/>
      <c r="BC190" s="492"/>
      <c r="BD190" s="491"/>
      <c r="BE190" s="7"/>
      <c r="BF190" s="7"/>
      <c r="BG190" s="7"/>
      <c r="BH190" s="9"/>
      <c r="BI190" s="9"/>
      <c r="BJ190" s="492"/>
      <c r="BK190" s="491"/>
      <c r="BL190" s="7"/>
      <c r="BM190" s="7"/>
      <c r="BN190" s="7"/>
      <c r="BO190" s="7"/>
      <c r="BP190" s="7"/>
      <c r="BQ190" s="7"/>
      <c r="BR190" s="8"/>
      <c r="BS190" s="8"/>
      <c r="BT190" s="509"/>
      <c r="BU190" s="491"/>
      <c r="BV190" s="8"/>
      <c r="BW190" s="509"/>
      <c r="BX190" s="491"/>
      <c r="BY190" s="8"/>
      <c r="BZ190" s="509"/>
      <c r="CA190" s="751"/>
    </row>
    <row r="191" spans="1:79" ht="24.95" customHeight="1">
      <c r="A191" s="468">
        <f>IF('Student DATA Entry'!A188="","",'Student DATA Entry'!A188)</f>
        <v>185</v>
      </c>
      <c r="B191" s="459" t="str">
        <f>IF('Student DATA Entry'!B188="","",'Student DATA Entry'!B188)</f>
        <v/>
      </c>
      <c r="C191" s="459" t="str">
        <f>IF('Student DATA Entry'!C188="","",'Student DATA Entry'!C188)</f>
        <v/>
      </c>
      <c r="D191" s="459" t="str">
        <f>IF('Student DATA Entry'!D188="","",'Student DATA Entry'!D188)</f>
        <v/>
      </c>
      <c r="E191" s="459" t="str">
        <f>IF('Student DATA Entry'!E188="","",'Student DATA Entry'!E188)</f>
        <v/>
      </c>
      <c r="F191" s="460" t="str">
        <f>IF('Student DATA Entry'!K188="","",'Student DATA Entry'!K188)</f>
        <v/>
      </c>
      <c r="G191" s="461" t="str">
        <f>IF('Student DATA Entry'!G188="","",UPPER('Student DATA Entry'!G188))</f>
        <v/>
      </c>
      <c r="H191" s="461" t="str">
        <f>IF('Student DATA Entry'!H188="","",UPPER('Student DATA Entry'!H188))</f>
        <v/>
      </c>
      <c r="I191" s="462" t="str">
        <f>IF('Student DATA Entry'!I188="","",UPPER('Student DATA Entry'!I188))</f>
        <v/>
      </c>
      <c r="J191" s="463" t="str">
        <f>IF('Student DATA Entry'!L188="","",UPPER('Student DATA Entry'!L188))</f>
        <v/>
      </c>
      <c r="K191" s="469" t="str">
        <f>IF('Student DATA Entry'!J188="","",UPPER('Student DATA Entry'!J188))</f>
        <v/>
      </c>
      <c r="L191" s="491"/>
      <c r="M191" s="8"/>
      <c r="N191" s="8"/>
      <c r="O191" s="9"/>
      <c r="P191" s="492"/>
      <c r="Q191" s="491"/>
      <c r="R191" s="8"/>
      <c r="S191" s="8"/>
      <c r="T191" s="9"/>
      <c r="U191" s="492"/>
      <c r="V191" s="502"/>
      <c r="W191" s="7"/>
      <c r="X191" s="8"/>
      <c r="Y191" s="8"/>
      <c r="Z191" s="9"/>
      <c r="AA191" s="492"/>
      <c r="AB191" s="491"/>
      <c r="AC191" s="8"/>
      <c r="AD191" s="8"/>
      <c r="AE191" s="9"/>
      <c r="AF191" s="492"/>
      <c r="AG191" s="491"/>
      <c r="AH191" s="8"/>
      <c r="AI191" s="8"/>
      <c r="AJ191" s="9"/>
      <c r="AK191" s="492"/>
      <c r="AL191" s="491"/>
      <c r="AM191" s="8"/>
      <c r="AN191" s="8"/>
      <c r="AO191" s="9"/>
      <c r="AP191" s="492"/>
      <c r="AQ191" s="506"/>
      <c r="AR191" s="491"/>
      <c r="AS191" s="8"/>
      <c r="AT191" s="8"/>
      <c r="AU191" s="9"/>
      <c r="AV191" s="9"/>
      <c r="AW191" s="17"/>
      <c r="AX191" s="492"/>
      <c r="AY191" s="491"/>
      <c r="AZ191" s="7"/>
      <c r="BA191" s="9"/>
      <c r="BB191" s="9"/>
      <c r="BC191" s="492"/>
      <c r="BD191" s="491"/>
      <c r="BE191" s="7"/>
      <c r="BF191" s="7"/>
      <c r="BG191" s="7"/>
      <c r="BH191" s="9"/>
      <c r="BI191" s="9"/>
      <c r="BJ191" s="492"/>
      <c r="BK191" s="491"/>
      <c r="BL191" s="7"/>
      <c r="BM191" s="7"/>
      <c r="BN191" s="7"/>
      <c r="BO191" s="7"/>
      <c r="BP191" s="7"/>
      <c r="BQ191" s="7"/>
      <c r="BR191" s="8"/>
      <c r="BS191" s="8"/>
      <c r="BT191" s="509"/>
      <c r="BU191" s="491"/>
      <c r="BV191" s="8"/>
      <c r="BW191" s="509"/>
      <c r="BX191" s="491"/>
      <c r="BY191" s="8"/>
      <c r="BZ191" s="509"/>
      <c r="CA191" s="751"/>
    </row>
    <row r="192" spans="1:79" ht="24.95" customHeight="1">
      <c r="A192" s="468">
        <f>IF('Student DATA Entry'!A189="","",'Student DATA Entry'!A189)</f>
        <v>186</v>
      </c>
      <c r="B192" s="459" t="str">
        <f>IF('Student DATA Entry'!B189="","",'Student DATA Entry'!B189)</f>
        <v/>
      </c>
      <c r="C192" s="459" t="str">
        <f>IF('Student DATA Entry'!C189="","",'Student DATA Entry'!C189)</f>
        <v/>
      </c>
      <c r="D192" s="459" t="str">
        <f>IF('Student DATA Entry'!D189="","",'Student DATA Entry'!D189)</f>
        <v/>
      </c>
      <c r="E192" s="459" t="str">
        <f>IF('Student DATA Entry'!E189="","",'Student DATA Entry'!E189)</f>
        <v/>
      </c>
      <c r="F192" s="460" t="str">
        <f>IF('Student DATA Entry'!K189="","",'Student DATA Entry'!K189)</f>
        <v/>
      </c>
      <c r="G192" s="461" t="str">
        <f>IF('Student DATA Entry'!G189="","",UPPER('Student DATA Entry'!G189))</f>
        <v/>
      </c>
      <c r="H192" s="461" t="str">
        <f>IF('Student DATA Entry'!H189="","",UPPER('Student DATA Entry'!H189))</f>
        <v/>
      </c>
      <c r="I192" s="462" t="str">
        <f>IF('Student DATA Entry'!I189="","",UPPER('Student DATA Entry'!I189))</f>
        <v/>
      </c>
      <c r="J192" s="463" t="str">
        <f>IF('Student DATA Entry'!L189="","",UPPER('Student DATA Entry'!L189))</f>
        <v/>
      </c>
      <c r="K192" s="469" t="str">
        <f>IF('Student DATA Entry'!J189="","",UPPER('Student DATA Entry'!J189))</f>
        <v/>
      </c>
      <c r="L192" s="491"/>
      <c r="M192" s="8"/>
      <c r="N192" s="8"/>
      <c r="O192" s="9"/>
      <c r="P192" s="492"/>
      <c r="Q192" s="491"/>
      <c r="R192" s="8"/>
      <c r="S192" s="8"/>
      <c r="T192" s="9"/>
      <c r="U192" s="492"/>
      <c r="V192" s="502"/>
      <c r="W192" s="7"/>
      <c r="X192" s="8"/>
      <c r="Y192" s="8"/>
      <c r="Z192" s="9"/>
      <c r="AA192" s="492"/>
      <c r="AB192" s="491"/>
      <c r="AC192" s="8"/>
      <c r="AD192" s="8"/>
      <c r="AE192" s="9"/>
      <c r="AF192" s="492"/>
      <c r="AG192" s="491"/>
      <c r="AH192" s="8"/>
      <c r="AI192" s="8"/>
      <c r="AJ192" s="9"/>
      <c r="AK192" s="492"/>
      <c r="AL192" s="491"/>
      <c r="AM192" s="8"/>
      <c r="AN192" s="8"/>
      <c r="AO192" s="9"/>
      <c r="AP192" s="492"/>
      <c r="AQ192" s="506"/>
      <c r="AR192" s="491"/>
      <c r="AS192" s="8"/>
      <c r="AT192" s="8"/>
      <c r="AU192" s="9"/>
      <c r="AV192" s="9"/>
      <c r="AW192" s="17"/>
      <c r="AX192" s="492"/>
      <c r="AY192" s="491"/>
      <c r="AZ192" s="7"/>
      <c r="BA192" s="9"/>
      <c r="BB192" s="9"/>
      <c r="BC192" s="492"/>
      <c r="BD192" s="491"/>
      <c r="BE192" s="7"/>
      <c r="BF192" s="7"/>
      <c r="BG192" s="7"/>
      <c r="BH192" s="9"/>
      <c r="BI192" s="9"/>
      <c r="BJ192" s="492"/>
      <c r="BK192" s="491"/>
      <c r="BL192" s="7"/>
      <c r="BM192" s="7"/>
      <c r="BN192" s="7"/>
      <c r="BO192" s="7"/>
      <c r="BP192" s="7"/>
      <c r="BQ192" s="7"/>
      <c r="BR192" s="8"/>
      <c r="BS192" s="8"/>
      <c r="BT192" s="509"/>
      <c r="BU192" s="491"/>
      <c r="BV192" s="8"/>
      <c r="BW192" s="509"/>
      <c r="BX192" s="491"/>
      <c r="BY192" s="8"/>
      <c r="BZ192" s="509"/>
      <c r="CA192" s="751"/>
    </row>
    <row r="193" spans="1:79" ht="24.95" customHeight="1">
      <c r="A193" s="468">
        <f>IF('Student DATA Entry'!A190="","",'Student DATA Entry'!A190)</f>
        <v>187</v>
      </c>
      <c r="B193" s="459" t="str">
        <f>IF('Student DATA Entry'!B190="","",'Student DATA Entry'!B190)</f>
        <v/>
      </c>
      <c r="C193" s="459" t="str">
        <f>IF('Student DATA Entry'!C190="","",'Student DATA Entry'!C190)</f>
        <v/>
      </c>
      <c r="D193" s="459" t="str">
        <f>IF('Student DATA Entry'!D190="","",'Student DATA Entry'!D190)</f>
        <v/>
      </c>
      <c r="E193" s="459" t="str">
        <f>IF('Student DATA Entry'!E190="","",'Student DATA Entry'!E190)</f>
        <v/>
      </c>
      <c r="F193" s="460" t="str">
        <f>IF('Student DATA Entry'!K190="","",'Student DATA Entry'!K190)</f>
        <v/>
      </c>
      <c r="G193" s="461" t="str">
        <f>IF('Student DATA Entry'!G190="","",UPPER('Student DATA Entry'!G190))</f>
        <v/>
      </c>
      <c r="H193" s="461" t="str">
        <f>IF('Student DATA Entry'!H190="","",UPPER('Student DATA Entry'!H190))</f>
        <v/>
      </c>
      <c r="I193" s="462" t="str">
        <f>IF('Student DATA Entry'!I190="","",UPPER('Student DATA Entry'!I190))</f>
        <v/>
      </c>
      <c r="J193" s="463" t="str">
        <f>IF('Student DATA Entry'!L190="","",UPPER('Student DATA Entry'!L190))</f>
        <v/>
      </c>
      <c r="K193" s="469" t="str">
        <f>IF('Student DATA Entry'!J190="","",UPPER('Student DATA Entry'!J190))</f>
        <v/>
      </c>
      <c r="L193" s="491"/>
      <c r="M193" s="8"/>
      <c r="N193" s="8"/>
      <c r="O193" s="9"/>
      <c r="P193" s="492"/>
      <c r="Q193" s="491"/>
      <c r="R193" s="8"/>
      <c r="S193" s="8"/>
      <c r="T193" s="9"/>
      <c r="U193" s="492"/>
      <c r="V193" s="502"/>
      <c r="W193" s="7"/>
      <c r="X193" s="8"/>
      <c r="Y193" s="8"/>
      <c r="Z193" s="9"/>
      <c r="AA193" s="492"/>
      <c r="AB193" s="491"/>
      <c r="AC193" s="8"/>
      <c r="AD193" s="8"/>
      <c r="AE193" s="9"/>
      <c r="AF193" s="492"/>
      <c r="AG193" s="491"/>
      <c r="AH193" s="8"/>
      <c r="AI193" s="8"/>
      <c r="AJ193" s="9"/>
      <c r="AK193" s="492"/>
      <c r="AL193" s="491"/>
      <c r="AM193" s="8"/>
      <c r="AN193" s="8"/>
      <c r="AO193" s="9"/>
      <c r="AP193" s="492"/>
      <c r="AQ193" s="506"/>
      <c r="AR193" s="491"/>
      <c r="AS193" s="8"/>
      <c r="AT193" s="8"/>
      <c r="AU193" s="9"/>
      <c r="AV193" s="9"/>
      <c r="AW193" s="17"/>
      <c r="AX193" s="492"/>
      <c r="AY193" s="491"/>
      <c r="AZ193" s="7"/>
      <c r="BA193" s="9"/>
      <c r="BB193" s="9"/>
      <c r="BC193" s="492"/>
      <c r="BD193" s="491"/>
      <c r="BE193" s="7"/>
      <c r="BF193" s="7"/>
      <c r="BG193" s="7"/>
      <c r="BH193" s="9"/>
      <c r="BI193" s="9"/>
      <c r="BJ193" s="492"/>
      <c r="BK193" s="491"/>
      <c r="BL193" s="7"/>
      <c r="BM193" s="7"/>
      <c r="BN193" s="7"/>
      <c r="BO193" s="7"/>
      <c r="BP193" s="7"/>
      <c r="BQ193" s="7"/>
      <c r="BR193" s="8"/>
      <c r="BS193" s="8"/>
      <c r="BT193" s="509"/>
      <c r="BU193" s="491"/>
      <c r="BV193" s="8"/>
      <c r="BW193" s="509"/>
      <c r="BX193" s="491"/>
      <c r="BY193" s="8"/>
      <c r="BZ193" s="509"/>
      <c r="CA193" s="751"/>
    </row>
    <row r="194" spans="1:79" ht="24.95" customHeight="1">
      <c r="A194" s="468">
        <f>IF('Student DATA Entry'!A191="","",'Student DATA Entry'!A191)</f>
        <v>188</v>
      </c>
      <c r="B194" s="459" t="str">
        <f>IF('Student DATA Entry'!B191="","",'Student DATA Entry'!B191)</f>
        <v/>
      </c>
      <c r="C194" s="459" t="str">
        <f>IF('Student DATA Entry'!C191="","",'Student DATA Entry'!C191)</f>
        <v/>
      </c>
      <c r="D194" s="459" t="str">
        <f>IF('Student DATA Entry'!D191="","",'Student DATA Entry'!D191)</f>
        <v/>
      </c>
      <c r="E194" s="459" t="str">
        <f>IF('Student DATA Entry'!E191="","",'Student DATA Entry'!E191)</f>
        <v/>
      </c>
      <c r="F194" s="460" t="str">
        <f>IF('Student DATA Entry'!K191="","",'Student DATA Entry'!K191)</f>
        <v/>
      </c>
      <c r="G194" s="461" t="str">
        <f>IF('Student DATA Entry'!G191="","",UPPER('Student DATA Entry'!G191))</f>
        <v/>
      </c>
      <c r="H194" s="461" t="str">
        <f>IF('Student DATA Entry'!H191="","",UPPER('Student DATA Entry'!H191))</f>
        <v/>
      </c>
      <c r="I194" s="462" t="str">
        <f>IF('Student DATA Entry'!I191="","",UPPER('Student DATA Entry'!I191))</f>
        <v/>
      </c>
      <c r="J194" s="463" t="str">
        <f>IF('Student DATA Entry'!L191="","",UPPER('Student DATA Entry'!L191))</f>
        <v/>
      </c>
      <c r="K194" s="469" t="str">
        <f>IF('Student DATA Entry'!J191="","",UPPER('Student DATA Entry'!J191))</f>
        <v/>
      </c>
      <c r="L194" s="491"/>
      <c r="M194" s="8"/>
      <c r="N194" s="8"/>
      <c r="O194" s="9"/>
      <c r="P194" s="492"/>
      <c r="Q194" s="491"/>
      <c r="R194" s="8"/>
      <c r="S194" s="8"/>
      <c r="T194" s="9"/>
      <c r="U194" s="492"/>
      <c r="V194" s="502"/>
      <c r="W194" s="7"/>
      <c r="X194" s="8"/>
      <c r="Y194" s="8"/>
      <c r="Z194" s="9"/>
      <c r="AA194" s="492"/>
      <c r="AB194" s="491"/>
      <c r="AC194" s="8"/>
      <c r="AD194" s="8"/>
      <c r="AE194" s="9"/>
      <c r="AF194" s="492"/>
      <c r="AG194" s="491"/>
      <c r="AH194" s="8"/>
      <c r="AI194" s="8"/>
      <c r="AJ194" s="9"/>
      <c r="AK194" s="492"/>
      <c r="AL194" s="491"/>
      <c r="AM194" s="8"/>
      <c r="AN194" s="8"/>
      <c r="AO194" s="9"/>
      <c r="AP194" s="492"/>
      <c r="AQ194" s="506"/>
      <c r="AR194" s="491"/>
      <c r="AS194" s="8"/>
      <c r="AT194" s="8"/>
      <c r="AU194" s="9"/>
      <c r="AV194" s="9"/>
      <c r="AW194" s="17"/>
      <c r="AX194" s="492"/>
      <c r="AY194" s="491"/>
      <c r="AZ194" s="7"/>
      <c r="BA194" s="9"/>
      <c r="BB194" s="9"/>
      <c r="BC194" s="492"/>
      <c r="BD194" s="491"/>
      <c r="BE194" s="7"/>
      <c r="BF194" s="7"/>
      <c r="BG194" s="7"/>
      <c r="BH194" s="9"/>
      <c r="BI194" s="9"/>
      <c r="BJ194" s="492"/>
      <c r="BK194" s="491"/>
      <c r="BL194" s="7"/>
      <c r="BM194" s="7"/>
      <c r="BN194" s="7"/>
      <c r="BO194" s="7"/>
      <c r="BP194" s="7"/>
      <c r="BQ194" s="7"/>
      <c r="BR194" s="8"/>
      <c r="BS194" s="8"/>
      <c r="BT194" s="509"/>
      <c r="BU194" s="491"/>
      <c r="BV194" s="8"/>
      <c r="BW194" s="509"/>
      <c r="BX194" s="491"/>
      <c r="BY194" s="8"/>
      <c r="BZ194" s="509"/>
      <c r="CA194" s="751"/>
    </row>
    <row r="195" spans="1:79" ht="24.95" customHeight="1">
      <c r="A195" s="468">
        <f>IF('Student DATA Entry'!A192="","",'Student DATA Entry'!A192)</f>
        <v>189</v>
      </c>
      <c r="B195" s="459" t="str">
        <f>IF('Student DATA Entry'!B192="","",'Student DATA Entry'!B192)</f>
        <v/>
      </c>
      <c r="C195" s="459" t="str">
        <f>IF('Student DATA Entry'!C192="","",'Student DATA Entry'!C192)</f>
        <v/>
      </c>
      <c r="D195" s="459" t="str">
        <f>IF('Student DATA Entry'!D192="","",'Student DATA Entry'!D192)</f>
        <v/>
      </c>
      <c r="E195" s="459" t="str">
        <f>IF('Student DATA Entry'!E192="","",'Student DATA Entry'!E192)</f>
        <v/>
      </c>
      <c r="F195" s="460" t="str">
        <f>IF('Student DATA Entry'!K192="","",'Student DATA Entry'!K192)</f>
        <v/>
      </c>
      <c r="G195" s="461" t="str">
        <f>IF('Student DATA Entry'!G192="","",UPPER('Student DATA Entry'!G192))</f>
        <v/>
      </c>
      <c r="H195" s="461" t="str">
        <f>IF('Student DATA Entry'!H192="","",UPPER('Student DATA Entry'!H192))</f>
        <v/>
      </c>
      <c r="I195" s="462" t="str">
        <f>IF('Student DATA Entry'!I192="","",UPPER('Student DATA Entry'!I192))</f>
        <v/>
      </c>
      <c r="J195" s="463" t="str">
        <f>IF('Student DATA Entry'!L192="","",UPPER('Student DATA Entry'!L192))</f>
        <v/>
      </c>
      <c r="K195" s="469" t="str">
        <f>IF('Student DATA Entry'!J192="","",UPPER('Student DATA Entry'!J192))</f>
        <v/>
      </c>
      <c r="L195" s="491"/>
      <c r="M195" s="8"/>
      <c r="N195" s="8"/>
      <c r="O195" s="9"/>
      <c r="P195" s="492"/>
      <c r="Q195" s="491"/>
      <c r="R195" s="8"/>
      <c r="S195" s="8"/>
      <c r="T195" s="9"/>
      <c r="U195" s="492"/>
      <c r="V195" s="502"/>
      <c r="W195" s="7"/>
      <c r="X195" s="8"/>
      <c r="Y195" s="8"/>
      <c r="Z195" s="9"/>
      <c r="AA195" s="492"/>
      <c r="AB195" s="491"/>
      <c r="AC195" s="8"/>
      <c r="AD195" s="8"/>
      <c r="AE195" s="9"/>
      <c r="AF195" s="492"/>
      <c r="AG195" s="491"/>
      <c r="AH195" s="8"/>
      <c r="AI195" s="8"/>
      <c r="AJ195" s="9"/>
      <c r="AK195" s="492"/>
      <c r="AL195" s="491"/>
      <c r="AM195" s="8"/>
      <c r="AN195" s="8"/>
      <c r="AO195" s="9"/>
      <c r="AP195" s="492"/>
      <c r="AQ195" s="506"/>
      <c r="AR195" s="491"/>
      <c r="AS195" s="8"/>
      <c r="AT195" s="8"/>
      <c r="AU195" s="9"/>
      <c r="AV195" s="9"/>
      <c r="AW195" s="17"/>
      <c r="AX195" s="492"/>
      <c r="AY195" s="491"/>
      <c r="AZ195" s="7"/>
      <c r="BA195" s="9"/>
      <c r="BB195" s="9"/>
      <c r="BC195" s="492"/>
      <c r="BD195" s="491"/>
      <c r="BE195" s="7"/>
      <c r="BF195" s="7"/>
      <c r="BG195" s="7"/>
      <c r="BH195" s="9"/>
      <c r="BI195" s="9"/>
      <c r="BJ195" s="492"/>
      <c r="BK195" s="491"/>
      <c r="BL195" s="7"/>
      <c r="BM195" s="7"/>
      <c r="BN195" s="7"/>
      <c r="BO195" s="7"/>
      <c r="BP195" s="7"/>
      <c r="BQ195" s="7"/>
      <c r="BR195" s="8"/>
      <c r="BS195" s="8"/>
      <c r="BT195" s="509"/>
      <c r="BU195" s="491"/>
      <c r="BV195" s="8"/>
      <c r="BW195" s="509"/>
      <c r="BX195" s="491"/>
      <c r="BY195" s="8"/>
      <c r="BZ195" s="509"/>
      <c r="CA195" s="751"/>
    </row>
    <row r="196" spans="1:79" ht="24.95" customHeight="1">
      <c r="A196" s="468">
        <f>IF('Student DATA Entry'!A193="","",'Student DATA Entry'!A193)</f>
        <v>190</v>
      </c>
      <c r="B196" s="459" t="str">
        <f>IF('Student DATA Entry'!B193="","",'Student DATA Entry'!B193)</f>
        <v/>
      </c>
      <c r="C196" s="459" t="str">
        <f>IF('Student DATA Entry'!C193="","",'Student DATA Entry'!C193)</f>
        <v/>
      </c>
      <c r="D196" s="459" t="str">
        <f>IF('Student DATA Entry'!D193="","",'Student DATA Entry'!D193)</f>
        <v/>
      </c>
      <c r="E196" s="459" t="str">
        <f>IF('Student DATA Entry'!E193="","",'Student DATA Entry'!E193)</f>
        <v/>
      </c>
      <c r="F196" s="460" t="str">
        <f>IF('Student DATA Entry'!K193="","",'Student DATA Entry'!K193)</f>
        <v/>
      </c>
      <c r="G196" s="461" t="str">
        <f>IF('Student DATA Entry'!G193="","",UPPER('Student DATA Entry'!G193))</f>
        <v/>
      </c>
      <c r="H196" s="461" t="str">
        <f>IF('Student DATA Entry'!H193="","",UPPER('Student DATA Entry'!H193))</f>
        <v/>
      </c>
      <c r="I196" s="462" t="str">
        <f>IF('Student DATA Entry'!I193="","",UPPER('Student DATA Entry'!I193))</f>
        <v/>
      </c>
      <c r="J196" s="463" t="str">
        <f>IF('Student DATA Entry'!L193="","",UPPER('Student DATA Entry'!L193))</f>
        <v/>
      </c>
      <c r="K196" s="469" t="str">
        <f>IF('Student DATA Entry'!J193="","",UPPER('Student DATA Entry'!J193))</f>
        <v/>
      </c>
      <c r="L196" s="491"/>
      <c r="M196" s="8"/>
      <c r="N196" s="8"/>
      <c r="O196" s="9"/>
      <c r="P196" s="492"/>
      <c r="Q196" s="491"/>
      <c r="R196" s="8"/>
      <c r="S196" s="8"/>
      <c r="T196" s="9"/>
      <c r="U196" s="492"/>
      <c r="V196" s="502"/>
      <c r="W196" s="7"/>
      <c r="X196" s="8"/>
      <c r="Y196" s="8"/>
      <c r="Z196" s="9"/>
      <c r="AA196" s="492"/>
      <c r="AB196" s="491"/>
      <c r="AC196" s="8"/>
      <c r="AD196" s="8"/>
      <c r="AE196" s="9"/>
      <c r="AF196" s="492"/>
      <c r="AG196" s="491"/>
      <c r="AH196" s="8"/>
      <c r="AI196" s="8"/>
      <c r="AJ196" s="9"/>
      <c r="AK196" s="492"/>
      <c r="AL196" s="491"/>
      <c r="AM196" s="8"/>
      <c r="AN196" s="8"/>
      <c r="AO196" s="9"/>
      <c r="AP196" s="492"/>
      <c r="AQ196" s="506"/>
      <c r="AR196" s="491"/>
      <c r="AS196" s="8"/>
      <c r="AT196" s="8"/>
      <c r="AU196" s="9"/>
      <c r="AV196" s="9"/>
      <c r="AW196" s="17"/>
      <c r="AX196" s="492"/>
      <c r="AY196" s="491"/>
      <c r="AZ196" s="7"/>
      <c r="BA196" s="9"/>
      <c r="BB196" s="9"/>
      <c r="BC196" s="492"/>
      <c r="BD196" s="491"/>
      <c r="BE196" s="7"/>
      <c r="BF196" s="7"/>
      <c r="BG196" s="7"/>
      <c r="BH196" s="9"/>
      <c r="BI196" s="9"/>
      <c r="BJ196" s="492"/>
      <c r="BK196" s="491"/>
      <c r="BL196" s="7"/>
      <c r="BM196" s="7"/>
      <c r="BN196" s="7"/>
      <c r="BO196" s="7"/>
      <c r="BP196" s="7"/>
      <c r="BQ196" s="7"/>
      <c r="BR196" s="8"/>
      <c r="BS196" s="8"/>
      <c r="BT196" s="509"/>
      <c r="BU196" s="491"/>
      <c r="BV196" s="8"/>
      <c r="BW196" s="509"/>
      <c r="BX196" s="491"/>
      <c r="BY196" s="8"/>
      <c r="BZ196" s="509"/>
      <c r="CA196" s="751"/>
    </row>
    <row r="197" spans="1:79" ht="24.95" customHeight="1">
      <c r="A197" s="468">
        <f>IF('Student DATA Entry'!A194="","",'Student DATA Entry'!A194)</f>
        <v>191</v>
      </c>
      <c r="B197" s="459" t="str">
        <f>IF('Student DATA Entry'!B194="","",'Student DATA Entry'!B194)</f>
        <v/>
      </c>
      <c r="C197" s="459" t="str">
        <f>IF('Student DATA Entry'!C194="","",'Student DATA Entry'!C194)</f>
        <v/>
      </c>
      <c r="D197" s="459" t="str">
        <f>IF('Student DATA Entry'!D194="","",'Student DATA Entry'!D194)</f>
        <v/>
      </c>
      <c r="E197" s="459" t="str">
        <f>IF('Student DATA Entry'!E194="","",'Student DATA Entry'!E194)</f>
        <v/>
      </c>
      <c r="F197" s="460" t="str">
        <f>IF('Student DATA Entry'!K194="","",'Student DATA Entry'!K194)</f>
        <v/>
      </c>
      <c r="G197" s="461" t="str">
        <f>IF('Student DATA Entry'!G194="","",UPPER('Student DATA Entry'!G194))</f>
        <v/>
      </c>
      <c r="H197" s="461" t="str">
        <f>IF('Student DATA Entry'!H194="","",UPPER('Student DATA Entry'!H194))</f>
        <v/>
      </c>
      <c r="I197" s="462" t="str">
        <f>IF('Student DATA Entry'!I194="","",UPPER('Student DATA Entry'!I194))</f>
        <v/>
      </c>
      <c r="J197" s="463" t="str">
        <f>IF('Student DATA Entry'!L194="","",UPPER('Student DATA Entry'!L194))</f>
        <v/>
      </c>
      <c r="K197" s="469" t="str">
        <f>IF('Student DATA Entry'!J194="","",UPPER('Student DATA Entry'!J194))</f>
        <v/>
      </c>
      <c r="L197" s="491"/>
      <c r="M197" s="8"/>
      <c r="N197" s="8"/>
      <c r="O197" s="9"/>
      <c r="P197" s="492"/>
      <c r="Q197" s="491"/>
      <c r="R197" s="8"/>
      <c r="S197" s="8"/>
      <c r="T197" s="9"/>
      <c r="U197" s="492"/>
      <c r="V197" s="502"/>
      <c r="W197" s="7"/>
      <c r="X197" s="8"/>
      <c r="Y197" s="8"/>
      <c r="Z197" s="9"/>
      <c r="AA197" s="492"/>
      <c r="AB197" s="491"/>
      <c r="AC197" s="8"/>
      <c r="AD197" s="8"/>
      <c r="AE197" s="9"/>
      <c r="AF197" s="492"/>
      <c r="AG197" s="491"/>
      <c r="AH197" s="8"/>
      <c r="AI197" s="8"/>
      <c r="AJ197" s="9"/>
      <c r="AK197" s="492"/>
      <c r="AL197" s="491"/>
      <c r="AM197" s="8"/>
      <c r="AN197" s="8"/>
      <c r="AO197" s="9"/>
      <c r="AP197" s="492"/>
      <c r="AQ197" s="506"/>
      <c r="AR197" s="491"/>
      <c r="AS197" s="8"/>
      <c r="AT197" s="8"/>
      <c r="AU197" s="9"/>
      <c r="AV197" s="9"/>
      <c r="AW197" s="17"/>
      <c r="AX197" s="492"/>
      <c r="AY197" s="491"/>
      <c r="AZ197" s="7"/>
      <c r="BA197" s="9"/>
      <c r="BB197" s="9"/>
      <c r="BC197" s="492"/>
      <c r="BD197" s="491"/>
      <c r="BE197" s="7"/>
      <c r="BF197" s="7"/>
      <c r="BG197" s="7"/>
      <c r="BH197" s="9"/>
      <c r="BI197" s="9"/>
      <c r="BJ197" s="492"/>
      <c r="BK197" s="491"/>
      <c r="BL197" s="7"/>
      <c r="BM197" s="7"/>
      <c r="BN197" s="7"/>
      <c r="BO197" s="7"/>
      <c r="BP197" s="7"/>
      <c r="BQ197" s="7"/>
      <c r="BR197" s="8"/>
      <c r="BS197" s="8"/>
      <c r="BT197" s="509"/>
      <c r="BU197" s="491"/>
      <c r="BV197" s="8"/>
      <c r="BW197" s="509"/>
      <c r="BX197" s="491"/>
      <c r="BY197" s="8"/>
      <c r="BZ197" s="509"/>
      <c r="CA197" s="751"/>
    </row>
    <row r="198" spans="1:79" ht="24.95" customHeight="1">
      <c r="A198" s="468">
        <f>IF('Student DATA Entry'!A195="","",'Student DATA Entry'!A195)</f>
        <v>192</v>
      </c>
      <c r="B198" s="459" t="str">
        <f>IF('Student DATA Entry'!B195="","",'Student DATA Entry'!B195)</f>
        <v/>
      </c>
      <c r="C198" s="459" t="str">
        <f>IF('Student DATA Entry'!C195="","",'Student DATA Entry'!C195)</f>
        <v/>
      </c>
      <c r="D198" s="459" t="str">
        <f>IF('Student DATA Entry'!D195="","",'Student DATA Entry'!D195)</f>
        <v/>
      </c>
      <c r="E198" s="459" t="str">
        <f>IF('Student DATA Entry'!E195="","",'Student DATA Entry'!E195)</f>
        <v/>
      </c>
      <c r="F198" s="460" t="str">
        <f>IF('Student DATA Entry'!K195="","",'Student DATA Entry'!K195)</f>
        <v/>
      </c>
      <c r="G198" s="461" t="str">
        <f>IF('Student DATA Entry'!G195="","",UPPER('Student DATA Entry'!G195))</f>
        <v/>
      </c>
      <c r="H198" s="461" t="str">
        <f>IF('Student DATA Entry'!H195="","",UPPER('Student DATA Entry'!H195))</f>
        <v/>
      </c>
      <c r="I198" s="462" t="str">
        <f>IF('Student DATA Entry'!I195="","",UPPER('Student DATA Entry'!I195))</f>
        <v/>
      </c>
      <c r="J198" s="463" t="str">
        <f>IF('Student DATA Entry'!L195="","",UPPER('Student DATA Entry'!L195))</f>
        <v/>
      </c>
      <c r="K198" s="469" t="str">
        <f>IF('Student DATA Entry'!J195="","",UPPER('Student DATA Entry'!J195))</f>
        <v/>
      </c>
      <c r="L198" s="491"/>
      <c r="M198" s="8"/>
      <c r="N198" s="8"/>
      <c r="O198" s="9"/>
      <c r="P198" s="492"/>
      <c r="Q198" s="491"/>
      <c r="R198" s="8"/>
      <c r="S198" s="8"/>
      <c r="T198" s="9"/>
      <c r="U198" s="492"/>
      <c r="V198" s="502"/>
      <c r="W198" s="7"/>
      <c r="X198" s="8"/>
      <c r="Y198" s="8"/>
      <c r="Z198" s="9"/>
      <c r="AA198" s="492"/>
      <c r="AB198" s="491"/>
      <c r="AC198" s="8"/>
      <c r="AD198" s="8"/>
      <c r="AE198" s="9"/>
      <c r="AF198" s="492"/>
      <c r="AG198" s="491"/>
      <c r="AH198" s="8"/>
      <c r="AI198" s="8"/>
      <c r="AJ198" s="9"/>
      <c r="AK198" s="492"/>
      <c r="AL198" s="491"/>
      <c r="AM198" s="8"/>
      <c r="AN198" s="8"/>
      <c r="AO198" s="9"/>
      <c r="AP198" s="492"/>
      <c r="AQ198" s="506"/>
      <c r="AR198" s="491"/>
      <c r="AS198" s="8"/>
      <c r="AT198" s="8"/>
      <c r="AU198" s="9"/>
      <c r="AV198" s="9"/>
      <c r="AW198" s="17"/>
      <c r="AX198" s="492"/>
      <c r="AY198" s="491"/>
      <c r="AZ198" s="7"/>
      <c r="BA198" s="9"/>
      <c r="BB198" s="9"/>
      <c r="BC198" s="492"/>
      <c r="BD198" s="491"/>
      <c r="BE198" s="7"/>
      <c r="BF198" s="7"/>
      <c r="BG198" s="7"/>
      <c r="BH198" s="9"/>
      <c r="BI198" s="9"/>
      <c r="BJ198" s="492"/>
      <c r="BK198" s="491"/>
      <c r="BL198" s="7"/>
      <c r="BM198" s="7"/>
      <c r="BN198" s="7"/>
      <c r="BO198" s="7"/>
      <c r="BP198" s="7"/>
      <c r="BQ198" s="7"/>
      <c r="BR198" s="8"/>
      <c r="BS198" s="8"/>
      <c r="BT198" s="509"/>
      <c r="BU198" s="491"/>
      <c r="BV198" s="8"/>
      <c r="BW198" s="509"/>
      <c r="BX198" s="491"/>
      <c r="BY198" s="8"/>
      <c r="BZ198" s="509"/>
      <c r="CA198" s="751"/>
    </row>
    <row r="199" spans="1:79" ht="24.95" customHeight="1">
      <c r="A199" s="468">
        <f>IF('Student DATA Entry'!A196="","",'Student DATA Entry'!A196)</f>
        <v>193</v>
      </c>
      <c r="B199" s="459" t="str">
        <f>IF('Student DATA Entry'!B196="","",'Student DATA Entry'!B196)</f>
        <v/>
      </c>
      <c r="C199" s="459" t="str">
        <f>IF('Student DATA Entry'!C196="","",'Student DATA Entry'!C196)</f>
        <v/>
      </c>
      <c r="D199" s="459" t="str">
        <f>IF('Student DATA Entry'!D196="","",'Student DATA Entry'!D196)</f>
        <v/>
      </c>
      <c r="E199" s="459" t="str">
        <f>IF('Student DATA Entry'!E196="","",'Student DATA Entry'!E196)</f>
        <v/>
      </c>
      <c r="F199" s="460" t="str">
        <f>IF('Student DATA Entry'!K196="","",'Student DATA Entry'!K196)</f>
        <v/>
      </c>
      <c r="G199" s="461" t="str">
        <f>IF('Student DATA Entry'!G196="","",UPPER('Student DATA Entry'!G196))</f>
        <v/>
      </c>
      <c r="H199" s="461" t="str">
        <f>IF('Student DATA Entry'!H196="","",UPPER('Student DATA Entry'!H196))</f>
        <v/>
      </c>
      <c r="I199" s="462" t="str">
        <f>IF('Student DATA Entry'!I196="","",UPPER('Student DATA Entry'!I196))</f>
        <v/>
      </c>
      <c r="J199" s="463" t="str">
        <f>IF('Student DATA Entry'!L196="","",UPPER('Student DATA Entry'!L196))</f>
        <v/>
      </c>
      <c r="K199" s="469" t="str">
        <f>IF('Student DATA Entry'!J196="","",UPPER('Student DATA Entry'!J196))</f>
        <v/>
      </c>
      <c r="L199" s="491"/>
      <c r="M199" s="8"/>
      <c r="N199" s="8"/>
      <c r="O199" s="9"/>
      <c r="P199" s="492"/>
      <c r="Q199" s="491"/>
      <c r="R199" s="8"/>
      <c r="S199" s="8"/>
      <c r="T199" s="9"/>
      <c r="U199" s="492"/>
      <c r="V199" s="502"/>
      <c r="W199" s="7"/>
      <c r="X199" s="8"/>
      <c r="Y199" s="8"/>
      <c r="Z199" s="9"/>
      <c r="AA199" s="492"/>
      <c r="AB199" s="491"/>
      <c r="AC199" s="8"/>
      <c r="AD199" s="8"/>
      <c r="AE199" s="9"/>
      <c r="AF199" s="492"/>
      <c r="AG199" s="491"/>
      <c r="AH199" s="8"/>
      <c r="AI199" s="8"/>
      <c r="AJ199" s="9"/>
      <c r="AK199" s="492"/>
      <c r="AL199" s="491"/>
      <c r="AM199" s="8"/>
      <c r="AN199" s="8"/>
      <c r="AO199" s="9"/>
      <c r="AP199" s="492"/>
      <c r="AQ199" s="506"/>
      <c r="AR199" s="491"/>
      <c r="AS199" s="8"/>
      <c r="AT199" s="8"/>
      <c r="AU199" s="9"/>
      <c r="AV199" s="9"/>
      <c r="AW199" s="17"/>
      <c r="AX199" s="492"/>
      <c r="AY199" s="491"/>
      <c r="AZ199" s="7"/>
      <c r="BA199" s="9"/>
      <c r="BB199" s="9"/>
      <c r="BC199" s="492"/>
      <c r="BD199" s="491"/>
      <c r="BE199" s="7"/>
      <c r="BF199" s="7"/>
      <c r="BG199" s="7"/>
      <c r="BH199" s="9"/>
      <c r="BI199" s="9"/>
      <c r="BJ199" s="492"/>
      <c r="BK199" s="491"/>
      <c r="BL199" s="7"/>
      <c r="BM199" s="7"/>
      <c r="BN199" s="7"/>
      <c r="BO199" s="7"/>
      <c r="BP199" s="7"/>
      <c r="BQ199" s="7"/>
      <c r="BR199" s="8"/>
      <c r="BS199" s="8"/>
      <c r="BT199" s="509"/>
      <c r="BU199" s="491"/>
      <c r="BV199" s="8"/>
      <c r="BW199" s="509"/>
      <c r="BX199" s="491"/>
      <c r="BY199" s="8"/>
      <c r="BZ199" s="509"/>
      <c r="CA199" s="751"/>
    </row>
    <row r="200" spans="1:79" ht="24.95" customHeight="1">
      <c r="A200" s="468">
        <f>IF('Student DATA Entry'!A197="","",'Student DATA Entry'!A197)</f>
        <v>194</v>
      </c>
      <c r="B200" s="459" t="str">
        <f>IF('Student DATA Entry'!B197="","",'Student DATA Entry'!B197)</f>
        <v/>
      </c>
      <c r="C200" s="459" t="str">
        <f>IF('Student DATA Entry'!C197="","",'Student DATA Entry'!C197)</f>
        <v/>
      </c>
      <c r="D200" s="459" t="str">
        <f>IF('Student DATA Entry'!D197="","",'Student DATA Entry'!D197)</f>
        <v/>
      </c>
      <c r="E200" s="459" t="str">
        <f>IF('Student DATA Entry'!E197="","",'Student DATA Entry'!E197)</f>
        <v/>
      </c>
      <c r="F200" s="460" t="str">
        <f>IF('Student DATA Entry'!K197="","",'Student DATA Entry'!K197)</f>
        <v/>
      </c>
      <c r="G200" s="461" t="str">
        <f>IF('Student DATA Entry'!G197="","",UPPER('Student DATA Entry'!G197))</f>
        <v/>
      </c>
      <c r="H200" s="461" t="str">
        <f>IF('Student DATA Entry'!H197="","",UPPER('Student DATA Entry'!H197))</f>
        <v/>
      </c>
      <c r="I200" s="462" t="str">
        <f>IF('Student DATA Entry'!I197="","",UPPER('Student DATA Entry'!I197))</f>
        <v/>
      </c>
      <c r="J200" s="463" t="str">
        <f>IF('Student DATA Entry'!L197="","",UPPER('Student DATA Entry'!L197))</f>
        <v/>
      </c>
      <c r="K200" s="469" t="str">
        <f>IF('Student DATA Entry'!J197="","",UPPER('Student DATA Entry'!J197))</f>
        <v/>
      </c>
      <c r="L200" s="491"/>
      <c r="M200" s="8"/>
      <c r="N200" s="8"/>
      <c r="O200" s="9"/>
      <c r="P200" s="492"/>
      <c r="Q200" s="491"/>
      <c r="R200" s="8"/>
      <c r="S200" s="8"/>
      <c r="T200" s="9"/>
      <c r="U200" s="492"/>
      <c r="V200" s="502"/>
      <c r="W200" s="7"/>
      <c r="X200" s="8"/>
      <c r="Y200" s="8"/>
      <c r="Z200" s="9"/>
      <c r="AA200" s="492"/>
      <c r="AB200" s="491"/>
      <c r="AC200" s="8"/>
      <c r="AD200" s="8"/>
      <c r="AE200" s="9"/>
      <c r="AF200" s="492"/>
      <c r="AG200" s="491"/>
      <c r="AH200" s="8"/>
      <c r="AI200" s="8"/>
      <c r="AJ200" s="9"/>
      <c r="AK200" s="492"/>
      <c r="AL200" s="491"/>
      <c r="AM200" s="8"/>
      <c r="AN200" s="8"/>
      <c r="AO200" s="9"/>
      <c r="AP200" s="492"/>
      <c r="AQ200" s="506"/>
      <c r="AR200" s="491"/>
      <c r="AS200" s="8"/>
      <c r="AT200" s="8"/>
      <c r="AU200" s="9"/>
      <c r="AV200" s="9"/>
      <c r="AW200" s="17"/>
      <c r="AX200" s="492"/>
      <c r="AY200" s="491"/>
      <c r="AZ200" s="7"/>
      <c r="BA200" s="9"/>
      <c r="BB200" s="9"/>
      <c r="BC200" s="492"/>
      <c r="BD200" s="491"/>
      <c r="BE200" s="7"/>
      <c r="BF200" s="7"/>
      <c r="BG200" s="7"/>
      <c r="BH200" s="9"/>
      <c r="BI200" s="9"/>
      <c r="BJ200" s="492"/>
      <c r="BK200" s="491"/>
      <c r="BL200" s="7"/>
      <c r="BM200" s="7"/>
      <c r="BN200" s="7"/>
      <c r="BO200" s="7"/>
      <c r="BP200" s="7"/>
      <c r="BQ200" s="7"/>
      <c r="BR200" s="8"/>
      <c r="BS200" s="8"/>
      <c r="BT200" s="509"/>
      <c r="BU200" s="491"/>
      <c r="BV200" s="8"/>
      <c r="BW200" s="509"/>
      <c r="BX200" s="491"/>
      <c r="BY200" s="8"/>
      <c r="BZ200" s="509"/>
      <c r="CA200" s="751"/>
    </row>
    <row r="201" spans="1:79" ht="24.95" customHeight="1">
      <c r="A201" s="468">
        <f>IF('Student DATA Entry'!A198="","",'Student DATA Entry'!A198)</f>
        <v>195</v>
      </c>
      <c r="B201" s="459" t="str">
        <f>IF('Student DATA Entry'!B198="","",'Student DATA Entry'!B198)</f>
        <v/>
      </c>
      <c r="C201" s="459" t="str">
        <f>IF('Student DATA Entry'!C198="","",'Student DATA Entry'!C198)</f>
        <v/>
      </c>
      <c r="D201" s="459" t="str">
        <f>IF('Student DATA Entry'!D198="","",'Student DATA Entry'!D198)</f>
        <v/>
      </c>
      <c r="E201" s="459" t="str">
        <f>IF('Student DATA Entry'!E198="","",'Student DATA Entry'!E198)</f>
        <v/>
      </c>
      <c r="F201" s="460" t="str">
        <f>IF('Student DATA Entry'!K198="","",'Student DATA Entry'!K198)</f>
        <v/>
      </c>
      <c r="G201" s="461" t="str">
        <f>IF('Student DATA Entry'!G198="","",UPPER('Student DATA Entry'!G198))</f>
        <v/>
      </c>
      <c r="H201" s="461" t="str">
        <f>IF('Student DATA Entry'!H198="","",UPPER('Student DATA Entry'!H198))</f>
        <v/>
      </c>
      <c r="I201" s="462" t="str">
        <f>IF('Student DATA Entry'!I198="","",UPPER('Student DATA Entry'!I198))</f>
        <v/>
      </c>
      <c r="J201" s="463" t="str">
        <f>IF('Student DATA Entry'!L198="","",UPPER('Student DATA Entry'!L198))</f>
        <v/>
      </c>
      <c r="K201" s="469" t="str">
        <f>IF('Student DATA Entry'!J198="","",UPPER('Student DATA Entry'!J198))</f>
        <v/>
      </c>
      <c r="L201" s="491"/>
      <c r="M201" s="8"/>
      <c r="N201" s="8"/>
      <c r="O201" s="9"/>
      <c r="P201" s="492"/>
      <c r="Q201" s="491"/>
      <c r="R201" s="8"/>
      <c r="S201" s="8"/>
      <c r="T201" s="9"/>
      <c r="U201" s="492"/>
      <c r="V201" s="502"/>
      <c r="W201" s="7"/>
      <c r="X201" s="8"/>
      <c r="Y201" s="8"/>
      <c r="Z201" s="9"/>
      <c r="AA201" s="492"/>
      <c r="AB201" s="491"/>
      <c r="AC201" s="8"/>
      <c r="AD201" s="8"/>
      <c r="AE201" s="9"/>
      <c r="AF201" s="492"/>
      <c r="AG201" s="491"/>
      <c r="AH201" s="8"/>
      <c r="AI201" s="8"/>
      <c r="AJ201" s="9"/>
      <c r="AK201" s="492"/>
      <c r="AL201" s="491"/>
      <c r="AM201" s="8"/>
      <c r="AN201" s="8"/>
      <c r="AO201" s="9"/>
      <c r="AP201" s="492"/>
      <c r="AQ201" s="506"/>
      <c r="AR201" s="491"/>
      <c r="AS201" s="8"/>
      <c r="AT201" s="8"/>
      <c r="AU201" s="9"/>
      <c r="AV201" s="9"/>
      <c r="AW201" s="17"/>
      <c r="AX201" s="492"/>
      <c r="AY201" s="491"/>
      <c r="AZ201" s="7"/>
      <c r="BA201" s="9"/>
      <c r="BB201" s="9"/>
      <c r="BC201" s="492"/>
      <c r="BD201" s="491"/>
      <c r="BE201" s="7"/>
      <c r="BF201" s="7"/>
      <c r="BG201" s="7"/>
      <c r="BH201" s="9"/>
      <c r="BI201" s="9"/>
      <c r="BJ201" s="492"/>
      <c r="BK201" s="491"/>
      <c r="BL201" s="7"/>
      <c r="BM201" s="7"/>
      <c r="BN201" s="7"/>
      <c r="BO201" s="7"/>
      <c r="BP201" s="7"/>
      <c r="BQ201" s="7"/>
      <c r="BR201" s="8"/>
      <c r="BS201" s="8"/>
      <c r="BT201" s="509"/>
      <c r="BU201" s="491"/>
      <c r="BV201" s="8"/>
      <c r="BW201" s="509"/>
      <c r="BX201" s="491"/>
      <c r="BY201" s="8"/>
      <c r="BZ201" s="509"/>
      <c r="CA201" s="751"/>
    </row>
    <row r="202" spans="1:79" ht="24.95" customHeight="1">
      <c r="A202" s="468">
        <f>IF('Student DATA Entry'!A199="","",'Student DATA Entry'!A199)</f>
        <v>196</v>
      </c>
      <c r="B202" s="459" t="str">
        <f>IF('Student DATA Entry'!B199="","",'Student DATA Entry'!B199)</f>
        <v/>
      </c>
      <c r="C202" s="459" t="str">
        <f>IF('Student DATA Entry'!C199="","",'Student DATA Entry'!C199)</f>
        <v/>
      </c>
      <c r="D202" s="459" t="str">
        <f>IF('Student DATA Entry'!D199="","",'Student DATA Entry'!D199)</f>
        <v/>
      </c>
      <c r="E202" s="459" t="str">
        <f>IF('Student DATA Entry'!E199="","",'Student DATA Entry'!E199)</f>
        <v/>
      </c>
      <c r="F202" s="460" t="str">
        <f>IF('Student DATA Entry'!K199="","",'Student DATA Entry'!K199)</f>
        <v/>
      </c>
      <c r="G202" s="461" t="str">
        <f>IF('Student DATA Entry'!G199="","",UPPER('Student DATA Entry'!G199))</f>
        <v/>
      </c>
      <c r="H202" s="461" t="str">
        <f>IF('Student DATA Entry'!H199="","",UPPER('Student DATA Entry'!H199))</f>
        <v/>
      </c>
      <c r="I202" s="462" t="str">
        <f>IF('Student DATA Entry'!I199="","",UPPER('Student DATA Entry'!I199))</f>
        <v/>
      </c>
      <c r="J202" s="463" t="str">
        <f>IF('Student DATA Entry'!L199="","",UPPER('Student DATA Entry'!L199))</f>
        <v/>
      </c>
      <c r="K202" s="469" t="str">
        <f>IF('Student DATA Entry'!J199="","",UPPER('Student DATA Entry'!J199))</f>
        <v/>
      </c>
      <c r="L202" s="491"/>
      <c r="M202" s="8"/>
      <c r="N202" s="8"/>
      <c r="O202" s="9"/>
      <c r="P202" s="492"/>
      <c r="Q202" s="491"/>
      <c r="R202" s="8"/>
      <c r="S202" s="8"/>
      <c r="T202" s="9"/>
      <c r="U202" s="492"/>
      <c r="V202" s="502"/>
      <c r="W202" s="7"/>
      <c r="X202" s="8"/>
      <c r="Y202" s="8"/>
      <c r="Z202" s="9"/>
      <c r="AA202" s="492"/>
      <c r="AB202" s="491"/>
      <c r="AC202" s="8"/>
      <c r="AD202" s="8"/>
      <c r="AE202" s="9"/>
      <c r="AF202" s="492"/>
      <c r="AG202" s="491"/>
      <c r="AH202" s="8"/>
      <c r="AI202" s="8"/>
      <c r="AJ202" s="9"/>
      <c r="AK202" s="492"/>
      <c r="AL202" s="491"/>
      <c r="AM202" s="8"/>
      <c r="AN202" s="8"/>
      <c r="AO202" s="9"/>
      <c r="AP202" s="492"/>
      <c r="AQ202" s="506"/>
      <c r="AR202" s="491"/>
      <c r="AS202" s="8"/>
      <c r="AT202" s="8"/>
      <c r="AU202" s="9"/>
      <c r="AV202" s="9"/>
      <c r="AW202" s="17"/>
      <c r="AX202" s="492"/>
      <c r="AY202" s="491"/>
      <c r="AZ202" s="7"/>
      <c r="BA202" s="9"/>
      <c r="BB202" s="9"/>
      <c r="BC202" s="492"/>
      <c r="BD202" s="491"/>
      <c r="BE202" s="7"/>
      <c r="BF202" s="7"/>
      <c r="BG202" s="7"/>
      <c r="BH202" s="9"/>
      <c r="BI202" s="9"/>
      <c r="BJ202" s="492"/>
      <c r="BK202" s="491"/>
      <c r="BL202" s="7"/>
      <c r="BM202" s="7"/>
      <c r="BN202" s="7"/>
      <c r="BO202" s="7"/>
      <c r="BP202" s="7"/>
      <c r="BQ202" s="7"/>
      <c r="BR202" s="8"/>
      <c r="BS202" s="8"/>
      <c r="BT202" s="509"/>
      <c r="BU202" s="491"/>
      <c r="BV202" s="8"/>
      <c r="BW202" s="509"/>
      <c r="BX202" s="491"/>
      <c r="BY202" s="8"/>
      <c r="BZ202" s="509"/>
      <c r="CA202" s="751"/>
    </row>
    <row r="203" spans="1:79" ht="24.95" customHeight="1">
      <c r="A203" s="468">
        <f>IF('Student DATA Entry'!A200="","",'Student DATA Entry'!A200)</f>
        <v>197</v>
      </c>
      <c r="B203" s="459" t="str">
        <f>IF('Student DATA Entry'!B200="","",'Student DATA Entry'!B200)</f>
        <v/>
      </c>
      <c r="C203" s="459" t="str">
        <f>IF('Student DATA Entry'!C200="","",'Student DATA Entry'!C200)</f>
        <v/>
      </c>
      <c r="D203" s="459" t="str">
        <f>IF('Student DATA Entry'!D200="","",'Student DATA Entry'!D200)</f>
        <v/>
      </c>
      <c r="E203" s="459" t="str">
        <f>IF('Student DATA Entry'!E200="","",'Student DATA Entry'!E200)</f>
        <v/>
      </c>
      <c r="F203" s="460" t="str">
        <f>IF('Student DATA Entry'!K200="","",'Student DATA Entry'!K200)</f>
        <v/>
      </c>
      <c r="G203" s="461" t="str">
        <f>IF('Student DATA Entry'!G200="","",UPPER('Student DATA Entry'!G200))</f>
        <v/>
      </c>
      <c r="H203" s="461" t="str">
        <f>IF('Student DATA Entry'!H200="","",UPPER('Student DATA Entry'!H200))</f>
        <v/>
      </c>
      <c r="I203" s="462" t="str">
        <f>IF('Student DATA Entry'!I200="","",UPPER('Student DATA Entry'!I200))</f>
        <v/>
      </c>
      <c r="J203" s="463" t="str">
        <f>IF('Student DATA Entry'!L200="","",UPPER('Student DATA Entry'!L200))</f>
        <v/>
      </c>
      <c r="K203" s="469" t="str">
        <f>IF('Student DATA Entry'!J200="","",UPPER('Student DATA Entry'!J200))</f>
        <v/>
      </c>
      <c r="L203" s="491"/>
      <c r="M203" s="8"/>
      <c r="N203" s="8"/>
      <c r="O203" s="9"/>
      <c r="P203" s="492"/>
      <c r="Q203" s="491"/>
      <c r="R203" s="8"/>
      <c r="S203" s="8"/>
      <c r="T203" s="9"/>
      <c r="U203" s="492"/>
      <c r="V203" s="502"/>
      <c r="W203" s="7"/>
      <c r="X203" s="8"/>
      <c r="Y203" s="8"/>
      <c r="Z203" s="9"/>
      <c r="AA203" s="492"/>
      <c r="AB203" s="491"/>
      <c r="AC203" s="8"/>
      <c r="AD203" s="8"/>
      <c r="AE203" s="9"/>
      <c r="AF203" s="492"/>
      <c r="AG203" s="491"/>
      <c r="AH203" s="8"/>
      <c r="AI203" s="8"/>
      <c r="AJ203" s="9"/>
      <c r="AK203" s="492"/>
      <c r="AL203" s="491"/>
      <c r="AM203" s="8"/>
      <c r="AN203" s="8"/>
      <c r="AO203" s="9"/>
      <c r="AP203" s="492"/>
      <c r="AQ203" s="506"/>
      <c r="AR203" s="491"/>
      <c r="AS203" s="8"/>
      <c r="AT203" s="8"/>
      <c r="AU203" s="9"/>
      <c r="AV203" s="9"/>
      <c r="AW203" s="17"/>
      <c r="AX203" s="492"/>
      <c r="AY203" s="491"/>
      <c r="AZ203" s="7"/>
      <c r="BA203" s="9"/>
      <c r="BB203" s="9"/>
      <c r="BC203" s="492"/>
      <c r="BD203" s="491"/>
      <c r="BE203" s="7"/>
      <c r="BF203" s="7"/>
      <c r="BG203" s="7"/>
      <c r="BH203" s="9"/>
      <c r="BI203" s="9"/>
      <c r="BJ203" s="492"/>
      <c r="BK203" s="491"/>
      <c r="BL203" s="7"/>
      <c r="BM203" s="7"/>
      <c r="BN203" s="7"/>
      <c r="BO203" s="7"/>
      <c r="BP203" s="7"/>
      <c r="BQ203" s="7"/>
      <c r="BR203" s="8"/>
      <c r="BS203" s="8"/>
      <c r="BT203" s="509"/>
      <c r="BU203" s="491"/>
      <c r="BV203" s="8"/>
      <c r="BW203" s="509"/>
      <c r="BX203" s="491"/>
      <c r="BY203" s="8"/>
      <c r="BZ203" s="509"/>
      <c r="CA203" s="751"/>
    </row>
    <row r="204" spans="1:79" ht="24.95" customHeight="1">
      <c r="A204" s="468">
        <f>IF('Student DATA Entry'!A201="","",'Student DATA Entry'!A201)</f>
        <v>198</v>
      </c>
      <c r="B204" s="459" t="str">
        <f>IF('Student DATA Entry'!B201="","",'Student DATA Entry'!B201)</f>
        <v/>
      </c>
      <c r="C204" s="459" t="str">
        <f>IF('Student DATA Entry'!C201="","",'Student DATA Entry'!C201)</f>
        <v/>
      </c>
      <c r="D204" s="459" t="str">
        <f>IF('Student DATA Entry'!D201="","",'Student DATA Entry'!D201)</f>
        <v/>
      </c>
      <c r="E204" s="459" t="str">
        <f>IF('Student DATA Entry'!E201="","",'Student DATA Entry'!E201)</f>
        <v/>
      </c>
      <c r="F204" s="460" t="str">
        <f>IF('Student DATA Entry'!K201="","",'Student DATA Entry'!K201)</f>
        <v/>
      </c>
      <c r="G204" s="461" t="str">
        <f>IF('Student DATA Entry'!G201="","",UPPER('Student DATA Entry'!G201))</f>
        <v/>
      </c>
      <c r="H204" s="461" t="str">
        <f>IF('Student DATA Entry'!H201="","",UPPER('Student DATA Entry'!H201))</f>
        <v/>
      </c>
      <c r="I204" s="462" t="str">
        <f>IF('Student DATA Entry'!I201="","",UPPER('Student DATA Entry'!I201))</f>
        <v/>
      </c>
      <c r="J204" s="463" t="str">
        <f>IF('Student DATA Entry'!L201="","",UPPER('Student DATA Entry'!L201))</f>
        <v/>
      </c>
      <c r="K204" s="469" t="str">
        <f>IF('Student DATA Entry'!J201="","",UPPER('Student DATA Entry'!J201))</f>
        <v/>
      </c>
      <c r="L204" s="491"/>
      <c r="M204" s="8"/>
      <c r="N204" s="8"/>
      <c r="O204" s="9"/>
      <c r="P204" s="492"/>
      <c r="Q204" s="491"/>
      <c r="R204" s="8"/>
      <c r="S204" s="8"/>
      <c r="T204" s="9"/>
      <c r="U204" s="492"/>
      <c r="V204" s="502"/>
      <c r="W204" s="7"/>
      <c r="X204" s="8"/>
      <c r="Y204" s="8"/>
      <c r="Z204" s="9"/>
      <c r="AA204" s="492"/>
      <c r="AB204" s="491"/>
      <c r="AC204" s="8"/>
      <c r="AD204" s="8"/>
      <c r="AE204" s="9"/>
      <c r="AF204" s="492"/>
      <c r="AG204" s="491"/>
      <c r="AH204" s="8"/>
      <c r="AI204" s="8"/>
      <c r="AJ204" s="9"/>
      <c r="AK204" s="492"/>
      <c r="AL204" s="491"/>
      <c r="AM204" s="8"/>
      <c r="AN204" s="8"/>
      <c r="AO204" s="9"/>
      <c r="AP204" s="492"/>
      <c r="AQ204" s="506"/>
      <c r="AR204" s="491"/>
      <c r="AS204" s="8"/>
      <c r="AT204" s="8"/>
      <c r="AU204" s="9"/>
      <c r="AV204" s="9"/>
      <c r="AW204" s="17"/>
      <c r="AX204" s="492"/>
      <c r="AY204" s="491"/>
      <c r="AZ204" s="7"/>
      <c r="BA204" s="9"/>
      <c r="BB204" s="9"/>
      <c r="BC204" s="492"/>
      <c r="BD204" s="491"/>
      <c r="BE204" s="7"/>
      <c r="BF204" s="7"/>
      <c r="BG204" s="7"/>
      <c r="BH204" s="9"/>
      <c r="BI204" s="9"/>
      <c r="BJ204" s="492"/>
      <c r="BK204" s="491"/>
      <c r="BL204" s="7"/>
      <c r="BM204" s="7"/>
      <c r="BN204" s="7"/>
      <c r="BO204" s="7"/>
      <c r="BP204" s="7"/>
      <c r="BQ204" s="7"/>
      <c r="BR204" s="8"/>
      <c r="BS204" s="8"/>
      <c r="BT204" s="509"/>
      <c r="BU204" s="491"/>
      <c r="BV204" s="8"/>
      <c r="BW204" s="509"/>
      <c r="BX204" s="491"/>
      <c r="BY204" s="8"/>
      <c r="BZ204" s="509"/>
      <c r="CA204" s="751"/>
    </row>
    <row r="205" spans="1:79" ht="24.95" customHeight="1">
      <c r="A205" s="468">
        <f>IF('Student DATA Entry'!A202="","",'Student DATA Entry'!A202)</f>
        <v>199</v>
      </c>
      <c r="B205" s="459" t="str">
        <f>IF('Student DATA Entry'!B202="","",'Student DATA Entry'!B202)</f>
        <v/>
      </c>
      <c r="C205" s="459" t="str">
        <f>IF('Student DATA Entry'!C202="","",'Student DATA Entry'!C202)</f>
        <v/>
      </c>
      <c r="D205" s="459" t="str">
        <f>IF('Student DATA Entry'!D202="","",'Student DATA Entry'!D202)</f>
        <v/>
      </c>
      <c r="E205" s="459" t="str">
        <f>IF('Student DATA Entry'!E202="","",'Student DATA Entry'!E202)</f>
        <v/>
      </c>
      <c r="F205" s="460" t="str">
        <f>IF('Student DATA Entry'!K202="","",'Student DATA Entry'!K202)</f>
        <v/>
      </c>
      <c r="G205" s="461" t="str">
        <f>IF('Student DATA Entry'!G202="","",UPPER('Student DATA Entry'!G202))</f>
        <v/>
      </c>
      <c r="H205" s="461" t="str">
        <f>IF('Student DATA Entry'!H202="","",UPPER('Student DATA Entry'!H202))</f>
        <v/>
      </c>
      <c r="I205" s="462" t="str">
        <f>IF('Student DATA Entry'!I202="","",UPPER('Student DATA Entry'!I202))</f>
        <v/>
      </c>
      <c r="J205" s="463" t="str">
        <f>IF('Student DATA Entry'!L202="","",UPPER('Student DATA Entry'!L202))</f>
        <v/>
      </c>
      <c r="K205" s="469" t="str">
        <f>IF('Student DATA Entry'!J202="","",UPPER('Student DATA Entry'!J202))</f>
        <v/>
      </c>
      <c r="L205" s="491"/>
      <c r="M205" s="8"/>
      <c r="N205" s="8"/>
      <c r="O205" s="9"/>
      <c r="P205" s="492"/>
      <c r="Q205" s="491"/>
      <c r="R205" s="8"/>
      <c r="S205" s="8"/>
      <c r="T205" s="9"/>
      <c r="U205" s="492"/>
      <c r="V205" s="502"/>
      <c r="W205" s="7"/>
      <c r="X205" s="8"/>
      <c r="Y205" s="8"/>
      <c r="Z205" s="9"/>
      <c r="AA205" s="492"/>
      <c r="AB205" s="491"/>
      <c r="AC205" s="8"/>
      <c r="AD205" s="8"/>
      <c r="AE205" s="9"/>
      <c r="AF205" s="492"/>
      <c r="AG205" s="491"/>
      <c r="AH205" s="8"/>
      <c r="AI205" s="8"/>
      <c r="AJ205" s="9"/>
      <c r="AK205" s="492"/>
      <c r="AL205" s="491"/>
      <c r="AM205" s="8"/>
      <c r="AN205" s="8"/>
      <c r="AO205" s="9"/>
      <c r="AP205" s="492"/>
      <c r="AQ205" s="506"/>
      <c r="AR205" s="491"/>
      <c r="AS205" s="8"/>
      <c r="AT205" s="8"/>
      <c r="AU205" s="9"/>
      <c r="AV205" s="9"/>
      <c r="AW205" s="17"/>
      <c r="AX205" s="492"/>
      <c r="AY205" s="491"/>
      <c r="AZ205" s="7"/>
      <c r="BA205" s="9"/>
      <c r="BB205" s="9"/>
      <c r="BC205" s="492"/>
      <c r="BD205" s="491"/>
      <c r="BE205" s="7"/>
      <c r="BF205" s="7"/>
      <c r="BG205" s="7"/>
      <c r="BH205" s="9"/>
      <c r="BI205" s="9"/>
      <c r="BJ205" s="492"/>
      <c r="BK205" s="491"/>
      <c r="BL205" s="7"/>
      <c r="BM205" s="7"/>
      <c r="BN205" s="7"/>
      <c r="BO205" s="7"/>
      <c r="BP205" s="7"/>
      <c r="BQ205" s="7"/>
      <c r="BR205" s="8"/>
      <c r="BS205" s="8"/>
      <c r="BT205" s="509"/>
      <c r="BU205" s="491"/>
      <c r="BV205" s="8"/>
      <c r="BW205" s="509"/>
      <c r="BX205" s="491"/>
      <c r="BY205" s="8"/>
      <c r="BZ205" s="509"/>
      <c r="CA205" s="751"/>
    </row>
    <row r="206" spans="1:79" ht="24.95" customHeight="1" thickBot="1">
      <c r="A206" s="470">
        <f>IF('Student DATA Entry'!A203="","",'Student DATA Entry'!A203)</f>
        <v>200</v>
      </c>
      <c r="B206" s="471" t="str">
        <f>IF('Student DATA Entry'!B203="","",'Student DATA Entry'!B203)</f>
        <v/>
      </c>
      <c r="C206" s="471" t="str">
        <f>IF('Student DATA Entry'!C203="","",'Student DATA Entry'!C203)</f>
        <v/>
      </c>
      <c r="D206" s="471" t="str">
        <f>IF('Student DATA Entry'!D203="","",'Student DATA Entry'!D203)</f>
        <v/>
      </c>
      <c r="E206" s="471" t="str">
        <f>IF('Student DATA Entry'!E203="","",'Student DATA Entry'!E203)</f>
        <v/>
      </c>
      <c r="F206" s="472" t="str">
        <f>IF('Student DATA Entry'!K203="","",'Student DATA Entry'!K203)</f>
        <v/>
      </c>
      <c r="G206" s="473" t="str">
        <f>IF('Student DATA Entry'!G203="","",UPPER('Student DATA Entry'!G203))</f>
        <v/>
      </c>
      <c r="H206" s="473" t="str">
        <f>IF('Student DATA Entry'!H203="","",UPPER('Student DATA Entry'!H203))</f>
        <v/>
      </c>
      <c r="I206" s="474" t="str">
        <f>IF('Student DATA Entry'!I203="","",UPPER('Student DATA Entry'!I203))</f>
        <v/>
      </c>
      <c r="J206" s="475" t="str">
        <f>IF('Student DATA Entry'!L203="","",UPPER('Student DATA Entry'!L203))</f>
        <v/>
      </c>
      <c r="K206" s="476" t="str">
        <f>IF('Student DATA Entry'!J203="","",UPPER('Student DATA Entry'!J203))</f>
        <v/>
      </c>
      <c r="L206" s="493"/>
      <c r="M206" s="494"/>
      <c r="N206" s="494"/>
      <c r="O206" s="495"/>
      <c r="P206" s="497"/>
      <c r="Q206" s="493"/>
      <c r="R206" s="494"/>
      <c r="S206" s="494"/>
      <c r="T206" s="495"/>
      <c r="U206" s="497"/>
      <c r="V206" s="503"/>
      <c r="W206" s="504"/>
      <c r="X206" s="494"/>
      <c r="Y206" s="494"/>
      <c r="Z206" s="495"/>
      <c r="AA206" s="497"/>
      <c r="AB206" s="493"/>
      <c r="AC206" s="494"/>
      <c r="AD206" s="494"/>
      <c r="AE206" s="495"/>
      <c r="AF206" s="497"/>
      <c r="AG206" s="493"/>
      <c r="AH206" s="494"/>
      <c r="AI206" s="494"/>
      <c r="AJ206" s="495"/>
      <c r="AK206" s="497"/>
      <c r="AL206" s="493"/>
      <c r="AM206" s="494"/>
      <c r="AN206" s="494"/>
      <c r="AO206" s="495"/>
      <c r="AP206" s="497"/>
      <c r="AQ206" s="507"/>
      <c r="AR206" s="493"/>
      <c r="AS206" s="494"/>
      <c r="AT206" s="494"/>
      <c r="AU206" s="495"/>
      <c r="AV206" s="495"/>
      <c r="AW206" s="496"/>
      <c r="AX206" s="497"/>
      <c r="AY206" s="493"/>
      <c r="AZ206" s="504"/>
      <c r="BA206" s="495"/>
      <c r="BB206" s="495"/>
      <c r="BC206" s="497"/>
      <c r="BD206" s="493"/>
      <c r="BE206" s="504"/>
      <c r="BF206" s="504"/>
      <c r="BG206" s="504"/>
      <c r="BH206" s="495"/>
      <c r="BI206" s="495"/>
      <c r="BJ206" s="497"/>
      <c r="BK206" s="493"/>
      <c r="BL206" s="504"/>
      <c r="BM206" s="504"/>
      <c r="BN206" s="504"/>
      <c r="BO206" s="504"/>
      <c r="BP206" s="504"/>
      <c r="BQ206" s="504"/>
      <c r="BR206" s="494"/>
      <c r="BS206" s="494"/>
      <c r="BT206" s="510"/>
      <c r="BU206" s="493"/>
      <c r="BV206" s="494"/>
      <c r="BW206" s="510"/>
      <c r="BX206" s="493"/>
      <c r="BY206" s="494"/>
      <c r="BZ206" s="510"/>
      <c r="CA206" s="751"/>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 ref="L1:AP1"/>
    <mergeCell ref="Q4:S4"/>
    <mergeCell ref="W4:Y4"/>
    <mergeCell ref="AB4:AD4"/>
    <mergeCell ref="AG4:AI4"/>
    <mergeCell ref="V4:V6"/>
    <mergeCell ref="AB3:AF3"/>
    <mergeCell ref="AG2:AK2"/>
    <mergeCell ref="AL4:AN4"/>
    <mergeCell ref="V2:AA2"/>
    <mergeCell ref="AB2:AF2"/>
    <mergeCell ref="V3:AA3"/>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A1:I1"/>
    <mergeCell ref="C3:G3"/>
    <mergeCell ref="A2:I2"/>
    <mergeCell ref="G4:G6"/>
    <mergeCell ref="H4:H6"/>
    <mergeCell ref="I4:I6"/>
    <mergeCell ref="F4:F6"/>
    <mergeCell ref="BK4:BL4"/>
    <mergeCell ref="BM4:BN4"/>
    <mergeCell ref="BO4:BP4"/>
    <mergeCell ref="A4:A6"/>
    <mergeCell ref="B4:B6"/>
    <mergeCell ref="E4:E6"/>
    <mergeCell ref="J3:J6"/>
    <mergeCell ref="AG3:AK3"/>
    <mergeCell ref="AL3:AP3"/>
    <mergeCell ref="BZ4:BZ5"/>
    <mergeCell ref="BY4:BY5"/>
    <mergeCell ref="BU4:BU5"/>
    <mergeCell ref="BV4:BV5"/>
    <mergeCell ref="BW4:BW5"/>
    <mergeCell ref="BX4:BX5"/>
  </mergeCells>
  <conditionalFormatting sqref="CA6">
    <cfRule type="cellIs" dxfId="260" priority="384" operator="equal">
      <formula>0</formula>
    </cfRule>
  </conditionalFormatting>
  <conditionalFormatting sqref="AQ7:AQ206 V7:V206">
    <cfRule type="containsText" dxfId="259" priority="382" stopIfTrue="1" operator="containsText" text="u">
      <formula>NOT(ISERROR(SEARCH("u",V7)))</formula>
    </cfRule>
    <cfRule type="containsText" dxfId="258" priority="383" stopIfTrue="1" operator="containsText" text="s">
      <formula>NOT(ISERROR(SEARCH("s",V7)))</formula>
    </cfRule>
  </conditionalFormatting>
  <conditionalFormatting sqref="AQ7:AQ206 V7:V206">
    <cfRule type="containsText" dxfId="257" priority="380" stopIfTrue="1" operator="containsText" text="u">
      <formula>NOT(ISERROR(SEARCH("u",V7)))</formula>
    </cfRule>
    <cfRule type="containsText" dxfId="256" priority="381" stopIfTrue="1" operator="containsText" text="s">
      <formula>NOT(ISERROR(SEARCH("s",V7)))</formula>
    </cfRule>
  </conditionalFormatting>
  <conditionalFormatting sqref="AQ7:AQ206 V7:V206">
    <cfRule type="containsText" dxfId="255" priority="377" stopIfTrue="1" operator="containsText" text="sd">
      <formula>NOT(ISERROR(SEARCH("sd",V7)))</formula>
    </cfRule>
    <cfRule type="containsText" dxfId="254" priority="378" stopIfTrue="1" operator="containsText" text="p">
      <formula>NOT(ISERROR(SEARCH("p",V7)))</formula>
    </cfRule>
    <cfRule type="containsText" dxfId="253" priority="379" stopIfTrue="1" operator="containsText" text="g">
      <formula>NOT(ISERROR(SEARCH("g",V7)))</formula>
    </cfRule>
  </conditionalFormatting>
  <conditionalFormatting sqref="AR7:AX206">
    <cfRule type="expression" dxfId="252"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HR220" sqref="HR220"/>
    </sheetView>
  </sheetViews>
  <sheetFormatPr defaultColWidth="0" defaultRowHeight="18.75" zeroHeight="1"/>
  <cols>
    <col min="1" max="1" width="4.25" style="49" customWidth="1"/>
    <col min="2" max="2" width="5.875" style="50" customWidth="1"/>
    <col min="3" max="3" width="4.625" style="50" customWidth="1"/>
    <col min="4" max="4" width="5.875" style="50" customWidth="1"/>
    <col min="5" max="5" width="11.375" style="51" customWidth="1"/>
    <col min="6" max="6" width="18" style="52" customWidth="1"/>
    <col min="7" max="7" width="18.875" style="52" customWidth="1"/>
    <col min="8" max="8" width="16.875" style="52" customWidth="1"/>
    <col min="9" max="9" width="6.125" style="53" customWidth="1"/>
    <col min="10" max="10" width="4.625" style="53" customWidth="1"/>
    <col min="11" max="13" width="4.625" style="54" customWidth="1"/>
    <col min="14" max="18" width="4.625" style="55" customWidth="1"/>
    <col min="19" max="24" width="4.625" style="56" hidden="1" customWidth="1"/>
    <col min="25" max="27" width="4.625" style="54" customWidth="1"/>
    <col min="28" max="32" width="4.625" style="55" customWidth="1"/>
    <col min="33" max="38" width="4.625" style="56" hidden="1" customWidth="1"/>
    <col min="39" max="39" width="10.625" style="56" customWidth="1"/>
    <col min="40" max="42" width="4.625" style="54" customWidth="1"/>
    <col min="43" max="43" width="5.875" style="55" customWidth="1"/>
    <col min="44" max="44" width="4.625" style="54" customWidth="1"/>
    <col min="45" max="45" width="4.625" style="55" customWidth="1"/>
    <col min="46" max="46" width="4.625" style="57" customWidth="1"/>
    <col min="47" max="47" width="4.625" style="55" customWidth="1"/>
    <col min="48" max="49" width="4.625" style="56" hidden="1" customWidth="1"/>
    <col min="50" max="51" width="4.625" style="57" hidden="1" customWidth="1"/>
    <col min="52" max="53" width="4.625" style="56" hidden="1" customWidth="1"/>
    <col min="54" max="56" width="4.625" style="54" customWidth="1"/>
    <col min="57" max="57" width="4.625" style="55" customWidth="1"/>
    <col min="58" max="58" width="4.625" style="54" customWidth="1"/>
    <col min="59" max="59" width="4.625" style="55" customWidth="1"/>
    <col min="60" max="60" width="4.625" style="54" customWidth="1"/>
    <col min="61" max="61" width="4.625" style="55" customWidth="1"/>
    <col min="62" max="63" width="4.625" style="56" hidden="1" customWidth="1"/>
    <col min="64" max="65" width="4.625" style="57" hidden="1" customWidth="1"/>
    <col min="66" max="67" width="4.625" style="56" hidden="1" customWidth="1"/>
    <col min="68" max="70" width="4.625" style="54" customWidth="1"/>
    <col min="71" max="71" width="4.625" style="55" customWidth="1"/>
    <col min="72" max="72" width="4.625" style="54" customWidth="1"/>
    <col min="73" max="73" width="4.625" style="57" customWidth="1"/>
    <col min="74" max="75" width="4.625" style="55" customWidth="1"/>
    <col min="76" max="77" width="4.625" style="56" hidden="1" customWidth="1"/>
    <col min="78" max="79" width="4.625" style="57" hidden="1" customWidth="1"/>
    <col min="80" max="82" width="4.625" style="56" hidden="1" customWidth="1"/>
    <col min="83" max="90" width="4.625" style="56" customWidth="1"/>
    <col min="91" max="96" width="4.625" style="56" hidden="1" customWidth="1"/>
    <col min="97" max="97" width="14.5" style="56" customWidth="1"/>
    <col min="98" max="98" width="5.125" style="57" customWidth="1"/>
    <col min="99" max="108" width="4.625" style="57" customWidth="1"/>
    <col min="109" max="109" width="4.625" style="55" customWidth="1"/>
    <col min="110" max="111" width="3.625" style="56" hidden="1" customWidth="1"/>
    <col min="112" max="112" width="4.375" style="56" hidden="1" customWidth="1"/>
    <col min="113" max="128" width="3.625" style="56" hidden="1" customWidth="1"/>
    <col min="129" max="129" width="12" style="56" hidden="1" customWidth="1"/>
    <col min="130" max="136" width="4.75" style="56" customWidth="1"/>
    <col min="137" max="137" width="6" style="56" customWidth="1"/>
    <col min="138" max="138" width="5.125" style="56" customWidth="1"/>
    <col min="139" max="141" width="5.125" style="56" hidden="1" customWidth="1"/>
    <col min="142" max="152" width="4.625" style="56" customWidth="1"/>
    <col min="153" max="153" width="5.25" style="56" customWidth="1"/>
    <col min="154" max="154" width="5.125" style="56" customWidth="1"/>
    <col min="155" max="157" width="5.125" style="56" hidden="1" customWidth="1"/>
    <col min="158" max="171" width="4.625" style="56" customWidth="1"/>
    <col min="172" max="172" width="5.125" style="56" customWidth="1"/>
    <col min="173" max="173" width="4.625" style="56" customWidth="1"/>
    <col min="174" max="176" width="5.125" style="56" hidden="1" customWidth="1"/>
    <col min="177" max="181" width="5.125" style="56" customWidth="1"/>
    <col min="182" max="182" width="5.25" style="56" hidden="1" customWidth="1"/>
    <col min="183" max="184" width="5.125" style="56" hidden="1" customWidth="1"/>
    <col min="185" max="189" width="5.125" style="56" customWidth="1"/>
    <col min="190" max="192" width="5.125" style="56" hidden="1" customWidth="1"/>
    <col min="193" max="193" width="7.375" style="56" customWidth="1"/>
    <col min="194" max="194" width="7.625" style="56" customWidth="1"/>
    <col min="195" max="195" width="8.125" style="56" customWidth="1"/>
    <col min="196" max="198" width="3.375" style="58" customWidth="1"/>
    <col min="199" max="201" width="3.375" style="49" customWidth="1"/>
    <col min="202" max="202" width="3.375" style="49" hidden="1" customWidth="1"/>
    <col min="203" max="221" width="3.375" style="49" customWidth="1"/>
    <col min="222" max="222" width="15.125" style="49" customWidth="1"/>
    <col min="223" max="223" width="17.375" style="49" bestFit="1" customWidth="1"/>
    <col min="224" max="224" width="15.875" style="49" bestFit="1" customWidth="1"/>
    <col min="225" max="225" width="14.125" style="49" customWidth="1"/>
    <col min="226" max="226" width="41.25" style="49" customWidth="1"/>
    <col min="227" max="227" width="15" style="49" customWidth="1"/>
    <col min="228" max="228" width="7.25" style="49" customWidth="1"/>
    <col min="229" max="229" width="5.375" style="49" hidden="1" customWidth="1"/>
    <col min="230" max="230" width="5.375" style="49" customWidth="1"/>
    <col min="231" max="231" width="8.875" style="49" customWidth="1"/>
    <col min="232" max="232" width="7.75" style="49" customWidth="1"/>
    <col min="233" max="233" width="9" style="49" customWidth="1"/>
    <col min="234" max="234" width="9.75" style="49" customWidth="1"/>
    <col min="235" max="235" width="6.5" style="49" customWidth="1"/>
    <col min="236" max="236" width="12.25" style="49" customWidth="1"/>
    <col min="237" max="237" width="11.5" style="49" customWidth="1"/>
    <col min="238" max="238" width="9.125" style="49" customWidth="1"/>
    <col min="239" max="284" width="9.125" style="49" hidden="1" customWidth="1"/>
    <col min="285" max="285" width="11.375" style="49" hidden="1" customWidth="1"/>
    <col min="286" max="16384" width="9.125" style="49" hidden="1"/>
  </cols>
  <sheetData>
    <row r="1" spans="1:287" ht="30.75" customHeight="1"/>
    <row r="2" spans="1:287" s="59" customFormat="1" ht="27.75" customHeight="1">
      <c r="A2" s="1174" t="str">
        <f>IF('School Profile'!D12="Hindi","विद्यालय का नाम :-","Name of School :-")</f>
        <v>विद्यालय का नाम :-</v>
      </c>
      <c r="B2" s="1175"/>
      <c r="C2" s="1175"/>
      <c r="D2" s="1175"/>
      <c r="E2" s="1175"/>
      <c r="F2" s="1176" t="str">
        <f>IF('School Profile'!D12="Hindi",'School Profile'!D9,'School Profile'!D8)</f>
        <v xml:space="preserve">महात्मा गाँधी राजकीय विद्यालय (अंग्रेजी माध्यम) बर, पाली </v>
      </c>
      <c r="G2" s="1177"/>
      <c r="H2" s="1177"/>
      <c r="I2" s="1177"/>
      <c r="J2" s="1177"/>
      <c r="K2" s="1178"/>
      <c r="L2" s="1178"/>
      <c r="M2" s="1178"/>
      <c r="N2" s="1178"/>
      <c r="O2" s="1178"/>
      <c r="P2" s="1178"/>
      <c r="Q2" s="1178"/>
      <c r="R2" s="1179"/>
      <c r="S2" s="522"/>
      <c r="T2" s="522"/>
      <c r="U2" s="522"/>
      <c r="V2" s="522"/>
      <c r="W2" s="522"/>
      <c r="X2" s="522"/>
      <c r="Y2" s="1073"/>
      <c r="Z2" s="1073"/>
      <c r="AA2" s="1073"/>
      <c r="AB2" s="1073"/>
      <c r="AC2" s="1073"/>
      <c r="AD2" s="1073"/>
      <c r="AE2" s="1073"/>
      <c r="AF2" s="1073"/>
      <c r="AG2" s="1073"/>
      <c r="AH2" s="1073"/>
      <c r="AI2" s="1073"/>
      <c r="AJ2" s="1073"/>
      <c r="AK2" s="1073"/>
      <c r="AL2" s="1073"/>
      <c r="AM2" s="1074"/>
      <c r="AN2" s="1074"/>
      <c r="AO2" s="1074"/>
      <c r="AP2" s="1074"/>
      <c r="AQ2" s="1074"/>
      <c r="AR2" s="1074"/>
      <c r="AS2" s="1074"/>
      <c r="AT2" s="1074"/>
      <c r="AU2" s="1074"/>
      <c r="AV2" s="1074"/>
      <c r="AW2" s="1074"/>
      <c r="AX2" s="1074"/>
      <c r="AY2" s="1074"/>
      <c r="AZ2" s="1074"/>
      <c r="BA2" s="1074"/>
      <c r="BB2" s="1074"/>
      <c r="BC2" s="1074"/>
      <c r="BD2" s="1074"/>
      <c r="BE2" s="1074"/>
      <c r="BF2" s="1074"/>
      <c r="BG2" s="1074"/>
      <c r="BH2" s="1074"/>
      <c r="BI2" s="1074"/>
      <c r="BJ2" s="1074"/>
      <c r="BK2" s="1074"/>
      <c r="BL2" s="1074"/>
      <c r="BM2" s="1074"/>
      <c r="BN2" s="1074"/>
      <c r="BO2" s="1074"/>
      <c r="BP2" s="1074"/>
      <c r="BQ2" s="1074"/>
      <c r="BR2" s="1074"/>
      <c r="BS2" s="1074"/>
      <c r="BT2" s="1074"/>
      <c r="BU2" s="1074"/>
      <c r="BV2" s="1074"/>
      <c r="BW2" s="1074"/>
      <c r="BX2" s="1074"/>
      <c r="BY2" s="1074"/>
      <c r="BZ2" s="1074"/>
      <c r="CA2" s="1074"/>
      <c r="CB2" s="1074"/>
      <c r="CC2" s="1074"/>
      <c r="CD2" s="523"/>
      <c r="CE2" s="1074"/>
      <c r="CF2" s="1074"/>
      <c r="CG2" s="1074"/>
      <c r="CH2" s="1074"/>
      <c r="CI2" s="1074"/>
      <c r="CJ2" s="1074"/>
      <c r="CK2" s="1074"/>
      <c r="CL2" s="1074"/>
      <c r="CM2" s="525"/>
      <c r="CN2" s="525"/>
      <c r="CO2" s="525"/>
      <c r="CP2" s="525"/>
      <c r="CQ2" s="525"/>
      <c r="CR2" s="525"/>
      <c r="CS2" s="1076"/>
      <c r="CT2" s="1076"/>
      <c r="CU2" s="1076"/>
      <c r="CV2" s="1076"/>
      <c r="CW2" s="1076"/>
      <c r="CX2" s="1076"/>
      <c r="CY2" s="1076"/>
      <c r="CZ2" s="1076"/>
      <c r="DA2" s="1076"/>
      <c r="DB2" s="1076"/>
      <c r="DC2" s="1076"/>
      <c r="DD2" s="1076"/>
      <c r="DE2" s="1076"/>
      <c r="DF2" s="534"/>
      <c r="DG2" s="534"/>
      <c r="DH2" s="534"/>
      <c r="DI2" s="534"/>
      <c r="DJ2" s="534"/>
      <c r="DK2" s="534"/>
      <c r="DL2" s="534"/>
      <c r="DM2" s="534"/>
      <c r="DN2" s="534"/>
      <c r="DO2" s="534"/>
      <c r="DP2" s="534"/>
      <c r="DQ2" s="534"/>
      <c r="DR2" s="534"/>
      <c r="DS2" s="534"/>
      <c r="DT2" s="534"/>
      <c r="DU2" s="534"/>
      <c r="DV2" s="534"/>
      <c r="DW2" s="534"/>
      <c r="DX2" s="534"/>
      <c r="DY2" s="525"/>
      <c r="DZ2" s="1077"/>
      <c r="EA2" s="1077"/>
      <c r="EB2" s="1077"/>
      <c r="EC2" s="1077"/>
      <c r="ED2" s="1077"/>
      <c r="EE2" s="1077"/>
      <c r="EF2" s="1077"/>
      <c r="EG2" s="1077"/>
      <c r="EH2" s="1077"/>
      <c r="EI2" s="535"/>
      <c r="EJ2" s="535"/>
      <c r="EK2" s="535"/>
      <c r="EL2" s="1077"/>
      <c r="EM2" s="1077"/>
      <c r="EN2" s="1077"/>
      <c r="EO2" s="1077"/>
      <c r="EP2" s="1077"/>
      <c r="EQ2" s="1077"/>
      <c r="ER2" s="1077"/>
      <c r="ES2" s="1077"/>
      <c r="ET2" s="1077"/>
      <c r="EU2" s="1077"/>
      <c r="EV2" s="1077"/>
      <c r="EW2" s="1077"/>
      <c r="EX2" s="1077"/>
      <c r="EY2" s="535"/>
      <c r="EZ2" s="535"/>
      <c r="FA2" s="535"/>
      <c r="FB2" s="1077"/>
      <c r="FC2" s="1077"/>
      <c r="FD2" s="1077"/>
      <c r="FE2" s="1077"/>
      <c r="FF2" s="1077"/>
      <c r="FG2" s="1077"/>
      <c r="FH2" s="1077"/>
      <c r="FI2" s="1077"/>
      <c r="FJ2" s="1077"/>
      <c r="FK2" s="1077"/>
      <c r="FL2" s="1077"/>
      <c r="FM2" s="1077"/>
      <c r="FN2" s="1077"/>
      <c r="FO2" s="1077"/>
      <c r="FP2" s="1077"/>
      <c r="FQ2" s="1077"/>
      <c r="FR2" s="535"/>
      <c r="FS2" s="535"/>
      <c r="FT2" s="535"/>
      <c r="FU2" s="1077"/>
      <c r="FV2" s="1077"/>
      <c r="FW2" s="1077"/>
      <c r="FX2" s="1077"/>
      <c r="FY2" s="1077"/>
      <c r="FZ2" s="535"/>
      <c r="GA2" s="535"/>
      <c r="GB2" s="535"/>
      <c r="GC2" s="1077"/>
      <c r="GD2" s="1077"/>
      <c r="GE2" s="1077"/>
      <c r="GF2" s="1077"/>
      <c r="GG2" s="1077"/>
      <c r="GH2" s="363"/>
      <c r="GI2" s="363"/>
      <c r="GJ2" s="363"/>
      <c r="GK2" s="1170" t="str">
        <f>'Student DATA Entry'!M2</f>
        <v>Total Attendance</v>
      </c>
      <c r="GL2" s="1170"/>
      <c r="GM2" s="1170"/>
      <c r="GN2" s="1153" t="str">
        <f>IF('School Profile'!$D$12="Hindi","विषयवार परिणाम","Subject-wise Result")</f>
        <v>विषयवार परिणाम</v>
      </c>
      <c r="GO2" s="1153"/>
      <c r="GP2" s="1153"/>
      <c r="GQ2" s="1153"/>
      <c r="GR2" s="1153"/>
      <c r="GS2" s="1153"/>
      <c r="GT2" s="1153"/>
      <c r="GU2" s="1153"/>
      <c r="GV2" s="1153"/>
      <c r="GW2" s="1153"/>
      <c r="GX2" s="1153"/>
      <c r="GY2" s="1153"/>
      <c r="GZ2" s="1153"/>
      <c r="HA2" s="1153"/>
      <c r="HB2" s="1153"/>
      <c r="HC2" s="1153"/>
      <c r="HD2" s="1153"/>
      <c r="HE2" s="1153"/>
      <c r="HF2" s="1153"/>
      <c r="HG2" s="1153"/>
      <c r="HH2" s="1153"/>
      <c r="HI2" s="1153"/>
      <c r="HJ2" s="1153"/>
      <c r="HK2" s="1153"/>
      <c r="HL2" s="1153"/>
      <c r="HM2" s="1153"/>
      <c r="HN2" s="1153" t="str">
        <f>IF('School Profile'!$D$12="Hindi","विशेष विवरण","Specifications")</f>
        <v>विशेष विवरण</v>
      </c>
      <c r="HO2" s="1153"/>
      <c r="HP2" s="1153"/>
      <c r="HQ2" s="1153"/>
      <c r="HR2" s="1153"/>
      <c r="HS2" s="1285" t="str">
        <f>IF('School Profile'!$D$12="Hindi","मुख्य परीक्षा परिणाम ","Main Exam Result")</f>
        <v xml:space="preserve">मुख्य परीक्षा परिणाम </v>
      </c>
      <c r="HT2" s="1286"/>
      <c r="HU2" s="1286"/>
      <c r="HV2" s="1286"/>
      <c r="HW2" s="1286"/>
      <c r="HX2" s="1287"/>
      <c r="HY2" s="1085" t="str">
        <f>IF('School Profile'!$D$12="Hindi","पूरक परीक्षा उतीर्ण होने के पश्चात् अंतिम परिणाम","Final Result after Passing the Supplementary Exam")</f>
        <v>पूरक परीक्षा उतीर्ण होने के पश्चात् अंतिम परिणाम</v>
      </c>
      <c r="HZ2" s="1086"/>
      <c r="IA2" s="1086"/>
      <c r="IB2" s="1086"/>
      <c r="IC2" s="1087"/>
    </row>
    <row r="3" spans="1:287" s="62" customFormat="1" ht="27.75" customHeight="1">
      <c r="A3" s="1182" t="str">
        <f>IF('School Profile'!D12="Hindi","कक्षा :-","CLASS :-")</f>
        <v>कक्षा :-</v>
      </c>
      <c r="B3" s="1183"/>
      <c r="C3" s="1183"/>
      <c r="D3" s="1183"/>
      <c r="E3" s="1177" t="s">
        <v>225</v>
      </c>
      <c r="F3" s="1184"/>
      <c r="G3" s="607" t="str">
        <f>IF('School Profile'!D12="Hindi","सत्र  :-","Session :-")</f>
        <v>सत्र  :-</v>
      </c>
      <c r="H3" s="513" t="str">
        <f>IF('Marks Entry'!I3="","",'Marks Entry'!I3)</f>
        <v>2024-2025</v>
      </c>
      <c r="I3" s="511"/>
      <c r="J3" s="512"/>
      <c r="K3" s="1080" t="str">
        <f>IF('Marks Entry'!L2="","",'Marks Entry'!L2)</f>
        <v>हिंदी</v>
      </c>
      <c r="L3" s="1080"/>
      <c r="M3" s="1080"/>
      <c r="N3" s="1080"/>
      <c r="O3" s="1080"/>
      <c r="P3" s="1080"/>
      <c r="Q3" s="1080"/>
      <c r="R3" s="1080"/>
      <c r="S3" s="1080"/>
      <c r="T3" s="1080"/>
      <c r="U3" s="1080"/>
      <c r="V3" s="1080"/>
      <c r="W3" s="1080"/>
      <c r="X3" s="1080"/>
      <c r="Y3" s="1080" t="str">
        <f>IF('Marks Entry'!Q2="","",'Marks Entry'!Q2)</f>
        <v>अंग्रेजी</v>
      </c>
      <c r="Z3" s="1080"/>
      <c r="AA3" s="1080"/>
      <c r="AB3" s="1080"/>
      <c r="AC3" s="1080"/>
      <c r="AD3" s="1080"/>
      <c r="AE3" s="1080"/>
      <c r="AF3" s="1080"/>
      <c r="AG3" s="1080"/>
      <c r="AH3" s="1080"/>
      <c r="AI3" s="1080"/>
      <c r="AJ3" s="1080"/>
      <c r="AK3" s="1080"/>
      <c r="AL3" s="1080"/>
      <c r="AM3" s="518" t="str">
        <f>IF('School Profile'!I9="","",'School Profile'!I9)</f>
        <v>संस्कृत (71)</v>
      </c>
      <c r="AN3" s="1212" t="str">
        <f>IF('School Profile'!I10="","",'School Profile'!I10)</f>
        <v xml:space="preserve">उर्दू (72) </v>
      </c>
      <c r="AO3" s="1213"/>
      <c r="AP3" s="1214"/>
      <c r="AQ3" s="1212" t="str">
        <f>IF('School Profile'!I11="","",'School Profile'!I11)</f>
        <v>गुजराती (73)</v>
      </c>
      <c r="AR3" s="1214"/>
      <c r="AS3" s="1213" t="str">
        <f>IF('School Profile'!I12="","",'School Profile'!I12)</f>
        <v xml:space="preserve">सिंधी (74) </v>
      </c>
      <c r="AT3" s="1213"/>
      <c r="AU3" s="1214"/>
      <c r="AV3" s="1212" t="str">
        <f>IF('School Profile'!I13="","",'School Profile'!I13)</f>
        <v>पंजाबी (75)</v>
      </c>
      <c r="AW3" s="1214"/>
      <c r="AX3" s="1075"/>
      <c r="AY3" s="1075"/>
      <c r="AZ3" s="1075"/>
      <c r="BA3" s="1075"/>
      <c r="BB3" s="1143" t="str">
        <f>IF('Marks Entry'!AB2="","",'Marks Entry'!AB2)</f>
        <v>गणित</v>
      </c>
      <c r="BC3" s="1144"/>
      <c r="BD3" s="1144"/>
      <c r="BE3" s="1144"/>
      <c r="BF3" s="1144"/>
      <c r="BG3" s="1144"/>
      <c r="BH3" s="1144"/>
      <c r="BI3" s="1144"/>
      <c r="BJ3" s="1144"/>
      <c r="BK3" s="1145"/>
      <c r="BL3" s="1084"/>
      <c r="BM3" s="1084"/>
      <c r="BN3" s="1084"/>
      <c r="BO3" s="1084"/>
      <c r="BP3" s="1143" t="str">
        <f>IF('Marks Entry'!AG2="","",'Marks Entry'!AG2)</f>
        <v>विज्ञान</v>
      </c>
      <c r="BQ3" s="1144"/>
      <c r="BR3" s="1144"/>
      <c r="BS3" s="1144"/>
      <c r="BT3" s="1144"/>
      <c r="BU3" s="1144"/>
      <c r="BV3" s="1144"/>
      <c r="BW3" s="1144"/>
      <c r="BX3" s="1144"/>
      <c r="BY3" s="1145"/>
      <c r="BZ3" s="1075"/>
      <c r="CA3" s="1075"/>
      <c r="CB3" s="1075"/>
      <c r="CC3" s="1075"/>
      <c r="CD3" s="60"/>
      <c r="CE3" s="1143" t="str">
        <f>IF('Marks Entry'!AL2="","",'Marks Entry'!AL2)</f>
        <v>सामाजिक विज्ञान</v>
      </c>
      <c r="CF3" s="1144"/>
      <c r="CG3" s="1144"/>
      <c r="CH3" s="1144"/>
      <c r="CI3" s="1144"/>
      <c r="CJ3" s="1144"/>
      <c r="CK3" s="1144"/>
      <c r="CL3" s="1145"/>
      <c r="CM3" s="60"/>
      <c r="CN3" s="1075"/>
      <c r="CO3" s="1075"/>
      <c r="CP3" s="1075"/>
      <c r="CQ3" s="1075"/>
      <c r="CR3" s="61"/>
      <c r="CS3" s="1250" t="str">
        <f>IF('School Profile'!$D$12="Hindi","व्यावसायिक शिक्षा विषय","Vocational Education  Subject")</f>
        <v>व्यावसायिक शिक्षा विषय</v>
      </c>
      <c r="CT3" s="1251"/>
      <c r="CU3" s="1251"/>
      <c r="CV3" s="1251"/>
      <c r="CW3" s="1251"/>
      <c r="CX3" s="1251"/>
      <c r="CY3" s="1251"/>
      <c r="CZ3" s="1251"/>
      <c r="DA3" s="1251"/>
      <c r="DB3" s="1251"/>
      <c r="DC3" s="1251"/>
      <c r="DD3" s="1251"/>
      <c r="DE3" s="1252"/>
      <c r="DF3" s="359"/>
      <c r="DG3" s="359"/>
      <c r="DH3" s="359"/>
      <c r="DI3" s="359"/>
      <c r="DJ3" s="359"/>
      <c r="DK3" s="360"/>
      <c r="DL3" s="1161" t="s">
        <v>15</v>
      </c>
      <c r="DM3" s="1162"/>
      <c r="DN3" s="1162"/>
      <c r="DO3" s="1162"/>
      <c r="DP3" s="1162"/>
      <c r="DQ3" s="1162"/>
      <c r="DR3" s="1163"/>
      <c r="DS3" s="1160" t="s">
        <v>16</v>
      </c>
      <c r="DT3" s="1160" t="s">
        <v>17</v>
      </c>
      <c r="DU3" s="1160" t="s">
        <v>18</v>
      </c>
      <c r="DV3" s="1160" t="s">
        <v>19</v>
      </c>
      <c r="DW3" s="1160" t="s">
        <v>20</v>
      </c>
      <c r="DX3" s="1160" t="s">
        <v>21</v>
      </c>
      <c r="DY3" s="521"/>
      <c r="DZ3" s="1080" t="str">
        <f>IF('Marks Entry'!AY2="","",'Marks Entry'!AY2)</f>
        <v>राजस्थान का स्वंत्रता आन्दोलन व शोर्य परम्परा</v>
      </c>
      <c r="EA3" s="1080"/>
      <c r="EB3" s="1080"/>
      <c r="EC3" s="1080"/>
      <c r="ED3" s="1080"/>
      <c r="EE3" s="1080"/>
      <c r="EF3" s="1080"/>
      <c r="EG3" s="1080"/>
      <c r="EH3" s="1080"/>
      <c r="EI3" s="520"/>
      <c r="EJ3" s="520"/>
      <c r="EK3" s="520"/>
      <c r="EL3" s="1080" t="str">
        <f>IF('Marks Entry'!BD2="","",'Marks Entry'!BD2)</f>
        <v>सूचना प्रोद्योगिकी की अवधारणा - I</v>
      </c>
      <c r="EM3" s="1080"/>
      <c r="EN3" s="1080"/>
      <c r="EO3" s="1080"/>
      <c r="EP3" s="1080"/>
      <c r="EQ3" s="1080"/>
      <c r="ER3" s="1080"/>
      <c r="ES3" s="1080"/>
      <c r="ET3" s="1080"/>
      <c r="EU3" s="1080"/>
      <c r="EV3" s="1080"/>
      <c r="EW3" s="1080"/>
      <c r="EX3" s="1080"/>
      <c r="EY3" s="520"/>
      <c r="EZ3" s="520"/>
      <c r="FA3" s="520"/>
      <c r="FB3" s="1080" t="str">
        <f>IF('Marks Entry'!BK2="","",'Marks Entry'!BK2)</f>
        <v>स्वा. एवं शा. शिक्षा</v>
      </c>
      <c r="FC3" s="1080"/>
      <c r="FD3" s="1080"/>
      <c r="FE3" s="1080"/>
      <c r="FF3" s="1080"/>
      <c r="FG3" s="1080"/>
      <c r="FH3" s="1080"/>
      <c r="FI3" s="1080"/>
      <c r="FJ3" s="1080"/>
      <c r="FK3" s="1080"/>
      <c r="FL3" s="1080"/>
      <c r="FM3" s="1080"/>
      <c r="FN3" s="1080"/>
      <c r="FO3" s="1080"/>
      <c r="FP3" s="1080"/>
      <c r="FQ3" s="1080"/>
      <c r="FR3" s="520"/>
      <c r="FS3" s="520"/>
      <c r="FT3" s="520"/>
      <c r="FU3" s="1080" t="str">
        <f>IF('Marks Entry'!BU2="","",'Marks Entry'!BU2)</f>
        <v>समाजोपयोगी उत्पादन कार्य एवं समाज सेवा</v>
      </c>
      <c r="FV3" s="1080"/>
      <c r="FW3" s="1080"/>
      <c r="FX3" s="1080"/>
      <c r="FY3" s="1080"/>
      <c r="FZ3" s="520"/>
      <c r="GA3" s="520"/>
      <c r="GB3" s="520"/>
      <c r="GC3" s="1080" t="str">
        <f>IF('Marks Entry'!BX2="","",'Marks Entry'!BX2)</f>
        <v>कला शिक्षा</v>
      </c>
      <c r="GD3" s="1080"/>
      <c r="GE3" s="1080"/>
      <c r="GF3" s="1080"/>
      <c r="GG3" s="1080"/>
      <c r="GH3" s="362"/>
      <c r="GI3" s="362"/>
      <c r="GJ3" s="362"/>
      <c r="GK3" s="1170"/>
      <c r="GL3" s="1170"/>
      <c r="GM3" s="1170"/>
      <c r="GN3" s="1153"/>
      <c r="GO3" s="1153"/>
      <c r="GP3" s="1153"/>
      <c r="GQ3" s="1153"/>
      <c r="GR3" s="1153"/>
      <c r="GS3" s="1153"/>
      <c r="GT3" s="1153"/>
      <c r="GU3" s="1153"/>
      <c r="GV3" s="1153"/>
      <c r="GW3" s="1153"/>
      <c r="GX3" s="1153"/>
      <c r="GY3" s="1153"/>
      <c r="GZ3" s="1153"/>
      <c r="HA3" s="1153"/>
      <c r="HB3" s="1153"/>
      <c r="HC3" s="1153"/>
      <c r="HD3" s="1153"/>
      <c r="HE3" s="1153"/>
      <c r="HF3" s="1153"/>
      <c r="HG3" s="1153"/>
      <c r="HH3" s="1153"/>
      <c r="HI3" s="1153"/>
      <c r="HJ3" s="1153"/>
      <c r="HK3" s="1153"/>
      <c r="HL3" s="1153"/>
      <c r="HM3" s="1153"/>
      <c r="HN3" s="1153"/>
      <c r="HO3" s="1153"/>
      <c r="HP3" s="1153"/>
      <c r="HQ3" s="1153"/>
      <c r="HR3" s="1153"/>
      <c r="HS3" s="1288"/>
      <c r="HT3" s="1289"/>
      <c r="HU3" s="1289"/>
      <c r="HV3" s="1289"/>
      <c r="HW3" s="1289"/>
      <c r="HX3" s="1290"/>
      <c r="HY3" s="1088"/>
      <c r="HZ3" s="1089"/>
      <c r="IA3" s="1089"/>
      <c r="IB3" s="1089"/>
      <c r="IC3" s="1090"/>
    </row>
    <row r="4" spans="1:287" s="62" customFormat="1" ht="30" customHeight="1">
      <c r="A4" s="1180" t="str">
        <f>IF('Marks Entry'!A4="","",'Marks Entry'!A4)</f>
        <v xml:space="preserve">क्र. स. </v>
      </c>
      <c r="B4" s="1180" t="str">
        <f>IF('Marks Entry'!B4="","",'Marks Entry'!B4)</f>
        <v>रोल न.</v>
      </c>
      <c r="C4" s="1158" t="str">
        <f>IF('Marks Entry'!D4="","",'Marks Entry'!D4)</f>
        <v>सेक्शन</v>
      </c>
      <c r="D4" s="1158" t="str">
        <f>IF('Marks Entry'!E4="","",'Marks Entry'!E4)</f>
        <v>प्रवेशांक</v>
      </c>
      <c r="E4" s="1158" t="str">
        <f>'Marks Entry'!F4</f>
        <v xml:space="preserve">जन्मतिथि </v>
      </c>
      <c r="F4" s="1096" t="str">
        <f>IF('Marks Entry'!G4="","",'Marks Entry'!G4)</f>
        <v xml:space="preserve">विद्यार्थी का नाम </v>
      </c>
      <c r="G4" s="1096" t="str">
        <f>IF('Marks Entry'!H4="","",'Marks Entry'!H4)</f>
        <v xml:space="preserve">पिता का नाम </v>
      </c>
      <c r="H4" s="1096" t="str">
        <f>IF('Marks Entry'!I4="","",'Marks Entry'!I4)</f>
        <v xml:space="preserve">माता का नाम </v>
      </c>
      <c r="I4" s="1154" t="str">
        <f>'Marks Entry'!J3</f>
        <v xml:space="preserve">वर्ग  </v>
      </c>
      <c r="J4" s="1154" t="str">
        <f>'Marks Entry'!K3</f>
        <v xml:space="preserve">लिंग </v>
      </c>
      <c r="K4" s="1080" t="str">
        <f>IF('School Profile'!$D$12="Hindi","सामयिक परख","Seasonal Exam")</f>
        <v>सामयिक परख</v>
      </c>
      <c r="L4" s="1080"/>
      <c r="M4" s="1080"/>
      <c r="N4" s="1080"/>
      <c r="O4" s="1154" t="str">
        <f>IF('School Profile'!$D$12="Hindi","अर्द्धवार्षिक","Half Yearly")</f>
        <v>अर्द्धवार्षिक</v>
      </c>
      <c r="P4" s="1146" t="str">
        <f>IF('School Profile'!$D$12="Hindi","अर्द्ध वा. तक योग","Total Till H.Y.")</f>
        <v>अर्द्ध वा. तक योग</v>
      </c>
      <c r="Q4" s="1154" t="str">
        <f>IF('School Profile'!$D$12="Hindi","वार्षिक","Yearly")</f>
        <v>वार्षिक</v>
      </c>
      <c r="R4" s="1081" t="str">
        <f>IF('School Profile'!$D$12="Hindi","विषय कुल योग ","Subject Total")</f>
        <v xml:space="preserve">विषय कुल योग </v>
      </c>
      <c r="S4" s="1215" t="s">
        <v>22</v>
      </c>
      <c r="T4" s="1172" t="s">
        <v>22</v>
      </c>
      <c r="U4" s="1130" t="s">
        <v>23</v>
      </c>
      <c r="V4" s="1172" t="s">
        <v>24</v>
      </c>
      <c r="W4" s="1130" t="s">
        <v>25</v>
      </c>
      <c r="X4" s="1130" t="s">
        <v>26</v>
      </c>
      <c r="Y4" s="1080" t="str">
        <f>IF('School Profile'!$D$12="Hindi","सामयिक परख","Seasonal Exam")</f>
        <v>सामयिक परख</v>
      </c>
      <c r="Z4" s="1080"/>
      <c r="AA4" s="1080"/>
      <c r="AB4" s="1080"/>
      <c r="AC4" s="1154" t="str">
        <f>IF('School Profile'!$D$12="Hindi","अर्द्धवार्षिक","Half Yearly")</f>
        <v>अर्द्धवार्षिक</v>
      </c>
      <c r="AD4" s="1146" t="str">
        <f>IF('School Profile'!$D$12="Hindi","अर्द्ध वा. तक योग","Total Till H.Y.")</f>
        <v>अर्द्ध वा. तक योग</v>
      </c>
      <c r="AE4" s="1154" t="str">
        <f>IF('School Profile'!$D$12="Hindi","वार्षिक","Yearly")</f>
        <v>वार्षिक</v>
      </c>
      <c r="AF4" s="1081" t="str">
        <f>IF('School Profile'!$D$12="Hindi","विषय कुल योग ","Subject Total")</f>
        <v xml:space="preserve">विषय कुल योग </v>
      </c>
      <c r="AG4" s="1215" t="s">
        <v>22</v>
      </c>
      <c r="AH4" s="1172" t="s">
        <v>22</v>
      </c>
      <c r="AI4" s="1130" t="s">
        <v>23</v>
      </c>
      <c r="AJ4" s="1172" t="s">
        <v>24</v>
      </c>
      <c r="AK4" s="1130" t="s">
        <v>25</v>
      </c>
      <c r="AL4" s="1130" t="s">
        <v>26</v>
      </c>
      <c r="AM4" s="1080" t="str">
        <f>IF('School Profile'!$D$12="Hindi","तृतीय भाषा के विषय","Third Language Subject")</f>
        <v>तृतीय भाषा के विषय</v>
      </c>
      <c r="AN4" s="1080" t="str">
        <f>IF('School Profile'!$D$12="Hindi","सामयिक परख","Seasonal Exam")</f>
        <v>सामयिक परख</v>
      </c>
      <c r="AO4" s="1080"/>
      <c r="AP4" s="1080"/>
      <c r="AQ4" s="1080"/>
      <c r="AR4" s="1154" t="str">
        <f>IF('School Profile'!$D$12="Hindi","अर्द्धवार्षिक","Half Yearly")</f>
        <v>अर्द्धवार्षिक</v>
      </c>
      <c r="AS4" s="1146" t="str">
        <f>IF('School Profile'!$D$12="Hindi","अर्द्ध वा. तक योग","Total Till H.Y.")</f>
        <v>अर्द्ध वा. तक योग</v>
      </c>
      <c r="AT4" s="1154" t="str">
        <f>IF('School Profile'!$D$12="Hindi","वार्षिक","Yearly")</f>
        <v>वार्षिक</v>
      </c>
      <c r="AU4" s="1081" t="str">
        <f>IF('School Profile'!$D$12="Hindi","विषय कुल योग ","Subject Total")</f>
        <v xml:space="preserve">विषय कुल योग </v>
      </c>
      <c r="AV4" s="1181" t="s">
        <v>22</v>
      </c>
      <c r="AW4" s="1078" t="s">
        <v>22</v>
      </c>
      <c r="AX4" s="1079" t="s">
        <v>23</v>
      </c>
      <c r="AY4" s="1078" t="s">
        <v>24</v>
      </c>
      <c r="AZ4" s="1079" t="s">
        <v>25</v>
      </c>
      <c r="BA4" s="1079" t="s">
        <v>26</v>
      </c>
      <c r="BB4" s="1080" t="str">
        <f>IF('School Profile'!$D$12="Hindi","सामयिक परख","Seasonal Exam")</f>
        <v>सामयिक परख</v>
      </c>
      <c r="BC4" s="1080"/>
      <c r="BD4" s="1080"/>
      <c r="BE4" s="1080"/>
      <c r="BF4" s="1154" t="str">
        <f>IF('School Profile'!$D$12="Hindi","अर्द्धवार्षिक","Half Yearly")</f>
        <v>अर्द्धवार्षिक</v>
      </c>
      <c r="BG4" s="1146" t="str">
        <f>IF('School Profile'!$D$12="Hindi","अर्द्ध वा. तक योग","Total Till H.Y.")</f>
        <v>अर्द्ध वा. तक योग</v>
      </c>
      <c r="BH4" s="1154" t="str">
        <f>IF('School Profile'!$D$12="Hindi","वार्षिक","Yearly")</f>
        <v>वार्षिक</v>
      </c>
      <c r="BI4" s="1081" t="str">
        <f>IF('School Profile'!$D$12="Hindi","विषय कुल योग ","Subject Total")</f>
        <v xml:space="preserve">विषय कुल योग </v>
      </c>
      <c r="BJ4" s="1181" t="s">
        <v>22</v>
      </c>
      <c r="BK4" s="1078" t="s">
        <v>22</v>
      </c>
      <c r="BL4" s="1079" t="s">
        <v>23</v>
      </c>
      <c r="BM4" s="1078" t="s">
        <v>24</v>
      </c>
      <c r="BN4" s="1079" t="s">
        <v>25</v>
      </c>
      <c r="BO4" s="1079" t="s">
        <v>26</v>
      </c>
      <c r="BP4" s="1096" t="str">
        <f>IF('School Profile'!$D$12="Hindi","सामयिक परख","Seasonal Exam")</f>
        <v>सामयिक परख</v>
      </c>
      <c r="BQ4" s="1096"/>
      <c r="BR4" s="1096"/>
      <c r="BS4" s="1096"/>
      <c r="BT4" s="1159" t="str">
        <f>IF('School Profile'!$D$12="Hindi","अर्द्धवार्षिक","Half Yearly")</f>
        <v>अर्द्धवार्षिक</v>
      </c>
      <c r="BU4" s="1150" t="str">
        <f>IF('School Profile'!$D$12="Hindi","अर्द्ध वा. तक योग","Total Till H.Y.")</f>
        <v>अर्द्ध वा. तक योग</v>
      </c>
      <c r="BV4" s="1159" t="str">
        <f>IF('School Profile'!$D$12="Hindi","वार्षिक","Yearly")</f>
        <v>वार्षिक</v>
      </c>
      <c r="BW4" s="1155" t="str">
        <f>IF('School Profile'!$D$12="Hindi","विषय कुल योग ","Subject Total")</f>
        <v xml:space="preserve">विषय कुल योग </v>
      </c>
      <c r="BX4" s="1078" t="s">
        <v>22</v>
      </c>
      <c r="BY4" s="1078" t="s">
        <v>22</v>
      </c>
      <c r="BZ4" s="1079" t="s">
        <v>23</v>
      </c>
      <c r="CA4" s="1078" t="s">
        <v>24</v>
      </c>
      <c r="CB4" s="1079" t="s">
        <v>25</v>
      </c>
      <c r="CC4" s="1079" t="s">
        <v>26</v>
      </c>
      <c r="CD4" s="1078" t="s">
        <v>27</v>
      </c>
      <c r="CE4" s="1080" t="str">
        <f>IF('School Profile'!$D$12="Hindi","सामयिक परख","Seasonal Exam")</f>
        <v>सामयिक परख</v>
      </c>
      <c r="CF4" s="1080"/>
      <c r="CG4" s="1080"/>
      <c r="CH4" s="1080"/>
      <c r="CI4" s="1154" t="str">
        <f>IF('School Profile'!$D$12="Hindi","अर्द्धवार्षिक","Half Yearly")</f>
        <v>अर्द्धवार्षिक</v>
      </c>
      <c r="CJ4" s="1146" t="str">
        <f>IF('School Profile'!$D$12="Hindi","अर्द्ध वा. तक योग","Total Till H.Y.")</f>
        <v>अर्द्ध वा. तक योग</v>
      </c>
      <c r="CK4" s="1154" t="str">
        <f>IF('School Profile'!$D$12="Hindi","वार्षिक","Yearly")</f>
        <v>वार्षिक</v>
      </c>
      <c r="CL4" s="1081" t="str">
        <f>IF('School Profile'!$D$12="Hindi","विषय कुल योग ","Subject Total")</f>
        <v xml:space="preserve">विषय कुल योग </v>
      </c>
      <c r="CM4" s="1078" t="s">
        <v>22</v>
      </c>
      <c r="CN4" s="1078" t="s">
        <v>22</v>
      </c>
      <c r="CO4" s="1079" t="s">
        <v>23</v>
      </c>
      <c r="CP4" s="1078" t="s">
        <v>24</v>
      </c>
      <c r="CQ4" s="1079" t="s">
        <v>25</v>
      </c>
      <c r="CR4" s="1079" t="s">
        <v>26</v>
      </c>
      <c r="CS4" s="1253" t="str">
        <f>IF('School Profile'!$D$12="Hindi","व्यावसायिक शिक्षा के विषय","Vocational Education  Subject")</f>
        <v>व्यावसायिक शिक्षा के विषय</v>
      </c>
      <c r="CT4" s="1219" t="str">
        <f>IF('School Profile'!$D$12="Hindi","सामयिक परख","Seasonal Exam")</f>
        <v>सामयिक परख</v>
      </c>
      <c r="CU4" s="1219"/>
      <c r="CV4" s="1219"/>
      <c r="CW4" s="1219"/>
      <c r="CX4" s="1219" t="str">
        <f>IF('School Profile'!$D$12="Hindi","अर्द्धवार्षिक","Half Yearly")</f>
        <v>अर्द्धवार्षिक</v>
      </c>
      <c r="CY4" s="1219"/>
      <c r="CZ4" s="1219"/>
      <c r="DA4" s="1146" t="str">
        <f>IF('School Profile'!$D$12="Hindi","अर्द्ध वा. तक योग","Total Till H.Y.")</f>
        <v>अर्द्ध वा. तक योग</v>
      </c>
      <c r="DB4" s="1219" t="str">
        <f>IF('School Profile'!$D$12="Hindi","वार्षिक","Yearly")</f>
        <v>वार्षिक</v>
      </c>
      <c r="DC4" s="1219"/>
      <c r="DD4" s="1219"/>
      <c r="DE4" s="1081" t="str">
        <f>IF('School Profile'!$D$12="Hindi","विषय कुल योग ","Subject Total")</f>
        <v xml:space="preserve">विषय कुल योग </v>
      </c>
      <c r="DF4" s="1181" t="s">
        <v>22</v>
      </c>
      <c r="DG4" s="1078" t="s">
        <v>22</v>
      </c>
      <c r="DH4" s="1079" t="s">
        <v>23</v>
      </c>
      <c r="DI4" s="1078" t="s">
        <v>24</v>
      </c>
      <c r="DJ4" s="1079" t="s">
        <v>25</v>
      </c>
      <c r="DK4" s="1079" t="s">
        <v>26</v>
      </c>
      <c r="DL4" s="1164"/>
      <c r="DM4" s="1165"/>
      <c r="DN4" s="1165"/>
      <c r="DO4" s="1165"/>
      <c r="DP4" s="1165"/>
      <c r="DQ4" s="1165"/>
      <c r="DR4" s="1166"/>
      <c r="DS4" s="1160"/>
      <c r="DT4" s="1160"/>
      <c r="DU4" s="1160"/>
      <c r="DV4" s="1160"/>
      <c r="DW4" s="1160"/>
      <c r="DX4" s="1160"/>
      <c r="DY4" s="1283" t="s">
        <v>28</v>
      </c>
      <c r="DZ4" s="1080" t="str">
        <f>IF('School Profile'!$D$12="Hindi","सामयिक परख","Seasonal Exam")</f>
        <v>सामयिक परख</v>
      </c>
      <c r="EA4" s="1080"/>
      <c r="EB4" s="1080"/>
      <c r="EC4" s="1080"/>
      <c r="ED4" s="1154" t="str">
        <f>IF('School Profile'!$D$12="Hindi","अर्द्धवार्षिक","Half Yearly")</f>
        <v>अर्द्धवार्षिक</v>
      </c>
      <c r="EE4" s="1146" t="str">
        <f>IF('School Profile'!$D$12="Hindi","अर्द्ध वा. तक योग","Total Till H.Y.")</f>
        <v>अर्द्ध वा. तक योग</v>
      </c>
      <c r="EF4" s="1154" t="str">
        <f>IF('School Profile'!$D$12="Hindi","वार्षिक","Yearly")</f>
        <v>वार्षिक</v>
      </c>
      <c r="EG4" s="1081" t="str">
        <f>IF('School Profile'!$D$12="Hindi","विषय कुल योग ","Subject Total")</f>
        <v xml:space="preserve">विषय कुल योग </v>
      </c>
      <c r="EH4" s="1082" t="str">
        <f>IF('School Profile'!$D$12="Hindi","विषय ग्रेड","Subject Grade")</f>
        <v>विषय ग्रेड</v>
      </c>
      <c r="EI4" s="1171" t="s">
        <v>22</v>
      </c>
      <c r="EJ4" s="1171" t="s">
        <v>22</v>
      </c>
      <c r="EK4" s="1173" t="s">
        <v>23</v>
      </c>
      <c r="EL4" s="1219" t="str">
        <f>IF('School Profile'!$D$12="Hindi","सामयिक परख","Seasonal Exam")</f>
        <v>सामयिक परख</v>
      </c>
      <c r="EM4" s="1219"/>
      <c r="EN4" s="1219"/>
      <c r="EO4" s="1219"/>
      <c r="EP4" s="1219" t="str">
        <f>IF('School Profile'!$D$12="Hindi","अर्द्धवार्षिक","Half Yearly")</f>
        <v>अर्द्धवार्षिक</v>
      </c>
      <c r="EQ4" s="1219"/>
      <c r="ER4" s="1219"/>
      <c r="ES4" s="1146" t="str">
        <f>IF('School Profile'!$D$12="Hindi","अर्द्ध वा. तक योग","Total Till H.Y.")</f>
        <v>अर्द्ध वा. तक योग</v>
      </c>
      <c r="ET4" s="1219" t="str">
        <f>IF('School Profile'!$D$12="Hindi","वार्षिक","Yearly")</f>
        <v>वार्षिक</v>
      </c>
      <c r="EU4" s="1219"/>
      <c r="EV4" s="1219"/>
      <c r="EW4" s="1081" t="str">
        <f>IF('School Profile'!$D$12="Hindi","विषय कुल योग ","Subject Total")</f>
        <v xml:space="preserve">विषय कुल योग </v>
      </c>
      <c r="EX4" s="1082" t="str">
        <f>IF('School Profile'!$D$12="Hindi","विषय ग्रेड","Subject Grade")</f>
        <v>विषय ग्रेड</v>
      </c>
      <c r="EY4" s="1171" t="s">
        <v>22</v>
      </c>
      <c r="EZ4" s="1171" t="s">
        <v>22</v>
      </c>
      <c r="FA4" s="1173" t="s">
        <v>23</v>
      </c>
      <c r="FB4" s="1212" t="str">
        <f>IF('School Profile'!$D$12="Hindi","प्रथम परख ","First Test")</f>
        <v xml:space="preserve">प्रथम परख </v>
      </c>
      <c r="FC4" s="1214"/>
      <c r="FD4" s="1212" t="str">
        <f>IF('School Profile'!$D$12="Hindi","द्वितीय परख","Second Test")</f>
        <v>द्वितीय परख</v>
      </c>
      <c r="FE4" s="1214"/>
      <c r="FF4" s="1212" t="str">
        <f>IF('School Profile'!$D$12="Hindi","तृतीय परख","Third Test")</f>
        <v>तृतीय परख</v>
      </c>
      <c r="FG4" s="1214"/>
      <c r="FH4" s="1291" t="str">
        <f>IF('School Profile'!$D$12="Hindi","सा. परख योग","Test Total")</f>
        <v>सा. परख योग</v>
      </c>
      <c r="FI4" s="1219" t="str">
        <f>IF('School Profile'!$D$12="Hindi","अर्द्धवार्षिक","Half Yearly")</f>
        <v>अर्द्धवार्षिक</v>
      </c>
      <c r="FJ4" s="1219"/>
      <c r="FK4" s="1219"/>
      <c r="FL4" s="1146" t="str">
        <f>IF('School Profile'!$D$12="Hindi","अर्द्ध वा. तक योग","Total Till H.Y.")</f>
        <v>अर्द्ध वा. तक योग</v>
      </c>
      <c r="FM4" s="1219" t="str">
        <f>IF('School Profile'!$D$12="Hindi","वार्षिक","Yearly")</f>
        <v>वार्षिक</v>
      </c>
      <c r="FN4" s="1219"/>
      <c r="FO4" s="1219"/>
      <c r="FP4" s="1081" t="str">
        <f>IF('School Profile'!$D$12="Hindi","विषय कुल योग ","Subject Total")</f>
        <v xml:space="preserve">विषय कुल योग </v>
      </c>
      <c r="FQ4" s="1082" t="str">
        <f>IF('School Profile'!$D$12="Hindi","विषय ग्रेड","Subject Grade")</f>
        <v>विषय ग्रेड</v>
      </c>
      <c r="FR4" s="1171" t="s">
        <v>22</v>
      </c>
      <c r="FS4" s="1171" t="s">
        <v>22</v>
      </c>
      <c r="FT4" s="1173" t="s">
        <v>23</v>
      </c>
      <c r="FU4" s="1094" t="str">
        <f>IF('School Profile'!$D$12="Hindi","अनिवार्य प्रवृति","Compulsory Tendency")</f>
        <v>अनिवार्य प्रवृति</v>
      </c>
      <c r="FV4" s="1094" t="str">
        <f>IF('School Profile'!$D$12="Hindi","वैकल्पिक प्रवृति","Alternative Tendency")</f>
        <v>वैकल्पिक प्रवृति</v>
      </c>
      <c r="FW4" s="1094" t="str">
        <f>IF('School Profile'!$D$12="Hindi","शिविर","Camp")</f>
        <v>शिविर</v>
      </c>
      <c r="FX4" s="1081" t="str">
        <f>IF('School Profile'!$D$12="Hindi","विषय कुल योग ","Subject Total")</f>
        <v xml:space="preserve">विषय कुल योग </v>
      </c>
      <c r="FY4" s="1082" t="str">
        <f>IF('School Profile'!$D$12="Hindi","विषय ग्रेड","Subject Grade")</f>
        <v>विषय ग्रेड</v>
      </c>
      <c r="FZ4" s="1171" t="s">
        <v>22</v>
      </c>
      <c r="GA4" s="1171" t="s">
        <v>22</v>
      </c>
      <c r="GB4" s="1173" t="s">
        <v>23</v>
      </c>
      <c r="GC4" s="1094" t="str">
        <f>IF('School Profile'!$D$12="Hindi","अनिवार्य प्रवृति","Compulsory Tendency")</f>
        <v>अनिवार्य प्रवृति</v>
      </c>
      <c r="GD4" s="1094" t="str">
        <f>IF('School Profile'!$D$12="Hindi","वैकल्पिक प्रवृति","Alternative Tendency")</f>
        <v>वैकल्पिक प्रवृति</v>
      </c>
      <c r="GE4" s="1094" t="str">
        <f>IF('School Profile'!$D$12="Hindi","शिविर","Camp")</f>
        <v>शिविर</v>
      </c>
      <c r="GF4" s="1081" t="str">
        <f>IF('School Profile'!$D$12="Hindi","विषय कुल योग ","Subject Total")</f>
        <v xml:space="preserve">विषय कुल योग </v>
      </c>
      <c r="GG4" s="1082" t="str">
        <f>IF('School Profile'!$D$12="Hindi","विषय ग्रेड","Subject Grade")</f>
        <v>विषय ग्रेड</v>
      </c>
      <c r="GH4" s="1171" t="s">
        <v>22</v>
      </c>
      <c r="GI4" s="1171" t="s">
        <v>22</v>
      </c>
      <c r="GJ4" s="1173" t="s">
        <v>23</v>
      </c>
      <c r="GK4" s="1154" t="str">
        <f>IF('School Profile'!$D$12="Hindi","कुल कार्य दिवस","Total Working Days")</f>
        <v>कुल कार्य दिवस</v>
      </c>
      <c r="GL4" s="1154" t="str">
        <f>IF('School Profile'!$D$12="Hindi","कुल उपस्थिति","Student's Attendance")</f>
        <v>कुल उपस्थिति</v>
      </c>
      <c r="GM4" s="1158" t="str">
        <f>IF('School Profile'!$D$12="Hindi","उपस्थिति प्रतिशत","Attendance  Percentage")</f>
        <v>उपस्थिति प्रतिशत</v>
      </c>
      <c r="GN4" s="1080" t="str">
        <f>K3</f>
        <v>हिंदी</v>
      </c>
      <c r="GO4" s="1080"/>
      <c r="GP4" s="1080"/>
      <c r="GQ4" s="1080" t="str">
        <f>Y3</f>
        <v>अंग्रेजी</v>
      </c>
      <c r="GR4" s="1080"/>
      <c r="GS4" s="1080"/>
      <c r="GT4" s="63"/>
      <c r="GU4" s="1246" t="str">
        <f>'School Profile'!G9</f>
        <v>तृतीय भाषा</v>
      </c>
      <c r="GV4" s="1246"/>
      <c r="GW4" s="1246"/>
      <c r="GX4" s="1246"/>
      <c r="GY4" s="1246"/>
      <c r="GZ4" s="1246"/>
      <c r="HA4" s="1246"/>
      <c r="HB4" s="1212" t="str">
        <f>BB3</f>
        <v>गणित</v>
      </c>
      <c r="HC4" s="1213"/>
      <c r="HD4" s="1214"/>
      <c r="HE4" s="1212" t="str">
        <f>BP3</f>
        <v>विज्ञान</v>
      </c>
      <c r="HF4" s="1213"/>
      <c r="HG4" s="1214"/>
      <c r="HH4" s="1212" t="str">
        <f>CE3</f>
        <v>सामाजिक विज्ञान</v>
      </c>
      <c r="HI4" s="1213"/>
      <c r="HJ4" s="1214"/>
      <c r="HK4" s="1243" t="str">
        <f>CS3</f>
        <v>व्यावसायिक शिक्षा विषय</v>
      </c>
      <c r="HL4" s="1243"/>
      <c r="HM4" s="1243"/>
      <c r="HN4" s="1219" t="str">
        <f>IF('School Profile'!$D$12="Hindi","अनुतीर्ण विषय","Failed Subject")</f>
        <v>अनुतीर्ण विषय</v>
      </c>
      <c r="HO4" s="1219" t="str">
        <f>IF('School Profile'!$D$12="Hindi","पूरक विषय","Supplementary Subject")</f>
        <v>पूरक विषय</v>
      </c>
      <c r="HP4" s="1219" t="str">
        <f>IF('School Profile'!$D$12="Hindi","सानुग्रह उतीर्ण विषय","Subject Of Grace")</f>
        <v>सानुग्रह उतीर्ण विषय</v>
      </c>
      <c r="HQ4" s="1219" t="str">
        <f>IF('School Profile'!$D$12="Hindi","पुनः परीक्षा के विषय","Subject of Re-Exam")</f>
        <v>पुनः परीक्षा के विषय</v>
      </c>
      <c r="HR4" s="1219" t="str">
        <f>IF('School Profile'!$D$12="Hindi","विशेष योग्यता प्राप्त विषय","Subjects Of Dictation Marks")</f>
        <v>विशेष योग्यता प्राप्त विषय</v>
      </c>
      <c r="HS4" s="1075" t="str">
        <f>IF('School Profile'!$D$12="Hindi","परिणाम :- उतीर्ण/ सा.उतीर्ण/ पूरक/ पुनः परीक्षा/ अनुतीर्ण","Result :- PASS/ BY GRACE PASS/ SUPPLEMENTARY/ RE-EXAM/ FAIL")</f>
        <v>परिणाम :- उतीर्ण/ सा.उतीर्ण/ पूरक/ पुनः परीक्षा/ अनुतीर्ण</v>
      </c>
      <c r="HT4" s="1244" t="str">
        <f>IF('School Profile'!$D$12="Hindi","सर्व योग प्राप्तांक","Grand Total")</f>
        <v>सर्व योग प्राप्तांक</v>
      </c>
      <c r="HU4" s="1245" t="s">
        <v>29</v>
      </c>
      <c r="HV4" s="1092" t="str">
        <f>IF('School Profile'!$D$12="Hindi","श्रेणी","Division")</f>
        <v>श्रेणी</v>
      </c>
      <c r="HW4" s="1091" t="str">
        <f>IF('School Profile'!D12="Hindi","प्रतिशत","Percentage")</f>
        <v>प्रतिशत</v>
      </c>
      <c r="HX4" s="1092" t="str">
        <f>IF('School Profile'!D12="Hindi","कक्षा में स्थान","Position in the Class")</f>
        <v>कक्षा में स्थान</v>
      </c>
      <c r="HY4" s="1209" t="str">
        <f>IF('School Profile'!$D$12="Hindi","पूरक परीक्षा का परिणाम","Result of Supplementary Exam")</f>
        <v>पूरक परीक्षा का परिणाम</v>
      </c>
      <c r="HZ4" s="1209" t="str">
        <f>IF('School Profile'!$D$12="Hindi","पूरक परीक्षा उतीर्ण के बाद प्रतिशत","Percentage  after Passing the Supplementary Exam")</f>
        <v>पूरक परीक्षा उतीर्ण के बाद प्रतिशत</v>
      </c>
      <c r="IA4" s="1125" t="str">
        <f>IF('School Profile'!$D$12="Hindi","श्रेणी","Division")</f>
        <v>श्रेणी</v>
      </c>
      <c r="IB4" s="1209" t="str">
        <f>IF('School Profile'!$D$12="Hindi","पूरक परीक्षा उतीर्ण के पश्चात् परिणाम","Final Result after Passing the Supplementary Exam")</f>
        <v>पूरक परीक्षा उतीर्ण के पश्चात् परिणाम</v>
      </c>
      <c r="IC4" s="1125" t="str">
        <f>IF('School Profile'!$D$12="Hindi","विशेष विवरण","Specifications")</f>
        <v>विशेष विवरण</v>
      </c>
      <c r="IS4" s="1110" t="s">
        <v>58</v>
      </c>
      <c r="IT4" s="1111"/>
      <c r="IU4" s="1111"/>
      <c r="IV4" s="1111"/>
      <c r="IW4" s="1111"/>
      <c r="IX4" s="1111"/>
      <c r="IY4" s="1112"/>
      <c r="IZ4" s="1116" t="s">
        <v>57</v>
      </c>
      <c r="JA4" s="1117"/>
      <c r="JB4" s="1117"/>
      <c r="JC4" s="1117"/>
      <c r="JD4" s="1117"/>
      <c r="JE4" s="1117"/>
      <c r="JF4" s="1118"/>
      <c r="JG4" s="1067" t="s">
        <v>25</v>
      </c>
      <c r="JH4" s="1068"/>
      <c r="JI4" s="1068"/>
      <c r="JJ4" s="1068"/>
      <c r="JK4" s="1068"/>
      <c r="JL4" s="1068"/>
      <c r="JM4" s="1069"/>
      <c r="JN4" s="64"/>
      <c r="JO4" s="64"/>
      <c r="JP4" s="64"/>
      <c r="JQ4" s="1202" t="s">
        <v>59</v>
      </c>
      <c r="JR4" s="1203"/>
      <c r="JS4" s="1203"/>
      <c r="JT4" s="1203"/>
      <c r="JU4" s="1203"/>
      <c r="JV4" s="1203"/>
      <c r="JW4" s="1204"/>
      <c r="JX4" s="1185" t="s">
        <v>30</v>
      </c>
      <c r="JY4" s="1185" t="s">
        <v>29</v>
      </c>
      <c r="JZ4" s="1185" t="s">
        <v>64</v>
      </c>
    </row>
    <row r="5" spans="1:287" s="62" customFormat="1" ht="78.75" customHeight="1">
      <c r="A5" s="1154"/>
      <c r="B5" s="1154"/>
      <c r="C5" s="1159"/>
      <c r="D5" s="1159"/>
      <c r="E5" s="1159"/>
      <c r="F5" s="1080"/>
      <c r="G5" s="1080"/>
      <c r="H5" s="1080"/>
      <c r="I5" s="1154"/>
      <c r="J5" s="1154"/>
      <c r="K5" s="516" t="str">
        <f>IF('School Profile'!$D$12="Hindi","प्रथम परख ","First Test")</f>
        <v xml:space="preserve">प्रथम परख </v>
      </c>
      <c r="L5" s="516" t="str">
        <f>IF('School Profile'!$D$12="Hindi","द्वितीय परख","Second Test")</f>
        <v>द्वितीय परख</v>
      </c>
      <c r="M5" s="516" t="str">
        <f>IF('School Profile'!$D$12="Hindi","तृतीय परख","Third Test")</f>
        <v>तृतीय परख</v>
      </c>
      <c r="N5" s="531" t="str">
        <f>IF('School Profile'!$D$12="Hindi","सा. परख योग","Test Total")</f>
        <v>सा. परख योग</v>
      </c>
      <c r="O5" s="1154"/>
      <c r="P5" s="1146"/>
      <c r="Q5" s="1154"/>
      <c r="R5" s="1081"/>
      <c r="S5" s="1181"/>
      <c r="T5" s="1078"/>
      <c r="U5" s="1079"/>
      <c r="V5" s="1078"/>
      <c r="W5" s="1079"/>
      <c r="X5" s="1079"/>
      <c r="Y5" s="516" t="str">
        <f>IF('School Profile'!$D$12="Hindi","प्रथम परख ","First Test")</f>
        <v xml:space="preserve">प्रथम परख </v>
      </c>
      <c r="Z5" s="516" t="str">
        <f>IF('School Profile'!$D$12="Hindi","द्वितीय परख","Second Test")</f>
        <v>द्वितीय परख</v>
      </c>
      <c r="AA5" s="516" t="str">
        <f>IF('School Profile'!$D$12="Hindi","तृतीय परख","Third Test")</f>
        <v>तृतीय परख</v>
      </c>
      <c r="AB5" s="531" t="str">
        <f>IF('School Profile'!$D$12="Hindi","सा. परख योग","Test Total")</f>
        <v>सा. परख योग</v>
      </c>
      <c r="AC5" s="1154"/>
      <c r="AD5" s="1146"/>
      <c r="AE5" s="1154"/>
      <c r="AF5" s="1081"/>
      <c r="AG5" s="1181"/>
      <c r="AH5" s="1078"/>
      <c r="AI5" s="1079"/>
      <c r="AJ5" s="1078"/>
      <c r="AK5" s="1079"/>
      <c r="AL5" s="1079"/>
      <c r="AM5" s="1080"/>
      <c r="AN5" s="516" t="str">
        <f>IF('School Profile'!$D$12="Hindi","प्रथम परख ","First Test")</f>
        <v xml:space="preserve">प्रथम परख </v>
      </c>
      <c r="AO5" s="516" t="str">
        <f>IF('School Profile'!$D$12="Hindi","द्वितीय परख","Second Test")</f>
        <v>द्वितीय परख</v>
      </c>
      <c r="AP5" s="516" t="str">
        <f>IF('School Profile'!$D$12="Hindi","तृतीय परख","Third Test")</f>
        <v>तृतीय परख</v>
      </c>
      <c r="AQ5" s="531" t="str">
        <f>IF('School Profile'!$D$12="Hindi","सा. परख योग","Test Total")</f>
        <v>सा. परख योग</v>
      </c>
      <c r="AR5" s="1154"/>
      <c r="AS5" s="1146"/>
      <c r="AT5" s="1154"/>
      <c r="AU5" s="1081"/>
      <c r="AV5" s="1181"/>
      <c r="AW5" s="1078"/>
      <c r="AX5" s="1079"/>
      <c r="AY5" s="1078"/>
      <c r="AZ5" s="1079"/>
      <c r="BA5" s="1079"/>
      <c r="BB5" s="516" t="str">
        <f>IF('School Profile'!$D$12="Hindi","प्रथम परख ","First Test")</f>
        <v xml:space="preserve">प्रथम परख </v>
      </c>
      <c r="BC5" s="516" t="str">
        <f>IF('School Profile'!$D$12="Hindi","द्वितीय परख","Second Test")</f>
        <v>द्वितीय परख</v>
      </c>
      <c r="BD5" s="516" t="str">
        <f>IF('School Profile'!$D$12="Hindi","तृतीय परख","Third Test")</f>
        <v>तृतीय परख</v>
      </c>
      <c r="BE5" s="531" t="str">
        <f>IF('School Profile'!$D$12="Hindi","सा. परख योग","Test Total")</f>
        <v>सा. परख योग</v>
      </c>
      <c r="BF5" s="1154"/>
      <c r="BG5" s="1146"/>
      <c r="BH5" s="1154"/>
      <c r="BI5" s="1081"/>
      <c r="BJ5" s="1181"/>
      <c r="BK5" s="1078"/>
      <c r="BL5" s="1079"/>
      <c r="BM5" s="1078"/>
      <c r="BN5" s="1079"/>
      <c r="BO5" s="1079"/>
      <c r="BP5" s="516" t="str">
        <f>IF('School Profile'!$D$12="Hindi","प्रथम परख ","First Test")</f>
        <v xml:space="preserve">प्रथम परख </v>
      </c>
      <c r="BQ5" s="516" t="str">
        <f>IF('School Profile'!$D$12="Hindi","द्वितीय परख","Second Test")</f>
        <v>द्वितीय परख</v>
      </c>
      <c r="BR5" s="516" t="str">
        <f>IF('School Profile'!$D$12="Hindi","तृतीय परख","Third Test")</f>
        <v>तृतीय परख</v>
      </c>
      <c r="BS5" s="517" t="str">
        <f>IF('School Profile'!$D$12="Hindi","सा. परख योग","Test Total")</f>
        <v>सा. परख योग</v>
      </c>
      <c r="BT5" s="1180"/>
      <c r="BU5" s="1151"/>
      <c r="BV5" s="1180"/>
      <c r="BW5" s="1156"/>
      <c r="BX5" s="1078"/>
      <c r="BY5" s="1078"/>
      <c r="BZ5" s="1079"/>
      <c r="CA5" s="1078"/>
      <c r="CB5" s="1079"/>
      <c r="CC5" s="1079"/>
      <c r="CD5" s="1078"/>
      <c r="CE5" s="516" t="str">
        <f>IF('School Profile'!$D$12="Hindi","प्रथम परख ","First Test")</f>
        <v xml:space="preserve">प्रथम परख </v>
      </c>
      <c r="CF5" s="516" t="str">
        <f>IF('School Profile'!$D$12="Hindi","द्वितीय परख","Second Test")</f>
        <v>द्वितीय परख</v>
      </c>
      <c r="CG5" s="516" t="str">
        <f>IF('School Profile'!$D$12="Hindi","तृतीय परख","Third Test")</f>
        <v>तृतीय परख</v>
      </c>
      <c r="CH5" s="531" t="str">
        <f>IF('School Profile'!$D$12="Hindi","सा. परख योग","Test Total")</f>
        <v>सा. परख योग</v>
      </c>
      <c r="CI5" s="1154"/>
      <c r="CJ5" s="1146"/>
      <c r="CK5" s="1154"/>
      <c r="CL5" s="1081"/>
      <c r="CM5" s="1078"/>
      <c r="CN5" s="1078"/>
      <c r="CO5" s="1079"/>
      <c r="CP5" s="1078"/>
      <c r="CQ5" s="1079"/>
      <c r="CR5" s="1079"/>
      <c r="CS5" s="1254"/>
      <c r="CT5" s="519" t="str">
        <f>IF('School Profile'!$D$12="Hindi","प्रथम परख ","First Test")</f>
        <v xml:space="preserve">प्रथम परख </v>
      </c>
      <c r="CU5" s="519" t="str">
        <f>IF('School Profile'!$D$12="Hindi","द्वितीय परख","Second Test")</f>
        <v>द्वितीय परख</v>
      </c>
      <c r="CV5" s="519" t="str">
        <f>IF('School Profile'!$D$12="Hindi","तृतीय परख","Third Test")</f>
        <v>तृतीय परख</v>
      </c>
      <c r="CW5" s="531" t="str">
        <f>IF('School Profile'!$D$12="Hindi","सा. परख योग","Test Total")</f>
        <v>सा. परख योग</v>
      </c>
      <c r="CX5" s="519" t="str">
        <f>IF('School Profile'!$D$12="Hindi","सैद्धान्तिक","Theoretical")</f>
        <v>सैद्धान्तिक</v>
      </c>
      <c r="CY5" s="519" t="str">
        <f>IF('School Profile'!$D$12="Hindi","प्रायोगिक","Practical")</f>
        <v>प्रायोगिक</v>
      </c>
      <c r="CZ5" s="357" t="str">
        <f>IF('School Profile'!$D$12="Hindi","अर्द्धवार्षिक योग","H.Y.  Total")</f>
        <v>अर्द्धवार्षिक योग</v>
      </c>
      <c r="DA5" s="1146"/>
      <c r="DB5" s="519" t="str">
        <f>IF('School Profile'!$D$12="Hindi","सैद्धान्तिक","Theoretical")</f>
        <v>सैद्धान्तिक</v>
      </c>
      <c r="DC5" s="519" t="str">
        <f>IF('School Profile'!$D$12="Hindi","प्रायोगिक","Practical")</f>
        <v>प्रायोगिक</v>
      </c>
      <c r="DD5" s="357" t="str">
        <f>IF('School Profile'!$D$12="Hindi","वार्षिक योग","Yearly  Total")</f>
        <v>वार्षिक योग</v>
      </c>
      <c r="DE5" s="1081"/>
      <c r="DF5" s="1181"/>
      <c r="DG5" s="1078"/>
      <c r="DH5" s="1079"/>
      <c r="DI5" s="1078"/>
      <c r="DJ5" s="1079"/>
      <c r="DK5" s="1079"/>
      <c r="DL5" s="1167"/>
      <c r="DM5" s="1168"/>
      <c r="DN5" s="1168"/>
      <c r="DO5" s="1168"/>
      <c r="DP5" s="1168"/>
      <c r="DQ5" s="1168"/>
      <c r="DR5" s="1169"/>
      <c r="DS5" s="1160"/>
      <c r="DT5" s="1160"/>
      <c r="DU5" s="1160"/>
      <c r="DV5" s="1160"/>
      <c r="DW5" s="1160"/>
      <c r="DX5" s="1160"/>
      <c r="DY5" s="1283"/>
      <c r="DZ5" s="516" t="str">
        <f>IF('School Profile'!$D$12="Hindi","प्रथम परख ","First Test")</f>
        <v xml:space="preserve">प्रथम परख </v>
      </c>
      <c r="EA5" s="516" t="str">
        <f>IF('School Profile'!$D$12="Hindi","द्वितीय परख","Second Test")</f>
        <v>द्वितीय परख</v>
      </c>
      <c r="EB5" s="516" t="str">
        <f>IF('School Profile'!$D$12="Hindi","तृतीय परख","Third Test")</f>
        <v>तृतीय परख</v>
      </c>
      <c r="EC5" s="531" t="str">
        <f>IF('School Profile'!$D$12="Hindi","सा. परख योग","Test Total")</f>
        <v>सा. परख योग</v>
      </c>
      <c r="ED5" s="1154"/>
      <c r="EE5" s="1146"/>
      <c r="EF5" s="1154"/>
      <c r="EG5" s="1081"/>
      <c r="EH5" s="1083"/>
      <c r="EI5" s="1172"/>
      <c r="EJ5" s="1172"/>
      <c r="EK5" s="1130"/>
      <c r="EL5" s="519" t="str">
        <f>IF('School Profile'!$D$12="Hindi","प्रथम परख ","First Test")</f>
        <v xml:space="preserve">प्रथम परख </v>
      </c>
      <c r="EM5" s="519" t="str">
        <f>IF('School Profile'!$D$12="Hindi","द्वितीय परख","Second Test")</f>
        <v>द्वितीय परख</v>
      </c>
      <c r="EN5" s="519" t="str">
        <f>IF('School Profile'!$D$12="Hindi","तृतीय परख","Third Test")</f>
        <v>तृतीय परख</v>
      </c>
      <c r="EO5" s="531" t="str">
        <f>IF('School Profile'!$D$12="Hindi","सा. परख योग","Test Total")</f>
        <v>सा. परख योग</v>
      </c>
      <c r="EP5" s="519" t="str">
        <f>IF('School Profile'!$D$12="Hindi","सैद्धान्तिक","Theoretical")</f>
        <v>सैद्धान्तिक</v>
      </c>
      <c r="EQ5" s="519" t="str">
        <f>IF('School Profile'!$D$12="Hindi","प्रायोगिक","Practical")</f>
        <v>प्रायोगिक</v>
      </c>
      <c r="ER5" s="357" t="str">
        <f>IF('School Profile'!$D$12="Hindi","अर्द्धवार्षिक योग","H.Y.  Total")</f>
        <v>अर्द्धवार्षिक योग</v>
      </c>
      <c r="ES5" s="1146"/>
      <c r="ET5" s="519" t="str">
        <f>IF('School Profile'!$D$12="Hindi","सैद्धान्तिक","Theoretical")</f>
        <v>सैद्धान्तिक</v>
      </c>
      <c r="EU5" s="519" t="str">
        <f>IF('School Profile'!$D$12="Hindi","प्रायोगिक","Practical")</f>
        <v>प्रायोगिक</v>
      </c>
      <c r="EV5" s="357" t="str">
        <f>IF('School Profile'!$D$12="Hindi","वार्षिक योग","Yearly  Total")</f>
        <v>वार्षिक योग</v>
      </c>
      <c r="EW5" s="1081"/>
      <c r="EX5" s="1083"/>
      <c r="EY5" s="1172"/>
      <c r="EZ5" s="1172"/>
      <c r="FA5" s="1130"/>
      <c r="FB5" s="519" t="str">
        <f>IF('School Profile'!$D$12="Hindi","सैद्धान्तिक","Theoretical")</f>
        <v>सैद्धान्तिक</v>
      </c>
      <c r="FC5" s="519" t="str">
        <f>IF('School Profile'!$D$12="Hindi","प्रायोगिक","Practical")</f>
        <v>प्रायोगिक</v>
      </c>
      <c r="FD5" s="519" t="str">
        <f>IF('School Profile'!$D$12="Hindi","सैद्धान्तिक","Theoretical")</f>
        <v>सैद्धान्तिक</v>
      </c>
      <c r="FE5" s="519" t="str">
        <f>IF('School Profile'!$D$12="Hindi","प्रायोगिक","Practical")</f>
        <v>प्रायोगिक</v>
      </c>
      <c r="FF5" s="519" t="str">
        <f>IF('School Profile'!$D$12="Hindi","सैद्धान्तिक","Theoretical")</f>
        <v>सैद्धान्तिक</v>
      </c>
      <c r="FG5" s="519" t="str">
        <f>IF('School Profile'!$D$12="Hindi","प्रायोगिक","Practical")</f>
        <v>प्रायोगिक</v>
      </c>
      <c r="FH5" s="1292"/>
      <c r="FI5" s="519" t="str">
        <f>IF('School Profile'!$D$12="Hindi","सैद्धान्तिक","Theoretical")</f>
        <v>सैद्धान्तिक</v>
      </c>
      <c r="FJ5" s="519" t="str">
        <f>IF('School Profile'!$D$12="Hindi","प्रायोगिक","Practical")</f>
        <v>प्रायोगिक</v>
      </c>
      <c r="FK5" s="357" t="str">
        <f>IF('School Profile'!$D$12="Hindi","अर्द्धवार्षिक योग","H.Y.  Total")</f>
        <v>अर्द्धवार्षिक योग</v>
      </c>
      <c r="FL5" s="1146"/>
      <c r="FM5" s="519" t="str">
        <f>IF('School Profile'!$D$12="Hindi","सैद्धान्तिक","Theoretical")</f>
        <v>सैद्धान्तिक</v>
      </c>
      <c r="FN5" s="519" t="str">
        <f>IF('School Profile'!$D$12="Hindi","प्रायोगिक","Practical")</f>
        <v>प्रायोगिक</v>
      </c>
      <c r="FO5" s="357" t="str">
        <f>IF('School Profile'!$D$12="Hindi","वार्षिक योग","Yearly  Total")</f>
        <v>वार्षिक योग</v>
      </c>
      <c r="FP5" s="1081"/>
      <c r="FQ5" s="1083"/>
      <c r="FR5" s="1172"/>
      <c r="FS5" s="1172"/>
      <c r="FT5" s="1130"/>
      <c r="FU5" s="1094"/>
      <c r="FV5" s="1094"/>
      <c r="FW5" s="1094"/>
      <c r="FX5" s="1081"/>
      <c r="FY5" s="1082"/>
      <c r="FZ5" s="1172"/>
      <c r="GA5" s="1172"/>
      <c r="GB5" s="1130"/>
      <c r="GC5" s="1094"/>
      <c r="GD5" s="1094"/>
      <c r="GE5" s="1094"/>
      <c r="GF5" s="1081"/>
      <c r="GG5" s="1082"/>
      <c r="GH5" s="1172"/>
      <c r="GI5" s="1172"/>
      <c r="GJ5" s="1130"/>
      <c r="GK5" s="1158"/>
      <c r="GL5" s="1158"/>
      <c r="GM5" s="1159"/>
      <c r="GN5" s="1094" t="str">
        <f>GN4</f>
        <v>हिंदी</v>
      </c>
      <c r="GO5" s="1094"/>
      <c r="GP5" s="1094" t="s">
        <v>143</v>
      </c>
      <c r="GQ5" s="1094" t="str">
        <f>GQ4</f>
        <v>अंग्रेजी</v>
      </c>
      <c r="GR5" s="1094"/>
      <c r="GS5" s="1094" t="s">
        <v>143</v>
      </c>
      <c r="GT5" s="1093">
        <f>AM2</f>
        <v>0</v>
      </c>
      <c r="GU5" s="1094" t="str">
        <f>AM3</f>
        <v>संस्कृत (71)</v>
      </c>
      <c r="GV5" s="1094" t="str">
        <f>AN3</f>
        <v xml:space="preserve">उर्दू (72) </v>
      </c>
      <c r="GW5" s="1094" t="str">
        <f>AQ3</f>
        <v>गुजराती (73)</v>
      </c>
      <c r="GX5" s="1094" t="str">
        <f>AS3</f>
        <v xml:space="preserve">सिंधी (74) </v>
      </c>
      <c r="GY5" s="1094" t="str">
        <f>AV3</f>
        <v>पंजाबी (75)</v>
      </c>
      <c r="GZ5" s="1094"/>
      <c r="HA5" s="1094" t="s">
        <v>143</v>
      </c>
      <c r="HB5" s="1093" t="str">
        <f>HB4</f>
        <v>गणित</v>
      </c>
      <c r="HC5" s="1094"/>
      <c r="HD5" s="1094" t="s">
        <v>143</v>
      </c>
      <c r="HE5" s="1093" t="str">
        <f>HE4</f>
        <v>विज्ञान</v>
      </c>
      <c r="HF5" s="1094"/>
      <c r="HG5" s="1094" t="s">
        <v>143</v>
      </c>
      <c r="HH5" s="1093" t="str">
        <f>HH4</f>
        <v>सामाजिक विज्ञान</v>
      </c>
      <c r="HI5" s="1094"/>
      <c r="HJ5" s="1094" t="s">
        <v>143</v>
      </c>
      <c r="HK5" s="1094" t="s">
        <v>156</v>
      </c>
      <c r="HL5" s="1094"/>
      <c r="HM5" s="1094" t="s">
        <v>143</v>
      </c>
      <c r="HN5" s="1219"/>
      <c r="HO5" s="1219"/>
      <c r="HP5" s="1219"/>
      <c r="HQ5" s="1219"/>
      <c r="HR5" s="1219"/>
      <c r="HS5" s="1075"/>
      <c r="HT5" s="1244"/>
      <c r="HU5" s="1245"/>
      <c r="HV5" s="1208"/>
      <c r="HW5" s="1091"/>
      <c r="HX5" s="1208"/>
      <c r="HY5" s="1210"/>
      <c r="HZ5" s="1210"/>
      <c r="IA5" s="1126"/>
      <c r="IB5" s="1210"/>
      <c r="IC5" s="1126"/>
      <c r="IS5" s="1113"/>
      <c r="IT5" s="1114"/>
      <c r="IU5" s="1114"/>
      <c r="IV5" s="1114"/>
      <c r="IW5" s="1114"/>
      <c r="IX5" s="1114"/>
      <c r="IY5" s="1115"/>
      <c r="IZ5" s="1119"/>
      <c r="JA5" s="1120"/>
      <c r="JB5" s="1120"/>
      <c r="JC5" s="1120"/>
      <c r="JD5" s="1120"/>
      <c r="JE5" s="1120"/>
      <c r="JF5" s="1121"/>
      <c r="JG5" s="1070"/>
      <c r="JH5" s="1071"/>
      <c r="JI5" s="1071"/>
      <c r="JJ5" s="1071"/>
      <c r="JK5" s="1071"/>
      <c r="JL5" s="1071"/>
      <c r="JM5" s="1072"/>
      <c r="JN5" s="64"/>
      <c r="JO5" s="64"/>
      <c r="JP5" s="64"/>
      <c r="JQ5" s="1205"/>
      <c r="JR5" s="1206"/>
      <c r="JS5" s="1206"/>
      <c r="JT5" s="1206"/>
      <c r="JU5" s="1206"/>
      <c r="JV5" s="1206"/>
      <c r="JW5" s="1207"/>
      <c r="JX5" s="1185"/>
      <c r="JY5" s="1185"/>
      <c r="JZ5" s="1185"/>
    </row>
    <row r="6" spans="1:287" s="77" customFormat="1" ht="19.5" customHeight="1">
      <c r="A6" s="1154"/>
      <c r="B6" s="1154"/>
      <c r="C6" s="1180"/>
      <c r="D6" s="1180"/>
      <c r="E6" s="1180"/>
      <c r="F6" s="1080"/>
      <c r="G6" s="1080"/>
      <c r="H6" s="1080"/>
      <c r="I6" s="1154"/>
      <c r="J6" s="1154"/>
      <c r="K6" s="526">
        <f>IF('Marks Entry'!L6="","",'Marks Entry'!L6)</f>
        <v>10</v>
      </c>
      <c r="L6" s="526">
        <f>IF('Marks Entry'!M6="","",'Marks Entry'!M6)</f>
        <v>10</v>
      </c>
      <c r="M6" s="526">
        <f>IF('Marks Entry'!N6="","",'Marks Entry'!N6)</f>
        <v>10</v>
      </c>
      <c r="N6" s="527">
        <f>IF(AND(K6="",L6="",M6=""),"",SUM(K6:M6))</f>
        <v>30</v>
      </c>
      <c r="O6" s="526">
        <f>IF('Marks Entry'!O6="","",'Marks Entry'!O6)</f>
        <v>70</v>
      </c>
      <c r="P6" s="528">
        <f>IF(AND(N6="",O6=""),"",SUM(N6,O6))</f>
        <v>100</v>
      </c>
      <c r="Q6" s="526">
        <f>IF('Marks Entry'!P6="","",'Marks Entry'!P6)</f>
        <v>100</v>
      </c>
      <c r="R6" s="530">
        <f>IF(AND(Q6="",P6=""),"",SUM(P6,Q6))</f>
        <v>200</v>
      </c>
      <c r="S6" s="65">
        <f>COUNTIF(K6:M6,"NA")*10</f>
        <v>0</v>
      </c>
      <c r="T6" s="65">
        <f>(COUNTIF(K6:M6,"ML")*10)+(COUNTIF(O6,"ML")*70)+(COUNTIF(Q6,"ML")*100)</f>
        <v>0</v>
      </c>
      <c r="U6" s="66">
        <f>IF(AND(K6="",L6="",M6="",O6="",Q6=""),"",IF(AND(L6="",K6="",M6=""),170-S6-T6,IF(AND(O6=""),130-S6-T6,IF(Q6="",100-S6-T6,200-S6-T6))))</f>
        <v>200</v>
      </c>
      <c r="V6" s="65" t="str">
        <f>IF(OR($B6="NSO",$B6="",Q6=""),"",IF(AND(OR(K6="ab",K6="ml"),OR(L6="ab",L6="ml"),OR(M6="ab",M6="ml")),"AB",IF(AND(OR(K6="NA",K6=""),OR(L6="NA",L6=""),OR(M6="NA",M6="")),"AB",IF(AND(OR(K6="ab",K6="ml"),OR(L6="ab",L6="ml"),OR(O6="ab",O6="ml")),"AB",IF(AND(OR(O6="ab",O6="ml"),OR(Q6="ab",Q6="ml"),OR(O6="ab",Q6="ml")),"AB",IF(AND(OR(Q6="ab",Q6="ml"),OR(K6="ab",K6="ml"),OR(L6="ab",L6="ml")),"AB",""))))))</f>
        <v/>
      </c>
      <c r="W6" s="65" t="str">
        <f>IF(OR($B6="NSO",$B6="",Q6=""),"",IF(OR(V6="AB",Q6="ab"),"AB",IF(Q6="ML","RE",IF(Q6&lt;20%*$Q$6,"F",IF(AND(R6&gt;=36%*U6,Q6&gt;=20),"P",IF(AND(R6&gt;=34%*U6,T6=0,Q6&gt;=20),"G2",IF(AND(R6&gt;=31%*U6,T6=0,Q6&gt;=20),"G1",IF(R6&gt;=25%*U6,"S","F"))))))))</f>
        <v/>
      </c>
      <c r="X6" s="65" t="str">
        <f>IF(OR(W6="",W6=0,W6="S",W6="RE",W6="F",W6="AB"),W6,IF(R6&gt;=75%*U6,"D",IF(R6&gt;=60%*U6,"I",IF(R6&gt;=48%*U6,"II",IF(R6&gt;=36%*U6,"III",W6)))))</f>
        <v/>
      </c>
      <c r="Y6" s="526">
        <f>IF('Marks Entry'!Q6="","",'Marks Entry'!Q6)</f>
        <v>10</v>
      </c>
      <c r="Z6" s="526">
        <f>IF('Marks Entry'!R6="","",'Marks Entry'!R6)</f>
        <v>10</v>
      </c>
      <c r="AA6" s="526">
        <f>IF('Marks Entry'!S6="","",'Marks Entry'!S6)</f>
        <v>10</v>
      </c>
      <c r="AB6" s="527">
        <f>IF(AND(Y6="",Z6="",AA6=""),"",SUM(Y6:AA6))</f>
        <v>30</v>
      </c>
      <c r="AC6" s="526">
        <f>IF('Marks Entry'!T6="","",'Marks Entry'!T6)</f>
        <v>70</v>
      </c>
      <c r="AD6" s="528">
        <f>IF(AND(AB6="",AC6=""),"",SUM(AB6,AC6))</f>
        <v>100</v>
      </c>
      <c r="AE6" s="526">
        <f>IF('Marks Entry'!U6="","",'Marks Entry'!U6)</f>
        <v>100</v>
      </c>
      <c r="AF6" s="530">
        <f>IF(AND(AE6="",AD6=""),"",SUM(AD6,AE6))</f>
        <v>200</v>
      </c>
      <c r="AG6" s="65">
        <f>COUNTIF(Y6:AA6,"NA")*10</f>
        <v>0</v>
      </c>
      <c r="AH6" s="65">
        <f>(COUNTIF(Y6:AA6,"ML")*10)+(COUNTIF(AC6,"ML")*70)+(COUNTIF(AE6,"ML")*100)</f>
        <v>0</v>
      </c>
      <c r="AI6" s="66">
        <f>IF(AND(Y6="",Z6="",AA6="",AC6="",AE6=""),"",IF(AND(Z6="",Y6="",AA6=""),170-AG6-AH6,IF(AND(AC6=""),130-AG6-AH6,IF(AE6="",100-AG6-AH6,200-AG6-AH6))))</f>
        <v>200</v>
      </c>
      <c r="AJ6" s="65" t="str">
        <f>IF(OR($B6="NSO",$B6="",AE6=""),"",IF(AND(OR(Y6="ab",Y6="ml"),OR(Z6="ab",Z6="ml"),OR(AA6="ab",AA6="ml")),"AB",IF(AND(OR(Y6="NA",Y6=""),OR(Z6="NA",Z6=""),OR(AA6="NA",AA6="")),"AB",IF(AND(OR(Y6="ab",Y6="ml"),OR(Z6="ab",Z6="ml"),OR(AC6="ab",AC6="ml")),"AB",IF(AND(OR(AC6="ab",AC6="ml"),OR(AE6="ab",AE6="ml"),OR(AC6="ab",AE6="ml")),"AB",IF(AND(OR(AE6="ab",AE6="ml"),OR(Y6="ab",Y6="ml"),OR(Z6="ab",Z6="ml")),"AB",""))))))</f>
        <v/>
      </c>
      <c r="AK6" s="65" t="str">
        <f>IF(OR($B6="NSO",$B6="",AE6=""),"",IF(OR(AJ6="AB",AE6="ab"),"AB",IF(AE6="ML","RE",IF(AE6&lt;20%*$AE$6,"F",IF(AND(AF6&gt;=36%*AI6,AE6&gt;=20),"P",IF(AND(AF6&gt;=34%*AI6,AH6=0,AE6&gt;=20),"G2",IF(AND(AF6&gt;=31%*AI6,AH6=0,AE6&gt;=20),"G1",IF(AF6&gt;=25%*AI6,"S","F"))))))))</f>
        <v/>
      </c>
      <c r="AL6" s="65" t="str">
        <f>IF(OR(AK6="",AK6=0,AK6="S",AK6="RE",AK6="F",AK6="AB"),AK6,IF(AF6&gt;=75%*AI6,"D",IF(AF6&gt;=60%*AI6,"I",IF(AF6&gt;=48%*AI6,"II",IF(AF6&gt;=36%*AI6,"III",AK6)))))</f>
        <v/>
      </c>
      <c r="AM6" s="533"/>
      <c r="AN6" s="526">
        <f>IF('Marks Entry'!W6="","",'Marks Entry'!W6)</f>
        <v>10</v>
      </c>
      <c r="AO6" s="526">
        <f>IF('Marks Entry'!X6="","",'Marks Entry'!X6)</f>
        <v>10</v>
      </c>
      <c r="AP6" s="526">
        <f>IF('Marks Entry'!Y6="","",'Marks Entry'!Y6)</f>
        <v>10</v>
      </c>
      <c r="AQ6" s="527">
        <f>IF(AND(AN6="",AO6="",AP6=""),"",SUM(AN6:AP6))</f>
        <v>30</v>
      </c>
      <c r="AR6" s="526">
        <f>IF('Marks Entry'!Z6="","",'Marks Entry'!Z6)</f>
        <v>70</v>
      </c>
      <c r="AS6" s="528">
        <f>IF(AND(AQ6="",AR6=""),"",SUM(AQ6,AR6))</f>
        <v>100</v>
      </c>
      <c r="AT6" s="526">
        <f>IF('Marks Entry'!AA6="","",'Marks Entry'!AA6)</f>
        <v>100</v>
      </c>
      <c r="AU6" s="530">
        <f>IF(AND(AT6="",AS6=""),"",SUM(AS6,AT6))</f>
        <v>200</v>
      </c>
      <c r="AV6" s="65">
        <f>COUNTIF(AN6:AP6,"NA")*10</f>
        <v>0</v>
      </c>
      <c r="AW6" s="65">
        <f>(COUNTIF(AN6:AP6,"ML")*10)+(COUNTIF(AR6,"ML")*70)+(COUNTIF(AT6,"ML")*100)</f>
        <v>0</v>
      </c>
      <c r="AX6" s="66">
        <f>IF(AND(AN6="",AO6="",AP6="",AR6="",AT6=""),"",IF(AND(AO6="",AN6="",AP6=""),170-AV6-AW6,IF(AND(AR6=""),130-AV6-AW6,IF(AT6="",100-AV6-AW6,200-AV6-AW6))))</f>
        <v>200</v>
      </c>
      <c r="AY6" s="65" t="str">
        <f>IF(OR($B6="NSO",$B6="",AT6=""),"",IF(AND(OR(AN6="ab",AN6="ml"),OR(AO6="ab",AO6="ml"),OR(AP6="ab",AP6="ml")),"AB",IF(AND(OR(AN6="NA",AN6=""),OR(AO6="NA",AO6=""),OR(AP6="NA",AP6="")),"AB",IF(AND(OR(AN6="ab",AN6="ml"),OR(AO6="ab",AO6="ml"),OR(AR6="ab",AR6="ml")),"AB",IF(AND(OR(AR6="ab",AR6="ml"),OR(AT6="ab",AT6="ml"),OR(AR6="ab",AT6="ml")),"AB",IF(AND(OR(AT6="ab",AT6="ml"),OR(AN6="ab",AN6="ml"),OR(AO6="ab",AO6="ml")),"AB",""))))))</f>
        <v/>
      </c>
      <c r="AZ6" s="65" t="str">
        <f>IF(OR($B6="NSO",$B6="",AT6=""),"",IF(OR(AY6="AB",AT6="ab"),"AB",IF(AT6="ML","RE",IF(AT6&lt;20%*$AT$6,"F",IF(AND(AU6&gt;=36%*AX6,AT6&gt;=20),"P",IF(AND(AU6&gt;=34%*AX6,AW6=0,AT6&gt;=20),"G2",IF(AND(AU6&gt;=31%*AX6,AW6=0,AT6&gt;=20),"G1",IF(AU6&gt;=25%*AX6,"S","F"))))))))</f>
        <v/>
      </c>
      <c r="BA6" s="65" t="str">
        <f>IF(OR(AZ6="",AZ6=0,AZ6="S",AZ6="RE",AZ6="F",AZ6="AB"),AZ6,IF(AU6&gt;=75%*AX6,"D",IF(AU6&gt;=60%*AX6,"I",IF(AU6&gt;=48%*AX6,"II",IF(AU6&gt;=36%*AX6,"III",AZ6)))))</f>
        <v/>
      </c>
      <c r="BB6" s="526">
        <f>IF('Marks Entry'!AB6="","",'Marks Entry'!AB6)</f>
        <v>10</v>
      </c>
      <c r="BC6" s="526">
        <f>IF('Marks Entry'!AC6="","",'Marks Entry'!AC6)</f>
        <v>10</v>
      </c>
      <c r="BD6" s="526">
        <f>IF('Marks Entry'!AD6="","",'Marks Entry'!AD6)</f>
        <v>10</v>
      </c>
      <c r="BE6" s="527">
        <f>IF(AND(BB6="",BC6="",BD6=""),"",SUM(BB6:BD6))</f>
        <v>30</v>
      </c>
      <c r="BF6" s="526">
        <f>IF('Marks Entry'!AE6="","",'Marks Entry'!AE6)</f>
        <v>70</v>
      </c>
      <c r="BG6" s="528">
        <f>IF(AND(BE6="",BF6=""),"",SUM(BE6,BF6))</f>
        <v>100</v>
      </c>
      <c r="BH6" s="526">
        <f>IF('Marks Entry'!AF6="","",'Marks Entry'!AF6)</f>
        <v>100</v>
      </c>
      <c r="BI6" s="530">
        <f>IF(AND(BH6="",BG6=""),"",SUM(BG6,BH6))</f>
        <v>200</v>
      </c>
      <c r="BJ6" s="65">
        <f>COUNTIF(BB6:BD6,"NA")*10</f>
        <v>0</v>
      </c>
      <c r="BK6" s="65">
        <f>(COUNTIF(BB6:BD6,"ML")*10)+(COUNTIF(BF6,"ML")*70)+(COUNTIF(BH6,"ML")*100)</f>
        <v>0</v>
      </c>
      <c r="BL6" s="66">
        <f>IF(AND(BB6="",BC6="",BD6="",BF6="",BH6=""),"",IF(AND(BC6="",BB6="",BD6=""),170-BJ6-BK6,IF(AND(BF6=""),130-BJ6-BK6,IF(BH6="",100-BJ6-BK6,200-BJ6-BK6))))</f>
        <v>200</v>
      </c>
      <c r="BM6" s="65" t="str">
        <f>IF(OR($B6="NSO",$B6="",BH6=""),"",IF(AND(OR(BB6="ab",BB6="ml"),OR(BC6="ab",BC6="ml"),OR(BD6="ab",BD6="ml")),"AB",IF(AND(OR(BB6="NA",BB6=""),OR(BC6="NA",BC6=""),OR(BD6="NA",BD6="")),"AB",IF(AND(OR(BB6="ab",BB6="ml"),OR(BC6="ab",BC6="ml"),OR(BF6="ab",BF6="ml")),"AB",IF(AND(OR(BF6="ab",BF6="ml"),OR(BH6="ab",BH6="ml"),OR(BF6="ab",BH6="ml")),"AB",IF(AND(OR(BH6="ab",BH6="ml"),OR(BB6="ab",BB6="ml"),OR(BC6="ab",BC6="ml")),"AB",""))))))</f>
        <v/>
      </c>
      <c r="BN6" s="65" t="str">
        <f>IF(OR($B6="NSO",$B6="",BH6=""),"",IF(OR(BM6="AB",BH6="ab"),"AB",IF(BH6="ML","RE",IF(BH6&lt;20%*$BH$6,"F",IF(AND(BI6&gt;=36%*BL6,BH6&gt;=20),"P",IF(AND(BI6&gt;=34%*BL6,BK6=0,BH6&gt;=20),"G2",IF(AND(BI6&gt;=31%*BL6,BK6=0,BH6&gt;=20),"G1",IF(BI6&gt;=25%*BL6,"S","F"))))))))</f>
        <v/>
      </c>
      <c r="BO6" s="65" t="str">
        <f>IF(OR(BN6="",BN6=0,BN6="S",BN6="RE",BN6="F",BN6="AB"),BN6,IF(BI6&gt;=75%*BL6,"D",IF(BI6&gt;=60%*BL6,"I",IF(BI6&gt;=48%*BL6,"II",IF(BI6&gt;=36%*BL6,"III",BN6)))))</f>
        <v/>
      </c>
      <c r="BP6" s="68">
        <f>IF('Marks Entry'!AG6="","",'Marks Entry'!AG6)</f>
        <v>10</v>
      </c>
      <c r="BQ6" s="68">
        <f>IF('Marks Entry'!AH6="","",'Marks Entry'!AH6)</f>
        <v>10</v>
      </c>
      <c r="BR6" s="68">
        <f>IF('Marks Entry'!AI6="","",'Marks Entry'!AI6)</f>
        <v>10</v>
      </c>
      <c r="BS6" s="514">
        <f>IF(AND(BP6="",BQ6="",BR6=""),"",SUM(BP6:BR6))</f>
        <v>30</v>
      </c>
      <c r="BT6" s="68">
        <f>IF('Marks Entry'!AJ6="","",'Marks Entry'!AJ6)</f>
        <v>70</v>
      </c>
      <c r="BU6" s="515">
        <f>IF(AND(BS6="",BT6=""),"",SUM(BS6,BT6))</f>
        <v>100</v>
      </c>
      <c r="BV6" s="68">
        <f>IF('Marks Entry'!AK6="","",'Marks Entry'!AK6)</f>
        <v>100</v>
      </c>
      <c r="BW6" s="96">
        <f>IF(AND(BV6="",BU6=""),"",SUM(BU6,BV6))</f>
        <v>200</v>
      </c>
      <c r="BX6" s="65">
        <f>COUNTIF(BP6:BR6,"NA")*10</f>
        <v>0</v>
      </c>
      <c r="BY6" s="65">
        <f>(COUNTIF(BP6:BR6,"ML")*10)+(COUNTIF(BT6,"ML")*70)+(COUNTIF(BV6,"ML")*100)</f>
        <v>0</v>
      </c>
      <c r="BZ6" s="66">
        <f>IF(AND(BP6="",BQ6="",BR6="",BT6="",BV6=""),"",IF(AND(BQ6="",BP6="",BR6=""),170-BX6-BY6,IF(AND(BT6=""),130-BX6-BY6,IF(BV6="",100-BX6-BY6,200-BX6-BY6))))</f>
        <v>200</v>
      </c>
      <c r="CA6" s="65" t="str">
        <f>IF(OR($B6="NSO",$B6="",BV6=""),"",IF(AND(OR(BP6="ab",BP6="ml"),OR(BQ6="ab",BQ6="ml"),OR(BR6="ab",BR6="ml")),"AB",IF(AND(OR(BP6="NA",BP6=""),OR(BQ6="NA",BQ6=""),OR(BR6="NA",BR6="")),"AB",IF(AND(OR(BP6="ab",BP6="ml"),OR(BQ6="ab",BQ6="ml"),OR(BT6="ab",BT6="ml")),"AB",IF(AND(OR(BT6="ab",BT6="ml"),OR(BV6="ab",BV6="ml"),OR(BT6="ab",BV6="ml")),"AB",IF(AND(OR(BV6="ab",BV6="ml"),OR(BP6="ab",BP6="ml"),OR(BQ6="ab",BQ6="ml")),"AB",""))))))</f>
        <v/>
      </c>
      <c r="CB6" s="65" t="str">
        <f>IF(OR($B6="NSO",$B6="",BV6=""),"",IF(OR(CA6="AB",BV6="ab"),"AB",IF(BV6="ML","RE",IF(BV6&lt;20%*$BV$6,"F",IF(AND(BW6&gt;=36%*BZ6,BV6&gt;=20),"P",IF(AND(BW6&gt;=34%*BZ6,BY6=0,BV6&gt;=20),"G2",IF(AND(BW6&gt;=31%*BZ6,BY6=0,BV6&gt;=20),"G1",IF(BW6&gt;=25%*BZ6,"S","F"))))))))</f>
        <v/>
      </c>
      <c r="CC6" s="65" t="str">
        <f>IF(OR(CB6="",CB6=0,CB6="S",CB6="RE",CB6="F",CB6="AB"),CB6,IF(BW6&gt;=75%*BZ6,"D",IF(BW6&gt;=60%*BZ6,"I",IF(BW6&gt;=48%*BZ6,"II",IF(BW6&gt;=36%*BZ6,"III",CB6)))))</f>
        <v/>
      </c>
      <c r="CD6" s="66"/>
      <c r="CE6" s="526">
        <f>IF('Marks Entry'!AL6="","",'Marks Entry'!AL6)</f>
        <v>10</v>
      </c>
      <c r="CF6" s="526">
        <f>IF('Marks Entry'!AM6="","",'Marks Entry'!AM6)</f>
        <v>10</v>
      </c>
      <c r="CG6" s="526">
        <f>IF('Marks Entry'!AN6="","",'Marks Entry'!AN6)</f>
        <v>10</v>
      </c>
      <c r="CH6" s="527">
        <f>IF(AND(CE6="",CF6="",CG6=""),"",SUM(CE6:CG6))</f>
        <v>30</v>
      </c>
      <c r="CI6" s="526">
        <f>IF('Marks Entry'!AO6="","",'Marks Entry'!AO6)</f>
        <v>70</v>
      </c>
      <c r="CJ6" s="528">
        <f>IF(AND(CH6="",CI6=""),"",SUM(CH6,CI6))</f>
        <v>100</v>
      </c>
      <c r="CK6" s="526">
        <f>IF('Marks Entry'!AP6="","",'Marks Entry'!AP6)</f>
        <v>100</v>
      </c>
      <c r="CL6" s="530">
        <f>IF(AND(CK6="",CJ6=""),"",SUM(CJ6,CK6))</f>
        <v>200</v>
      </c>
      <c r="CM6" s="532">
        <f>COUNTIF(CE6:CG6,"NA")*10</f>
        <v>0</v>
      </c>
      <c r="CN6" s="65">
        <f>(COUNTIF(CE6:CG6,"ML")*10)+(COUNTIF(CI6,"ML")*70)+(COUNTIF(CK6,"ML")*100)</f>
        <v>0</v>
      </c>
      <c r="CO6" s="66">
        <f>IF(AND(CE6="",CF6="",CG6="",CI6="",CK6=""),"",IF(AND(CF6="",CE6="",CG6=""),170-CM6-CN6,IF(AND(CI6=""),130-CM6-CN6,IF(CK6="",100-CM6-CN6,200-CM6-CN6))))</f>
        <v>200</v>
      </c>
      <c r="CP6" s="65" t="str">
        <f>IF(OR($B6="NSO",$B6="",CK6=""),"",IF(AND(OR(CE6="ab",CE6="ml"),OR(CF6="ab",CF6="ml"),OR(CG6="ab",CG6="ml")),"AB",IF(AND(OR(CE6="NA",CE6=""),OR(CF6="NA",CF6=""),OR(CG6="NA",CG6="")),"AB",IF(AND(OR(CE6="ab",CE6="ml"),OR(CF6="ab",CF6="ml"),OR(CI6="ab",CI6="ml")),"AB",IF(AND(OR(CI6="ab",CI6="ml"),OR(CK6="ab",CK6="ml"),OR(CI6="ab",CK6="ml")),"AB",IF(AND(OR(CK6="ab",CK6="ml"),OR(CE6="ab",CE6="ml"),OR(CF6="ab",CF6="ml")),"AB",""))))))</f>
        <v/>
      </c>
      <c r="CQ6" s="65" t="str">
        <f>IF(OR($B6="NSO",$B6="",CK6=""),"",IF(OR(CP6="AB",CK6="ab"),"AB",IF(CK6="ML","RE",IF(CK6&lt;20%*$CK$6,"F",IF(AND(CL6&gt;=36%*CO6,CK6&gt;=20),"P",IF(AND(CL6&gt;=34%*CO6,CN6=0,CK6&gt;=20),"G2",IF(AND(CL6&gt;=31%*CO6,CN6=0,CK6&gt;=20),"G1",IF(CL6&gt;=25%*CO6,"S","F"))))))))</f>
        <v/>
      </c>
      <c r="CR6" s="65" t="str">
        <f>IF(OR(CQ6="",CQ6=0,CQ6="S",CQ6="RE",CQ6="F",CQ6="AB"),CQ6,IF(CL6&gt;=75%*CO6,"D",IF(CL6&gt;=60%*CO6,"I",IF(CL6&gt;=48%*CO6,"II",IF(CL6&gt;=36%*CO6,"III",CQ6)))))</f>
        <v/>
      </c>
      <c r="CS6" s="67"/>
      <c r="CT6" s="526">
        <f>IF('Marks Entry'!AR6="","",'Marks Entry'!AR6)</f>
        <v>10</v>
      </c>
      <c r="CU6" s="526">
        <f>IF('Marks Entry'!AS6="","",'Marks Entry'!AS6)</f>
        <v>10</v>
      </c>
      <c r="CV6" s="526">
        <f>IF('Marks Entry'!AT6="","",'Marks Entry'!AT6)</f>
        <v>10</v>
      </c>
      <c r="CW6" s="527">
        <f>IF(AND(CT6="",CU6="",CV6=""),"",SUM(CT6:CV6))</f>
        <v>30</v>
      </c>
      <c r="CX6" s="526">
        <f>IF('Marks Entry'!AU6="","",'Marks Entry'!AU6)</f>
        <v>35</v>
      </c>
      <c r="CY6" s="526">
        <f>IF('Marks Entry'!AV6="","",'Marks Entry'!AV6)</f>
        <v>35</v>
      </c>
      <c r="CZ6" s="528">
        <f>IF(AND(CX6="",CY6=""),"",SUM(CX6,CY6))</f>
        <v>70</v>
      </c>
      <c r="DA6" s="529">
        <f>IF(AND(CW6="",CZ6=""),"",SUM(CW6+CZ6))</f>
        <v>100</v>
      </c>
      <c r="DB6" s="526">
        <f>IF('Marks Entry'!AW6="","",'Marks Entry'!AW6)</f>
        <v>50</v>
      </c>
      <c r="DC6" s="526">
        <f>IF('Marks Entry'!AX6="","",'Marks Entry'!AX6)</f>
        <v>50</v>
      </c>
      <c r="DD6" s="528">
        <f>IF(AND(DB6="",DC6=""),"",SUM(DB6,DC6))</f>
        <v>100</v>
      </c>
      <c r="DE6" s="530">
        <f>IF(AND(DA6="",DD6=""),"",SUM(DA6,DD6))</f>
        <v>200</v>
      </c>
      <c r="DF6" s="532">
        <f>COUNTIF(CX6:CZ6,"NA")*10</f>
        <v>0</v>
      </c>
      <c r="DG6" s="65">
        <f>(COUNTIF(CX6:CZ6,"ML")*10)+(COUNTIF(DB6,"ML")*70)+(COUNTIF(DD6,"ML")*100)</f>
        <v>0</v>
      </c>
      <c r="DH6" s="66">
        <f>IF(AND(CX6="",CY6="",CZ6="",DB6="",DD6=""),"",IF(AND(CY6="",CX6="",CZ6=""),170-DF6-DG6,IF(AND(DB6=""),130-DF6-DG6,IF(DD6="",100-DF6-DG6,200-DF6-DG6))))</f>
        <v>200</v>
      </c>
      <c r="DI6" s="65" t="str">
        <f>IF(OR($B6="NSO",$B6="",DD6=""),"",IF(AND(OR(CX6="ab",CX6="ml"),OR(CY6="ab",CY6="ml"),OR(CZ6="ab",CZ6="ml")),"AB",IF(AND(OR(CX6="NA",CX6=""),OR(CY6="NA",CY6=""),OR(CZ6="NA",CZ6="")),"AB",IF(AND(OR(CX6="ab",CX6="ml"),OR(CY6="ab",CY6="ml"),OR(DB6="ab",DB6="ml")),"AB",IF(AND(OR(DB6="ab",DB6="ml"),OR(DD6="ab",DD6="ml"),OR(DB6="ab",DD6="ml")),"AB",IF(AND(OR(DD6="ab",DD6="ml"),OR(CX6="ab",CX6="ml"),OR(CY6="ab",CY6="ml")),"AB",""))))))</f>
        <v/>
      </c>
      <c r="DJ6" s="65" t="str">
        <f>IF(OR($B6="NSO",$B6="",DD6=""),"",IF(OR(DI6="AB",DD6="ab"),"AB",IF(DD6="ML","RE",IF(DD6&lt;20%*$DD$6,"F",IF(AND(DE6&gt;=36%*DH6,DD6&gt;=20),"P",IF(AND(DE6&gt;=34%*DH6,DG6=0,DD6&gt;=20),"G2",IF(AND(DE6&gt;=31%*DH6,DG6=0,DD6&gt;=20),"G1",IF(DE6&gt;=25%*DH6,"S","F"))))))))</f>
        <v/>
      </c>
      <c r="DK6" s="65" t="str">
        <f>IF(OR(DJ6="",DJ6=0,DJ6="S",DJ6="RE",DJ6="F",DJ6="AB"),DJ6,IF(DE6&gt;=75%*DH6,"D",IF(DE6&gt;=60%*DH6,"I",IF(DE6&gt;=48%*DH6,"II",IF(DE6&gt;=36%*DH6,"III",DJ6)))))</f>
        <v/>
      </c>
      <c r="DL6" s="361" t="s">
        <v>133</v>
      </c>
      <c r="DM6" s="361" t="s">
        <v>134</v>
      </c>
      <c r="DN6" s="361" t="s">
        <v>31</v>
      </c>
      <c r="DO6" s="361" t="s">
        <v>75</v>
      </c>
      <c r="DP6" s="361" t="s">
        <v>31</v>
      </c>
      <c r="DQ6" s="361" t="s">
        <v>154</v>
      </c>
      <c r="DR6" s="361" t="s">
        <v>155</v>
      </c>
      <c r="DS6" s="72" t="s">
        <v>9</v>
      </c>
      <c r="DT6" s="72" t="s">
        <v>31</v>
      </c>
      <c r="DU6" s="72" t="s">
        <v>32</v>
      </c>
      <c r="DV6" s="72" t="s">
        <v>33</v>
      </c>
      <c r="DW6" s="72" t="s">
        <v>34</v>
      </c>
      <c r="DX6" s="73" t="s">
        <v>35</v>
      </c>
      <c r="DY6" s="1284"/>
      <c r="DZ6" s="74">
        <f>IF('Marks Entry'!AY6="","",'Marks Entry'!AY6)</f>
        <v>10</v>
      </c>
      <c r="EA6" s="74">
        <f>IF('Marks Entry'!AZ6="","",'Marks Entry'!AZ6)</f>
        <v>10</v>
      </c>
      <c r="EB6" s="74">
        <f>IF('Marks Entry'!BA6="","",'Marks Entry'!BA6)</f>
        <v>10</v>
      </c>
      <c r="EC6" s="527">
        <f>IF(AND(DZ6="",EA6="",EB6=""),"",SUM(DZ6:EB6))</f>
        <v>30</v>
      </c>
      <c r="ED6" s="74">
        <f>IF('Marks Entry'!BB6="","",'Marks Entry'!BB6)</f>
        <v>70</v>
      </c>
      <c r="EE6" s="528">
        <f>IF(AND(EC6="",ED6=""),"",SUM(EC6,ED6))</f>
        <v>100</v>
      </c>
      <c r="EF6" s="74">
        <f>IF('Marks Entry'!BC6="","",'Marks Entry'!BC6)</f>
        <v>100</v>
      </c>
      <c r="EG6" s="530">
        <f>IF(AND(EF6="",EE6=""),"",SUM(EE6,EF6))</f>
        <v>200</v>
      </c>
      <c r="EH6" s="371"/>
      <c r="EI6" s="370"/>
      <c r="EJ6" s="70"/>
      <c r="EK6" s="71" t="str">
        <f>IF(OR($B6="NSO",$B6=0),"",IF(AND(#REF!="",DW6="",DX6=""),"",IF(AND(DW6="",DX6=""),30-EI6-EJ6,IF(DX6="",60-EI6-EJ6,100-EI6-EJ6))))</f>
        <v/>
      </c>
      <c r="EL6" s="74">
        <f>IF('Marks Entry'!BD6="","",'Marks Entry'!BD6)</f>
        <v>10</v>
      </c>
      <c r="EM6" s="74">
        <f>IF('Marks Entry'!BE6="","",'Marks Entry'!BE6)</f>
        <v>10</v>
      </c>
      <c r="EN6" s="74">
        <f>IF('Marks Entry'!BF6="","",'Marks Entry'!BF6)</f>
        <v>10</v>
      </c>
      <c r="EO6" s="527">
        <f>IF(AND(EL6="",EM6="",EN6=""),"",SUM(EL6:EN6))</f>
        <v>30</v>
      </c>
      <c r="EP6" s="74">
        <f>IF('Marks Entry'!BG6="","",'Marks Entry'!BG6)</f>
        <v>50</v>
      </c>
      <c r="EQ6" s="74">
        <f>IF('Marks Entry'!BH6="","",'Marks Entry'!BH6)</f>
        <v>20</v>
      </c>
      <c r="ER6" s="528">
        <f>IF(AND(EP6="",EQ6=""),"",SUM(EP6,EQ6))</f>
        <v>70</v>
      </c>
      <c r="ES6" s="529">
        <f>IF(AND(EO6="",ER6=""),"",SUM(EO6+ER6))</f>
        <v>100</v>
      </c>
      <c r="ET6" s="74">
        <f>IF('Marks Entry'!BI6="","",'Marks Entry'!BI6)</f>
        <v>70</v>
      </c>
      <c r="EU6" s="74">
        <f>IF('Marks Entry'!BJ6="","",'Marks Entry'!BJ6)</f>
        <v>30</v>
      </c>
      <c r="EV6" s="528">
        <f>IF(AND(ET6="",EU6=""),"",SUM(ET6,EU6))</f>
        <v>100</v>
      </c>
      <c r="EW6" s="530">
        <f>IF(AND(ES6="",EV6=""),"",SUM(ES6,EV6))</f>
        <v>200</v>
      </c>
      <c r="EX6" s="371"/>
      <c r="EY6" s="70"/>
      <c r="EZ6" s="70"/>
      <c r="FA6" s="71" t="str">
        <f>IF(OR($B6="NSO",$B6=0),"",IF(AND(#REF!="",EI6="",EJ6=""),"",IF(AND(EI6="",EJ6=""),30-EY6-EZ6,IF(EJ6="",60-EY6-EZ6,100-EY6-EZ6))))</f>
        <v/>
      </c>
      <c r="FB6" s="74">
        <f>IF('Marks Entry'!BK6="","",'Marks Entry'!BK6)</f>
        <v>10</v>
      </c>
      <c r="FC6" s="74">
        <f>IF('Marks Entry'!BL6="","",'Marks Entry'!BL6)</f>
        <v>8</v>
      </c>
      <c r="FD6" s="74">
        <f>IF('Marks Entry'!BM6="","",'Marks Entry'!BM6)</f>
        <v>10</v>
      </c>
      <c r="FE6" s="74">
        <f>IF('Marks Entry'!BN6="","",'Marks Entry'!BN6)</f>
        <v>7</v>
      </c>
      <c r="FF6" s="74">
        <f>IF('Marks Entry'!BO6="","",'Marks Entry'!BO6)</f>
        <v>10</v>
      </c>
      <c r="FG6" s="74">
        <f>IF('Marks Entry'!BP6="","",'Marks Entry'!BP6)</f>
        <v>15</v>
      </c>
      <c r="FH6" s="527">
        <f>IF(AND(FB6="",FC6="",FE6="",FF6="",FG6=""),"",SUM(FB6:FG6))</f>
        <v>60</v>
      </c>
      <c r="FI6" s="74">
        <f>IF('Marks Entry'!BQ6="","",'Marks Entry'!BQ6)</f>
        <v>25</v>
      </c>
      <c r="FJ6" s="74">
        <f>IF('Marks Entry'!BR6="","",'Marks Entry'!BR6)</f>
        <v>15</v>
      </c>
      <c r="FK6" s="528">
        <f>IF(AND(FI6="",FJ6=""),"",SUM(FI6,FJ6))</f>
        <v>40</v>
      </c>
      <c r="FL6" s="529">
        <f>IF(AND(FH6="",FK6=""),"",SUM(FH6+FK6))</f>
        <v>100</v>
      </c>
      <c r="FM6" s="74">
        <f>IF('Marks Entry'!BS6="","",'Marks Entry'!BS6)</f>
        <v>30</v>
      </c>
      <c r="FN6" s="74">
        <f>IF('Marks Entry'!BT6="","",'Marks Entry'!BT6)</f>
        <v>70</v>
      </c>
      <c r="FO6" s="528">
        <f>IF(AND(FM6="",FN6=""),"",SUM(FM6,FN6))</f>
        <v>100</v>
      </c>
      <c r="FP6" s="530">
        <f>IF(AND(FL6="",FO6=""),"",SUM(FL6,FO6))</f>
        <v>200</v>
      </c>
      <c r="FQ6" s="371"/>
      <c r="FR6" s="70"/>
      <c r="FS6" s="70"/>
      <c r="FT6" s="71" t="str">
        <f>IF(OR($B6="NSO",$B6=0),"",IF(AND(#REF!="",EY6="",EZ6=""),"",IF(AND(EY6="",EZ6=""),30-FR6-FS6,IF(EZ6="",60-FR6-FS6,100-FR6-FS6))))</f>
        <v/>
      </c>
      <c r="FU6" s="74">
        <f>IF('Marks Entry'!BU6="","",'Marks Entry'!BU6)</f>
        <v>25</v>
      </c>
      <c r="FV6" s="74">
        <f>IF('Marks Entry'!BV6="","",'Marks Entry'!BV6)</f>
        <v>45</v>
      </c>
      <c r="FW6" s="74">
        <f>IF('Marks Entry'!BW6="","",'Marks Entry'!BW6)</f>
        <v>30</v>
      </c>
      <c r="FX6" s="75">
        <f>IF(AND(FU6="",FV6="",FW6=""),"",SUM(FU6,FV6,FW6))</f>
        <v>100</v>
      </c>
      <c r="FY6" s="371"/>
      <c r="FZ6" s="70"/>
      <c r="GA6" s="70"/>
      <c r="GB6" s="71" t="str">
        <f>IF(OR($B6="NSO",$B6=0),"",IF(AND(#REF!="",FR6="",FS6=""),"",IF(AND(FR6="",FS6=""),30-FZ6-GA6,IF(FS6="",60-FZ6-GA6,100-FZ6-GA6))))</f>
        <v/>
      </c>
      <c r="GC6" s="74">
        <f>IF('Marks Entry'!BX6="","",'Marks Entry'!BX6)</f>
        <v>25</v>
      </c>
      <c r="GD6" s="74">
        <f>IF('Marks Entry'!BY6="","",'Marks Entry'!BY6)</f>
        <v>60</v>
      </c>
      <c r="GE6" s="74">
        <f>IF('Marks Entry'!BZ6="","",'Marks Entry'!BZ6)</f>
        <v>15</v>
      </c>
      <c r="GF6" s="75">
        <f>IF(AND(GC6="",GD6="",GE6=""),"",SUM(GC6,GD6,GE6))</f>
        <v>100</v>
      </c>
      <c r="GG6" s="371"/>
      <c r="GH6" s="70"/>
      <c r="GI6" s="70"/>
      <c r="GJ6" s="71" t="str">
        <f>IF(OR($B6="NSO",$B6=0),"",IF(AND(#REF!="",FZ6="",GA6=""),"",IF(AND(FZ6="",GA6=""),30-GH6-GI6,IF(GA6="",60-GH6-GI6,100-GH6-GI6))))</f>
        <v/>
      </c>
      <c r="GK6" s="1157"/>
      <c r="GL6" s="1157"/>
      <c r="GM6" s="1157"/>
      <c r="GN6" s="1095"/>
      <c r="GO6" s="1094"/>
      <c r="GP6" s="1094"/>
      <c r="GQ6" s="1094"/>
      <c r="GR6" s="1094"/>
      <c r="GS6" s="1094"/>
      <c r="GT6" s="1093"/>
      <c r="GU6" s="1094"/>
      <c r="GV6" s="1094"/>
      <c r="GW6" s="1094"/>
      <c r="GX6" s="1094"/>
      <c r="GY6" s="1094"/>
      <c r="GZ6" s="1094"/>
      <c r="HA6" s="1094"/>
      <c r="HB6" s="1093"/>
      <c r="HC6" s="1094"/>
      <c r="HD6" s="1094"/>
      <c r="HE6" s="1093"/>
      <c r="HF6" s="1094"/>
      <c r="HG6" s="1094"/>
      <c r="HH6" s="1093"/>
      <c r="HI6" s="1094"/>
      <c r="HJ6" s="1094"/>
      <c r="HK6" s="1094"/>
      <c r="HL6" s="1094"/>
      <c r="HM6" s="1094"/>
      <c r="HN6" s="1219"/>
      <c r="HO6" s="1219"/>
      <c r="HP6" s="1219"/>
      <c r="HQ6" s="1219"/>
      <c r="HR6" s="1219"/>
      <c r="HS6" s="1075"/>
      <c r="HT6" s="542">
        <f>IF(OR(CS6="",DE6=""),SUM(R6,AF6,AU6,BI6,BW6,CL6),IF((CL6/CO6*100)&gt;=(DE6/DH6*100),SUM(R6,AF6,AU6,BI6,BW6,CL6),SUM(R6,AF6,AU6,BI6,BW6,DE6)))</f>
        <v>1200</v>
      </c>
      <c r="HU6" s="76">
        <f>HT6*100/(HT6-CD6)</f>
        <v>100</v>
      </c>
      <c r="HV6" s="1242"/>
      <c r="HW6" s="1092"/>
      <c r="HX6" s="1208"/>
      <c r="HY6" s="1211"/>
      <c r="HZ6" s="1211"/>
      <c r="IA6" s="1127"/>
      <c r="IB6" s="1211"/>
      <c r="IC6" s="1127"/>
      <c r="IS6" s="78" t="s">
        <v>60</v>
      </c>
      <c r="IT6" s="79" t="s">
        <v>61</v>
      </c>
      <c r="IU6" s="80" t="str">
        <f>GU4</f>
        <v>तृतीय भाषा</v>
      </c>
      <c r="IV6" s="80" t="str">
        <f>HB4</f>
        <v>गणित</v>
      </c>
      <c r="IW6" s="80" t="str">
        <f>HE4</f>
        <v>विज्ञान</v>
      </c>
      <c r="IX6" s="80" t="str">
        <f>HH4</f>
        <v>सामाजिक विज्ञान</v>
      </c>
      <c r="IY6" s="80" t="str">
        <f>HK5</f>
        <v>व्यावसायिक शिक्षा</v>
      </c>
      <c r="IZ6" s="81" t="str">
        <f t="shared" ref="IZ6:JF6" si="0">IS6</f>
        <v>fgUnh</v>
      </c>
      <c r="JA6" s="81" t="str">
        <f t="shared" si="0"/>
        <v>vaxzsth</v>
      </c>
      <c r="JB6" s="82" t="str">
        <f t="shared" si="0"/>
        <v>तृतीय भाषा</v>
      </c>
      <c r="JC6" s="82" t="str">
        <f t="shared" si="0"/>
        <v>गणित</v>
      </c>
      <c r="JD6" s="82" t="str">
        <f t="shared" si="0"/>
        <v>विज्ञान</v>
      </c>
      <c r="JE6" s="83" t="str">
        <f t="shared" si="0"/>
        <v>सामाजिक विज्ञान</v>
      </c>
      <c r="JF6" s="83" t="str">
        <f t="shared" si="0"/>
        <v>व्यावसायिक शिक्षा</v>
      </c>
      <c r="JG6" s="84" t="str">
        <f>IS6</f>
        <v>fgUnh</v>
      </c>
      <c r="JH6" s="84" t="str">
        <f>IT6</f>
        <v>vaxzsth</v>
      </c>
      <c r="JI6" s="82" t="str">
        <f>JB6</f>
        <v>तृतीय भाषा</v>
      </c>
      <c r="JJ6" s="82" t="str">
        <f t="shared" ref="JJ6:JM6" si="1">JC6</f>
        <v>गणित</v>
      </c>
      <c r="JK6" s="82" t="str">
        <f t="shared" si="1"/>
        <v>विज्ञान</v>
      </c>
      <c r="JL6" s="82" t="str">
        <f t="shared" si="1"/>
        <v>सामाजिक विज्ञान</v>
      </c>
      <c r="JM6" s="82" t="str">
        <f t="shared" si="1"/>
        <v>व्यावसायिक शिक्षा</v>
      </c>
      <c r="JN6" s="64" t="s">
        <v>63</v>
      </c>
      <c r="JO6" s="64"/>
      <c r="JP6" s="64" t="s">
        <v>62</v>
      </c>
      <c r="JQ6" s="85"/>
      <c r="JR6" s="86"/>
      <c r="JS6" s="86"/>
      <c r="JT6" s="86"/>
      <c r="JU6" s="86"/>
      <c r="JV6" s="413"/>
      <c r="JW6" s="413"/>
      <c r="JX6" s="1185"/>
      <c r="JY6" s="1185"/>
      <c r="JZ6" s="1185"/>
    </row>
    <row r="7" spans="1:287" s="108" customFormat="1" ht="21.95" customHeight="1">
      <c r="A7" s="89">
        <v>1</v>
      </c>
      <c r="B7" s="90">
        <f>IF('Marks Entry'!B7="","",'Marks Entry'!B7)</f>
        <v>901</v>
      </c>
      <c r="C7" s="94" t="str">
        <f>IF('Marks Entry'!D7="","",'Marks Entry'!D7)</f>
        <v>A</v>
      </c>
      <c r="D7" s="91">
        <f>IF('Marks Entry'!E7="","",'Marks Entry'!E7)</f>
        <v>521</v>
      </c>
      <c r="E7" s="92">
        <f>IF('Marks Entry'!F7="","",'Marks Entry'!F7)</f>
        <v>40461</v>
      </c>
      <c r="F7" s="93" t="str">
        <f>IF('Marks Entry'!G7="","",'Marks Entry'!G7)</f>
        <v>RAHUL JAT</v>
      </c>
      <c r="G7" s="93" t="str">
        <f>IF('Marks Entry'!H7="","",'Marks Entry'!H7)</f>
        <v>HL JAT</v>
      </c>
      <c r="H7" s="93" t="str">
        <f>IF('Marks Entry'!I7="","",'Marks Entry'!I7)</f>
        <v>LALI</v>
      </c>
      <c r="I7" s="94" t="str">
        <f>IF('Marks Entry'!J7="","",'Marks Entry'!J7)</f>
        <v>OBC</v>
      </c>
      <c r="J7" s="95" t="str">
        <f>IF('Marks Entry'!K7="","",'Marks Entry'!K7)</f>
        <v>M</v>
      </c>
      <c r="K7" s="68">
        <f>IF('Marks Entry'!L7="","",'Marks Entry'!L7)</f>
        <v>8</v>
      </c>
      <c r="L7" s="68">
        <f>IF('Marks Entry'!M7="","",'Marks Entry'!M7)</f>
        <v>10</v>
      </c>
      <c r="M7" s="68">
        <f>IF('Marks Entry'!N7="","",'Marks Entry'!N7)</f>
        <v>8</v>
      </c>
      <c r="N7" s="514">
        <f>IF(AND(K7="",L7="",M7=""),"",IF(AND(K7="AB",L7="AB",M7="AB"),"AB",IF(AND(K7="ML",L7="ML",M7="ML"),"ML",SUM(K7:M7))))</f>
        <v>26</v>
      </c>
      <c r="O7" s="68">
        <f>IF('Marks Entry'!O7="","",'Marks Entry'!O7)</f>
        <v>46</v>
      </c>
      <c r="P7" s="515">
        <f>IF(AND(N7="",O7=""),"",SUM(N7,O7))</f>
        <v>72</v>
      </c>
      <c r="Q7" s="68">
        <f>IF('Marks Entry'!P7="","",'Marks Entry'!P7)</f>
        <v>70</v>
      </c>
      <c r="R7" s="96">
        <f>IF(AND(P7="",Q7=""),"",SUM(Q7,P7))</f>
        <v>142</v>
      </c>
      <c r="S7" s="65">
        <f>COUNTIF(K7:M7,"NA")*$K$6</f>
        <v>0</v>
      </c>
      <c r="T7" s="65">
        <f>(COUNTIF(K7:M7,"ML")*$K$6)+(COUNTIF(O7,"ML")*$O$6)+(COUNTIF(Q7,"ML")*$Q$6)</f>
        <v>0</v>
      </c>
      <c r="U7" s="66">
        <f>IF(AND(K7="",L7="",M7="",O7="",Q7=""),"",IF(AND(L7="",K7="",M7=""),170-S7-T7,IF(AND(O7=""),130-S7-T7,IF(Q7="",100-S7-T7,200-S7-T7))))</f>
        <v>200</v>
      </c>
      <c r="V7" s="65" t="str">
        <f>IF(OR($B7="NSO",$B7="",Q7=""),"",IF(AND(OR(K7="ab",K7="ml"),OR(L7="ab",L7="ml"),OR(M7="ab",M7="ml")),"AB",IF(AND(OR(K7="NA",K7=""),OR(L7="NA",L7=""),OR(M7="NA",M7="")),"AB",IF(AND(OR(K7="ab",K7="ml"),OR(L7="ab",L7="ml"),OR(O7="ab",O7="ml")),"AB",IF(AND(OR(O7="ab",O7="ml"),OR(Q7="ab",Q7="ml"),OR(O7="ab",Q7="ml")),"AB",IF(AND(OR(Q7="ab",Q7="ml"),OR(K7="ab",K7="ml"),OR(L7="ab",L7="ml")),"AB",""))))))</f>
        <v/>
      </c>
      <c r="W7" s="65" t="str">
        <f>IF(OR($B7="NSO",$B7="",Q7=""),"",IF(OR(V7="AB",Q7="ab"),"AB",IF(Q7="ML","RE",IF(Q7&lt;20%*$Q$6,"F",IF(AND(R7&gt;=36%*U7,Q7&gt;=20%*$Q$6),"P",IF(AND(R7&gt;=34%*U7,T7=0,Q7&gt;=20%*$Q$6),"G2",IF(AND(R7&gt;=31%*U7,T7=0,Q7&gt;=20%*$Q$6),"G1",IF(R7&gt;=25%*U7,"S","F"))))))))</f>
        <v>P</v>
      </c>
      <c r="X7" s="65" t="str">
        <f>IF(OR(W7="",W7=0,W7="S",W7="RE",W7="F",W7="AB"),W7,IF(R7&gt;=75%*U7,"D",IF(R7&gt;=60%*U7,"I",IF(R7&gt;=48%*U7,"II",IF(R7&gt;=36%*U7,"III",W7)))))</f>
        <v>I</v>
      </c>
      <c r="Y7" s="68">
        <f>IF('Marks Entry'!Q7="","",'Marks Entry'!Q7)</f>
        <v>8</v>
      </c>
      <c r="Z7" s="68">
        <f>IF('Marks Entry'!R7="","",'Marks Entry'!R7)</f>
        <v>10</v>
      </c>
      <c r="AA7" s="68">
        <f>IF('Marks Entry'!S7="","",'Marks Entry'!S7)</f>
        <v>10</v>
      </c>
      <c r="AB7" s="514">
        <f t="shared" ref="AB7:AB70" si="2">IF(AND(Y7="",Z7="",AA7=""),"",SUM(Y7:AA7))</f>
        <v>28</v>
      </c>
      <c r="AC7" s="68">
        <f>IF('Marks Entry'!T7="","",'Marks Entry'!T7)</f>
        <v>46</v>
      </c>
      <c r="AD7" s="515">
        <f t="shared" ref="AD7:AD70" si="3">IF(AND(AB7="",AC7=""),"",SUM(AB7,AC7))</f>
        <v>74</v>
      </c>
      <c r="AE7" s="68">
        <f>IF('Marks Entry'!U7="","",'Marks Entry'!U7)</f>
        <v>70</v>
      </c>
      <c r="AF7" s="96">
        <f t="shared" ref="AF7:AF70" si="4">IF(AND(AE7="",AD7=""),"",SUM(AD7,AE7))</f>
        <v>144</v>
      </c>
      <c r="AG7" s="65">
        <f t="shared" ref="AG7:AG70" si="5">COUNTIF(Y7:AA7,"NA")*10</f>
        <v>0</v>
      </c>
      <c r="AH7" s="65">
        <f t="shared" ref="AH7:AH70" si="6">(COUNTIF(Y7:AA7,"ML")*10)+(COUNTIF(AC7,"ML")*70)+(COUNTIF(AE7,"ML")*100)</f>
        <v>0</v>
      </c>
      <c r="AI7" s="66">
        <f t="shared" ref="AI7:AI70" si="7">IF(AND(Y7="",Z7="",AA7="",AC7="",AE7=""),"",IF(AND(Z7="",Y7="",AA7=""),170-AG7-AH7,IF(AND(AC7=""),130-AG7-AH7,IF(AE7="",100-AG7-AH7,200-AG7-AH7))))</f>
        <v>200</v>
      </c>
      <c r="AJ7" s="65" t="str">
        <f t="shared" ref="AJ7:AJ70" si="8">IF(OR($B7="NSO",$B7="",AE7=""),"",IF(AND(OR(Y7="ab",Y7="ml"),OR(Z7="ab",Z7="ml"),OR(AA7="ab",AA7="ml")),"AB",IF(AND(OR(Y7="NA",Y7=""),OR(Z7="NA",Z7=""),OR(AA7="NA",AA7="")),"AB",IF(AND(OR(Y7="ab",Y7="ml"),OR(Z7="ab",Z7="ml"),OR(AC7="ab",AC7="ml")),"AB",IF(AND(OR(AC7="ab",AC7="ml"),OR(AE7="ab",AE7="ml"),OR(AC7="ab",AE7="ml")),"AB",IF(AND(OR(AE7="ab",AE7="ml"),OR(Y7="ab",Y7="ml"),OR(Z7="ab",Z7="ml")),"AB",""))))))</f>
        <v/>
      </c>
      <c r="AK7" s="65" t="str">
        <f t="shared" ref="AK7:AK70" si="9">IF(OR($B7="NSO",$B7="",AE7=""),"",IF(OR(AJ7="AB",AE7="ab"),"AB",IF(AE7="ML","RE",IF(AE7&lt;20%*$AE$6,"F",IF(AND(AF7&gt;=36%*AI7,AE7&gt;=20),"P",IF(AND(AF7&gt;=34%*AI7,AH7=0,AE7&gt;=20),"G2",IF(AND(AF7&gt;=31%*AI7,AH7=0,AE7&gt;=20),"G1",IF(AF7&gt;=25%*AI7,"S","F"))))))))</f>
        <v>P</v>
      </c>
      <c r="AL7" s="65" t="str">
        <f t="shared" ref="AL7:AL70" si="10">IF(OR(AK7="",AK7=0,AK7="S",AK7="RE",AK7="F",AK7="AB"),AK7,IF(AF7&gt;=75%*AI7,"D",IF(AF7&gt;=60%*AI7,"I",IF(AF7&gt;=48%*AI7,"II",IF(AF7&gt;=36%*AI7,"III",AK7)))))</f>
        <v>I</v>
      </c>
      <c r="AM7" s="524" t="str">
        <f>IF('Marks Entry'!V7="","",IF('Marks Entry'!V7=1,'School Profile'!$I$9,IF('Marks Entry'!V7=2,'School Profile'!$I$10,IF('Marks Entry'!V7=3,'School Profile'!$I$11,IF('Marks Entry'!V7=4,'School Profile'!$I$12,IF('Marks Entry'!V7=5,'School Profile'!$I$13,IF('Marks Entry'!V7=6,'School Profile'!$I$14,"")))))))</f>
        <v>संस्कृत (71)</v>
      </c>
      <c r="AN7" s="68">
        <f>IF('Marks Entry'!W7="","",'Marks Entry'!W7)</f>
        <v>8</v>
      </c>
      <c r="AO7" s="68">
        <f>IF('Marks Entry'!X7="","",'Marks Entry'!X7)</f>
        <v>7</v>
      </c>
      <c r="AP7" s="68">
        <f>IF('Marks Entry'!Y7="","",'Marks Entry'!Y7)</f>
        <v>10</v>
      </c>
      <c r="AQ7" s="514">
        <f t="shared" ref="AQ7:AQ70" si="11">IF(AND(AN7="",AO7="",AP7=""),"",SUM(AN7:AP7))</f>
        <v>25</v>
      </c>
      <c r="AR7" s="68">
        <f>IF('Marks Entry'!Z7="","",'Marks Entry'!Z7)</f>
        <v>46</v>
      </c>
      <c r="AS7" s="515">
        <f t="shared" ref="AS7:AS70" si="12">IF(AND(AQ7="",AR7=""),"",SUM(AQ7,AR7))</f>
        <v>71</v>
      </c>
      <c r="AT7" s="68">
        <f>IF('Marks Entry'!AA7="","",'Marks Entry'!AA7)</f>
        <v>70</v>
      </c>
      <c r="AU7" s="96">
        <f t="shared" ref="AU7:AU70" si="13">IF(AND(AT7="",AS7=""),"",SUM(AS7,AT7))</f>
        <v>141</v>
      </c>
      <c r="AV7" s="65">
        <f t="shared" ref="AV7:AV70" si="14">COUNTIF(AN7:AP7,"NA")*10</f>
        <v>0</v>
      </c>
      <c r="AW7" s="65">
        <f t="shared" ref="AW7:AW70" si="15">(COUNTIF(AN7:AP7,"ML")*10)+(COUNTIF(AR7,"ML")*70)+(COUNTIF(AT7,"ML")*100)</f>
        <v>0</v>
      </c>
      <c r="AX7" s="66">
        <f t="shared" ref="AX7:AX70" si="16">IF(AND(AN7="",AO7="",AP7="",AR7="",AT7=""),"",IF(AND(AO7="",AN7="",AP7=""),170-AV7-AW7,IF(AND(AR7=""),130-AV7-AW7,IF(AT7="",100-AV7-AW7,200-AV7-AW7))))</f>
        <v>200</v>
      </c>
      <c r="AY7" s="65" t="str">
        <f t="shared" ref="AY7:AY70" si="17">IF(OR($B7="NSO",$B7="",AT7=""),"",IF(AND(OR(AN7="ab",AN7="ml"),OR(AO7="ab",AO7="ml"),OR(AP7="ab",AP7="ml")),"AB",IF(AND(OR(AN7="NA",AN7=""),OR(AO7="NA",AO7=""),OR(AP7="NA",AP7="")),"AB",IF(AND(OR(AN7="ab",AN7="ml"),OR(AO7="ab",AO7="ml"),OR(AR7="ab",AR7="ml")),"AB",IF(AND(OR(AR7="ab",AR7="ml"),OR(AT7="ab",AT7="ml"),OR(AR7="ab",AT7="ml")),"AB",IF(AND(OR(AT7="ab",AT7="ml"),OR(AN7="ab",AN7="ml"),OR(AO7="ab",AO7="ml")),"AB",""))))))</f>
        <v/>
      </c>
      <c r="AZ7" s="65" t="str">
        <f t="shared" ref="AZ7:AZ70" si="18">IF(OR($B7="NSO",$B7="",AT7=""),"",IF(OR(AY7="AB",AT7="ab"),"AB",IF(AT7="ML","RE",IF(AT7&lt;20%*$AT$6,"F",IF(AND(AU7&gt;=36%*AX7,AT7&gt;=20),"P",IF(AND(AU7&gt;=34%*AX7,AW7=0,AT7&gt;=20),"G2",IF(AND(AU7&gt;=31%*AX7,AW7=0,AT7&gt;=20),"G1",IF(AU7&gt;=25%*AX7,"S","F"))))))))</f>
        <v>P</v>
      </c>
      <c r="BA7" s="65" t="str">
        <f t="shared" ref="BA7:BA70" si="19">IF(OR(AZ7="",AZ7=0,AZ7="S",AZ7="RE",AZ7="F",AZ7="AB"),AZ7,IF(AU7&gt;=75%*AX7,"D",IF(AU7&gt;=60%*AX7,"I",IF(AU7&gt;=48%*AX7,"II",IF(AU7&gt;=36%*AX7,"III",AZ7)))))</f>
        <v>I</v>
      </c>
      <c r="BB7" s="68">
        <f>IF('Marks Entry'!AB7="","",'Marks Entry'!AB7)</f>
        <v>8</v>
      </c>
      <c r="BC7" s="68">
        <f>IF('Marks Entry'!AC7="","",'Marks Entry'!AC7)</f>
        <v>10</v>
      </c>
      <c r="BD7" s="68">
        <f>IF('Marks Entry'!AD7="","",'Marks Entry'!AD7)</f>
        <v>8</v>
      </c>
      <c r="BE7" s="514">
        <f t="shared" ref="BE7:BE70" si="20">IF(AND(BB7="",BC7="",BD7=""),"",SUM(BB7:BD7))</f>
        <v>26</v>
      </c>
      <c r="BF7" s="68">
        <f>IF('Marks Entry'!AE7="","",'Marks Entry'!AE7)</f>
        <v>46</v>
      </c>
      <c r="BG7" s="515">
        <f t="shared" ref="BG7:BG70" si="21">IF(AND(BE7="",BF7=""),"",SUM(BE7,BF7))</f>
        <v>72</v>
      </c>
      <c r="BH7" s="68">
        <f>IF('Marks Entry'!AF7="","",'Marks Entry'!AF7)</f>
        <v>70</v>
      </c>
      <c r="BI7" s="96">
        <f t="shared" ref="BI7:BI70" si="22">IF(AND(BH7="",BG7=""),"",SUM(BG7,BH7))</f>
        <v>142</v>
      </c>
      <c r="BJ7" s="65">
        <f t="shared" ref="BJ7:BJ70" si="23">COUNTIF(BB7:BD7,"NA")*10</f>
        <v>0</v>
      </c>
      <c r="BK7" s="65">
        <f>(COUNTIF(BB7:BD7,"ML")*10)+(COUNTIF(BF7,"ML")*$BF$6)+(COUNTIF(BH7,"ML")*$BH$6)</f>
        <v>0</v>
      </c>
      <c r="BL7" s="66">
        <f t="shared" ref="BL7:BL70" si="24">IF(AND(BB7="",BC7="",BD7="",BF7="",BH7=""),"",IF(AND(BC7="",BB7="",BD7=""),170-BJ7-BK7,IF(AND(BF7=""),130-BJ7-BK7,IF(BH7="",100-BJ7-BK7,200-BJ7-BK7))))</f>
        <v>200</v>
      </c>
      <c r="BM7" s="65" t="str">
        <f t="shared" ref="BM7:BM70" si="25">IF(OR($B7="NSO",$B7="",BH7=""),"",IF(AND(OR(BB7="ab",BB7="ml"),OR(BC7="ab",BC7="ml"),OR(BD7="ab",BD7="ml")),"AB",IF(AND(OR(BB7="NA",BB7=""),OR(BC7="NA",BC7=""),OR(BD7="NA",BD7="")),"AB",IF(AND(OR(BB7="ab",BB7="ml"),OR(BC7="ab",BC7="ml"),OR(BF7="ab",BF7="ml")),"AB",IF(AND(OR(BF7="ab",BF7="ml"),OR(BH7="ab",BH7="ml"),OR(BF7="ab",BH7="ml")),"AB",IF(AND(OR(BH7="ab",BH7="ml"),OR(BB7="ab",BB7="ml"),OR(BC7="ab",BC7="ml")),"AB",""))))))</f>
        <v/>
      </c>
      <c r="BN7" s="65" t="str">
        <f t="shared" ref="BN7:BN70" si="26">IF(OR($B7="NSO",$B7="",BH7=""),"",IF(OR(BM7="AB",BH7="ab"),"AB",IF(BH7="ML","RE",IF(BH7&lt;20%*$BH$6,"F",IF(AND(BI7&gt;=36%*BL7,BH7&gt;=20),"P",IF(AND(BI7&gt;=34%*BL7,BK7=0,BH7&gt;=20),"G2",IF(AND(BI7&gt;=31%*BL7,BK7=0,BH7&gt;=20),"G1",IF(BI7&gt;=25%*BL7,"S","F"))))))))</f>
        <v>P</v>
      </c>
      <c r="BO7" s="65" t="str">
        <f t="shared" ref="BO7:BO70" si="27">IF(OR(BN7="",BN7=0,BN7="S",BN7="RE",BN7="F",BN7="AB"),BN7,IF(BI7&gt;=75%*BL7,"D",IF(BI7&gt;=60%*BL7,"I",IF(BI7&gt;=48%*BL7,"II",IF(BI7&gt;=36%*BL7,"III",BN7)))))</f>
        <v>I</v>
      </c>
      <c r="BP7" s="68">
        <f>IF('Marks Entry'!AG7="","",'Marks Entry'!AG7)</f>
        <v>8</v>
      </c>
      <c r="BQ7" s="68">
        <f>IF('Marks Entry'!AH7="","",'Marks Entry'!AH7)</f>
        <v>10</v>
      </c>
      <c r="BR7" s="68">
        <f>IF('Marks Entry'!AI7="","",'Marks Entry'!AI7)</f>
        <v>9</v>
      </c>
      <c r="BS7" s="514">
        <f t="shared" ref="BS7:BS70" si="28">IF(AND(BP7="",BQ7="",BR7=""),"",SUM(BP7:BR7))</f>
        <v>27</v>
      </c>
      <c r="BT7" s="68">
        <f>IF('Marks Entry'!AJ7="","",'Marks Entry'!AJ7)</f>
        <v>46</v>
      </c>
      <c r="BU7" s="515">
        <f t="shared" ref="BU7:BU70" si="29">IF(AND(BS7="",BT7=""),"",SUM(BS7,BT7))</f>
        <v>73</v>
      </c>
      <c r="BV7" s="68">
        <f>IF('Marks Entry'!AK7="","",'Marks Entry'!AK7)</f>
        <v>70</v>
      </c>
      <c r="BW7" s="96">
        <f t="shared" ref="BW7:BW70" si="30">IF(AND(BV7="",BU7=""),"",SUM(BU7,BV7))</f>
        <v>143</v>
      </c>
      <c r="BX7" s="65">
        <f t="shared" ref="BX7:BX70" si="31">COUNTIF(BP7:BR7,"NA")*10</f>
        <v>0</v>
      </c>
      <c r="BY7" s="65">
        <f t="shared" ref="BY7:BY70" si="32">(COUNTIF(BP7:BR7,"ML")*10)+(COUNTIF(BT7,"ML")*70)+(COUNTIF(BV7,"ML")*100)</f>
        <v>0</v>
      </c>
      <c r="BZ7" s="66">
        <f t="shared" ref="BZ7:BZ70" si="33">IF(AND(BP7="",BQ7="",BR7="",BT7="",BV7=""),"",IF(AND(BQ7="",BP7="",BR7=""),170-BX7-BY7,IF(AND(BT7=""),130-BX7-BY7,IF(BV7="",100-BX7-BY7,200-BX7-BY7))))</f>
        <v>200</v>
      </c>
      <c r="CA7" s="65" t="str">
        <f t="shared" ref="CA7:CA70" si="34">IF(OR($B7="NSO",$B7="",BV7=""),"",IF(AND(OR(BP7="ab",BP7="ml"),OR(BQ7="ab",BQ7="ml"),OR(BR7="ab",BR7="ml")),"AB",IF(AND(OR(BP7="NA",BP7=""),OR(BQ7="NA",BQ7=""),OR(BR7="NA",BR7="")),"AB",IF(AND(OR(BP7="ab",BP7="ml"),OR(BQ7="ab",BQ7="ml"),OR(BT7="ab",BT7="ml")),"AB",IF(AND(OR(BT7="ab",BT7="ml"),OR(BV7="ab",BV7="ml"),OR(BT7="ab",BV7="ml")),"AB",IF(AND(OR(BV7="ab",BV7="ml"),OR(BP7="ab",BP7="ml"),OR(BQ7="ab",BQ7="ml")),"AB",""))))))</f>
        <v/>
      </c>
      <c r="CB7" s="65" t="str">
        <f t="shared" ref="CB7:CB70" si="35">IF(OR($B7="NSO",$B7="",BV7=""),"",IF(OR(CA7="AB",BV7="ab"),"AB",IF(BV7="ML","RE",IF(BV7&lt;20%*$BV$6,"F",IF(AND(BW7&gt;=36%*BZ7,BV7&gt;=20),"P",IF(AND(BW7&gt;=34%*BZ7,BY7=0,BV7&gt;=20),"G2",IF(AND(BW7&gt;=31%*BZ7,BY7=0,BV7&gt;=20),"G1",IF(BW7&gt;=25%*BZ7,"S","F"))))))))</f>
        <v>P</v>
      </c>
      <c r="CC7" s="65" t="str">
        <f t="shared" ref="CC7:CC70" si="36">IF(OR(CB7="",CB7=0,CB7="S",CB7="RE",CB7="F",CB7="AB"),CB7,IF(BW7&gt;=75%*BZ7,"D",IF(BW7&gt;=60%*BZ7,"I",IF(BW7&gt;=48%*BZ7,"II",IF(BW7&gt;=36%*BZ7,"III",CB7)))))</f>
        <v>I</v>
      </c>
      <c r="CD7" s="66">
        <f>SUM(S7,T7,AG7,AH7,AV7,AW7,BJ7,BK7,BX7,BY7,CM7,CN7)</f>
        <v>0</v>
      </c>
      <c r="CE7" s="68">
        <f>IF('Marks Entry'!AL7="","",'Marks Entry'!AL7)</f>
        <v>9</v>
      </c>
      <c r="CF7" s="68">
        <f>IF('Marks Entry'!AM7="","",'Marks Entry'!AM7)</f>
        <v>9</v>
      </c>
      <c r="CG7" s="68">
        <f>IF('Marks Entry'!AN7="","",'Marks Entry'!AN7)</f>
        <v>9</v>
      </c>
      <c r="CH7" s="514">
        <f t="shared" ref="CH7:CH70" si="37">IF(AND(CE7="",CF7="",CG7=""),"",SUM(CE7:CG7))</f>
        <v>27</v>
      </c>
      <c r="CI7" s="68">
        <f>IF('Marks Entry'!AO7="","",'Marks Entry'!AO7)</f>
        <v>46</v>
      </c>
      <c r="CJ7" s="515">
        <f t="shared" ref="CJ7:CJ70" si="38">IF(AND(CH7="",CI7=""),"",SUM(CH7,CI7))</f>
        <v>73</v>
      </c>
      <c r="CK7" s="68">
        <f>IF('Marks Entry'!AP7="","",'Marks Entry'!AP7)</f>
        <v>70</v>
      </c>
      <c r="CL7" s="96">
        <f t="shared" ref="CL7:CL70" si="39">IF(AND(CK7="",CJ7=""),"",SUM(CJ7,CK7))</f>
        <v>143</v>
      </c>
      <c r="CM7" s="65">
        <f t="shared" ref="CM7:CM70" si="40">COUNTIF(CE7:CG7,"NA")*10</f>
        <v>0</v>
      </c>
      <c r="CN7" s="65">
        <f t="shared" ref="CN7:CN70" si="41">(COUNTIF(CE7:CG7,"ML")*10)+(COUNTIF(CI7,"ML")*70)+(COUNTIF(CK7,"ML")*100)</f>
        <v>0</v>
      </c>
      <c r="CO7" s="66">
        <f t="shared" ref="CO7:CO70" si="42">IF(AND(CE7="",CF7="",CG7="",CI7="",CK7=""),"",IF(AND(CF7="",CE7="",CG7=""),170-CM7-CN7,IF(AND(CI7=""),130-CM7-CN7,IF(CK7="",100-CM7-CN7,200-CM7-CN7))))</f>
        <v>200</v>
      </c>
      <c r="CP7" s="65" t="str">
        <f t="shared" ref="CP7:CP70" si="43">IF(OR($B7="NSO",$B7="",CK7=""),"",IF(AND(OR(CE7="ab",CE7="ml"),OR(CF7="ab",CF7="ml"),OR(CG7="ab",CG7="ml")),"AB",IF(AND(OR(CE7="NA",CE7=""),OR(CF7="NA",CF7=""),OR(CG7="NA",CG7="")),"AB",IF(AND(OR(CE7="ab",CE7="ml"),OR(CF7="ab",CF7="ml"),OR(CI7="ab",CI7="ml")),"AB",IF(AND(OR(CI7="ab",CI7="ml"),OR(CK7="ab",CK7="ml"),OR(CI7="ab",CK7="ml")),"AB",IF(AND(OR(CK7="ab",CK7="ml"),OR(CE7="ab",CE7="ml"),OR(CF7="ab",CF7="ml")),"AB",""))))))</f>
        <v/>
      </c>
      <c r="CQ7" s="65" t="str">
        <f t="shared" ref="CQ7:CQ70" si="44">IF(OR($B7="NSO",$B7="",CK7=""),"",IF(OR(CP7="AB",CK7="ab"),"AB",IF(CK7="ML","RE",IF(CK7&lt;20%*$CK$6,"F",IF(AND(CL7&gt;=36%*CO7,CK7&gt;=20),"P",IF(AND(CL7&gt;=34%*CO7,CN7=0,CK7&gt;=20),"G2",IF(AND(CL7&gt;=31%*CO7,CN7=0,CK7&gt;=20),"G1",IF(CL7&gt;=25%*CO7,"S","F"))))))))</f>
        <v>P</v>
      </c>
      <c r="CR7" s="65" t="str">
        <f t="shared" ref="CR7:CR70" si="45">IF(OR(CQ7="",CQ7=0,CQ7="S",CQ7="RE",CQ7="F",CQ7="AB"),CQ7,IF(CL7&gt;=75%*CO7,"D",IF(CL7&gt;=60%*CO7,"I",IF(CL7&gt;=48%*CO7,"II",IF(CL7&gt;=36%*CO7,"III",CQ7)))))</f>
        <v>I</v>
      </c>
      <c r="CS7" s="106"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BEAUTY AND HEALTH</v>
      </c>
      <c r="CT7" s="68">
        <f>IF('School Profile'!$D$20="NO","",IF('Marks Entry'!AR7="","",'Marks Entry'!AR7))</f>
        <v>8</v>
      </c>
      <c r="CU7" s="68">
        <f>IF('School Profile'!$D$20="NO","",IF('Marks Entry'!AS7="","",'Marks Entry'!AS7))</f>
        <v>8</v>
      </c>
      <c r="CV7" s="68">
        <f>IF('School Profile'!$D$20="NO","",IF('Marks Entry'!AT7="","",'Marks Entry'!AT7))</f>
        <v>8</v>
      </c>
      <c r="CW7" s="514">
        <f>IF('School Profile'!$D$20="NO","",IF(AND(CT7="",CU7="",CV7=""),"",SUM(CT7:CV7)))</f>
        <v>24</v>
      </c>
      <c r="CX7" s="68">
        <f>IF('School Profile'!$D$20="NO","",IF('Marks Entry'!AU7="","",'Marks Entry'!AU7))</f>
        <v>31</v>
      </c>
      <c r="CY7" s="68">
        <f>IF('School Profile'!$D$20="NO","",IF('Marks Entry'!AV7="","",'Marks Entry'!AV7))</f>
        <v>32</v>
      </c>
      <c r="CZ7" s="515">
        <f>IF('School Profile'!$D$20="NO","",IF(AND(CX7="",CY7=""),"",SUM(CX7,CY7)))</f>
        <v>63</v>
      </c>
      <c r="DA7" s="69">
        <f>IF('School Profile'!$D$20="NO","",IF(AND(CW7="",CZ7=""),"",SUM(CW7+CZ7)))</f>
        <v>87</v>
      </c>
      <c r="DB7" s="68">
        <f>IF('School Profile'!$D$20="NO","",IF('Marks Entry'!AW7="","",'Marks Entry'!AW7))</f>
        <v>43</v>
      </c>
      <c r="DC7" s="68">
        <f>IF('School Profile'!$D$20="NO","",IF('Marks Entry'!AX7="","",'Marks Entry'!AX7))</f>
        <v>44</v>
      </c>
      <c r="DD7" s="515">
        <f>IF('School Profile'!$D$20="NO","",IF(AND(DB7="",DC7=""),"",SUM(DB7,DC7)))</f>
        <v>87</v>
      </c>
      <c r="DE7" s="96">
        <f>IF('School Profile'!$D$20="NO","",IF(AND(DA7="",DD7=""),"",SUM(DA7,DD7)))</f>
        <v>174</v>
      </c>
      <c r="DF7" s="532">
        <f t="shared" ref="DF7:DF70" si="46">COUNTIF(CX7:CZ7,"NA")*10</f>
        <v>0</v>
      </c>
      <c r="DG7" s="65">
        <f t="shared" ref="DG7:DG70" si="47">(COUNTIF(CX7:CZ7,"ML")*10)+(COUNTIF(DB7,"ML")*70)+(COUNTIF(DD7,"ML")*100)</f>
        <v>0</v>
      </c>
      <c r="DH7" s="66">
        <f t="shared" ref="DH7:DH70" si="48">IF(AND(CX7="",CY7="",CZ7="",DB7="",DD7=""),"",IF(AND(CY7="",CX7="",CZ7=""),170-DF7-DG7,IF(AND(DB7=""),130-DF7-DG7,IF(DD7="",100-DF7-DG7,200-DF7-DG7))))</f>
        <v>200</v>
      </c>
      <c r="DI7" s="65" t="str">
        <f t="shared" ref="DI7:DI70" si="49">IF(OR($B7="NSO",$B7="",DD7=""),"",IF(AND(OR(CX7="ab",CX7="ml"),OR(CY7="ab",CY7="ml"),OR(CZ7="ab",CZ7="ml")),"AB",IF(AND(OR(CX7="NA",CX7=""),OR(CY7="NA",CY7=""),OR(CZ7="NA",CZ7="")),"AB",IF(AND(OR(CX7="ab",CX7="ml"),OR(CY7="ab",CY7="ml"),OR(DB7="ab",DB7="ml")),"AB",IF(AND(OR(DB7="ab",DB7="ml"),OR(DD7="ab",DD7="ml"),OR(DB7="ab",DD7="ml")),"AB",IF(AND(OR(DD7="ab",DD7="ml"),OR(CX7="ab",CX7="ml"),OR(CY7="ab",CY7="ml")),"AB",""))))))</f>
        <v/>
      </c>
      <c r="DJ7" s="65" t="str">
        <f t="shared" ref="DJ7:DJ70" si="50">IF(OR($B7="NSO",$B7="",DD7=""),"",IF(OR(DI7="AB",DD7="ab"),"AB",IF(DD7="ML","RE",IF(DD7&lt;20%*$DD$6,"F",IF(AND(DE7&gt;=36%*DH7,DD7&gt;=20),"P",IF(AND(DE7&gt;=34%*DH7,DG7=0,DD7&gt;=20),"G2",IF(AND(DE7&gt;=31%*DH7,DG7=0,DD7&gt;=20),"G1",IF(DE7&gt;=25%*DH7,"S","F"))))))))</f>
        <v>P</v>
      </c>
      <c r="DK7" s="65" t="str">
        <f t="shared" ref="DK7:DK70" si="51">IF(OR(DJ7="",DJ7=0,DJ7="S",DJ7="RE",DJ7="F",DJ7="AB"),DJ7,IF(DE7&gt;=75%*DH7,"D",IF(DE7&gt;=60%*DH7,"I",IF(DE7&gt;=48%*DH7,"II",IF(DE7&gt;=36%*DH7,"III",DJ7)))))</f>
        <v>D</v>
      </c>
      <c r="DL7" s="97" t="str">
        <f>X7</f>
        <v>I</v>
      </c>
      <c r="DM7" s="97" t="str">
        <f>AL7</f>
        <v>I</v>
      </c>
      <c r="DN7" s="97" t="str">
        <f>BA7</f>
        <v>I</v>
      </c>
      <c r="DO7" s="97" t="str">
        <f>BO7</f>
        <v>I</v>
      </c>
      <c r="DP7" s="97" t="str">
        <f>CC7</f>
        <v>I</v>
      </c>
      <c r="DQ7" s="97" t="str">
        <f>CR7</f>
        <v>I</v>
      </c>
      <c r="DR7" s="97" t="str">
        <f>DK7</f>
        <v>D</v>
      </c>
      <c r="DS7" s="98">
        <f>COUNTIF(DL7:DR7,"F")+COUNTIF(DL7:DR7,"AB")</f>
        <v>0</v>
      </c>
      <c r="DT7" s="98">
        <f>COUNTIF(DL7:DR7,"S")</f>
        <v>0</v>
      </c>
      <c r="DU7" s="98">
        <f>COUNTIF(DL7:DR7,"G1")</f>
        <v>0</v>
      </c>
      <c r="DV7" s="98">
        <f>COUNTIF(DL7:DR7,"G2")</f>
        <v>0</v>
      </c>
      <c r="DW7" s="98">
        <f>COUNTIF(DL7:DR7,"RE")+COUNTIF(DL7:DR7,"REP")</f>
        <v>0</v>
      </c>
      <c r="DX7" s="98" t="str">
        <f>IF(OR(DK7="AB",DK7="F"),"F",IF(OR(DK7="RE"),"RE",""))</f>
        <v/>
      </c>
      <c r="DY7" s="99" t="str">
        <f>IF(B7="NSO","NSO",IF(OR(B7="",B7=0,Q7="",AE7="",AT7="",BH7="",BV7="",CK7=""),"",IF(OR(DS7&gt;0,(DT7+DU7+DV7)&gt;2),"FAIL",IF(DW7&gt;0,"RE-EXAM",IF(OR(DT7&gt;0,DU7&gt;1),"SUPPLEMENTARY",IF(AND(DU7&gt;0,DV7&gt;0),"SUPPLEMENTARY",IF((DU7+DV7)&gt;0,"BY GRACE PASS","PASS")))))))</f>
        <v>PASS</v>
      </c>
      <c r="DZ7" s="74">
        <f>IF('Marks Entry'!AY7="","",'Marks Entry'!AY7)</f>
        <v>10</v>
      </c>
      <c r="EA7" s="74">
        <f>IF('Marks Entry'!AZ7="","",'Marks Entry'!AZ7)</f>
        <v>10</v>
      </c>
      <c r="EB7" s="74">
        <f>IF('Marks Entry'!BA7="","",'Marks Entry'!BA7)</f>
        <v>10</v>
      </c>
      <c r="EC7" s="527">
        <f t="shared" ref="EC7:EC70" si="52">IF(AND(DZ7="",EA7="",EB7=""),"",SUM(DZ7:EB7))</f>
        <v>30</v>
      </c>
      <c r="ED7" s="74">
        <f>IF('Marks Entry'!BB7="","",'Marks Entry'!BB7)</f>
        <v>70</v>
      </c>
      <c r="EE7" s="528">
        <f t="shared" ref="EE7:EE70" si="53">IF(AND(EC7="",ED7=""),"",SUM(EC7,ED7))</f>
        <v>100</v>
      </c>
      <c r="EF7" s="74">
        <f>IF('Marks Entry'!BC7="","",'Marks Entry'!BC7)</f>
        <v>90</v>
      </c>
      <c r="EG7" s="530">
        <f t="shared" ref="EG7:EG70" si="54">IF(AND(EF7="",EE7=""),"",SUM(EE7,EF7))</f>
        <v>190</v>
      </c>
      <c r="EH7" s="368" t="str">
        <f>IF(OR($B7="NSO",$B7=0,EG7=""),"",IF(OR(EG7="AB",EE7="AB",EF7="AB"),"AB",IF(AND(DY7="FAIL",(OR(EG7&lt;36%*EK7))),"D",IF(OR(EF7="ML",EF7&lt;20%*EF$6,EG7&lt;36%*EK7),"D",IF(EG7&gt;80%*EK7,"A",IF(EG7&gt;60%*EK7,"B",IF(EG7&gt;40%*EK7,"C","D")))))))</f>
        <v>A</v>
      </c>
      <c r="EI7" s="65">
        <f>COUNTIF(DZ7:EB7,"NA")*10</f>
        <v>0</v>
      </c>
      <c r="EJ7" s="65">
        <f>(COUNTIF(DZ7:EB7,"ML")*10)+(COUNTIF(ED7,"ML")*70)+(COUNTIF(EF7,"ML")*100)</f>
        <v>0</v>
      </c>
      <c r="EK7" s="66">
        <f>IF(OR($B7="NSO",$B7=0),"",IF(AND(DZ7="",EA7="",EC7="",EE7=""),"",IF(AND(EA7="",EC7="",ED7="",EE7="",EF7=""),($DZ$6)-EI7-EJ7,IF(AND(DZ7="",EC7="",ED7="",EE7="",EF7=""),($EA$6)-EI7-EJ7,IF(AND(EC7="",ED7="",EE7="",EF7=""),($DZ$6+$EA$6)-EI7-EJ7,IF(AND(EE7="",EF7=""),($EC$6+$ED$6)-EI7-EJ7,($EG$6)-EI7-EJ7))))))</f>
        <v>200</v>
      </c>
      <c r="EL7" s="74">
        <f>IF('Marks Entry'!BD7="","",'Marks Entry'!BD7)</f>
        <v>10</v>
      </c>
      <c r="EM7" s="74">
        <f>IF('Marks Entry'!BE7="","",'Marks Entry'!BE7)</f>
        <v>10</v>
      </c>
      <c r="EN7" s="74">
        <f>IF('Marks Entry'!BF7="","",'Marks Entry'!BF7)</f>
        <v>10</v>
      </c>
      <c r="EO7" s="527">
        <f t="shared" ref="EO7:EO70" si="55">IF(AND(EL7="",EM7="",EN7=""),"",SUM(EL7:EN7))</f>
        <v>30</v>
      </c>
      <c r="EP7" s="74">
        <f>IF('Marks Entry'!BG7="","",'Marks Entry'!BG7)</f>
        <v>45</v>
      </c>
      <c r="EQ7" s="74">
        <f>IF('Marks Entry'!BH7="","",'Marks Entry'!BH7)</f>
        <v>12</v>
      </c>
      <c r="ER7" s="528">
        <f t="shared" ref="ER7:ER70" si="56">IF(AND(EP7="",EQ7=""),"",SUM(EP7,EQ7))</f>
        <v>57</v>
      </c>
      <c r="ES7" s="529">
        <f t="shared" ref="ES7:ES70" si="57">IF(AND(EO7="",ER7=""),"",SUM(EO7+ER7))</f>
        <v>87</v>
      </c>
      <c r="ET7" s="74">
        <f>IF('Marks Entry'!BI7="","",'Marks Entry'!BI7)</f>
        <v>63</v>
      </c>
      <c r="EU7" s="74">
        <f>IF('Marks Entry'!BJ7="","",'Marks Entry'!BJ7)</f>
        <v>25</v>
      </c>
      <c r="EV7" s="528">
        <f t="shared" ref="EV7:EV70" si="58">IF(AND(ET7="",EU7=""),"",SUM(ET7,EU7))</f>
        <v>88</v>
      </c>
      <c r="EW7" s="530">
        <f t="shared" ref="EW7:EW70" si="59">IF(AND(ES7="",EV7=""),"",SUM(ES7,EV7))</f>
        <v>175</v>
      </c>
      <c r="EX7" s="368" t="str">
        <f>IF(OR($B7="NSO",$B7=0,EW7=""),"",IF(OR(ET7="AB",EU7="AB",EV7="AB"),"AB",IF(AND($DY7="FAIL",(OR(EW7&lt;36%*FA7))),"D",IF(OR(EV7="ML",EV7&lt;20%*EV$6,EW7&lt;36%*FA7),"D",IF(EW7&gt;80%*FA7,"A",IF(EW7&gt;60%*FA7,"B",IF(EW7&gt;40%*FA7,"C","D")))))))</f>
        <v>A</v>
      </c>
      <c r="EY7" s="65">
        <f>COUNTIF(EL7:EN7,"NA")*10</f>
        <v>0</v>
      </c>
      <c r="EZ7" s="65">
        <f>(COUNTIF(EL7:EN7,"ML")*10)+(COUNTIF(ER7,"ML")*70)+(COUNTIF(EV7,"ML")*100)</f>
        <v>0</v>
      </c>
      <c r="FA7" s="66">
        <f>IF(OR($B7="NSO",$B7=0),"",IF(AND(EL7="",EM7="",EP7="",ET7=""),"",IF(AND(EM7="",EP7="",EQ7="",ET7="",EU7=""),($EL$6)-EY7-EZ7,IF(AND(EL7="",EP7="",EQ7="",ET7="",EU7=""),($EM$6)-EY7-EZ7,IF(AND(EP7="",EQ7="",ET7="",EU7=""),($EL$6+$EM$6)-EY7-EZ7,IF(AND(ET7="",EU7=""),($EP$6+$EQ$6)-EY7-EZ7,($EW$6)-EY7-EZ7))))))</f>
        <v>200</v>
      </c>
      <c r="FB7" s="74">
        <f>IF('Marks Entry'!BK7="","",'Marks Entry'!BK7)</f>
        <v>10</v>
      </c>
      <c r="FC7" s="74">
        <f>IF('Marks Entry'!BL7="","",'Marks Entry'!BL7)</f>
        <v>7</v>
      </c>
      <c r="FD7" s="74">
        <f>IF('Marks Entry'!BM7="","",'Marks Entry'!BM7)</f>
        <v>9</v>
      </c>
      <c r="FE7" s="74">
        <f>IF('Marks Entry'!BN7="","",'Marks Entry'!BN7)</f>
        <v>7</v>
      </c>
      <c r="FF7" s="74">
        <f>IF('Marks Entry'!BO7="","",'Marks Entry'!BO7)</f>
        <v>10</v>
      </c>
      <c r="FG7" s="74">
        <f>IF('Marks Entry'!BP7="","",'Marks Entry'!BP7)</f>
        <v>14</v>
      </c>
      <c r="FH7" s="527">
        <f t="shared" ref="FH7:FH70" si="60">IF(AND(FB7="",FC7="",FE7="",FF7="",FG7=""),"",SUM(FB7:FG7))</f>
        <v>57</v>
      </c>
      <c r="FI7" s="74">
        <f>IF('Marks Entry'!BQ7="","",'Marks Entry'!BQ7)</f>
        <v>20</v>
      </c>
      <c r="FJ7" s="74">
        <f>IF('Marks Entry'!BR7="","",'Marks Entry'!BR7)</f>
        <v>14</v>
      </c>
      <c r="FK7" s="528">
        <f t="shared" ref="FK7:FK70" si="61">IF(AND(FI7="",FJ7=""),"",SUM(FI7,FJ7))</f>
        <v>34</v>
      </c>
      <c r="FL7" s="529">
        <f t="shared" ref="FL7:FL70" si="62">IF(AND(FH7="",FK7=""),"",SUM(FH7+FK7))</f>
        <v>91</v>
      </c>
      <c r="FM7" s="74">
        <f>IF('Marks Entry'!BS7="","",'Marks Entry'!BS7)</f>
        <v>12</v>
      </c>
      <c r="FN7" s="74">
        <f>IF('Marks Entry'!BT7="","",'Marks Entry'!BT7)</f>
        <v>50</v>
      </c>
      <c r="FO7" s="528">
        <f t="shared" ref="FO7:FO70" si="63">IF(AND(FM7="",FN7=""),"",SUM(FM7,FN7))</f>
        <v>62</v>
      </c>
      <c r="FP7" s="530">
        <f t="shared" ref="FP7:FP70" si="64">IF(AND(FL7="",FO7=""),"",SUM(FL7,FO7))</f>
        <v>153</v>
      </c>
      <c r="FQ7" s="368" t="str">
        <f>IF(OR($B7="NSO",$B7=0,FP7=""),"",IF(OR(FM7="AB",FN7="AB",FO7="AB"),"AB",IF(AND($DY7="FAIL",(OR(FP7&lt;36%*FT7))),"D",IF(OR(FO7="ML",FO7&lt;20%*FO$6,FP7&lt;36%*FT7),"D",IF(FP7&gt;80%*FT7,"A",IF(FP7&gt;60%*FT7,"B",IF(FP7&gt;40%*FT7,"C","D")))))))</f>
        <v>B</v>
      </c>
      <c r="FR7" s="65">
        <f>COUNTIF(FB7,"NA")*10+COUNTIF(FD7,"NA")*10+COUNTIF(FF7,"NA")*10</f>
        <v>0</v>
      </c>
      <c r="FS7" s="65">
        <f>(COUNTIF(FB7,"ML")*10)+(COUNTIF(FD7,"ML")*10)+(COUNTIF(FF7,"ML")*10)+(COUNTIF(FI7,"ML")*25)+(COUNTIF(FJ7,"ML")*15)+(COUNTIF(FM7,"ML")*30)+(COUNTIF(FN7,"ML")*70)</f>
        <v>0</v>
      </c>
      <c r="FT7" s="66">
        <f>IF(OR($B7="NSO",$B7=0),"",IF(AND(FB7="",FD7="",FF7="",FI7="",FM7=""),"",IF(AND(FC7="",FI7="",FJ7="",FE7="",FN7=""),($FB$6)-FR7-FS7,IF(AND(FB7="",FI7="",FJ7="",FM7="",FN7=""),($FC$6)-FR7-FS7,IF(AND(FI7="",FJ7="",FM7="",FN7=""),($FB$6+$FC$6)-FR7-FS7,IF(AND(FM7="",FN7=""),($FI$6+$FJ$6)-FR7-FS7,($FP$6)-FR7-FS7))))))</f>
        <v>200</v>
      </c>
      <c r="FU7" s="74">
        <f>IF('Marks Entry'!BU7="","",'Marks Entry'!BU7)</f>
        <v>21</v>
      </c>
      <c r="FV7" s="74">
        <f>IF('Marks Entry'!BV7="","",'Marks Entry'!BV7)</f>
        <v>41</v>
      </c>
      <c r="FW7" s="74">
        <f>IF('Marks Entry'!BW7="","",'Marks Entry'!BW7)</f>
        <v>29</v>
      </c>
      <c r="FX7" s="75">
        <f t="shared" ref="FX7:FX70" si="65">IF(AND(FU7="",FV7="",FW7=""),"",SUM(FU7,FV7,FW7))</f>
        <v>91</v>
      </c>
      <c r="FY7" s="368" t="str">
        <f>IFERROR(IF(OR($B7="NSO",$B7=0,FX7=""),"",IF(OR(FU7="AB",FV7="AB",FW7="AB"),"AB",IF(AND($DY7="FAIL",(OR(FX7&lt;36%*GB7))),"D",IF(OR(FW7="ML",FX7&lt;20%*FX$6,FX7&lt;36%*GB7),"D",IF(FX7&gt;80%*GB7,"A",IF(FX7&gt;60%*GB7,"B",IF(FX7&gt;40%*GB7,"C","D"))))))),"")</f>
        <v>A</v>
      </c>
      <c r="FZ7" s="65">
        <f>COUNTIF(FU7,"NA")*25</f>
        <v>0</v>
      </c>
      <c r="GA7" s="66">
        <f>IF(AND(FW7="",FU7="",FW7=""),(COUNTIF(FU7,"ML")*25+(COUNTIF(FW7,"ML"))*FW$6+(COUNTIF(FV7,"ML"))*FV$6),(COUNTIF(FU7,"ML")*25+(COUNTIF(FW7,"ML"))*FW$6+(COUNTIF(FX7,"ML"))*FX$6))</f>
        <v>0</v>
      </c>
      <c r="GB7" s="66">
        <f>IF(OR($B7="NSO",$B7=0),"",IF(AND(FU7="",FV7="",FW7=""),"",IF(AND(FU7="",FV7="",FW7=""),($FX$6)-FZ7-GA7,IF(AND(FW7=""),($FW$6)-FZ7-GA7,IF(AND(FV7=""),($FV$6)-FZ7-GA7,IF(AND(FU7=""),($FU$6)-FZ7-GA7,($FX$6)-FZ7-GA7))))))</f>
        <v>100</v>
      </c>
      <c r="GC7" s="74">
        <f>IF('Marks Entry'!BX7="","",'Marks Entry'!BX7)</f>
        <v>14</v>
      </c>
      <c r="GD7" s="74">
        <f>IF('Marks Entry'!BY7="","",'Marks Entry'!BY7)</f>
        <v>42</v>
      </c>
      <c r="GE7" s="74">
        <f>IF('Marks Entry'!BZ7="","",'Marks Entry'!BZ7)</f>
        <v>10</v>
      </c>
      <c r="GF7" s="75">
        <f t="shared" ref="GF7" si="66">IF(AND(GC7="",GD7="",GE7=""),"",SUM(GC7,GD7,GE7))</f>
        <v>66</v>
      </c>
      <c r="GG7" s="368" t="str">
        <f>IFERROR(IF(OR($B7="NSO",$B7=0,GF7=""),"",IF(OR(GC7="AB",GD7="AB",GE7="AB"),"AB",IF(AND($DY7="FAIL",(OR(GF7&lt;36%*GJ7))),"D",IF(OR(GE7="ML",GF7&lt;20%*GF$6,GF7&lt;36%*GJ7),"D",IF(GF7&gt;80%*GJ7,"A",IF(GF7&gt;60%*GJ7,"B",IF(GF7&gt;40%*GJ7,"C","D"))))))),"")</f>
        <v>B</v>
      </c>
      <c r="GH7" s="65">
        <f>COUNTIF(GC7,"NA")*25</f>
        <v>0</v>
      </c>
      <c r="GI7" s="66">
        <f>IF(AND(GE7="",GC7="",GE7=""),(COUNTIF(GC7,"ML")*25+(COUNTIF(GE7,"ML"))*GE$6+(COUNTIF(GD7,"ML"))*GD$6),(COUNTIF(GC7,"ML")*25+(COUNTIF(GE7,"ML"))*GE$6+(COUNTIF(GF7,"ML"))*GF$6))</f>
        <v>0</v>
      </c>
      <c r="GJ7" s="66">
        <f>IF(OR($B7="NSO",$B7=0),"",IF(AND(GC7="",GD7="",GE7=""),"",IF(AND(GC7="",GD7="",GE7=""),($GF$6)-GH7-GI7,IF(AND(GE7=""),($GE$6)-GH7-GI7,IF(AND(GD7=""),($GD$6)-GH7-GI7,IF(AND(GC7=""),($GC$6)-GH7-GI7,($GF$6)-GH7-GI7))))))</f>
        <v>100</v>
      </c>
      <c r="GK7" s="100">
        <f>IF(AND(F7="",B7=""),"",IF('Student DATA Entry'!M4="","",'Student DATA Entry'!M4))</f>
        <v>200</v>
      </c>
      <c r="GL7" s="101">
        <f>IF(AND(B7="",F7=""),"",IF('Student DATA Entry'!N4="","",'Student DATA Entry'!N4))</f>
        <v>192</v>
      </c>
      <c r="GM7" s="581">
        <f>IF(OR(GK7=0,GL7=0,GK7="",GL7=""),"",GL7/GK7*100)</f>
        <v>96</v>
      </c>
      <c r="GN7" s="94" t="str">
        <f>IF(AND(DY7="FAIL",(OR(DL7="G1",DL7="G2",DL7="S",DL7="RE"))),"F",IF(AND(DY7="RE-EXAM",(OR(DL7="G1",DL7="G2",DL7="S"))),"S",IF(AND(DY7="SUPPLEMENTARY",(OR(DL7="G1",DL7="G2"))),"S",IF(AND(DY7="BY GRACE PASS",(OR(DL7="G1",DL7="G2"))),"G",DL7))))</f>
        <v>I</v>
      </c>
      <c r="GO7" s="94" t="str">
        <f>IF(GN7="G",",+","")</f>
        <v/>
      </c>
      <c r="GP7" s="102" t="str">
        <f t="shared" ref="GP7:GP38" si="67">IF(GN7="G",ROUNDUP(36%*U7-R7,0),"")</f>
        <v/>
      </c>
      <c r="GQ7" s="94" t="str">
        <f>IF(AND(DY7="FAIL",(OR(DM7="G1",DM7="G2",DM7="S",DM7="RE"))),"F",IF(AND(DY7="RE-EXAM",(OR(DM7="G1",DM7="G2",DM7="S"))),"S",IF(AND(DY7="SUPPLEMENTARY",(OR(DM7="G1",DM7="G2"))),"S",IF(AND(DY7="BY GRACE PASS",(OR(DM7="G1",DM7="G2"))),"G",DM7))))</f>
        <v>I</v>
      </c>
      <c r="GR7" s="103" t="str">
        <f>IF(GQ7="G",",+","")</f>
        <v/>
      </c>
      <c r="GS7" s="102" t="str">
        <f t="shared" ref="GS7:GS38" si="68">IF(GQ7="G",ROUNDUP(36%*AI7-AF7,0),"")</f>
        <v/>
      </c>
      <c r="GT7" s="104" t="str">
        <f>IF(AND(DY7="FAIL",(OR(DN7="G1",DN7="G2",DN7="S",DN7="RE"))),"F",IF(AND(DY7="RE-EXAM",(OR(DN7="G1",DN7="G2",DN7="S"))),"S",IF(AND(DY7="SUPPLEMENTARY",(OR(DN7="G1",DN7="G2"))),"S",IF(AND(DY7="BY GRACE PASS",(OR(DN7="G1",DN7="G2"))),"G",DN7))))</f>
        <v>I</v>
      </c>
      <c r="GU7" s="94" t="str">
        <f>IF('Marks Entry'!V7=1,GT7,"")</f>
        <v>I</v>
      </c>
      <c r="GV7" s="94" t="str">
        <f>IF('Marks Entry'!V7=2,GT7,"")</f>
        <v/>
      </c>
      <c r="GW7" s="94" t="str">
        <f>IF('Marks Entry'!V7=3,GT7,"")</f>
        <v/>
      </c>
      <c r="GX7" s="94" t="str">
        <f>IF('Marks Entry'!V7=4,GT7,"")</f>
        <v/>
      </c>
      <c r="GY7" s="94" t="str">
        <f>IF('Marks Entry'!V7=5,GT7,"")</f>
        <v/>
      </c>
      <c r="GZ7" s="94" t="str">
        <f>IF(GT7="G",",+","")</f>
        <v/>
      </c>
      <c r="HA7" s="105" t="str">
        <f t="shared" ref="HA7:HA38" si="69">IF(GT7="G",ROUNDUP(36%*AX7-AU7,0),"")</f>
        <v/>
      </c>
      <c r="HB7" s="94" t="str">
        <f>IF(AND(DY7="FAIL",(OR(DO7="G1",DO7="G2",DO7="S",DO7="RE",))),"F",IF(AND(DY7="RE-EXAM",(OR(DO7="G1",DO7="G2",DO7="S"))),"S",IF(AND(DY7="SUPPLEMENTARY",(OR(DO7="G1",DO7="G2"))),"S",IF(AND(DY7="BY GRACE PASS",(OR(DO7="G1",DO7="G2"))),"G",DO7))))</f>
        <v>I</v>
      </c>
      <c r="HC7" s="94" t="str">
        <f>IF(HB7="G",",+","")</f>
        <v/>
      </c>
      <c r="HD7" s="105" t="str">
        <f t="shared" ref="HD7:HD38" si="70">IF(HB7="G",ROUNDUP(36%*BL7-BI7,0),"")</f>
        <v/>
      </c>
      <c r="HE7" s="94" t="str">
        <f>IF(AND(DY7="FAIL",(OR(DP7="G1",DP7="G2",DP7="S",DP7="RE"))),"F",IF(AND(DY7="RE-EXAM",(OR(DP7="G1",DP7="G2",DP7="S"))),"S",IF(AND(DY7="SUPPLEMENTARY",(OR(DP7="G1",DP7="G2"))),"S",IF(AND(DY7="BY GRACE PASS",(OR(DP7="G1",DP7="G2"))),"G",DP7))))</f>
        <v>I</v>
      </c>
      <c r="HF7" s="94" t="str">
        <f>IF(HE7="G",",+","")</f>
        <v/>
      </c>
      <c r="HG7" s="105" t="str">
        <f t="shared" ref="HG7:HG38" si="71">IF(HE7="G",ROUNDUP(36%*BZ7-BW7,0),"")</f>
        <v/>
      </c>
      <c r="HH7" s="94" t="str">
        <f>IF(AND(DY7="FAIL",(OR(DQ7="G1",DQ7="G2",DQ7="S",DQ7="RE"))),"F",IF(AND(DY7="RE-EXAM",(OR(DQ7="G1",DQ7="G2",DQ7="S"))),"S",IF(AND(DY7="SUPPLEMENTARY",(OR(DQ7="G1",DQ7="G2"))),"S",IF(AND(DY7="BY GRACE PASS",(OR(DQ7="G1",DQ7="G2"))),"G",DQ7))))</f>
        <v>I</v>
      </c>
      <c r="HI7" s="94" t="str">
        <f>IF(HH7="G",",+","")</f>
        <v/>
      </c>
      <c r="HJ7" s="105" t="str">
        <f t="shared" ref="HJ7:HJ38" si="72">IF(HH7="G",ROUNDUP(36%*CO7-CL7,0),"")</f>
        <v/>
      </c>
      <c r="HK7" s="94" t="str">
        <f>IF(AND(DY7="FAIL",(OR(DR7="G1",DR7="G2",DR7="S",DR7="RE"))),"F",IF(AND(DY7="RE-EXAM",(OR(DR7="G1",DR7="G2",DR7="S"))),"S",IF(AND(DY7="SUPPLEMENTARY",(OR(DR7="G1",DR7="G2"))),"S",IF(AND(DY7="BY GRACE PASS",(OR(DR7="G1",DR7="G2"))),"G",DR7))))</f>
        <v>D</v>
      </c>
      <c r="HL7" s="94" t="str">
        <f>IF(HK7="G",",+","")</f>
        <v/>
      </c>
      <c r="HM7" s="105" t="str">
        <f t="shared" ref="HM7:HM38" si="73">IF(HK7="G",ROUNDUP(36%*DH7-DE7,0),"")</f>
        <v/>
      </c>
      <c r="HN7" s="106" t="str">
        <f>CONCATENATE(IF(GN7="F",$GN$5,IF(GN7="AB",$GN$5,""))," ",IF(GQ7="F",$GQ$5,IF(GQ7="AB",$GQ$5,""))," ",IF(GU7="F",$GU$5,IF(GV7="F",$GV$5,IF(GW7="F",$GW$5,IF(GX7="F",$GX$5,IF(GY7="F",$GY$5,IF(GU7="AB",$GU$5,IF(GV7="AB",$GV$5,IF(GW7="AB",$GW$5,IF(GX7="AB",$GX$5,IF(GY7="AB",$GY$5,""))))))))))," ",IF(HB7="F",$HB$5,IF(HB7="AB",$HB$5,""))," ",IF(HE7="F",$HE$5,IF(HE7="AB",$HE$5,""))," ",,IF(HH7="F",$HH$5,IF(HH7="AB",$HH$5,""))," ",IF(HK7="F",$HK$5,IF(HK7="AB",$HK$5,"")))</f>
        <v xml:space="preserve">      </v>
      </c>
      <c r="HO7" s="106" t="str">
        <f>IF(COUNTIF(DL7:DR7,"F")&gt;0,"",CONCATENATE(IF(GN7="S",$GN$5,"")," ",IF(GQ7="S",$GQ$5,"")," ",IF(GU7="S",$GU$5,IF(GV7="S",$GV$5,IF(GW7="S",$GW$5,IF(GX7="S",$GX$5,IF(GY7="S",$GY$5,"")))))," ",IF(HB7="S",$HB$5,"")," ",IF(HE7="S",$HE$5,"")," ",IF(HH7="S",$HH$5,"")," ",IF(HK7="S",$HK$5,"")))</f>
        <v xml:space="preserve">      </v>
      </c>
      <c r="HP7" s="106" t="str">
        <f>CONCATENATE(IF(GN7="G",$GN$5,"")," ",IF(GQ7="G",$GQ$5,"")," ",IF(GU7="G",$GU$5,IF(GV7="G",$GV$5,IF(GW7="G",$GW$5,IF(GX7="G",$GX$5,IF(GY7="G",$GY$5,"")))))," ",IF(HB7="G",$HB$5,"")," ",IF(HE7="G",$HE$5,"")," ",IF(HH7="G",$HH$5,"")," ",IF(HK7="G",$HK$5,""))</f>
        <v xml:space="preserve">      </v>
      </c>
      <c r="HQ7" s="107" t="str">
        <f>CONCATENATE(IF(GN7="RE",$GN$5,"")," ",IF(GQ7="RE",$GQ$5,"")," ",IF(OR(GU7="RE",GU7="REP"),$GU$5,IF(OR(GV7="RE",GV7="REP"),$GV$5,IF(OR(GW7="RE",GW7="REP"),$GW$5,IF(OR(GX7="RE",GX7="REP"),$GX$5,IF(OR(GY7="RE",GY7="REP"),$GY$5,"")))))," ",IF(OR(HB7="RE",HB7="REP"),$HB$5,"")," ",IF(OR(HE7="RE",HE7="REP"),$HE$5,"")," ",IF(OR(HH7="RE",HH7="REP"),$HH$5,"")," ",IF(OR(HK7="RE",HK7="REP"),$HK$5,""))</f>
        <v xml:space="preserve">      </v>
      </c>
      <c r="HR7" s="88" t="str">
        <f>CONCATENATE(IF(GN7="D",$GN$5,"")," ",IF($GQ7="D",$GQ$5,"")," ",IF(GU7="D",$GU$5,IF(GV7="D",$GV$5,IF(GW7="D",$GW$5,IF(GX7="D",$GX$5,IF(GY7="D",$GY$5,"")))))," ",IF(HB7="D",$HB$5,"")," ",IF(HE7="D",$HE$5,"")," ",IF(HH7="D",$HH$5,"")," ",IF(HK7="D",$HK$5,""))</f>
        <v xml:space="preserve">      व्यावसायिक शिक्षा</v>
      </c>
      <c r="HS7" s="543" t="str">
        <f t="shared" ref="HS7:HS38" si="74">IF(B7="NSO","NSO",IF(AND(OR(DY7="PASS",DY7="BY GRACE PASS",DY7="RE-EXAM"),DX7="F"),"FAIL",IF(AND(OR(DY7="PASS",DY7="BY GRACE PASS"),DX7="RE"),"RE-EXAM",DY7)))</f>
        <v>PASS</v>
      </c>
      <c r="HT7" s="542">
        <f>IF(AND(R7="",AF7="",AU7="",BI7="",BW7=""),"",IF(OR(CS7="",DE7=""),SUM(R7,AF7,AU7,BI7,BW7,CL7),IF((CL7/CO7*100)&gt;=(DE7/DH7*100),SUM(R7,AF7,AU7,BI7,BW7,CL7),SUM(R7,AF7,AU7,BI7,BW7,DE7))))</f>
        <v>886</v>
      </c>
      <c r="HU7" s="541">
        <f>IF(HT7="","",HT7*100/($HT$6-CD7))</f>
        <v>73.833333333333329</v>
      </c>
      <c r="HV7" s="540" t="str">
        <f>IFERROR(IF(HU7="","",IF(AND(HU7&gt;=60,(HS7="PASS")),"1st",IF(AND(HU7&gt;=60,(HS7="BY GRACE PASS")),"1st",IF(AND(HU7&gt;=48,(HS7="PASS")),"2nd",IF(AND(HU7&gt;=48,(HS7="BY GRACE PASS")),"2nd",IF(AND(HU7&gt;=36,(HS7="PASS")),"3rd",IF(AND(HU7&gt;=36,(HS7="BY GRACE PASS")),"3rd",""))))))),"")</f>
        <v>1st</v>
      </c>
      <c r="HW7" s="537">
        <f>IFERROR(IF(OR(HS7="PASS",HS7="BY GRACE PASS"),HU7,""),"")</f>
        <v>73.833333333333329</v>
      </c>
      <c r="HX7" s="539">
        <f>IFERROR(IF(HW7="","",SUMPRODUCT((HW7&lt;HW$7:HW$206)/COUNTIF(HW$7:HW$206,HW$7:HW$206))),"")</f>
        <v>1.0000000000000013</v>
      </c>
      <c r="HY7" s="553" t="str">
        <f>IFERROR(IF(OR(HS7="SUPPLEMENTARY",HS7="RE-EXAM"),'Supp. Result Entry'!AQ5,""),"")</f>
        <v/>
      </c>
      <c r="HZ7" s="538" t="str">
        <f>IF(OR(KA7="",JP7=0),"",IF(JY7="","",JY7))</f>
        <v/>
      </c>
      <c r="IA7" s="88" t="str">
        <f>IF(AND(KA7=""),"",IF(HZ7="","",IF(AND(KA7="FAIL"),"Failed",KA7)))</f>
        <v/>
      </c>
      <c r="IB7" s="88" t="str">
        <f>IF(AND(HZ7="",IA7=""),"",IF(OR(HS7="SUPPLEMENTARY",HS7="RE-EXAM"),'Supp. Result Entry'!AQ5,HS7))</f>
        <v/>
      </c>
      <c r="IC7" s="87"/>
      <c r="IS7" s="109" t="str">
        <f>IF('Supp. Result Entry'!T5="","",'Supp. Result Entry'!$T$4)</f>
        <v/>
      </c>
      <c r="IT7" s="110" t="str">
        <f>IF('Supp. Result Entry'!W5="","",'Supp. Result Entry'!$W$4)</f>
        <v/>
      </c>
      <c r="IU7" s="110" t="str">
        <f>IF('Supp. Result Entry'!Z5="","",'Supp. Result Entry'!$Z$4)</f>
        <v/>
      </c>
      <c r="IV7" s="110" t="str">
        <f>IF('Supp. Result Entry'!AC5="","",'Supp. Result Entry'!$AC$4)</f>
        <v/>
      </c>
      <c r="IW7" s="110" t="str">
        <f>IF('Supp. Result Entry'!AF5="","",'Supp. Result Entry'!$AF$4)</f>
        <v/>
      </c>
      <c r="IX7" s="110" t="str">
        <f>IF('Supp. Result Entry'!AI5="","",'Supp. Result Entry'!$AI$4)</f>
        <v/>
      </c>
      <c r="IY7" s="110" t="str">
        <f>IF('Supp. Result Entry'!AI5="","",'Supp. Result Entry'!$AL$4)</f>
        <v/>
      </c>
      <c r="IZ7" s="110" t="str">
        <f>IF('Supp. Result Entry'!U5="","",'Supp. Result Entry'!U5)</f>
        <v/>
      </c>
      <c r="JA7" s="110" t="str">
        <f>IF('Supp. Result Entry'!X5="","",'Supp. Result Entry'!X5)</f>
        <v/>
      </c>
      <c r="JB7" s="110" t="str">
        <f>IF('Supp. Result Entry'!AA5="","",'Supp. Result Entry'!AA5)</f>
        <v/>
      </c>
      <c r="JC7" s="110" t="str">
        <f>IF('Supp. Result Entry'!AD5="","",'Supp. Result Entry'!AD5)</f>
        <v/>
      </c>
      <c r="JD7" s="110" t="str">
        <f>IF('Supp. Result Entry'!AG5="","",'Supp. Result Entry'!AG5)</f>
        <v/>
      </c>
      <c r="JE7" s="110" t="str">
        <f>IF('Supp. Result Entry'!AJ5="","",'Supp. Result Entry'!AJ5)</f>
        <v/>
      </c>
      <c r="JF7" s="110" t="str">
        <f>IF('Supp. Result Entry'!AM5="","",'Supp. Result Entry'!AM5)</f>
        <v/>
      </c>
      <c r="JG7" s="110" t="str">
        <f>IF('Supp. Result Entry'!V5="","",'Supp. Result Entry'!V5)</f>
        <v/>
      </c>
      <c r="JH7" s="110" t="str">
        <f>IF('Supp. Result Entry'!Y5="","",'Supp. Result Entry'!Y5)</f>
        <v/>
      </c>
      <c r="JI7" s="110" t="str">
        <f>IF('Supp. Result Entry'!AB5="","",'Supp. Result Entry'!AB5)</f>
        <v/>
      </c>
      <c r="JJ7" s="110" t="str">
        <f>IF('Supp. Result Entry'!AE5="","",'Supp. Result Entry'!AE5)</f>
        <v/>
      </c>
      <c r="JK7" s="110" t="str">
        <f>IF('Supp. Result Entry'!AH5="","",'Supp. Result Entry'!AH5)</f>
        <v/>
      </c>
      <c r="JL7" s="110" t="str">
        <f>IF('Supp. Result Entry'!AK5="","",'Supp. Result Entry'!AK5)</f>
        <v/>
      </c>
      <c r="JM7" s="110" t="str">
        <f>IF('Supp. Result Entry'!AN5="","",'Supp. Result Entry'!AN5)</f>
        <v/>
      </c>
      <c r="JN7" s="110">
        <f>COUNTIF('Supp. Result Entry'!K5:Q5,"S")</f>
        <v>0</v>
      </c>
      <c r="JO7" s="110">
        <f>COUNTIF(GN7:HM7,"RE")+COUNTIF(GN7:HM7,"REP")</f>
        <v>0</v>
      </c>
      <c r="JP7" s="110">
        <f>COUNTIF(JG7:JM7,"P")</f>
        <v>0</v>
      </c>
      <c r="JQ7" s="110" t="str">
        <f t="shared" ref="JQ7:JQ70" si="75">IF(OR(JN7=0,JN7&lt;JP7),"",IF(OR(GN7="RE",GN7="REP"),SUM(R7,IZ7),IF(GN7="S",IZ7,R7)))</f>
        <v/>
      </c>
      <c r="JR7" s="110" t="str">
        <f t="shared" ref="JR7:JR70" si="76">IF(OR(JN7=0,JN7&lt;JP7),"",IF(OR(GQ7="RE",GQ7="REP"),SUM(AF7,JA7),IF(GQ7="S",JA7,AF7)))</f>
        <v/>
      </c>
      <c r="JS7" s="110" t="str">
        <f t="shared" ref="JS7:JS70" si="77">IF(OR(JN7=0,JN7&lt;JP7),"",IF(OR(GT7="RE",GT7="REP"),SUM(AU7,JB7),IF(GT7="S",JB7,AU7)))</f>
        <v/>
      </c>
      <c r="JT7" s="110" t="str">
        <f t="shared" ref="JT7:JT70" si="78">IF(OR(JN7=0,JN7&lt;JP7),"",IF(OR(HB7="RE",HB7="REP"),SUM(BI7,JC7),IF(HB7="S",JC7,BI7)))</f>
        <v/>
      </c>
      <c r="JU7" s="110" t="str">
        <f t="shared" ref="JU7:JU70" si="79">IF(OR(JN7=0,JN7&lt;JP7),"",IF(OR(HE7="RE",HE7="REP"),SUM(BW7,JD7),IF(HE7="S",JD7,BW7)))</f>
        <v/>
      </c>
      <c r="JV7" s="110" t="str">
        <f t="shared" ref="JV7:JV70" si="80">IF(OR(JN7=0,JN7&lt;JP7),"",IF(OR(HH7="RE",HH7="REP"),SUM(CL7,JE7),IF(HH7="S",JE7,CL7)))</f>
        <v/>
      </c>
      <c r="JW7" s="110" t="str">
        <f t="shared" ref="JW7:JW70" si="81">IF(OR(JN7=0,JN7&lt;JP7),"",IF(OR(HK7="RE",HK7="REP"),SUM(DE7,JF7),IF(HK7="S",JF7,DE7)))</f>
        <v/>
      </c>
      <c r="JX7" s="110" t="str">
        <f>IF(OR(JN7=0,JN7&lt;JP7),"",SUM(JQ7:JW7))</f>
        <v/>
      </c>
      <c r="JY7" s="110" t="str">
        <f>IF(OR(JN7=0,JN7&lt;JP7),"",JX7/JZ7*100)</f>
        <v/>
      </c>
      <c r="JZ7" s="110" t="str">
        <f t="shared" ref="JZ7:JZ70" si="82">IF(OR(JN7=0,JN7&lt;JP7),"",SUM(($R$6+$AF$6+$AU$6+$BI$6+$BW$6+$CL$6))-(JP7*100))</f>
        <v/>
      </c>
      <c r="KA7" s="108" t="str">
        <f>IF(JY7="","",IF(JY7&gt;=60,"I",IF(JY7&gt;=48,"II",IF(JY7&gt;=36,"III",""))))</f>
        <v/>
      </c>
    </row>
    <row r="8" spans="1:287" s="108" customFormat="1" ht="21.95" customHeight="1">
      <c r="A8" s="89">
        <v>2</v>
      </c>
      <c r="B8" s="90">
        <f>IF('Marks Entry'!B8="","",'Marks Entry'!B8)</f>
        <v>902</v>
      </c>
      <c r="C8" s="94" t="str">
        <f>IF('Marks Entry'!D8="","",'Marks Entry'!D8)</f>
        <v>A</v>
      </c>
      <c r="D8" s="91">
        <f>IF('Marks Entry'!E8="","",'Marks Entry'!E8)</f>
        <v>501</v>
      </c>
      <c r="E8" s="92">
        <f>IF('Marks Entry'!F8="","",'Marks Entry'!F8)</f>
        <v>40065</v>
      </c>
      <c r="F8" s="93" t="str">
        <f>IF('Marks Entry'!G8="","",'Marks Entry'!G8)</f>
        <v>RAM</v>
      </c>
      <c r="G8" s="93" t="str">
        <f>IF('Marks Entry'!H8="","",'Marks Entry'!H8)</f>
        <v>SHYAM</v>
      </c>
      <c r="H8" s="93" t="str">
        <f>IF('Marks Entry'!I8="","",'Marks Entry'!I8)</f>
        <v>SITA</v>
      </c>
      <c r="I8" s="94" t="str">
        <f>IF('Marks Entry'!J8="","",'Marks Entry'!J8)</f>
        <v>OBC</v>
      </c>
      <c r="J8" s="95" t="str">
        <f>IF('Marks Entry'!K8="","",'Marks Entry'!K8)</f>
        <v>M</v>
      </c>
      <c r="K8" s="68">
        <f>IF('Marks Entry'!L8="","",'Marks Entry'!L8)</f>
        <v>8</v>
      </c>
      <c r="L8" s="68">
        <f>IF('Marks Entry'!M8="","",'Marks Entry'!M8)</f>
        <v>9</v>
      </c>
      <c r="M8" s="68">
        <f>IF('Marks Entry'!N8="","",'Marks Entry'!N8)</f>
        <v>9</v>
      </c>
      <c r="N8" s="514">
        <f t="shared" ref="N8:N71" si="83">IF(AND(K8="",L8="",M8=""),"",IF(AND(K8="AB",L8="AB",M8="AB"),"AB",IF(AND(K8="ML",L8="ML",M8="ML"),"ML",SUM(K8:M8))))</f>
        <v>26</v>
      </c>
      <c r="O8" s="68">
        <f>IF('Marks Entry'!O8="","",'Marks Entry'!O8)</f>
        <v>46</v>
      </c>
      <c r="P8" s="515">
        <f t="shared" ref="P8:P71" si="84">IF(AND(N8="",O8=""),"",SUM(N8,O8))</f>
        <v>72</v>
      </c>
      <c r="Q8" s="68">
        <f>IF('Marks Entry'!P8="","",'Marks Entry'!P8)</f>
        <v>65</v>
      </c>
      <c r="R8" s="96">
        <f t="shared" ref="R8:R71" si="85">IF(AND(P8="",Q8=""),"",SUM(Q8,P8))</f>
        <v>137</v>
      </c>
      <c r="S8" s="65">
        <f t="shared" ref="S8:S71" si="86">COUNTIF(K8:M8,"NA")*$K$6</f>
        <v>0</v>
      </c>
      <c r="T8" s="65">
        <f t="shared" ref="T8:T71" si="87">(COUNTIF(K8:M8,"ML")*$K$6)+(COUNTIF(O8,"ML")*$O$6)+(COUNTIF(Q8,"ML")*$Q$6)</f>
        <v>0</v>
      </c>
      <c r="U8" s="66">
        <f t="shared" ref="U8:U70" si="88">IF(AND(K8="",L8="",M8="",O8="",Q8=""),"",IF(AND(L8="",K8="",M8=""),170-S8-T8,IF(AND(O8=""),130-S8-T8,IF(Q8="",100-S8-T8,200-S8-T8))))</f>
        <v>200</v>
      </c>
      <c r="V8" s="65" t="str">
        <f t="shared" ref="V8:V70" si="89">IF(OR($B8="NSO",$B8="",Q8=""),"",IF(AND(OR(K8="ab",K8="ml"),OR(L8="ab",L8="ml"),OR(M8="ab",M8="ml")),"AB",IF(AND(OR(K8="NA",K8=""),OR(L8="NA",L8=""),OR(M8="NA",M8="")),"AB",IF(AND(OR(K8="ab",K8="ml"),OR(L8="ab",L8="ml"),OR(O8="ab",O8="ml")),"AB",IF(AND(OR(O8="ab",O8="ml"),OR(Q8="ab",Q8="ml"),OR(O8="ab",Q8="ml")),"AB",IF(AND(OR(Q8="ab",Q8="ml"),OR(K8="ab",K8="ml"),OR(L8="ab",L8="ml")),"AB",""))))))</f>
        <v/>
      </c>
      <c r="W8" s="65" t="str">
        <f t="shared" ref="W8:W71" si="90">IF(OR($B8="NSO",$B8="",Q8=""),"",IF(OR(V8="AB",Q8="ab"),"AB",IF(Q8="ML","RE",IF(Q8&lt;20%*$Q$6,"F",IF(AND(R8&gt;=36%*U8,Q8&gt;=20%*$Q$6),"P",IF(AND(R8&gt;=34%*U8,T8=0,Q8&gt;=20%*$Q$6),"G2",IF(AND(R8&gt;=31%*U8,T8=0,Q8&gt;=20%*$Q$6),"G1",IF(R8&gt;=25%*U8,"S","F"))))))))</f>
        <v>P</v>
      </c>
      <c r="X8" s="65" t="str">
        <f t="shared" ref="X8:X70" si="91">IF(OR(W8="",W8=0,W8="S",W8="RE",W8="F",W8="AB"),W8,IF(R8&gt;=75%*U8,"D",IF(R8&gt;=60%*U8,"I",IF(R8&gt;=48%*U8,"II",IF(R8&gt;=36%*U8,"III",W8)))))</f>
        <v>I</v>
      </c>
      <c r="Y8" s="68">
        <f>IF('Marks Entry'!Q8="","",'Marks Entry'!Q8)</f>
        <v>8</v>
      </c>
      <c r="Z8" s="68">
        <f>IF('Marks Entry'!R8="","",'Marks Entry'!R8)</f>
        <v>9</v>
      </c>
      <c r="AA8" s="68">
        <f>IF('Marks Entry'!S8="","",'Marks Entry'!S8)</f>
        <v>10</v>
      </c>
      <c r="AB8" s="514">
        <f t="shared" si="2"/>
        <v>27</v>
      </c>
      <c r="AC8" s="68">
        <f>IF('Marks Entry'!T8="","",'Marks Entry'!T8)</f>
        <v>66</v>
      </c>
      <c r="AD8" s="515">
        <f t="shared" si="3"/>
        <v>93</v>
      </c>
      <c r="AE8" s="68">
        <f>IF('Marks Entry'!U8="","",'Marks Entry'!U8)</f>
        <v>95</v>
      </c>
      <c r="AF8" s="96">
        <f t="shared" si="4"/>
        <v>188</v>
      </c>
      <c r="AG8" s="65">
        <f t="shared" si="5"/>
        <v>0</v>
      </c>
      <c r="AH8" s="65">
        <f t="shared" si="6"/>
        <v>0</v>
      </c>
      <c r="AI8" s="66">
        <f t="shared" si="7"/>
        <v>200</v>
      </c>
      <c r="AJ8" s="65" t="str">
        <f t="shared" si="8"/>
        <v/>
      </c>
      <c r="AK8" s="65" t="str">
        <f t="shared" si="9"/>
        <v>P</v>
      </c>
      <c r="AL8" s="65" t="str">
        <f t="shared" si="10"/>
        <v>D</v>
      </c>
      <c r="AM8" s="524" t="str">
        <f>IF('Marks Entry'!V8="","",IF('Marks Entry'!V8=1,'School Profile'!$I$9,IF('Marks Entry'!V8=2,'School Profile'!$I$10,IF('Marks Entry'!V8=3,'School Profile'!$I$11,IF('Marks Entry'!V8=4,'School Profile'!$I$12,IF('Marks Entry'!V8=5,'School Profile'!$I$13,IF('Marks Entry'!V8=6,'School Profile'!$I$14,"")))))))</f>
        <v>संस्कृत (71)</v>
      </c>
      <c r="AN8" s="68">
        <f>IF('Marks Entry'!W8="","",'Marks Entry'!W8)</f>
        <v>8</v>
      </c>
      <c r="AO8" s="68">
        <f>IF('Marks Entry'!X8="","",'Marks Entry'!X8)</f>
        <v>9</v>
      </c>
      <c r="AP8" s="68">
        <f>IF('Marks Entry'!Y8="","",'Marks Entry'!Y8)</f>
        <v>9</v>
      </c>
      <c r="AQ8" s="514">
        <f t="shared" si="11"/>
        <v>26</v>
      </c>
      <c r="AR8" s="68">
        <f>IF('Marks Entry'!Z8="","",'Marks Entry'!Z8)</f>
        <v>62</v>
      </c>
      <c r="AS8" s="515">
        <f t="shared" si="12"/>
        <v>88</v>
      </c>
      <c r="AT8" s="68">
        <f>IF('Marks Entry'!AA8="","",'Marks Entry'!AA8)</f>
        <v>92</v>
      </c>
      <c r="AU8" s="96">
        <f t="shared" si="13"/>
        <v>180</v>
      </c>
      <c r="AV8" s="65">
        <f t="shared" si="14"/>
        <v>0</v>
      </c>
      <c r="AW8" s="65">
        <f t="shared" si="15"/>
        <v>0</v>
      </c>
      <c r="AX8" s="66">
        <f t="shared" si="16"/>
        <v>200</v>
      </c>
      <c r="AY8" s="65" t="str">
        <f t="shared" si="17"/>
        <v/>
      </c>
      <c r="AZ8" s="65" t="str">
        <f t="shared" si="18"/>
        <v>P</v>
      </c>
      <c r="BA8" s="65" t="str">
        <f t="shared" si="19"/>
        <v>D</v>
      </c>
      <c r="BB8" s="68">
        <f>IF('Marks Entry'!AB8="","",'Marks Entry'!AB8)</f>
        <v>8</v>
      </c>
      <c r="BC8" s="68">
        <f>IF('Marks Entry'!AC8="","",'Marks Entry'!AC8)</f>
        <v>9</v>
      </c>
      <c r="BD8" s="68">
        <f>IF('Marks Entry'!AD8="","",'Marks Entry'!AD8)</f>
        <v>8</v>
      </c>
      <c r="BE8" s="514">
        <f t="shared" si="20"/>
        <v>25</v>
      </c>
      <c r="BF8" s="68">
        <f>IF('Marks Entry'!AE8="","",'Marks Entry'!AE8)</f>
        <v>46</v>
      </c>
      <c r="BG8" s="515">
        <f t="shared" si="21"/>
        <v>71</v>
      </c>
      <c r="BH8" s="68">
        <f>IF('Marks Entry'!AF8="","",'Marks Entry'!AF8)</f>
        <v>45</v>
      </c>
      <c r="BI8" s="96">
        <f t="shared" si="22"/>
        <v>116</v>
      </c>
      <c r="BJ8" s="65">
        <f t="shared" si="23"/>
        <v>0</v>
      </c>
      <c r="BK8" s="65">
        <f t="shared" ref="BK8:BK71" si="92">(COUNTIF(BB8:BD8,"ML")*10)+(COUNTIF(BF8,"ML")*$BF$6)+(COUNTIF(BH8,"ML")*$BH$6)</f>
        <v>0</v>
      </c>
      <c r="BL8" s="66">
        <f t="shared" si="24"/>
        <v>200</v>
      </c>
      <c r="BM8" s="65" t="str">
        <f t="shared" si="25"/>
        <v/>
      </c>
      <c r="BN8" s="65" t="str">
        <f t="shared" si="26"/>
        <v>P</v>
      </c>
      <c r="BO8" s="65" t="str">
        <f t="shared" si="27"/>
        <v>II</v>
      </c>
      <c r="BP8" s="68">
        <f>IF('Marks Entry'!AG8="","",'Marks Entry'!AG8)</f>
        <v>8</v>
      </c>
      <c r="BQ8" s="68">
        <f>IF('Marks Entry'!AH8="","",'Marks Entry'!AH8)</f>
        <v>9</v>
      </c>
      <c r="BR8" s="68">
        <f>IF('Marks Entry'!AI8="","",'Marks Entry'!AI8)</f>
        <v>9</v>
      </c>
      <c r="BS8" s="514">
        <f t="shared" si="28"/>
        <v>26</v>
      </c>
      <c r="BT8" s="68">
        <f>IF('Marks Entry'!AJ8="","",'Marks Entry'!AJ8)</f>
        <v>46</v>
      </c>
      <c r="BU8" s="515">
        <f t="shared" si="29"/>
        <v>72</v>
      </c>
      <c r="BV8" s="68">
        <f>IF('Marks Entry'!AK8="","",'Marks Entry'!AK8)</f>
        <v>45</v>
      </c>
      <c r="BW8" s="96">
        <f t="shared" si="30"/>
        <v>117</v>
      </c>
      <c r="BX8" s="65">
        <f t="shared" si="31"/>
        <v>0</v>
      </c>
      <c r="BY8" s="65">
        <f t="shared" si="32"/>
        <v>0</v>
      </c>
      <c r="BZ8" s="66">
        <f t="shared" si="33"/>
        <v>200</v>
      </c>
      <c r="CA8" s="65" t="str">
        <f t="shared" si="34"/>
        <v/>
      </c>
      <c r="CB8" s="65" t="str">
        <f t="shared" si="35"/>
        <v>P</v>
      </c>
      <c r="CC8" s="65" t="str">
        <f t="shared" si="36"/>
        <v>II</v>
      </c>
      <c r="CD8" s="66">
        <f t="shared" ref="CD8:CD38" si="93">SUM(S8,T8,AG8,AH8,AV8,AW8,BJ8,BK8,BX8,BY8,CM8,CN8)</f>
        <v>0</v>
      </c>
      <c r="CE8" s="68">
        <f>IF('Marks Entry'!AL8="","",'Marks Entry'!AL8)</f>
        <v>10</v>
      </c>
      <c r="CF8" s="68">
        <f>IF('Marks Entry'!AM8="","",'Marks Entry'!AM8)</f>
        <v>10</v>
      </c>
      <c r="CG8" s="68">
        <f>IF('Marks Entry'!AN8="","",'Marks Entry'!AN8)</f>
        <v>10</v>
      </c>
      <c r="CH8" s="514">
        <f t="shared" si="37"/>
        <v>30</v>
      </c>
      <c r="CI8" s="68">
        <f>IF('Marks Entry'!AO8="","",'Marks Entry'!AO8)</f>
        <v>46</v>
      </c>
      <c r="CJ8" s="515">
        <f t="shared" si="38"/>
        <v>76</v>
      </c>
      <c r="CK8" s="68">
        <f>IF('Marks Entry'!AP8="","",'Marks Entry'!AP8)</f>
        <v>45</v>
      </c>
      <c r="CL8" s="96">
        <f t="shared" si="39"/>
        <v>121</v>
      </c>
      <c r="CM8" s="65">
        <f t="shared" si="40"/>
        <v>0</v>
      </c>
      <c r="CN8" s="65">
        <f t="shared" si="41"/>
        <v>0</v>
      </c>
      <c r="CO8" s="66">
        <f t="shared" si="42"/>
        <v>200</v>
      </c>
      <c r="CP8" s="65" t="str">
        <f t="shared" si="43"/>
        <v/>
      </c>
      <c r="CQ8" s="65" t="str">
        <f t="shared" si="44"/>
        <v>P</v>
      </c>
      <c r="CR8" s="65" t="str">
        <f t="shared" si="45"/>
        <v>I</v>
      </c>
      <c r="CS8" s="616"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AUTOMOBILE</v>
      </c>
      <c r="CT8" s="68">
        <f>IF('School Profile'!$D$20="NO","",IF('Marks Entry'!AR8="","",'Marks Entry'!AR8))</f>
        <v>4</v>
      </c>
      <c r="CU8" s="68">
        <f>IF('School Profile'!$D$20="NO","",IF('Marks Entry'!AS8="","",'Marks Entry'!AS8))</f>
        <v>4</v>
      </c>
      <c r="CV8" s="68">
        <f>IF('School Profile'!$D$20="NO","",IF('Marks Entry'!AT8="","",'Marks Entry'!AT8))</f>
        <v>4</v>
      </c>
      <c r="CW8" s="514">
        <f>IF('School Profile'!$D$20="NO","",IF(AND(CT8="",CU8="",CV8=""),"",SUM(CT8:CV8)))</f>
        <v>12</v>
      </c>
      <c r="CX8" s="68">
        <f>IF('School Profile'!$D$20="NO","",IF('Marks Entry'!AU8="","",'Marks Entry'!AU8))</f>
        <v>15</v>
      </c>
      <c r="CY8" s="68">
        <f>IF('School Profile'!$D$20="NO","",IF('Marks Entry'!AV8="","",'Marks Entry'!AV8))</f>
        <v>15</v>
      </c>
      <c r="CZ8" s="515">
        <f>IF('School Profile'!$D$20="NO","",IF(AND(CX8="",CY8=""),"",SUM(CX8,CY8)))</f>
        <v>30</v>
      </c>
      <c r="DA8" s="69">
        <f>IF('School Profile'!$D$20="NO","",IF(AND(CW8="",CZ8=""),"",SUM(CW8+CZ8)))</f>
        <v>42</v>
      </c>
      <c r="DB8" s="68">
        <f>IF('School Profile'!$D$20="NO","",IF('Marks Entry'!AW8="","",'Marks Entry'!AW8))</f>
        <v>30</v>
      </c>
      <c r="DC8" s="68">
        <f>IF('School Profile'!$D$20="NO","",IF('Marks Entry'!AX8="","",'Marks Entry'!AX8))</f>
        <v>30</v>
      </c>
      <c r="DD8" s="515">
        <f>IF('School Profile'!$D$20="NO","",IF(AND(DB8="",DC8=""),"",SUM(DB8,DC8)))</f>
        <v>60</v>
      </c>
      <c r="DE8" s="96">
        <f>IF('School Profile'!$D$20="NO","",IF(AND(DA8="",DD8=""),"",SUM(DA8,DD8)))</f>
        <v>102</v>
      </c>
      <c r="DF8" s="532">
        <f t="shared" si="46"/>
        <v>0</v>
      </c>
      <c r="DG8" s="65">
        <f t="shared" si="47"/>
        <v>0</v>
      </c>
      <c r="DH8" s="66">
        <f t="shared" si="48"/>
        <v>200</v>
      </c>
      <c r="DI8" s="65" t="str">
        <f t="shared" si="49"/>
        <v/>
      </c>
      <c r="DJ8" s="65" t="str">
        <f>IF(OR($B8="NSO",$B8="",DD8=""),"",IF(OR(DI8="AB",DD8="ab"),"AB",IF(DD8="ML","RE",IF(DD8&lt;20%*$DD$6,"F",IF(AND(DE8&gt;=36%*DH8,DD8&gt;=20),"P",IF(AND(DE8&gt;=34%*DH8,DG8=0,DD8&gt;=20),"G2",IF(AND(DE8&gt;=31%*DH8,DG8=0,DD8&gt;=20),"G1",IF(DE8&gt;=25%*DH8,"S","F"))))))))</f>
        <v>P</v>
      </c>
      <c r="DK8" s="65" t="str">
        <f t="shared" si="51"/>
        <v>II</v>
      </c>
      <c r="DL8" s="97" t="str">
        <f t="shared" ref="DL8:DL71" si="94">X8</f>
        <v>I</v>
      </c>
      <c r="DM8" s="97" t="str">
        <f t="shared" ref="DM8:DM71" si="95">AL8</f>
        <v>D</v>
      </c>
      <c r="DN8" s="97" t="str">
        <f t="shared" ref="DN8:DN71" si="96">BA8</f>
        <v>D</v>
      </c>
      <c r="DO8" s="97" t="str">
        <f t="shared" ref="DO8:DO71" si="97">BO8</f>
        <v>II</v>
      </c>
      <c r="DP8" s="97" t="str">
        <f t="shared" ref="DP8:DP71" si="98">CC8</f>
        <v>II</v>
      </c>
      <c r="DQ8" s="97" t="str">
        <f t="shared" ref="DQ8:DQ71" si="99">CR8</f>
        <v>I</v>
      </c>
      <c r="DR8" s="97" t="str">
        <f t="shared" ref="DR8:DR71" si="100">DK8</f>
        <v>II</v>
      </c>
      <c r="DS8" s="98">
        <f t="shared" ref="DS8:DS71" si="101">COUNTIF(DL8:DR8,"F")+COUNTIF(DL8:DR8,"AB")</f>
        <v>0</v>
      </c>
      <c r="DT8" s="98">
        <f t="shared" ref="DT8:DT71" si="102">COUNTIF(DL8:DR8,"S")</f>
        <v>0</v>
      </c>
      <c r="DU8" s="98">
        <f t="shared" ref="DU8:DU71" si="103">COUNTIF(DL8:DR8,"G1")</f>
        <v>0</v>
      </c>
      <c r="DV8" s="98">
        <f t="shared" ref="DV8:DV71" si="104">COUNTIF(DL8:DR8,"G2")</f>
        <v>0</v>
      </c>
      <c r="DW8" s="98">
        <f t="shared" ref="DW8:DW71" si="105">COUNTIF(DL8:DR8,"RE")+COUNTIF(DL8:DR8,"REP")</f>
        <v>0</v>
      </c>
      <c r="DX8" s="98" t="str">
        <f t="shared" ref="DX8:DX71" si="106">IF(OR(DK8="AB",DK8="F"),"F",IF(OR(DK8="RE"),"RE",""))</f>
        <v/>
      </c>
      <c r="DY8" s="99" t="str">
        <f t="shared" ref="DY8:DY71" si="107">IF(B8="NSO","NSO",IF(OR(B8="",B8=0,Q8="",AE8="",AT8="",BH8="",BV8="",CK8=""),"",IF(OR(DS8&gt;0,(DT8+DU8+DV8)&gt;2),"FAIL",IF(DW8&gt;0,"RE-EXAM",IF(OR(DT8&gt;0,DU8&gt;1),"SUPPLEMENTARY",IF(AND(DU8&gt;0,DV8&gt;0),"SUPPLEMENTARY",IF((DU8+DV8)&gt;0,"BY GRACE PASS","PASS")))))))</f>
        <v>PASS</v>
      </c>
      <c r="DZ8" s="74">
        <f>IF('Marks Entry'!AY8="","",'Marks Entry'!AY8)</f>
        <v>9</v>
      </c>
      <c r="EA8" s="74">
        <f>IF('Marks Entry'!AZ8="","",'Marks Entry'!AZ8)</f>
        <v>9</v>
      </c>
      <c r="EB8" s="74">
        <f>IF('Marks Entry'!BA8="","",'Marks Entry'!BA8)</f>
        <v>9</v>
      </c>
      <c r="EC8" s="527">
        <f t="shared" si="52"/>
        <v>27</v>
      </c>
      <c r="ED8" s="74">
        <f>IF('Marks Entry'!BB8="","",'Marks Entry'!BB8)</f>
        <v>65</v>
      </c>
      <c r="EE8" s="528">
        <f t="shared" si="53"/>
        <v>92</v>
      </c>
      <c r="EF8" s="74">
        <f>IF('Marks Entry'!BC8="","",'Marks Entry'!BC8)</f>
        <v>85</v>
      </c>
      <c r="EG8" s="530">
        <f t="shared" si="54"/>
        <v>177</v>
      </c>
      <c r="EH8" s="368" t="str">
        <f t="shared" ref="EH8:EH71" si="108">IF(OR($B8="NSO",$B8=0,EG8=""),"",IF(OR(EG8="AB",EE8="AB",EF8="AB"),"AB",IF(AND(DY8="FAIL",(OR(EG8&lt;36%*EK8))),"D",IF(OR(EF8="ML",EF8&lt;20%*EF$6,EG8&lt;36%*EK8),"D",IF(EG8&gt;80%*EK8,"A",IF(EG8&gt;60%*EK8,"B",IF(EG8&gt;40%*EK8,"C","D")))))))</f>
        <v>A</v>
      </c>
      <c r="EI8" s="65">
        <f t="shared" ref="EI8:EI71" si="109">COUNTIF(DZ8:EB8,"NA")*10</f>
        <v>0</v>
      </c>
      <c r="EJ8" s="65">
        <f t="shared" ref="EJ8:EJ71" si="110">(COUNTIF(DZ8:EB8,"ML")*10)+(COUNTIF(ED8,"ML")*70)+(COUNTIF(EF8,"ML")*100)</f>
        <v>0</v>
      </c>
      <c r="EK8" s="66">
        <f t="shared" ref="EK8:EK71" si="111">IF(OR($B8="NSO",$B8=0),"",IF(AND(DZ8="",EA8="",EC8="",EE8=""),"",IF(AND(EA8="",EC8="",ED8="",EE8="",EF8=""),($DZ$6)-EI8-EJ8,IF(AND(DZ8="",EC8="",ED8="",EE8="",EF8=""),($EA$6)-EI8-EJ8,IF(AND(EC8="",ED8="",EE8="",EF8=""),($DZ$6+$EA$6)-EI8-EJ8,IF(AND(EE8="",EF8=""),($EC$6+$ED$6)-EI8-EJ8,($EG$6)-EI8-EJ8))))))</f>
        <v>200</v>
      </c>
      <c r="EL8" s="74">
        <f>IF('Marks Entry'!BD8="","",'Marks Entry'!BD8)</f>
        <v>9</v>
      </c>
      <c r="EM8" s="74">
        <f>IF('Marks Entry'!BE8="","",'Marks Entry'!BE8)</f>
        <v>9</v>
      </c>
      <c r="EN8" s="74">
        <f>IF('Marks Entry'!BF8="","",'Marks Entry'!BF8)</f>
        <v>9</v>
      </c>
      <c r="EO8" s="527">
        <f t="shared" si="55"/>
        <v>27</v>
      </c>
      <c r="EP8" s="74">
        <f>IF('Marks Entry'!BG8="","",'Marks Entry'!BG8)</f>
        <v>46</v>
      </c>
      <c r="EQ8" s="74">
        <f>IF('Marks Entry'!BH8="","",'Marks Entry'!BH8)</f>
        <v>13</v>
      </c>
      <c r="ER8" s="528">
        <f t="shared" si="56"/>
        <v>59</v>
      </c>
      <c r="ES8" s="529">
        <f t="shared" si="57"/>
        <v>86</v>
      </c>
      <c r="ET8" s="74">
        <f>IF('Marks Entry'!BI8="","",'Marks Entry'!BI8)</f>
        <v>65</v>
      </c>
      <c r="EU8" s="74">
        <f>IF('Marks Entry'!BJ8="","",'Marks Entry'!BJ8)</f>
        <v>26</v>
      </c>
      <c r="EV8" s="528">
        <f t="shared" si="58"/>
        <v>91</v>
      </c>
      <c r="EW8" s="530">
        <f t="shared" si="59"/>
        <v>177</v>
      </c>
      <c r="EX8" s="368" t="str">
        <f t="shared" ref="EX8:EX71" si="112">IF(OR($B8="NSO",$B8=0,EW8=""),"",IF(OR(ET8="AB",EU8="AB",EV8="AB"),"AB",IF(AND($DY8="FAIL",(OR(EW8&lt;36%*FA8))),"D",IF(OR(EV8="ML",EV8&lt;20%*EV$6,EW8&lt;36%*FA8),"D",IF(EW8&gt;80%*FA8,"A",IF(EW8&gt;60%*FA8,"B",IF(EW8&gt;40%*FA8,"C","D")))))))</f>
        <v>A</v>
      </c>
      <c r="EY8" s="65">
        <f t="shared" ref="EY8:EY71" si="113">COUNTIF(EL8:EN8,"NA")*10</f>
        <v>0</v>
      </c>
      <c r="EZ8" s="65">
        <f t="shared" ref="EZ8:EZ71" si="114">(COUNTIF(EL8:EN8,"ML")*10)+(COUNTIF(ER8,"ML")*70)+(COUNTIF(EV8,"ML")*100)</f>
        <v>0</v>
      </c>
      <c r="FA8" s="66">
        <f t="shared" ref="FA8:FA71" si="115">IF(OR($B8="NSO",$B8=0),"",IF(AND(EL8="",EM8="",EP8="",ET8=""),"",IF(AND(EM8="",EP8="",EQ8="",ET8="",EU8=""),($EL$6)-EY8-EZ8,IF(AND(EL8="",EP8="",EQ8="",ET8="",EU8=""),($EM$6)-EY8-EZ8,IF(AND(EP8="",EQ8="",ET8="",EU8=""),($EL$6+$EM$6)-EY8-EZ8,IF(AND(ET8="",EU8=""),($EP$6+$EQ$6)-EY8-EZ8,($EW$6)-EY8-EZ8))))))</f>
        <v>200</v>
      </c>
      <c r="FB8" s="74">
        <f>IF('Marks Entry'!BK8="","",'Marks Entry'!BK8)</f>
        <v>9</v>
      </c>
      <c r="FC8" s="74">
        <f>IF('Marks Entry'!BL8="","",'Marks Entry'!BL8)</f>
        <v>7</v>
      </c>
      <c r="FD8" s="74">
        <f>IF('Marks Entry'!BM8="","",'Marks Entry'!BM8)</f>
        <v>9</v>
      </c>
      <c r="FE8" s="74">
        <f>IF('Marks Entry'!BN8="","",'Marks Entry'!BN8)</f>
        <v>6</v>
      </c>
      <c r="FF8" s="74">
        <f>IF('Marks Entry'!BO8="","",'Marks Entry'!BO8)</f>
        <v>9</v>
      </c>
      <c r="FG8" s="74">
        <f>IF('Marks Entry'!BP8="","",'Marks Entry'!BP8)</f>
        <v>14</v>
      </c>
      <c r="FH8" s="527">
        <f t="shared" si="60"/>
        <v>54</v>
      </c>
      <c r="FI8" s="74">
        <f>IF('Marks Entry'!BQ8="","",'Marks Entry'!BQ8)</f>
        <v>21</v>
      </c>
      <c r="FJ8" s="74">
        <f>IF('Marks Entry'!BR8="","",'Marks Entry'!BR8)</f>
        <v>10</v>
      </c>
      <c r="FK8" s="528">
        <f t="shared" si="61"/>
        <v>31</v>
      </c>
      <c r="FL8" s="529">
        <f t="shared" si="62"/>
        <v>85</v>
      </c>
      <c r="FM8" s="74">
        <f>IF('Marks Entry'!BS8="","",'Marks Entry'!BS8)</f>
        <v>11</v>
      </c>
      <c r="FN8" s="74">
        <f>IF('Marks Entry'!BT8="","",'Marks Entry'!BT8)</f>
        <v>52</v>
      </c>
      <c r="FO8" s="528">
        <f t="shared" si="63"/>
        <v>63</v>
      </c>
      <c r="FP8" s="530">
        <f t="shared" si="64"/>
        <v>148</v>
      </c>
      <c r="FQ8" s="368" t="str">
        <f t="shared" ref="FQ8:FQ71" si="116">IF(OR($B8="NSO",$B8=0,FP8=""),"",IF(OR(FM8="AB",FN8="AB",FO8="AB"),"AB",IF(AND($DY8="FAIL",(OR(FP8&lt;36%*FT8))),"D",IF(OR(FO8="ML",FO8&lt;20%*FO$6,FP8&lt;36%*FT8),"D",IF(FP8&gt;80%*FT8,"A",IF(FP8&gt;60%*FT8,"B",IF(FP8&gt;40%*FT8,"C","D")))))))</f>
        <v>B</v>
      </c>
      <c r="FR8" s="65">
        <f t="shared" ref="FR8:FR71" si="117">COUNTIF(FB8,"NA")*10+COUNTIF(FD8,"NA")*10+COUNTIF(FF8,"NA")*10</f>
        <v>0</v>
      </c>
      <c r="FS8" s="65">
        <f t="shared" ref="FS8:FS71" si="118">(COUNTIF(FB8,"ML")*10)+(COUNTIF(FD8,"ML")*10)+(COUNTIF(FF8,"ML")*10)+(COUNTIF(FI8,"ML")*25)+(COUNTIF(FJ8,"ML")*15)+(COUNTIF(FM8,"ML")*30)+(COUNTIF(FN8,"ML")*70)</f>
        <v>0</v>
      </c>
      <c r="FT8" s="66">
        <f t="shared" ref="FT8:FT71" si="119">IF(OR($B8="NSO",$B8=0),"",IF(AND(FB8="",FD8="",FF8="",FI8="",FM8=""),"",IF(AND(FC8="",FI8="",FJ8="",FE8="",FN8=""),($FB$6)-FR8-FS8,IF(AND(FB8="",FI8="",FJ8="",FM8="",FN8=""),($FC$6)-FR8-FS8,IF(AND(FI8="",FJ8="",FM8="",FN8=""),($FB$6+$FC$6)-FR8-FS8,IF(AND(FM8="",FN8=""),($FI$6+$FJ$6)-FR8-FS8,($FP$6)-FR8-FS8))))))</f>
        <v>200</v>
      </c>
      <c r="FU8" s="74">
        <f>IF('Marks Entry'!BU8="","",'Marks Entry'!BU8)</f>
        <v>24</v>
      </c>
      <c r="FV8" s="74">
        <f>IF('Marks Entry'!BV8="","",'Marks Entry'!BV8)</f>
        <v>42</v>
      </c>
      <c r="FW8" s="74">
        <f>IF('Marks Entry'!BW8="","",'Marks Entry'!BW8)</f>
        <v>28</v>
      </c>
      <c r="FX8" s="75">
        <f t="shared" si="65"/>
        <v>94</v>
      </c>
      <c r="FY8" s="368" t="str">
        <f t="shared" ref="FY8:FY71" si="120">IFERROR(IF(OR($B8="NSO",$B8=0,FX8=""),"",IF(OR(FU8="AB",FV8="AB",FW8="AB"),"AB",IF(AND($DY8="FAIL",(OR(FX8&lt;36%*GB8))),"D",IF(OR(FW8="ML",FX8&lt;20%*FX$6,FX8&lt;36%*GB8),"D",IF(FX8&gt;80%*GB8,"A",IF(FX8&gt;60%*GB8,"B",IF(FX8&gt;40%*GB8,"C","D"))))))),"")</f>
        <v>A</v>
      </c>
      <c r="FZ8" s="65">
        <f t="shared" ref="FZ8:FZ71" si="121">COUNTIF(FU8,"NA")*25</f>
        <v>0</v>
      </c>
      <c r="GA8" s="66">
        <f t="shared" ref="GA8:GA71" si="122">IF(AND(FW8="",FU8="",FW8=""),(COUNTIF(FU8,"ML")*25+(COUNTIF(FW8,"ML"))*FW$6+(COUNTIF(FV8,"ML"))*FV$6),(COUNTIF(FU8,"ML")*25+(COUNTIF(FW8,"ML"))*FW$6+(COUNTIF(FX8,"ML"))*FX$6))</f>
        <v>0</v>
      </c>
      <c r="GB8" s="66">
        <f t="shared" ref="GB8:GB71" si="123">IF(OR($B8="NSO",$B8=0),"",IF(AND(FU8="",FV8="",FW8=""),"",IF(AND(FU8="",FV8="",FW8=""),($FX$6)-FZ8-GA8,IF(AND(FW8=""),($FW$6)-FZ8-GA8,IF(AND(FV8=""),($FV$6)-FZ8-GA8,IF(AND(FU8=""),($FU$6)-FZ8-GA8,($FX$6)-FZ8-GA8))))))</f>
        <v>100</v>
      </c>
      <c r="GC8" s="74">
        <f>IF('Marks Entry'!BX8="","",'Marks Entry'!BX8)</f>
        <v>20</v>
      </c>
      <c r="GD8" s="74">
        <f>IF('Marks Entry'!BY8="","",'Marks Entry'!BY8)</f>
        <v>45</v>
      </c>
      <c r="GE8" s="74">
        <f>IF('Marks Entry'!BZ8="","",'Marks Entry'!BZ8)</f>
        <v>10</v>
      </c>
      <c r="GF8" s="75">
        <f t="shared" ref="GF8:GF71" si="124">IF(AND(GC8="",GD8="",GE8=""),"",SUM(GC8,GD8,GE8))</f>
        <v>75</v>
      </c>
      <c r="GG8" s="368" t="str">
        <f t="shared" ref="GG8:GG71" si="125">IFERROR(IF(OR($B8="NSO",$B8=0,GF8=""),"",IF(OR(GC8="AB",GD8="AB",GE8="AB"),"AB",IF(AND($DY8="FAIL",(OR(GF8&lt;36%*GJ8))),"D",IF(OR(GE8="ML",GF8&lt;20%*GF$6,GF8&lt;36%*GJ8),"D",IF(GF8&gt;80%*GJ8,"A",IF(GF8&gt;60%*GJ8,"B",IF(GF8&gt;40%*GJ8,"C","D"))))))),"")</f>
        <v>B</v>
      </c>
      <c r="GH8" s="65">
        <f t="shared" ref="GH8:GH71" si="126">COUNTIF(GC8,"NA")*25</f>
        <v>0</v>
      </c>
      <c r="GI8" s="66">
        <f t="shared" ref="GI8:GI71" si="127">IF(AND(GE8="",GC8="",GE8=""),(COUNTIF(GC8,"ML")*25+(COUNTIF(GE8,"ML"))*GE$6+(COUNTIF(GD8,"ML"))*GD$6),(COUNTIF(GC8,"ML")*25+(COUNTIF(GE8,"ML"))*GE$6+(COUNTIF(GF8,"ML"))*GF$6))</f>
        <v>0</v>
      </c>
      <c r="GJ8" s="66">
        <f t="shared" ref="GJ8:GJ71" si="128">IF(OR($B8="NSO",$B8=0),"",IF(AND(GC8="",GD8="",GE8=""),"",IF(AND(GC8="",GD8="",GE8=""),($GF$6)-GH8-GI8,IF(AND(GE8=""),($GE$6)-GH8-GI8,IF(AND(GD8=""),($GD$6)-GH8-GI8,IF(AND(GC8=""),($GC$6)-GH8-GI8,($GF$6)-GH8-GI8))))))</f>
        <v>100</v>
      </c>
      <c r="GK8" s="100">
        <f>IF(AND(F8="",B8=""),"",IF('Student DATA Entry'!M5="","",'Student DATA Entry'!M5))</f>
        <v>210</v>
      </c>
      <c r="GL8" s="101">
        <f>IF(AND(B8="",F8=""),"",IF('Student DATA Entry'!N5="","",'Student DATA Entry'!N5))</f>
        <v>202</v>
      </c>
      <c r="GM8" s="581">
        <f t="shared" ref="GM8:GM71" si="129">IF(OR(GK8=0,GL8=0,GK8="",GL8=""),"",GL8/GK8*100)</f>
        <v>96.19047619047619</v>
      </c>
      <c r="GN8" s="94" t="str">
        <f t="shared" ref="GN8:GN71" si="130">IF(AND(DY8="FAIL",(OR(DL8="G1",DL8="G2",DL8="S",DL8="RE"))),"F",IF(AND(DY8="RE-EXAM",(OR(DL8="G1",DL8="G2",DL8="S"))),"S",IF(AND(DY8="SUPPLEMENTARY",(OR(DL8="G1",DL8="G2"))),"S",IF(AND(DY8="BY GRACE PASS",(OR(DL8="G1",DL8="G2"))),"G",DL8))))</f>
        <v>I</v>
      </c>
      <c r="GO8" s="94" t="str">
        <f t="shared" ref="GO8:GO71" si="131">IF(GN8="G",",+","")</f>
        <v/>
      </c>
      <c r="GP8" s="102" t="str">
        <f t="shared" si="67"/>
        <v/>
      </c>
      <c r="GQ8" s="94" t="str">
        <f t="shared" ref="GQ8:GQ71" si="132">IF(AND(DY8="vuqRrh.kZ",(OR(DM8="G1",DM8="G2",DM8="S",DM8="RE"))),"F",IF(AND(DY8="iqu% ijh{kk",(OR(DM8="G1",DM8="G2",DM8="S"))),"S",IF(AND(DY8="iwjd",(OR(DM8="G1",DM8="G2"))),"S",IF(AND(DY8="lk- mRrh.kZ",(OR(DM8="G1",DM8="G2"))),"G",DM8))))</f>
        <v>D</v>
      </c>
      <c r="GR8" s="103" t="str">
        <f t="shared" ref="GR8:GR71" si="133">IF(GQ8="G",",+","")</f>
        <v/>
      </c>
      <c r="GS8" s="102" t="str">
        <f t="shared" si="68"/>
        <v/>
      </c>
      <c r="GT8" s="104" t="str">
        <f t="shared" ref="GT8:GT71" si="134">IF(AND(DY8="FAIL",(OR(DN8="G1",DN8="G2",DN8="S",DN8="RE"))),"F",IF(AND(DY8="RE-EXAM",(OR(DN8="G1",DN8="G2",DN8="S"))),"S",IF(AND(DY8="SUPPLEMENTARY",(OR(DN8="G1",DN8="G2"))),"S",IF(AND(DY8="BY GRACE PASS",(OR(DN8="G1",DN8="G2"))),"G",DN8))))</f>
        <v>D</v>
      </c>
      <c r="GU8" s="94" t="str">
        <f>IF('Marks Entry'!V8=1,GT8,"")</f>
        <v>D</v>
      </c>
      <c r="GV8" s="94" t="str">
        <f>IF('Marks Entry'!V8=2,GT8,"")</f>
        <v/>
      </c>
      <c r="GW8" s="94" t="str">
        <f>IF('Marks Entry'!V8=3,GT8,"")</f>
        <v/>
      </c>
      <c r="GX8" s="94" t="str">
        <f>IF('Marks Entry'!V8=4,GT8,"")</f>
        <v/>
      </c>
      <c r="GY8" s="94" t="str">
        <f>IF('Marks Entry'!V8=5,GT8,"")</f>
        <v/>
      </c>
      <c r="GZ8" s="94" t="str">
        <f t="shared" ref="GZ8:GZ71" si="135">IF(GT8="G",",+","")</f>
        <v/>
      </c>
      <c r="HA8" s="105" t="str">
        <f t="shared" si="69"/>
        <v/>
      </c>
      <c r="HB8" s="94" t="str">
        <f t="shared" ref="HB8:HB71" si="136">IF(AND(DY8="FAIL",(OR(DO8="G1",DO8="G2",DO8="S",DO8="RE",))),"F",IF(AND(DY8="RE-EXAM",(OR(DO8="G1",DO8="G2",DO8="S"))),"S",IF(AND(DY8="SUPPLEMENTARY",(OR(DO8="G1",DO8="G2"))),"S",IF(AND(DY8="BY GRACE PASS",(OR(DO8="G1",DO8="G2"))),"G",DO8))))</f>
        <v>II</v>
      </c>
      <c r="HC8" s="94" t="str">
        <f t="shared" ref="HC8:HC71" si="137">IF(HB8="G",",+","")</f>
        <v/>
      </c>
      <c r="HD8" s="105" t="str">
        <f t="shared" si="70"/>
        <v/>
      </c>
      <c r="HE8" s="94" t="str">
        <f t="shared" ref="HE8:HE71" si="138">IF(AND(DY8="FAIL",(OR(DP8="G1",DP8="G2",DP8="S",DP8="RE"))),"F",IF(AND(DY8="RE-EXAM",(OR(DP8="G1",DP8="G2",DP8="S"))),"S",IF(AND(DY8="SUPPLEMENTARY",(OR(DP8="G1",DP8="G2"))),"S",IF(AND(DY8="BY GRACE PASS",(OR(DP8="G1",DP8="G2"))),"G",DP8))))</f>
        <v>II</v>
      </c>
      <c r="HF8" s="94" t="str">
        <f t="shared" ref="HF8:HF71" si="139">IF(HE8="G",",+","")</f>
        <v/>
      </c>
      <c r="HG8" s="105" t="str">
        <f t="shared" si="71"/>
        <v/>
      </c>
      <c r="HH8" s="94" t="str">
        <f t="shared" ref="HH8:HH71" si="140">IF(AND(DY8="FAIL",(OR(DQ8="G1",DQ8="G2",DQ8="S",DQ8="RE"))),"F",IF(AND(DY8="RE-EXAM",(OR(DQ8="G1",DQ8="G2",DQ8="S"))),"S",IF(AND(DY8="SUPPLEMENTARY",(OR(DQ8="G1",DQ8="G2"))),"S",IF(AND(DY8="BY GRACE PASS",(OR(DQ8="G1",DQ8="G2"))),"G",DQ8))))</f>
        <v>I</v>
      </c>
      <c r="HI8" s="94" t="str">
        <f t="shared" ref="HI8:HI71" si="141">IF(HH8="G",",+","")</f>
        <v/>
      </c>
      <c r="HJ8" s="105" t="str">
        <f t="shared" si="72"/>
        <v/>
      </c>
      <c r="HK8" s="94" t="str">
        <f t="shared" ref="HK8:HK71" si="142">IF(AND(DY8="FAIL",(OR(DR8="G1",DR8="G2",DR8="S",DR8="RE"))),"F",IF(AND(DY8="RE-EXAM",(OR(DR8="G1",DR8="G2",DR8="S"))),"S",IF(AND(DY8="SUPPLEMENTARY",(OR(DR8="G1",DR8="G2"))),"S",IF(AND(DY8="BY GRACE PASS",(OR(DR8="G1",DR8="G2"))),"G",DR8))))</f>
        <v>II</v>
      </c>
      <c r="HL8" s="94" t="str">
        <f t="shared" ref="HL8:HL71" si="143">IF(HK8="G",",+","")</f>
        <v/>
      </c>
      <c r="HM8" s="105" t="str">
        <f t="shared" si="73"/>
        <v/>
      </c>
      <c r="HN8" s="367"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18" t="str">
        <f t="shared" ref="HO8:HO38" si="145">IF(COUNTIF(DL8:DR8,"F")&gt;0,"",CONCATENATE(IF(GN8="S",$GN$5,"")," ",IF(GQ8="S",$GQ$5,"")," ",IF(GU8="S",$GU$5,IF(GV8="S",$GV$5,IF(GW8="S",$GW$5,IF(GX8="S",$GX$5,IF(GY8="S",$GY$5,"")))))," ",IF(HB8="S",$HB$5,"")," ",IF(HE8="S",$HE$5,"")," ",IF(HH8="S",$HH$5,"")," ",IF(HK8="S",$HK$5,"")))</f>
        <v xml:space="preserve">      </v>
      </c>
      <c r="HP8" s="367" t="str">
        <f t="shared" ref="HP8:HP71" si="146">CONCATENATE(IF(GN8="G",$GN$5,"")," ",IF(GQ8="G",$GQ$5,"")," ",IF(GU8="G",$GU$5,IF(GV8="G",$GV$5,IF(GW8="G",$GW$5,IF(GX8="G",$GX$5,IF(GY8="G",$GY$5,"")))))," ",IF(HB8="G",$HB$5,"")," ",IF(HE8="G",$HE$5,"")," ",IF(HH8="G",$HH$5,"")," ",IF(HK8="G",$HK$5,""))</f>
        <v xml:space="preserve">      </v>
      </c>
      <c r="HQ8" s="107" t="str">
        <f t="shared" ref="HQ8:HQ71" si="147">CONCATENATE(IF(GN8="RE",$GN$5,"")," ",IF(GQ8="RE",$GQ$5,"")," ",IF(OR(GU8="RE",GU8="REP"),$GU$5,IF(OR(GV8="RE",GV8="REP"),$GV$5,IF(OR(GW8="RE",GW8="REP"),$GW$5,IF(OR(GX8="RE",GX8="REP"),$GX$5,IF(OR(GY8="RE",GY8="REP"),$GY$5,"")))))," ",IF(OR(HB8="RE",HB8="REP"),$HB$5,"")," ",IF(OR(HE8="RE",HE8="REP"),$HE$5,"")," ",IF(OR(HH8="RE",HH8="REP"),$HH$5,"")," ",IF(OR(HK8="RE",HK8="REP"),$HK$5,""))</f>
        <v xml:space="preserve">      </v>
      </c>
      <c r="HR8" s="366" t="str">
        <f t="shared" ref="HR8:HR71" si="148">CONCATENATE(IF(GN8="D",$GN$5,"")," ",IF($GQ8="D",$GQ$5,"")," ",IF(GU8="D",$GU$5,IF(GV8="D",$GV$5,IF(GW8="D",$GW$5,IF(GX8="D",$GX$5,IF(GY8="D",$GY$5,"")))))," ",IF(HB8="D",$HB$5,"")," ",IF(HE8="D",$HE$5,"")," ",IF(HH8="D",$HH$5,"")," ",IF(HK8="D",$HK$5,""))</f>
        <v xml:space="preserve"> अंग्रेजी संस्कृत (71)    </v>
      </c>
      <c r="HS8" s="544" t="str">
        <f t="shared" si="74"/>
        <v>PASS</v>
      </c>
      <c r="HT8" s="542">
        <f t="shared" ref="HT8:HT71" si="149">IF(AND(R8="",AF8="",AU8="",BI8="",BW8=""),"",IF(OR(CS8="",DE8=""),SUM(R8,AF8,AU8,BI8,BW8,CL8),IF((CL8/CO8*100)&gt;=(DE8/DH8*100),SUM(R8,AF8,AU8,BI8,BW8,CL8),SUM(R8,AF8,AU8,BI8,BW8,DE8))))</f>
        <v>859</v>
      </c>
      <c r="HU8" s="541">
        <f>IF(HT8="","",HT8*100/($HT$6-CD8))</f>
        <v>71.583333333333329</v>
      </c>
      <c r="HV8" s="540" t="str">
        <f t="shared" ref="HV8:HV71" si="150">IFERROR(IF(HU8="","",IF(AND(HU8&gt;=60,(HS8="PASS")),"1st",IF(AND(HU8&gt;=60,(HS8="BY GRACE PASS")),"1st",IF(AND(HU8&gt;=48,(HS8="PASS")),"2nd",IF(AND(HU8&gt;=48,(HS8="BY GRACE PASS")),"2nd",IF(AND(HU8&gt;=36,(HS8="PASS")),"3rd",IF(AND(HU8&gt;=36,(HS8="BY GRACE PASS")),"3rd",""))))))),"")</f>
        <v>1st</v>
      </c>
      <c r="HW8" s="537">
        <f t="shared" ref="HW8:HW71" si="151">IFERROR(IF(OR(HS8="PASS",HS8="BY GRACE PASS"),HU8,""),"")</f>
        <v>71.583333333333329</v>
      </c>
      <c r="HX8" s="539">
        <f t="shared" ref="HX8:HX71" si="152">IFERROR(IF(HW8="","",SUMPRODUCT((HW8&lt;HW$7:HW$206)/COUNTIF(HW$7:HW$206,HW$7:HW$206))),"")</f>
        <v>2.0000000000000018</v>
      </c>
      <c r="HY8" s="553" t="str">
        <f>IFERROR(IF(OR(HS8="SUPPLEMENTARY",HS8="RE-EXAM"),'Supp. Result Entry'!AQ6,""),"")</f>
        <v/>
      </c>
      <c r="HZ8" s="538" t="str">
        <f t="shared" ref="HZ8:HZ71" si="153">IF(OR(KA8="",JP8=0),"",IF(JY8="","",JY8))</f>
        <v/>
      </c>
      <c r="IA8" s="415" t="str">
        <f t="shared" ref="IA8:IA71" si="154">IF(AND(KA8=""),"",IF(HZ8="","",IF(AND(KA8="FAIL"),"Failed",KA8)))</f>
        <v/>
      </c>
      <c r="IB8" s="415" t="str">
        <f>IF(AND(HZ8="",IA8=""),"",IF(OR(HS8="SUPPLEMENTARY",HS8="RE-EXAM"),'Supp. Result Entry'!AQ6,HS8))</f>
        <v/>
      </c>
      <c r="IC8" s="87"/>
      <c r="IS8" s="109" t="str">
        <f>IF('Supp. Result Entry'!T6="","",'Supp. Result Entry'!$T$4)</f>
        <v/>
      </c>
      <c r="IT8" s="110" t="str">
        <f>IF('Supp. Result Entry'!W6="","",'Supp. Result Entry'!$W$4)</f>
        <v/>
      </c>
      <c r="IU8" s="110" t="str">
        <f>IF('Supp. Result Entry'!Z6="","",'Supp. Result Entry'!$Z$4)</f>
        <v/>
      </c>
      <c r="IV8" s="110" t="str">
        <f>IF('Supp. Result Entry'!AC6="","",'Supp. Result Entry'!$AC$4)</f>
        <v/>
      </c>
      <c r="IW8" s="110" t="str">
        <f>IF('Supp. Result Entry'!AF6="","",'Supp. Result Entry'!$AF$4)</f>
        <v/>
      </c>
      <c r="IX8" s="110" t="str">
        <f>IF('Supp. Result Entry'!AI6="","",'Supp. Result Entry'!$AI$4)</f>
        <v/>
      </c>
      <c r="IY8" s="110" t="str">
        <f>IF('Supp. Result Entry'!AI6="","",'Supp. Result Entry'!$AL$4)</f>
        <v/>
      </c>
      <c r="IZ8" s="110" t="str">
        <f>IF('Supp. Result Entry'!U6="","",'Supp. Result Entry'!U6)</f>
        <v/>
      </c>
      <c r="JA8" s="110" t="str">
        <f>IF('Supp. Result Entry'!X6="","",'Supp. Result Entry'!X6)</f>
        <v/>
      </c>
      <c r="JB8" s="110" t="str">
        <f>IF('Supp. Result Entry'!AA6="","",'Supp. Result Entry'!AA6)</f>
        <v/>
      </c>
      <c r="JC8" s="110" t="str">
        <f>IF('Supp. Result Entry'!AD6="","",'Supp. Result Entry'!AD6)</f>
        <v/>
      </c>
      <c r="JD8" s="110" t="str">
        <f>IF('Supp. Result Entry'!AG6="","",'Supp. Result Entry'!AG6)</f>
        <v/>
      </c>
      <c r="JE8" s="110" t="str">
        <f>IF('Supp. Result Entry'!AJ6="","",'Supp. Result Entry'!AJ6)</f>
        <v/>
      </c>
      <c r="JF8" s="110" t="str">
        <f>IF('Supp. Result Entry'!AM6="","",'Supp. Result Entry'!AM6)</f>
        <v/>
      </c>
      <c r="JG8" s="110" t="str">
        <f>IF('Supp. Result Entry'!V6="","",'Supp. Result Entry'!V6)</f>
        <v/>
      </c>
      <c r="JH8" s="110" t="str">
        <f>IF('Supp. Result Entry'!Y6="","",'Supp. Result Entry'!Y6)</f>
        <v/>
      </c>
      <c r="JI8" s="110" t="str">
        <f>IF('Supp. Result Entry'!AB6="","",'Supp. Result Entry'!AB6)</f>
        <v/>
      </c>
      <c r="JJ8" s="110" t="str">
        <f>IF('Supp. Result Entry'!AE6="","",'Supp. Result Entry'!AE6)</f>
        <v/>
      </c>
      <c r="JK8" s="110" t="str">
        <f>IF('Supp. Result Entry'!AH6="","",'Supp. Result Entry'!AH6)</f>
        <v/>
      </c>
      <c r="JL8" s="110" t="str">
        <f>IF('Supp. Result Entry'!AK6="","",'Supp. Result Entry'!AK6)</f>
        <v/>
      </c>
      <c r="JM8" s="110" t="str">
        <f>IF('Supp. Result Entry'!AN6="","",'Supp. Result Entry'!AN6)</f>
        <v/>
      </c>
      <c r="JN8" s="110">
        <f>COUNTIF('Supp. Result Entry'!K6:Q6,"S")</f>
        <v>0</v>
      </c>
      <c r="JO8" s="110">
        <f t="shared" ref="JO8:JO70" si="155">COUNTIF(GN8:HM8,"RE")+COUNTIF(GN8:HM8,"REP")</f>
        <v>0</v>
      </c>
      <c r="JP8" s="110">
        <f t="shared" ref="JP8:JP71" si="156">COUNTIF(JG8:JM8,"P")</f>
        <v>0</v>
      </c>
      <c r="JQ8" s="110" t="str">
        <f t="shared" si="75"/>
        <v/>
      </c>
      <c r="JR8" s="110" t="str">
        <f t="shared" si="76"/>
        <v/>
      </c>
      <c r="JS8" s="110" t="str">
        <f t="shared" si="77"/>
        <v/>
      </c>
      <c r="JT8" s="110" t="str">
        <f t="shared" si="78"/>
        <v/>
      </c>
      <c r="JU8" s="110" t="str">
        <f t="shared" si="79"/>
        <v/>
      </c>
      <c r="JV8" s="110" t="str">
        <f t="shared" si="80"/>
        <v/>
      </c>
      <c r="JW8" s="110" t="str">
        <f t="shared" si="81"/>
        <v/>
      </c>
      <c r="JX8" s="110" t="str">
        <f t="shared" ref="JX8:JX71" si="157">IF(OR(JN8=0,JN8&lt;JP8),"",SUM(JQ8:JW8))</f>
        <v/>
      </c>
      <c r="JY8" s="110" t="str">
        <f t="shared" ref="JY8:JY71" si="158">IF(OR(JN8=0,JN8&lt;JP8),"",JX8/JZ8*100)</f>
        <v/>
      </c>
      <c r="JZ8" s="110" t="str">
        <f t="shared" si="82"/>
        <v/>
      </c>
      <c r="KA8" s="108" t="str">
        <f t="shared" ref="KA8:KA71" si="159">IF(JY8="","",IF(JY8&gt;=60,"I",IF(JY8&gt;=48,"II",IF(JY8&gt;=36,"III",""))))</f>
        <v/>
      </c>
    </row>
    <row r="9" spans="1:287" s="108" customFormat="1" ht="21.95" customHeight="1">
      <c r="A9" s="89">
        <v>3</v>
      </c>
      <c r="B9" s="90">
        <f>IF('Marks Entry'!B9="","",'Marks Entry'!B9)</f>
        <v>903</v>
      </c>
      <c r="C9" s="94" t="str">
        <f>IF('Marks Entry'!D9="","",'Marks Entry'!D9)</f>
        <v>A</v>
      </c>
      <c r="D9" s="91" t="str">
        <f>IF('Marks Entry'!E9="","",'Marks Entry'!E9)</f>
        <v/>
      </c>
      <c r="E9" s="92">
        <f>IF('Marks Entry'!F9="","",'Marks Entry'!F9)</f>
        <v>41192</v>
      </c>
      <c r="F9" s="93" t="str">
        <f>IF('Marks Entry'!G9="","",'Marks Entry'!G9)</f>
        <v>DINESH</v>
      </c>
      <c r="G9" s="93" t="str">
        <f>IF('Marks Entry'!H9="","",'Marks Entry'!H9)</f>
        <v/>
      </c>
      <c r="H9" s="93" t="str">
        <f>IF('Marks Entry'!I9="","",'Marks Entry'!I9)</f>
        <v/>
      </c>
      <c r="I9" s="94" t="str">
        <f>IF('Marks Entry'!J9="","",'Marks Entry'!J9)</f>
        <v>GEN</v>
      </c>
      <c r="J9" s="95" t="str">
        <f>IF('Marks Entry'!K9="","",'Marks Entry'!K9)</f>
        <v>M</v>
      </c>
      <c r="K9" s="68">
        <f>IF('Marks Entry'!L9="","",'Marks Entry'!L9)</f>
        <v>8</v>
      </c>
      <c r="L9" s="68">
        <f>IF('Marks Entry'!M9="","",'Marks Entry'!M9)</f>
        <v>9</v>
      </c>
      <c r="M9" s="68">
        <f>IF('Marks Entry'!N9="","",'Marks Entry'!N9)</f>
        <v>7</v>
      </c>
      <c r="N9" s="514">
        <f t="shared" si="83"/>
        <v>24</v>
      </c>
      <c r="O9" s="68">
        <f>IF('Marks Entry'!O9="","",'Marks Entry'!O9)</f>
        <v>46</v>
      </c>
      <c r="P9" s="515">
        <f t="shared" si="84"/>
        <v>70</v>
      </c>
      <c r="Q9" s="68">
        <f>IF('Marks Entry'!P9="","",'Marks Entry'!P9)</f>
        <v>13</v>
      </c>
      <c r="R9" s="96">
        <f t="shared" si="85"/>
        <v>83</v>
      </c>
      <c r="S9" s="65">
        <f t="shared" si="86"/>
        <v>0</v>
      </c>
      <c r="T9" s="65">
        <f t="shared" si="87"/>
        <v>0</v>
      </c>
      <c r="U9" s="66">
        <f t="shared" si="88"/>
        <v>200</v>
      </c>
      <c r="V9" s="65" t="str">
        <f t="shared" si="89"/>
        <v/>
      </c>
      <c r="W9" s="65" t="str">
        <f t="shared" si="90"/>
        <v>F</v>
      </c>
      <c r="X9" s="65" t="str">
        <f t="shared" si="91"/>
        <v>F</v>
      </c>
      <c r="Y9" s="68">
        <f>IF('Marks Entry'!Q9="","",'Marks Entry'!Q9)</f>
        <v>8</v>
      </c>
      <c r="Z9" s="68">
        <f>IF('Marks Entry'!R9="","",'Marks Entry'!R9)</f>
        <v>9</v>
      </c>
      <c r="AA9" s="68">
        <f>IF('Marks Entry'!S9="","",'Marks Entry'!S9)</f>
        <v>10</v>
      </c>
      <c r="AB9" s="514">
        <f t="shared" si="2"/>
        <v>27</v>
      </c>
      <c r="AC9" s="68">
        <f>IF('Marks Entry'!T9="","",'Marks Entry'!T9)</f>
        <v>65</v>
      </c>
      <c r="AD9" s="515">
        <f t="shared" si="3"/>
        <v>92</v>
      </c>
      <c r="AE9" s="68">
        <f>IF('Marks Entry'!U9="","",'Marks Entry'!U9)</f>
        <v>95</v>
      </c>
      <c r="AF9" s="96">
        <f t="shared" si="4"/>
        <v>187</v>
      </c>
      <c r="AG9" s="65">
        <f t="shared" si="5"/>
        <v>0</v>
      </c>
      <c r="AH9" s="65">
        <f t="shared" si="6"/>
        <v>0</v>
      </c>
      <c r="AI9" s="66">
        <f t="shared" si="7"/>
        <v>200</v>
      </c>
      <c r="AJ9" s="65" t="str">
        <f t="shared" si="8"/>
        <v/>
      </c>
      <c r="AK9" s="65" t="str">
        <f t="shared" si="9"/>
        <v>P</v>
      </c>
      <c r="AL9" s="65" t="str">
        <f t="shared" si="10"/>
        <v>D</v>
      </c>
      <c r="AM9" s="524" t="str">
        <f>IF('Marks Entry'!V9="","",IF('Marks Entry'!V9=1,'School Profile'!$I$9,IF('Marks Entry'!V9=2,'School Profile'!$I$10,IF('Marks Entry'!V9=3,'School Profile'!$I$11,IF('Marks Entry'!V9=4,'School Profile'!$I$12,IF('Marks Entry'!V9=5,'School Profile'!$I$13,IF('Marks Entry'!V9=6,'School Profile'!$I$14,"")))))))</f>
        <v>संस्कृत (71)</v>
      </c>
      <c r="AN9" s="68">
        <f>IF('Marks Entry'!W9="","",'Marks Entry'!W9)</f>
        <v>8</v>
      </c>
      <c r="AO9" s="68">
        <f>IF('Marks Entry'!X9="","",'Marks Entry'!X9)</f>
        <v>9</v>
      </c>
      <c r="AP9" s="68">
        <f>IF('Marks Entry'!Y9="","",'Marks Entry'!Y9)</f>
        <v>9</v>
      </c>
      <c r="AQ9" s="514">
        <f t="shared" si="11"/>
        <v>26</v>
      </c>
      <c r="AR9" s="68">
        <f>IF('Marks Entry'!Z9="","",'Marks Entry'!Z9)</f>
        <v>46</v>
      </c>
      <c r="AS9" s="515">
        <f t="shared" si="12"/>
        <v>72</v>
      </c>
      <c r="AT9" s="68">
        <f>IF('Marks Entry'!AA9="","",'Marks Entry'!AA9)</f>
        <v>45</v>
      </c>
      <c r="AU9" s="96">
        <f t="shared" si="13"/>
        <v>117</v>
      </c>
      <c r="AV9" s="65">
        <f t="shared" si="14"/>
        <v>0</v>
      </c>
      <c r="AW9" s="65">
        <f t="shared" si="15"/>
        <v>0</v>
      </c>
      <c r="AX9" s="66">
        <f t="shared" si="16"/>
        <v>200</v>
      </c>
      <c r="AY9" s="65" t="str">
        <f t="shared" si="17"/>
        <v/>
      </c>
      <c r="AZ9" s="65" t="str">
        <f t="shared" si="18"/>
        <v>P</v>
      </c>
      <c r="BA9" s="65" t="str">
        <f t="shared" si="19"/>
        <v>II</v>
      </c>
      <c r="BB9" s="68">
        <f>IF('Marks Entry'!AB9="","",'Marks Entry'!AB9)</f>
        <v>8</v>
      </c>
      <c r="BC9" s="68">
        <f>IF('Marks Entry'!AC9="","",'Marks Entry'!AC9)</f>
        <v>9</v>
      </c>
      <c r="BD9" s="68">
        <f>IF('Marks Entry'!AD9="","",'Marks Entry'!AD9)</f>
        <v>8</v>
      </c>
      <c r="BE9" s="514">
        <f t="shared" si="20"/>
        <v>25</v>
      </c>
      <c r="BF9" s="68">
        <f>IF('Marks Entry'!AE9="","",'Marks Entry'!AE9)</f>
        <v>68</v>
      </c>
      <c r="BG9" s="515">
        <f t="shared" si="21"/>
        <v>93</v>
      </c>
      <c r="BH9" s="68">
        <f>IF('Marks Entry'!AF9="","",'Marks Entry'!AF9)</f>
        <v>95</v>
      </c>
      <c r="BI9" s="96">
        <f t="shared" si="22"/>
        <v>188</v>
      </c>
      <c r="BJ9" s="65">
        <f t="shared" si="23"/>
        <v>0</v>
      </c>
      <c r="BK9" s="65">
        <f t="shared" si="92"/>
        <v>0</v>
      </c>
      <c r="BL9" s="66">
        <f t="shared" si="24"/>
        <v>200</v>
      </c>
      <c r="BM9" s="65" t="str">
        <f t="shared" si="25"/>
        <v/>
      </c>
      <c r="BN9" s="65" t="str">
        <f t="shared" si="26"/>
        <v>P</v>
      </c>
      <c r="BO9" s="65" t="str">
        <f t="shared" si="27"/>
        <v>D</v>
      </c>
      <c r="BP9" s="68">
        <f>IF('Marks Entry'!AG9="","",'Marks Entry'!AG9)</f>
        <v>8</v>
      </c>
      <c r="BQ9" s="68">
        <f>IF('Marks Entry'!AH9="","",'Marks Entry'!AH9)</f>
        <v>9</v>
      </c>
      <c r="BR9" s="68">
        <f>IF('Marks Entry'!AI9="","",'Marks Entry'!AI9)</f>
        <v>8</v>
      </c>
      <c r="BS9" s="514">
        <f t="shared" si="28"/>
        <v>25</v>
      </c>
      <c r="BT9" s="68">
        <f>IF('Marks Entry'!AJ9="","",'Marks Entry'!AJ9)</f>
        <v>46</v>
      </c>
      <c r="BU9" s="515">
        <f t="shared" si="29"/>
        <v>71</v>
      </c>
      <c r="BV9" s="68">
        <f>IF('Marks Entry'!AK9="","",'Marks Entry'!AK9)</f>
        <v>45</v>
      </c>
      <c r="BW9" s="96">
        <f t="shared" si="30"/>
        <v>116</v>
      </c>
      <c r="BX9" s="65">
        <f t="shared" si="31"/>
        <v>0</v>
      </c>
      <c r="BY9" s="65">
        <f t="shared" si="32"/>
        <v>0</v>
      </c>
      <c r="BZ9" s="66">
        <f t="shared" si="33"/>
        <v>200</v>
      </c>
      <c r="CA9" s="65" t="str">
        <f t="shared" si="34"/>
        <v/>
      </c>
      <c r="CB9" s="65" t="str">
        <f t="shared" si="35"/>
        <v>P</v>
      </c>
      <c r="CC9" s="65" t="str">
        <f t="shared" si="36"/>
        <v>II</v>
      </c>
      <c r="CD9" s="66">
        <f t="shared" si="93"/>
        <v>0</v>
      </c>
      <c r="CE9" s="68">
        <f>IF('Marks Entry'!AL9="","",'Marks Entry'!AL9)</f>
        <v>8</v>
      </c>
      <c r="CF9" s="68">
        <f>IF('Marks Entry'!AM9="","",'Marks Entry'!AM9)</f>
        <v>8</v>
      </c>
      <c r="CG9" s="68">
        <f>IF('Marks Entry'!AN9="","",'Marks Entry'!AN9)</f>
        <v>8</v>
      </c>
      <c r="CH9" s="514">
        <f t="shared" si="37"/>
        <v>24</v>
      </c>
      <c r="CI9" s="68">
        <f>IF('Marks Entry'!AO9="","",'Marks Entry'!AO9)</f>
        <v>46</v>
      </c>
      <c r="CJ9" s="515">
        <f t="shared" si="38"/>
        <v>70</v>
      </c>
      <c r="CK9" s="68">
        <f>IF('Marks Entry'!AP9="","",'Marks Entry'!AP9)</f>
        <v>45</v>
      </c>
      <c r="CL9" s="96">
        <f t="shared" si="39"/>
        <v>115</v>
      </c>
      <c r="CM9" s="65">
        <f t="shared" si="40"/>
        <v>0</v>
      </c>
      <c r="CN9" s="65">
        <f t="shared" si="41"/>
        <v>0</v>
      </c>
      <c r="CO9" s="66">
        <f t="shared" si="42"/>
        <v>200</v>
      </c>
      <c r="CP9" s="65" t="str">
        <f t="shared" si="43"/>
        <v/>
      </c>
      <c r="CQ9" s="65" t="str">
        <f t="shared" si="44"/>
        <v>P</v>
      </c>
      <c r="CR9" s="65" t="str">
        <f t="shared" si="45"/>
        <v>II</v>
      </c>
      <c r="CS9" s="616"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ELECTRICALS AND ELECTRONICS</v>
      </c>
      <c r="CT9" s="68">
        <f>IF('School Profile'!$D$20="NO","",IF('Marks Entry'!AR9="","",'Marks Entry'!AR9))</f>
        <v>10</v>
      </c>
      <c r="CU9" s="68">
        <f>IF('School Profile'!$D$20="NO","",IF('Marks Entry'!AS9="","",'Marks Entry'!AS9))</f>
        <v>10</v>
      </c>
      <c r="CV9" s="68">
        <f>IF('School Profile'!$D$20="NO","",IF('Marks Entry'!AT9="","",'Marks Entry'!AT9))</f>
        <v>10</v>
      </c>
      <c r="CW9" s="514">
        <f>IF('School Profile'!$D$20="NO","",IF(AND(CT9="",CU9="",CV9=""),"",SUM(CT9:CV9)))</f>
        <v>30</v>
      </c>
      <c r="CX9" s="68">
        <f>IF('School Profile'!$D$20="NO","",IF('Marks Entry'!AU9="","",'Marks Entry'!AU9))</f>
        <v>35</v>
      </c>
      <c r="CY9" s="68">
        <f>IF('School Profile'!$D$20="NO","",IF('Marks Entry'!AV9="","",'Marks Entry'!AV9))</f>
        <v>34</v>
      </c>
      <c r="CZ9" s="515">
        <f>IF('School Profile'!$D$20="NO","",IF(AND(CX9="",CY9=""),"",SUM(CX9,CY9)))</f>
        <v>69</v>
      </c>
      <c r="DA9" s="69">
        <f>IF('School Profile'!$D$20="NO","",IF(AND(CW9="",CZ9=""),"",SUM(CW9+CZ9)))</f>
        <v>99</v>
      </c>
      <c r="DB9" s="68">
        <f>IF('School Profile'!$D$20="NO","",IF('Marks Entry'!AW9="","",'Marks Entry'!AW9))</f>
        <v>45</v>
      </c>
      <c r="DC9" s="68">
        <f>IF('School Profile'!$D$20="NO","",IF('Marks Entry'!AX9="","",'Marks Entry'!AX9))</f>
        <v>46</v>
      </c>
      <c r="DD9" s="515">
        <f>IF('School Profile'!$D$20="NO","",IF(AND(DB9="",DC9=""),"",SUM(DB9,DC9)))</f>
        <v>91</v>
      </c>
      <c r="DE9" s="96">
        <f>IF('School Profile'!$D$20="NO","",IF(AND(DA9="",DD9=""),"",SUM(DA9,DD9)))</f>
        <v>190</v>
      </c>
      <c r="DF9" s="532">
        <f t="shared" si="46"/>
        <v>0</v>
      </c>
      <c r="DG9" s="65">
        <f t="shared" si="47"/>
        <v>0</v>
      </c>
      <c r="DH9" s="66">
        <f t="shared" si="48"/>
        <v>200</v>
      </c>
      <c r="DI9" s="65" t="str">
        <f t="shared" si="49"/>
        <v/>
      </c>
      <c r="DJ9" s="65" t="str">
        <f t="shared" si="50"/>
        <v>P</v>
      </c>
      <c r="DK9" s="65" t="str">
        <f t="shared" si="51"/>
        <v>D</v>
      </c>
      <c r="DL9" s="97" t="str">
        <f t="shared" si="94"/>
        <v>F</v>
      </c>
      <c r="DM9" s="97" t="str">
        <f t="shared" si="95"/>
        <v>D</v>
      </c>
      <c r="DN9" s="97" t="str">
        <f t="shared" si="96"/>
        <v>II</v>
      </c>
      <c r="DO9" s="97" t="str">
        <f t="shared" si="97"/>
        <v>D</v>
      </c>
      <c r="DP9" s="97" t="str">
        <f t="shared" si="98"/>
        <v>II</v>
      </c>
      <c r="DQ9" s="97" t="str">
        <f t="shared" si="99"/>
        <v>II</v>
      </c>
      <c r="DR9" s="97" t="str">
        <f>DK9</f>
        <v>D</v>
      </c>
      <c r="DS9" s="98">
        <f t="shared" si="101"/>
        <v>1</v>
      </c>
      <c r="DT9" s="98">
        <f t="shared" si="102"/>
        <v>0</v>
      </c>
      <c r="DU9" s="98">
        <f t="shared" si="103"/>
        <v>0</v>
      </c>
      <c r="DV9" s="98">
        <f t="shared" si="104"/>
        <v>0</v>
      </c>
      <c r="DW9" s="98">
        <f t="shared" si="105"/>
        <v>0</v>
      </c>
      <c r="DX9" s="98" t="str">
        <f t="shared" si="106"/>
        <v/>
      </c>
      <c r="DY9" s="99" t="str">
        <f t="shared" si="107"/>
        <v>FAIL</v>
      </c>
      <c r="DZ9" s="74">
        <f>IF('Marks Entry'!AY9="","",'Marks Entry'!AY9)</f>
        <v>9</v>
      </c>
      <c r="EA9" s="74">
        <f>IF('Marks Entry'!AZ9="","",'Marks Entry'!AZ9)</f>
        <v>9</v>
      </c>
      <c r="EB9" s="74">
        <f>IF('Marks Entry'!BA9="","",'Marks Entry'!BA9)</f>
        <v>9</v>
      </c>
      <c r="EC9" s="527">
        <f t="shared" si="52"/>
        <v>27</v>
      </c>
      <c r="ED9" s="74">
        <f>IF('Marks Entry'!BB9="","",'Marks Entry'!BB9)</f>
        <v>66</v>
      </c>
      <c r="EE9" s="528">
        <f t="shared" si="53"/>
        <v>93</v>
      </c>
      <c r="EF9" s="74">
        <f>IF('Marks Entry'!BC9="","",'Marks Entry'!BC9)</f>
        <v>91</v>
      </c>
      <c r="EG9" s="530">
        <f t="shared" si="54"/>
        <v>184</v>
      </c>
      <c r="EH9" s="368" t="str">
        <f t="shared" si="108"/>
        <v>A</v>
      </c>
      <c r="EI9" s="65">
        <f t="shared" si="109"/>
        <v>0</v>
      </c>
      <c r="EJ9" s="65">
        <f t="shared" si="110"/>
        <v>0</v>
      </c>
      <c r="EK9" s="66">
        <f t="shared" si="111"/>
        <v>200</v>
      </c>
      <c r="EL9" s="74">
        <f>IF('Marks Entry'!BD9="","",'Marks Entry'!BD9)</f>
        <v>8</v>
      </c>
      <c r="EM9" s="74">
        <f>IF('Marks Entry'!BE9="","",'Marks Entry'!BE9)</f>
        <v>8</v>
      </c>
      <c r="EN9" s="74">
        <f>IF('Marks Entry'!BF9="","",'Marks Entry'!BF9)</f>
        <v>8</v>
      </c>
      <c r="EO9" s="527">
        <f t="shared" si="55"/>
        <v>24</v>
      </c>
      <c r="EP9" s="74">
        <f>IF('Marks Entry'!BG9="","",'Marks Entry'!BG9)</f>
        <v>47</v>
      </c>
      <c r="EQ9" s="74">
        <f>IF('Marks Entry'!BH9="","",'Marks Entry'!BH9)</f>
        <v>16</v>
      </c>
      <c r="ER9" s="528">
        <f t="shared" si="56"/>
        <v>63</v>
      </c>
      <c r="ES9" s="529">
        <f t="shared" si="57"/>
        <v>87</v>
      </c>
      <c r="ET9" s="74">
        <f>IF('Marks Entry'!BI9="","",'Marks Entry'!BI9)</f>
        <v>64</v>
      </c>
      <c r="EU9" s="74">
        <f>IF('Marks Entry'!BJ9="","",'Marks Entry'!BJ9)</f>
        <v>24</v>
      </c>
      <c r="EV9" s="528">
        <f t="shared" si="58"/>
        <v>88</v>
      </c>
      <c r="EW9" s="530">
        <f t="shared" si="59"/>
        <v>175</v>
      </c>
      <c r="EX9" s="368" t="str">
        <f t="shared" si="112"/>
        <v>A</v>
      </c>
      <c r="EY9" s="65">
        <f t="shared" si="113"/>
        <v>0</v>
      </c>
      <c r="EZ9" s="65">
        <f t="shared" si="114"/>
        <v>0</v>
      </c>
      <c r="FA9" s="66">
        <f t="shared" si="115"/>
        <v>200</v>
      </c>
      <c r="FB9" s="74">
        <f>IF('Marks Entry'!BK9="","",'Marks Entry'!BK9)</f>
        <v>9</v>
      </c>
      <c r="FC9" s="74">
        <f>IF('Marks Entry'!BL9="","",'Marks Entry'!BL9)</f>
        <v>7</v>
      </c>
      <c r="FD9" s="74">
        <f>IF('Marks Entry'!BM9="","",'Marks Entry'!BM9)</f>
        <v>9</v>
      </c>
      <c r="FE9" s="74">
        <f>IF('Marks Entry'!BN9="","",'Marks Entry'!BN9)</f>
        <v>6</v>
      </c>
      <c r="FF9" s="74">
        <f>IF('Marks Entry'!BO9="","",'Marks Entry'!BO9)</f>
        <v>9</v>
      </c>
      <c r="FG9" s="74">
        <f>IF('Marks Entry'!BP9="","",'Marks Entry'!BP9)</f>
        <v>14</v>
      </c>
      <c r="FH9" s="527">
        <f t="shared" si="60"/>
        <v>54</v>
      </c>
      <c r="FI9" s="74">
        <f>IF('Marks Entry'!BQ9="","",'Marks Entry'!BQ9)</f>
        <v>21</v>
      </c>
      <c r="FJ9" s="74">
        <f>IF('Marks Entry'!BR9="","",'Marks Entry'!BR9)</f>
        <v>12</v>
      </c>
      <c r="FK9" s="528">
        <f t="shared" si="61"/>
        <v>33</v>
      </c>
      <c r="FL9" s="529">
        <f t="shared" si="62"/>
        <v>87</v>
      </c>
      <c r="FM9" s="74">
        <f>IF('Marks Entry'!BS9="","",'Marks Entry'!BS9)</f>
        <v>20</v>
      </c>
      <c r="FN9" s="74">
        <f>IF('Marks Entry'!BT9="","",'Marks Entry'!BT9)</f>
        <v>54</v>
      </c>
      <c r="FO9" s="528">
        <f t="shared" si="63"/>
        <v>74</v>
      </c>
      <c r="FP9" s="530">
        <f t="shared" si="64"/>
        <v>161</v>
      </c>
      <c r="FQ9" s="368" t="str">
        <f t="shared" si="116"/>
        <v>A</v>
      </c>
      <c r="FR9" s="65">
        <f t="shared" si="117"/>
        <v>0</v>
      </c>
      <c r="FS9" s="65">
        <f t="shared" si="118"/>
        <v>0</v>
      </c>
      <c r="FT9" s="66">
        <f t="shared" si="119"/>
        <v>200</v>
      </c>
      <c r="FU9" s="74">
        <f>IF('Marks Entry'!BU9="","",'Marks Entry'!BU9)</f>
        <v>23</v>
      </c>
      <c r="FV9" s="74">
        <f>IF('Marks Entry'!BV9="","",'Marks Entry'!BV9)</f>
        <v>40</v>
      </c>
      <c r="FW9" s="74">
        <f>IF('Marks Entry'!BW9="","",'Marks Entry'!BW9)</f>
        <v>29</v>
      </c>
      <c r="FX9" s="75">
        <f t="shared" si="65"/>
        <v>92</v>
      </c>
      <c r="FY9" s="368" t="str">
        <f t="shared" si="120"/>
        <v>A</v>
      </c>
      <c r="FZ9" s="65">
        <f t="shared" si="121"/>
        <v>0</v>
      </c>
      <c r="GA9" s="66">
        <f t="shared" si="122"/>
        <v>0</v>
      </c>
      <c r="GB9" s="66">
        <f t="shared" si="123"/>
        <v>100</v>
      </c>
      <c r="GC9" s="74">
        <f>IF('Marks Entry'!BX9="","",'Marks Entry'!BX9)</f>
        <v>21</v>
      </c>
      <c r="GD9" s="74">
        <f>IF('Marks Entry'!BY9="","",'Marks Entry'!BY9)</f>
        <v>48</v>
      </c>
      <c r="GE9" s="74">
        <f>IF('Marks Entry'!BZ9="","",'Marks Entry'!BZ9)</f>
        <v>10</v>
      </c>
      <c r="GF9" s="75">
        <f t="shared" si="124"/>
        <v>79</v>
      </c>
      <c r="GG9" s="368" t="str">
        <f t="shared" si="125"/>
        <v>B</v>
      </c>
      <c r="GH9" s="65">
        <f t="shared" si="126"/>
        <v>0</v>
      </c>
      <c r="GI9" s="66">
        <f t="shared" si="127"/>
        <v>0</v>
      </c>
      <c r="GJ9" s="66">
        <f t="shared" si="128"/>
        <v>100</v>
      </c>
      <c r="GK9" s="100" t="str">
        <f>IF(AND(F9="",B9=""),"",IF('Student DATA Entry'!M6="","",'Student DATA Entry'!M6))</f>
        <v/>
      </c>
      <c r="GL9" s="101" t="str">
        <f>IF(AND(B9="",F9=""),"",IF('Student DATA Entry'!N6="","",'Student DATA Entry'!N6))</f>
        <v/>
      </c>
      <c r="GM9" s="581" t="str">
        <f t="shared" si="129"/>
        <v/>
      </c>
      <c r="GN9" s="94" t="str">
        <f t="shared" si="130"/>
        <v>F</v>
      </c>
      <c r="GO9" s="94" t="str">
        <f t="shared" si="131"/>
        <v/>
      </c>
      <c r="GP9" s="102" t="str">
        <f t="shared" si="67"/>
        <v/>
      </c>
      <c r="GQ9" s="94" t="str">
        <f t="shared" si="132"/>
        <v>D</v>
      </c>
      <c r="GR9" s="103" t="str">
        <f t="shared" si="133"/>
        <v/>
      </c>
      <c r="GS9" s="102" t="str">
        <f t="shared" si="68"/>
        <v/>
      </c>
      <c r="GT9" s="104" t="str">
        <f>IF(AND(DY9="FAIL",(OR(DN9="G1",DN9="G2",DN9="S",DN9="RE"))),"F",IF(AND(DY9="RE-EXAM",(OR(DN9="G1",DN9="G2",DN9="S"))),"S",IF(AND(DY9="SUPPLEMENTARY",(OR(DN9="G1",DN9="G2"))),"S",IF(AND(DY9="BY GRACE PASS",(OR(DN9="G1",DN9="G2"))),"G",DN9))))</f>
        <v>II</v>
      </c>
      <c r="GU9" s="94" t="str">
        <f>IF('Marks Entry'!V9=1,GT9,"")</f>
        <v>II</v>
      </c>
      <c r="GV9" s="94" t="str">
        <f>IF('Marks Entry'!V9=2,GT9,"")</f>
        <v/>
      </c>
      <c r="GW9" s="94" t="str">
        <f>IF('Marks Entry'!V9=3,GT9,"")</f>
        <v/>
      </c>
      <c r="GX9" s="94" t="str">
        <f>IF('Marks Entry'!V9=4,GT9,"")</f>
        <v/>
      </c>
      <c r="GY9" s="94" t="str">
        <f>IF('Marks Entry'!V9=5,GT9,"")</f>
        <v/>
      </c>
      <c r="GZ9" s="94" t="str">
        <f t="shared" si="135"/>
        <v/>
      </c>
      <c r="HA9" s="105" t="str">
        <f t="shared" si="69"/>
        <v/>
      </c>
      <c r="HB9" s="94" t="str">
        <f t="shared" si="136"/>
        <v>D</v>
      </c>
      <c r="HC9" s="94" t="str">
        <f t="shared" si="137"/>
        <v/>
      </c>
      <c r="HD9" s="105" t="str">
        <f t="shared" si="70"/>
        <v/>
      </c>
      <c r="HE9" s="94" t="str">
        <f t="shared" si="138"/>
        <v>II</v>
      </c>
      <c r="HF9" s="94" t="str">
        <f t="shared" si="139"/>
        <v/>
      </c>
      <c r="HG9" s="105" t="str">
        <f t="shared" si="71"/>
        <v/>
      </c>
      <c r="HH9" s="94" t="str">
        <f t="shared" si="140"/>
        <v>II</v>
      </c>
      <c r="HI9" s="94" t="str">
        <f t="shared" si="141"/>
        <v/>
      </c>
      <c r="HJ9" s="105" t="str">
        <f t="shared" si="72"/>
        <v/>
      </c>
      <c r="HK9" s="94" t="str">
        <f t="shared" si="142"/>
        <v>D</v>
      </c>
      <c r="HL9" s="94" t="str">
        <f t="shared" si="143"/>
        <v/>
      </c>
      <c r="HM9" s="105" t="str">
        <f t="shared" si="73"/>
        <v/>
      </c>
      <c r="HN9" s="367" t="str">
        <f t="shared" si="144"/>
        <v xml:space="preserve">हिंदी      </v>
      </c>
      <c r="HO9" s="418" t="str">
        <f t="shared" si="145"/>
        <v/>
      </c>
      <c r="HP9" s="367" t="str">
        <f t="shared" si="146"/>
        <v xml:space="preserve">      </v>
      </c>
      <c r="HQ9" s="107" t="str">
        <f t="shared" si="147"/>
        <v xml:space="preserve">      </v>
      </c>
      <c r="HR9" s="366" t="str">
        <f t="shared" si="148"/>
        <v xml:space="preserve"> अंग्रेजी  गणित   व्यावसायिक शिक्षा</v>
      </c>
      <c r="HS9" s="544" t="str">
        <f t="shared" si="74"/>
        <v>FAIL</v>
      </c>
      <c r="HT9" s="542">
        <f t="shared" si="149"/>
        <v>881</v>
      </c>
      <c r="HU9" s="541">
        <f t="shared" ref="HU9:HU71" si="160">IF(HT9="","",HT9*100/($HT$6-CD9))</f>
        <v>73.416666666666671</v>
      </c>
      <c r="HV9" s="540" t="str">
        <f t="shared" si="150"/>
        <v/>
      </c>
      <c r="HW9" s="537" t="str">
        <f t="shared" si="151"/>
        <v/>
      </c>
      <c r="HX9" s="539" t="str">
        <f t="shared" si="152"/>
        <v/>
      </c>
      <c r="HY9" s="553" t="str">
        <f>IFERROR(IF(OR(HS9="SUPPLEMENTARY",HS9="RE-EXAM"),'Supp. Result Entry'!AQ7,""),"")</f>
        <v/>
      </c>
      <c r="HZ9" s="538" t="str">
        <f t="shared" si="153"/>
        <v/>
      </c>
      <c r="IA9" s="415" t="str">
        <f t="shared" si="154"/>
        <v/>
      </c>
      <c r="IB9" s="415" t="str">
        <f>IF(AND(HZ9="",IA9=""),"",IF(OR(HS9="SUPPLEMENTARY",HS9="RE-EXAM"),'Supp. Result Entry'!AQ7,HS9))</f>
        <v/>
      </c>
      <c r="IC9" s="87"/>
      <c r="IS9" s="109" t="str">
        <f>IF('Supp. Result Entry'!T7="","",'Supp. Result Entry'!$T$4)</f>
        <v/>
      </c>
      <c r="IT9" s="110" t="str">
        <f>IF('Supp. Result Entry'!W7="","",'Supp. Result Entry'!$W$4)</f>
        <v/>
      </c>
      <c r="IU9" s="110" t="str">
        <f>IF('Supp. Result Entry'!Z7="","",'Supp. Result Entry'!$Z$4)</f>
        <v/>
      </c>
      <c r="IV9" s="110" t="str">
        <f>IF('Supp. Result Entry'!AC7="","",'Supp. Result Entry'!$AC$4)</f>
        <v/>
      </c>
      <c r="IW9" s="110" t="str">
        <f>IF('Supp. Result Entry'!AF7="","",'Supp. Result Entry'!$AF$4)</f>
        <v/>
      </c>
      <c r="IX9" s="110" t="str">
        <f>IF('Supp. Result Entry'!AI7="","",'Supp. Result Entry'!$AI$4)</f>
        <v/>
      </c>
      <c r="IY9" s="110" t="str">
        <f>IF('Supp. Result Entry'!AI7="","",'Supp. Result Entry'!$AL$4)</f>
        <v/>
      </c>
      <c r="IZ9" s="110" t="str">
        <f>IF('Supp. Result Entry'!U7="","",'Supp. Result Entry'!U7)</f>
        <v/>
      </c>
      <c r="JA9" s="110" t="str">
        <f>IF('Supp. Result Entry'!X7="","",'Supp. Result Entry'!X7)</f>
        <v/>
      </c>
      <c r="JB9" s="110" t="str">
        <f>IF('Supp. Result Entry'!AA7="","",'Supp. Result Entry'!AA7)</f>
        <v/>
      </c>
      <c r="JC9" s="110" t="str">
        <f>IF('Supp. Result Entry'!AD7="","",'Supp. Result Entry'!AD7)</f>
        <v/>
      </c>
      <c r="JD9" s="110" t="str">
        <f>IF('Supp. Result Entry'!AG7="","",'Supp. Result Entry'!AG7)</f>
        <v/>
      </c>
      <c r="JE9" s="110" t="str">
        <f>IF('Supp. Result Entry'!AJ7="","",'Supp. Result Entry'!AJ7)</f>
        <v/>
      </c>
      <c r="JF9" s="110" t="str">
        <f>IF('Supp. Result Entry'!AM7="","",'Supp. Result Entry'!AM7)</f>
        <v/>
      </c>
      <c r="JG9" s="110" t="str">
        <f>IF('Supp. Result Entry'!V7="","",'Supp. Result Entry'!V7)</f>
        <v/>
      </c>
      <c r="JH9" s="110" t="str">
        <f>IF('Supp. Result Entry'!Y7="","",'Supp. Result Entry'!Y7)</f>
        <v/>
      </c>
      <c r="JI9" s="110" t="str">
        <f>IF('Supp. Result Entry'!AB7="","",'Supp. Result Entry'!AB7)</f>
        <v/>
      </c>
      <c r="JJ9" s="110" t="str">
        <f>IF('Supp. Result Entry'!AE7="","",'Supp. Result Entry'!AE7)</f>
        <v/>
      </c>
      <c r="JK9" s="110" t="str">
        <f>IF('Supp. Result Entry'!AH7="","",'Supp. Result Entry'!AH7)</f>
        <v/>
      </c>
      <c r="JL9" s="110" t="str">
        <f>IF('Supp. Result Entry'!AK7="","",'Supp. Result Entry'!AK7)</f>
        <v/>
      </c>
      <c r="JM9" s="110" t="str">
        <f>IF('Supp. Result Entry'!AN7="","",'Supp. Result Entry'!AN7)</f>
        <v/>
      </c>
      <c r="JN9" s="110">
        <f>COUNTIF('Supp. Result Entry'!K7:Q7,"S")</f>
        <v>0</v>
      </c>
      <c r="JO9" s="110">
        <f t="shared" si="155"/>
        <v>0</v>
      </c>
      <c r="JP9" s="110">
        <f t="shared" si="156"/>
        <v>0</v>
      </c>
      <c r="JQ9" s="110" t="str">
        <f t="shared" si="75"/>
        <v/>
      </c>
      <c r="JR9" s="110" t="str">
        <f t="shared" si="76"/>
        <v/>
      </c>
      <c r="JS9" s="110" t="str">
        <f t="shared" si="77"/>
        <v/>
      </c>
      <c r="JT9" s="110" t="str">
        <f t="shared" si="78"/>
        <v/>
      </c>
      <c r="JU9" s="110" t="str">
        <f t="shared" si="79"/>
        <v/>
      </c>
      <c r="JV9" s="110" t="str">
        <f t="shared" si="80"/>
        <v/>
      </c>
      <c r="JW9" s="110" t="str">
        <f t="shared" si="81"/>
        <v/>
      </c>
      <c r="JX9" s="110" t="str">
        <f t="shared" si="157"/>
        <v/>
      </c>
      <c r="JY9" s="110" t="str">
        <f t="shared" si="158"/>
        <v/>
      </c>
      <c r="JZ9" s="110" t="str">
        <f t="shared" si="82"/>
        <v/>
      </c>
      <c r="KA9" s="108" t="str">
        <f t="shared" si="159"/>
        <v/>
      </c>
    </row>
    <row r="10" spans="1:287" s="108" customFormat="1" ht="21.95" customHeight="1">
      <c r="A10" s="89">
        <v>4</v>
      </c>
      <c r="B10" s="90">
        <f>IF('Marks Entry'!B10="","",'Marks Entry'!B10)</f>
        <v>904</v>
      </c>
      <c r="C10" s="94" t="str">
        <f>IF('Marks Entry'!D10="","",'Marks Entry'!D10)</f>
        <v>A</v>
      </c>
      <c r="D10" s="91" t="str">
        <f>IF('Marks Entry'!E10="","",'Marks Entry'!E10)</f>
        <v/>
      </c>
      <c r="E10" s="92">
        <f>IF('Marks Entry'!F10="","",'Marks Entry'!F10)</f>
        <v>40670</v>
      </c>
      <c r="F10" s="93" t="str">
        <f>IF('Marks Entry'!G10="","",'Marks Entry'!G10)</f>
        <v>RAMESH</v>
      </c>
      <c r="G10" s="93" t="str">
        <f>IF('Marks Entry'!H10="","",'Marks Entry'!H10)</f>
        <v/>
      </c>
      <c r="H10" s="93" t="str">
        <f>IF('Marks Entry'!I10="","",'Marks Entry'!I10)</f>
        <v/>
      </c>
      <c r="I10" s="94" t="str">
        <f>IF('Marks Entry'!J10="","",'Marks Entry'!J10)</f>
        <v>SBC</v>
      </c>
      <c r="J10" s="95" t="str">
        <f>IF('Marks Entry'!K10="","",'Marks Entry'!K10)</f>
        <v>M</v>
      </c>
      <c r="K10" s="68" t="str">
        <f>IF('Marks Entry'!L10="","",'Marks Entry'!L10)</f>
        <v>AB</v>
      </c>
      <c r="L10" s="68">
        <f>IF('Marks Entry'!M10="","",'Marks Entry'!M10)</f>
        <v>9</v>
      </c>
      <c r="M10" s="68">
        <f>IF('Marks Entry'!N10="","",'Marks Entry'!N10)</f>
        <v>4</v>
      </c>
      <c r="N10" s="514">
        <f t="shared" si="83"/>
        <v>13</v>
      </c>
      <c r="O10" s="68">
        <f>IF('Marks Entry'!O10="","",'Marks Entry'!O10)</f>
        <v>46</v>
      </c>
      <c r="P10" s="515">
        <f t="shared" si="84"/>
        <v>59</v>
      </c>
      <c r="Q10" s="68">
        <f>IF('Marks Entry'!P10="","",'Marks Entry'!P10)</f>
        <v>65</v>
      </c>
      <c r="R10" s="96">
        <f t="shared" si="85"/>
        <v>124</v>
      </c>
      <c r="S10" s="65">
        <f t="shared" si="86"/>
        <v>0</v>
      </c>
      <c r="T10" s="65">
        <f t="shared" si="87"/>
        <v>0</v>
      </c>
      <c r="U10" s="66">
        <f t="shared" si="88"/>
        <v>200</v>
      </c>
      <c r="V10" s="65" t="str">
        <f t="shared" si="89"/>
        <v/>
      </c>
      <c r="W10" s="65" t="str">
        <f t="shared" si="90"/>
        <v>P</v>
      </c>
      <c r="X10" s="65" t="str">
        <f t="shared" si="91"/>
        <v>I</v>
      </c>
      <c r="Y10" s="68">
        <f>IF('Marks Entry'!Q10="","",'Marks Entry'!Q10)</f>
        <v>8</v>
      </c>
      <c r="Z10" s="68">
        <f>IF('Marks Entry'!R10="","",'Marks Entry'!R10)</f>
        <v>9</v>
      </c>
      <c r="AA10" s="68">
        <f>IF('Marks Entry'!S10="","",'Marks Entry'!S10)</f>
        <v>10</v>
      </c>
      <c r="AB10" s="514">
        <f t="shared" si="2"/>
        <v>27</v>
      </c>
      <c r="AC10" s="68">
        <f>IF('Marks Entry'!T10="","",'Marks Entry'!T10)</f>
        <v>30</v>
      </c>
      <c r="AD10" s="515">
        <f t="shared" si="3"/>
        <v>57</v>
      </c>
      <c r="AE10" s="68">
        <f>IF('Marks Entry'!U10="","",'Marks Entry'!U10)</f>
        <v>95</v>
      </c>
      <c r="AF10" s="96">
        <f t="shared" si="4"/>
        <v>152</v>
      </c>
      <c r="AG10" s="65">
        <f t="shared" si="5"/>
        <v>0</v>
      </c>
      <c r="AH10" s="65">
        <f t="shared" si="6"/>
        <v>0</v>
      </c>
      <c r="AI10" s="66">
        <f t="shared" si="7"/>
        <v>200</v>
      </c>
      <c r="AJ10" s="65" t="str">
        <f t="shared" si="8"/>
        <v/>
      </c>
      <c r="AK10" s="65" t="str">
        <f t="shared" si="9"/>
        <v>P</v>
      </c>
      <c r="AL10" s="65" t="str">
        <f t="shared" si="10"/>
        <v>D</v>
      </c>
      <c r="AM10" s="524" t="str">
        <f>IF('Marks Entry'!V10="","",IF('Marks Entry'!V10=1,'School Profile'!$I$9,IF('Marks Entry'!V10=2,'School Profile'!$I$10,IF('Marks Entry'!V10=3,'School Profile'!$I$11,IF('Marks Entry'!V10=4,'School Profile'!$I$12,IF('Marks Entry'!V10=5,'School Profile'!$I$13,IF('Marks Entry'!V10=6,'School Profile'!$I$14,"")))))))</f>
        <v>संस्कृत (71)</v>
      </c>
      <c r="AN10" s="68">
        <f>IF('Marks Entry'!W10="","",'Marks Entry'!W10)</f>
        <v>8</v>
      </c>
      <c r="AO10" s="68">
        <f>IF('Marks Entry'!X10="","",'Marks Entry'!X10)</f>
        <v>9</v>
      </c>
      <c r="AP10" s="68">
        <f>IF('Marks Entry'!Y10="","",'Marks Entry'!Y10)</f>
        <v>9</v>
      </c>
      <c r="AQ10" s="514">
        <f t="shared" si="11"/>
        <v>26</v>
      </c>
      <c r="AR10" s="68">
        <f>IF('Marks Entry'!Z10="","",'Marks Entry'!Z10)</f>
        <v>46</v>
      </c>
      <c r="AS10" s="515">
        <f t="shared" si="12"/>
        <v>72</v>
      </c>
      <c r="AT10" s="68">
        <f>IF('Marks Entry'!AA10="","",'Marks Entry'!AA10)</f>
        <v>45</v>
      </c>
      <c r="AU10" s="96">
        <f t="shared" si="13"/>
        <v>117</v>
      </c>
      <c r="AV10" s="65">
        <f t="shared" si="14"/>
        <v>0</v>
      </c>
      <c r="AW10" s="65">
        <f t="shared" si="15"/>
        <v>0</v>
      </c>
      <c r="AX10" s="66">
        <f t="shared" si="16"/>
        <v>200</v>
      </c>
      <c r="AY10" s="65" t="str">
        <f t="shared" si="17"/>
        <v/>
      </c>
      <c r="AZ10" s="65" t="str">
        <f t="shared" si="18"/>
        <v>P</v>
      </c>
      <c r="BA10" s="65" t="str">
        <f t="shared" si="19"/>
        <v>II</v>
      </c>
      <c r="BB10" s="68">
        <f>IF('Marks Entry'!AB10="","",'Marks Entry'!AB10)</f>
        <v>8</v>
      </c>
      <c r="BC10" s="68">
        <f>IF('Marks Entry'!AC10="","",'Marks Entry'!AC10)</f>
        <v>9</v>
      </c>
      <c r="BD10" s="68">
        <f>IF('Marks Entry'!AD10="","",'Marks Entry'!AD10)</f>
        <v>8</v>
      </c>
      <c r="BE10" s="514">
        <f t="shared" si="20"/>
        <v>25</v>
      </c>
      <c r="BF10" s="68">
        <f>IF('Marks Entry'!AE10="","",'Marks Entry'!AE10)</f>
        <v>12</v>
      </c>
      <c r="BG10" s="515">
        <f t="shared" si="21"/>
        <v>37</v>
      </c>
      <c r="BH10" s="68">
        <f>IF('Marks Entry'!AF10="","",'Marks Entry'!AF10)</f>
        <v>34</v>
      </c>
      <c r="BI10" s="96">
        <f t="shared" si="22"/>
        <v>71</v>
      </c>
      <c r="BJ10" s="65">
        <f t="shared" si="23"/>
        <v>0</v>
      </c>
      <c r="BK10" s="65">
        <f t="shared" si="92"/>
        <v>0</v>
      </c>
      <c r="BL10" s="66">
        <f t="shared" si="24"/>
        <v>200</v>
      </c>
      <c r="BM10" s="65" t="str">
        <f t="shared" si="25"/>
        <v/>
      </c>
      <c r="BN10" s="65" t="str">
        <f t="shared" si="26"/>
        <v>G2</v>
      </c>
      <c r="BO10" s="65" t="str">
        <f t="shared" si="27"/>
        <v>G2</v>
      </c>
      <c r="BP10" s="68">
        <f>IF('Marks Entry'!AG10="","",'Marks Entry'!AG10)</f>
        <v>8</v>
      </c>
      <c r="BQ10" s="68">
        <f>IF('Marks Entry'!AH10="","",'Marks Entry'!AH10)</f>
        <v>9</v>
      </c>
      <c r="BR10" s="68">
        <f>IF('Marks Entry'!AI10="","",'Marks Entry'!AI10)</f>
        <v>9</v>
      </c>
      <c r="BS10" s="514">
        <f t="shared" si="28"/>
        <v>26</v>
      </c>
      <c r="BT10" s="68">
        <f>IF('Marks Entry'!AJ10="","",'Marks Entry'!AJ10)</f>
        <v>46</v>
      </c>
      <c r="BU10" s="515">
        <f t="shared" si="29"/>
        <v>72</v>
      </c>
      <c r="BV10" s="68">
        <f>IF('Marks Entry'!AK10="","",'Marks Entry'!AK10)</f>
        <v>45</v>
      </c>
      <c r="BW10" s="96">
        <f t="shared" si="30"/>
        <v>117</v>
      </c>
      <c r="BX10" s="65">
        <f t="shared" si="31"/>
        <v>0</v>
      </c>
      <c r="BY10" s="65">
        <f t="shared" si="32"/>
        <v>0</v>
      </c>
      <c r="BZ10" s="66">
        <f t="shared" si="33"/>
        <v>200</v>
      </c>
      <c r="CA10" s="65" t="str">
        <f t="shared" si="34"/>
        <v/>
      </c>
      <c r="CB10" s="65" t="str">
        <f t="shared" si="35"/>
        <v>P</v>
      </c>
      <c r="CC10" s="65" t="str">
        <f t="shared" si="36"/>
        <v>II</v>
      </c>
      <c r="CD10" s="66">
        <f t="shared" si="93"/>
        <v>0</v>
      </c>
      <c r="CE10" s="68">
        <f>IF('Marks Entry'!AL10="","",'Marks Entry'!AL10)</f>
        <v>7</v>
      </c>
      <c r="CF10" s="68">
        <f>IF('Marks Entry'!AM10="","",'Marks Entry'!AM10)</f>
        <v>7</v>
      </c>
      <c r="CG10" s="68">
        <f>IF('Marks Entry'!AN10="","",'Marks Entry'!AN10)</f>
        <v>7</v>
      </c>
      <c r="CH10" s="514">
        <f t="shared" si="37"/>
        <v>21</v>
      </c>
      <c r="CI10" s="68">
        <f>IF('Marks Entry'!AO10="","",'Marks Entry'!AO10)</f>
        <v>46</v>
      </c>
      <c r="CJ10" s="515">
        <f t="shared" si="38"/>
        <v>67</v>
      </c>
      <c r="CK10" s="68">
        <f>IF('Marks Entry'!AP10="","",'Marks Entry'!AP10)</f>
        <v>45</v>
      </c>
      <c r="CL10" s="96">
        <f t="shared" si="39"/>
        <v>112</v>
      </c>
      <c r="CM10" s="65">
        <f t="shared" si="40"/>
        <v>0</v>
      </c>
      <c r="CN10" s="65">
        <f t="shared" si="41"/>
        <v>0</v>
      </c>
      <c r="CO10" s="66">
        <f t="shared" si="42"/>
        <v>200</v>
      </c>
      <c r="CP10" s="65" t="str">
        <f t="shared" si="43"/>
        <v/>
      </c>
      <c r="CQ10" s="65" t="str">
        <f t="shared" si="44"/>
        <v>P</v>
      </c>
      <c r="CR10" s="65" t="str">
        <f t="shared" si="45"/>
        <v>II</v>
      </c>
      <c r="CS10" s="616"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8" t="str">
        <f>IF('School Profile'!$D$20="NO","",IF('Marks Entry'!AR10="","",'Marks Entry'!AR10))</f>
        <v/>
      </c>
      <c r="CU10" s="68" t="str">
        <f>IF('School Profile'!$D$20="NO","",IF('Marks Entry'!AS10="","",'Marks Entry'!AS10))</f>
        <v/>
      </c>
      <c r="CV10" s="68" t="str">
        <f>IF('School Profile'!$D$20="NO","",IF('Marks Entry'!AT10="","",'Marks Entry'!AT10))</f>
        <v/>
      </c>
      <c r="CW10" s="514" t="str">
        <f>IF('School Profile'!$D$20="NO","",IF(AND(CT10="",CU10="",CV10=""),"",SUM(CT10:CV10)))</f>
        <v/>
      </c>
      <c r="CX10" s="68" t="str">
        <f>IF('School Profile'!$D$20="NO","",IF('Marks Entry'!AU10="","",'Marks Entry'!AU10))</f>
        <v/>
      </c>
      <c r="CY10" s="68" t="str">
        <f>IF('School Profile'!$D$20="NO","",IF('Marks Entry'!AV10="","",'Marks Entry'!AV10))</f>
        <v/>
      </c>
      <c r="CZ10" s="515" t="str">
        <f>IF('School Profile'!$D$20="NO","",IF(AND(CX10="",CY10=""),"",SUM(CX10,CY10)))</f>
        <v/>
      </c>
      <c r="DA10" s="69" t="str">
        <f>IF('School Profile'!$D$20="NO","",IF(AND(CW10="",CZ10=""),"",SUM(CW10+CZ10)))</f>
        <v/>
      </c>
      <c r="DB10" s="68" t="str">
        <f>IF('School Profile'!$D$20="NO","",IF('Marks Entry'!AW10="","",'Marks Entry'!AW10))</f>
        <v/>
      </c>
      <c r="DC10" s="68" t="str">
        <f>IF('School Profile'!$D$20="NO","",IF('Marks Entry'!AX10="","",'Marks Entry'!AX10))</f>
        <v/>
      </c>
      <c r="DD10" s="515" t="str">
        <f>IF('School Profile'!$D$20="NO","",IF(AND(DB10="",DC10=""),"",SUM(DB10,DC10)))</f>
        <v/>
      </c>
      <c r="DE10" s="96" t="str">
        <f>IF('School Profile'!$D$20="NO","",IF(AND(DA10="",DD10=""),"",SUM(DA10,DD10)))</f>
        <v/>
      </c>
      <c r="DF10" s="532">
        <f t="shared" si="46"/>
        <v>0</v>
      </c>
      <c r="DG10" s="65">
        <f t="shared" si="47"/>
        <v>0</v>
      </c>
      <c r="DH10" s="66" t="str">
        <f t="shared" si="48"/>
        <v/>
      </c>
      <c r="DI10" s="65" t="str">
        <f t="shared" si="49"/>
        <v/>
      </c>
      <c r="DJ10" s="65" t="str">
        <f t="shared" si="50"/>
        <v/>
      </c>
      <c r="DK10" s="65" t="str">
        <f t="shared" si="51"/>
        <v/>
      </c>
      <c r="DL10" s="97" t="str">
        <f t="shared" si="94"/>
        <v>I</v>
      </c>
      <c r="DM10" s="97" t="str">
        <f t="shared" si="95"/>
        <v>D</v>
      </c>
      <c r="DN10" s="97" t="str">
        <f t="shared" si="96"/>
        <v>II</v>
      </c>
      <c r="DO10" s="97" t="str">
        <f t="shared" si="97"/>
        <v>G2</v>
      </c>
      <c r="DP10" s="97" t="str">
        <f t="shared" si="98"/>
        <v>II</v>
      </c>
      <c r="DQ10" s="97" t="str">
        <f t="shared" si="99"/>
        <v>II</v>
      </c>
      <c r="DR10" s="97" t="str">
        <f t="shared" si="100"/>
        <v/>
      </c>
      <c r="DS10" s="98">
        <f t="shared" si="101"/>
        <v>0</v>
      </c>
      <c r="DT10" s="98">
        <f t="shared" si="102"/>
        <v>0</v>
      </c>
      <c r="DU10" s="98">
        <f t="shared" si="103"/>
        <v>0</v>
      </c>
      <c r="DV10" s="98">
        <f t="shared" si="104"/>
        <v>1</v>
      </c>
      <c r="DW10" s="98">
        <f t="shared" si="105"/>
        <v>0</v>
      </c>
      <c r="DX10" s="98" t="str">
        <f t="shared" si="106"/>
        <v/>
      </c>
      <c r="DY10" s="99" t="str">
        <f t="shared" si="107"/>
        <v>BY GRACE PASS</v>
      </c>
      <c r="DZ10" s="74">
        <f>IF('Marks Entry'!AY10="","",'Marks Entry'!AY10)</f>
        <v>9</v>
      </c>
      <c r="EA10" s="74">
        <f>IF('Marks Entry'!AZ10="","",'Marks Entry'!AZ10)</f>
        <v>9</v>
      </c>
      <c r="EB10" s="74">
        <f>IF('Marks Entry'!BA10="","",'Marks Entry'!BA10)</f>
        <v>9</v>
      </c>
      <c r="EC10" s="527">
        <f t="shared" si="52"/>
        <v>27</v>
      </c>
      <c r="ED10" s="74">
        <f>IF('Marks Entry'!BB10="","",'Marks Entry'!BB10)</f>
        <v>66</v>
      </c>
      <c r="EE10" s="528">
        <f t="shared" si="53"/>
        <v>93</v>
      </c>
      <c r="EF10" s="74">
        <f>IF('Marks Entry'!BC10="","",'Marks Entry'!BC10)</f>
        <v>91</v>
      </c>
      <c r="EG10" s="530">
        <f t="shared" si="54"/>
        <v>184</v>
      </c>
      <c r="EH10" s="368" t="str">
        <f t="shared" si="108"/>
        <v>A</v>
      </c>
      <c r="EI10" s="65">
        <f t="shared" si="109"/>
        <v>0</v>
      </c>
      <c r="EJ10" s="65">
        <f t="shared" si="110"/>
        <v>0</v>
      </c>
      <c r="EK10" s="66">
        <f t="shared" si="111"/>
        <v>200</v>
      </c>
      <c r="EL10" s="74">
        <f>IF('Marks Entry'!BD10="","",'Marks Entry'!BD10)</f>
        <v>8</v>
      </c>
      <c r="EM10" s="74">
        <f>IF('Marks Entry'!BE10="","",'Marks Entry'!BE10)</f>
        <v>8</v>
      </c>
      <c r="EN10" s="74">
        <f>IF('Marks Entry'!BF10="","",'Marks Entry'!BF10)</f>
        <v>8</v>
      </c>
      <c r="EO10" s="527">
        <f t="shared" si="55"/>
        <v>24</v>
      </c>
      <c r="EP10" s="74">
        <f>IF('Marks Entry'!BG10="","",'Marks Entry'!BG10)</f>
        <v>48</v>
      </c>
      <c r="EQ10" s="74">
        <f>IF('Marks Entry'!BH10="","",'Marks Entry'!BH10)</f>
        <v>15</v>
      </c>
      <c r="ER10" s="528">
        <f t="shared" si="56"/>
        <v>63</v>
      </c>
      <c r="ES10" s="529">
        <f t="shared" si="57"/>
        <v>87</v>
      </c>
      <c r="ET10" s="74">
        <f>IF('Marks Entry'!BI10="","",'Marks Entry'!BI10)</f>
        <v>62</v>
      </c>
      <c r="EU10" s="74">
        <f>IF('Marks Entry'!BJ10="","",'Marks Entry'!BJ10)</f>
        <v>27</v>
      </c>
      <c r="EV10" s="528">
        <f t="shared" si="58"/>
        <v>89</v>
      </c>
      <c r="EW10" s="530">
        <f t="shared" si="59"/>
        <v>176</v>
      </c>
      <c r="EX10" s="368" t="str">
        <f t="shared" si="112"/>
        <v>A</v>
      </c>
      <c r="EY10" s="65">
        <f t="shared" si="113"/>
        <v>0</v>
      </c>
      <c r="EZ10" s="65">
        <f t="shared" si="114"/>
        <v>0</v>
      </c>
      <c r="FA10" s="66">
        <f t="shared" si="115"/>
        <v>200</v>
      </c>
      <c r="FB10" s="74">
        <f>IF('Marks Entry'!BK10="","",'Marks Entry'!BK10)</f>
        <v>9</v>
      </c>
      <c r="FC10" s="74">
        <f>IF('Marks Entry'!BL10="","",'Marks Entry'!BL10)</f>
        <v>7</v>
      </c>
      <c r="FD10" s="74">
        <f>IF('Marks Entry'!BM10="","",'Marks Entry'!BM10)</f>
        <v>9</v>
      </c>
      <c r="FE10" s="74">
        <f>IF('Marks Entry'!BN10="","",'Marks Entry'!BN10)</f>
        <v>6</v>
      </c>
      <c r="FF10" s="74">
        <f>IF('Marks Entry'!BO10="","",'Marks Entry'!BO10)</f>
        <v>9</v>
      </c>
      <c r="FG10" s="74">
        <f>IF('Marks Entry'!BP10="","",'Marks Entry'!BP10)</f>
        <v>14</v>
      </c>
      <c r="FH10" s="527">
        <f t="shared" si="60"/>
        <v>54</v>
      </c>
      <c r="FI10" s="74">
        <f>IF('Marks Entry'!BQ10="","",'Marks Entry'!BQ10)</f>
        <v>21</v>
      </c>
      <c r="FJ10" s="74">
        <f>IF('Marks Entry'!BR10="","",'Marks Entry'!BR10)</f>
        <v>13</v>
      </c>
      <c r="FK10" s="528">
        <f t="shared" si="61"/>
        <v>34</v>
      </c>
      <c r="FL10" s="529">
        <f t="shared" si="62"/>
        <v>88</v>
      </c>
      <c r="FM10" s="74">
        <f>IF('Marks Entry'!BS10="","",'Marks Entry'!BS10)</f>
        <v>23</v>
      </c>
      <c r="FN10" s="74">
        <f>IF('Marks Entry'!BT10="","",'Marks Entry'!BT10)</f>
        <v>56</v>
      </c>
      <c r="FO10" s="528">
        <f t="shared" si="63"/>
        <v>79</v>
      </c>
      <c r="FP10" s="530">
        <f t="shared" si="64"/>
        <v>167</v>
      </c>
      <c r="FQ10" s="368" t="str">
        <f t="shared" si="116"/>
        <v>A</v>
      </c>
      <c r="FR10" s="65">
        <f t="shared" si="117"/>
        <v>0</v>
      </c>
      <c r="FS10" s="65">
        <f t="shared" si="118"/>
        <v>0</v>
      </c>
      <c r="FT10" s="66">
        <f t="shared" si="119"/>
        <v>200</v>
      </c>
      <c r="FU10" s="74">
        <f>IF('Marks Entry'!BU10="","",'Marks Entry'!BU10)</f>
        <v>24</v>
      </c>
      <c r="FV10" s="74">
        <f>IF('Marks Entry'!BV10="","",'Marks Entry'!BV10)</f>
        <v>44</v>
      </c>
      <c r="FW10" s="74">
        <f>IF('Marks Entry'!BW10="","",'Marks Entry'!BW10)</f>
        <v>28</v>
      </c>
      <c r="FX10" s="75">
        <f t="shared" si="65"/>
        <v>96</v>
      </c>
      <c r="FY10" s="368" t="str">
        <f t="shared" si="120"/>
        <v>A</v>
      </c>
      <c r="FZ10" s="65">
        <f t="shared" si="121"/>
        <v>0</v>
      </c>
      <c r="GA10" s="66">
        <f t="shared" si="122"/>
        <v>0</v>
      </c>
      <c r="GB10" s="66">
        <f t="shared" si="123"/>
        <v>100</v>
      </c>
      <c r="GC10" s="74">
        <f>IF('Marks Entry'!BX10="","",'Marks Entry'!BX10)</f>
        <v>25</v>
      </c>
      <c r="GD10" s="74">
        <f>IF('Marks Entry'!BY10="","",'Marks Entry'!BY10)</f>
        <v>47</v>
      </c>
      <c r="GE10" s="74">
        <f>IF('Marks Entry'!BZ10="","",'Marks Entry'!BZ10)</f>
        <v>9</v>
      </c>
      <c r="GF10" s="75">
        <f t="shared" si="124"/>
        <v>81</v>
      </c>
      <c r="GG10" s="368" t="str">
        <f t="shared" si="125"/>
        <v>A</v>
      </c>
      <c r="GH10" s="65">
        <f t="shared" si="126"/>
        <v>0</v>
      </c>
      <c r="GI10" s="66">
        <f t="shared" si="127"/>
        <v>0</v>
      </c>
      <c r="GJ10" s="66">
        <f t="shared" si="128"/>
        <v>100</v>
      </c>
      <c r="GK10" s="100" t="str">
        <f>IF(AND(F10="",B10=""),"",IF('Student DATA Entry'!M7="","",'Student DATA Entry'!M7))</f>
        <v/>
      </c>
      <c r="GL10" s="101" t="str">
        <f>IF(AND(B10="",F10=""),"",IF('Student DATA Entry'!N7="","",'Student DATA Entry'!N7))</f>
        <v/>
      </c>
      <c r="GM10" s="581" t="str">
        <f t="shared" si="129"/>
        <v/>
      </c>
      <c r="GN10" s="94" t="str">
        <f t="shared" si="130"/>
        <v>I</v>
      </c>
      <c r="GO10" s="94" t="str">
        <f t="shared" si="131"/>
        <v/>
      </c>
      <c r="GP10" s="102" t="str">
        <f t="shared" si="67"/>
        <v/>
      </c>
      <c r="GQ10" s="94" t="str">
        <f t="shared" si="132"/>
        <v>D</v>
      </c>
      <c r="GR10" s="103" t="str">
        <f t="shared" si="133"/>
        <v/>
      </c>
      <c r="GS10" s="102" t="str">
        <f t="shared" si="68"/>
        <v/>
      </c>
      <c r="GT10" s="104" t="str">
        <f t="shared" si="134"/>
        <v>II</v>
      </c>
      <c r="GU10" s="94" t="str">
        <f>IF('Marks Entry'!V10=1,GT10,"")</f>
        <v>II</v>
      </c>
      <c r="GV10" s="94" t="str">
        <f>IF('Marks Entry'!V10=2,GT10,"")</f>
        <v/>
      </c>
      <c r="GW10" s="94" t="str">
        <f>IF('Marks Entry'!V10=3,GT10,"")</f>
        <v/>
      </c>
      <c r="GX10" s="94" t="str">
        <f>IF('Marks Entry'!V10=4,GT10,"")</f>
        <v/>
      </c>
      <c r="GY10" s="94" t="str">
        <f>IF('Marks Entry'!V10=5,GT10,"")</f>
        <v/>
      </c>
      <c r="GZ10" s="94" t="str">
        <f t="shared" si="135"/>
        <v/>
      </c>
      <c r="HA10" s="105" t="str">
        <f t="shared" si="69"/>
        <v/>
      </c>
      <c r="HB10" s="94" t="str">
        <f t="shared" si="136"/>
        <v>G</v>
      </c>
      <c r="HC10" s="94" t="str">
        <f t="shared" si="137"/>
        <v>,+</v>
      </c>
      <c r="HD10" s="105">
        <f t="shared" si="70"/>
        <v>1</v>
      </c>
      <c r="HE10" s="94" t="str">
        <f t="shared" si="138"/>
        <v>II</v>
      </c>
      <c r="HF10" s="94" t="str">
        <f t="shared" si="139"/>
        <v/>
      </c>
      <c r="HG10" s="105" t="str">
        <f t="shared" si="71"/>
        <v/>
      </c>
      <c r="HH10" s="94" t="str">
        <f t="shared" si="140"/>
        <v>II</v>
      </c>
      <c r="HI10" s="94" t="str">
        <f t="shared" si="141"/>
        <v/>
      </c>
      <c r="HJ10" s="105" t="str">
        <f t="shared" si="72"/>
        <v/>
      </c>
      <c r="HK10" s="94" t="str">
        <f t="shared" si="142"/>
        <v/>
      </c>
      <c r="HL10" s="94" t="str">
        <f t="shared" si="143"/>
        <v/>
      </c>
      <c r="HM10" s="105" t="str">
        <f t="shared" si="73"/>
        <v/>
      </c>
      <c r="HN10" s="367" t="str">
        <f t="shared" si="144"/>
        <v xml:space="preserve">      </v>
      </c>
      <c r="HO10" s="418" t="str">
        <f t="shared" si="145"/>
        <v xml:space="preserve">      </v>
      </c>
      <c r="HP10" s="367" t="str">
        <f t="shared" si="146"/>
        <v xml:space="preserve">   गणित   </v>
      </c>
      <c r="HQ10" s="107" t="str">
        <f t="shared" si="147"/>
        <v xml:space="preserve">      </v>
      </c>
      <c r="HR10" s="366" t="str">
        <f t="shared" si="148"/>
        <v xml:space="preserve"> अंग्रेजी     </v>
      </c>
      <c r="HS10" s="544" t="str">
        <f t="shared" si="74"/>
        <v>BY GRACE PASS</v>
      </c>
      <c r="HT10" s="542">
        <f t="shared" si="149"/>
        <v>693</v>
      </c>
      <c r="HU10" s="541">
        <f t="shared" si="160"/>
        <v>57.75</v>
      </c>
      <c r="HV10" s="540" t="str">
        <f t="shared" si="150"/>
        <v>2nd</v>
      </c>
      <c r="HW10" s="537">
        <f t="shared" si="151"/>
        <v>57.75</v>
      </c>
      <c r="HX10" s="539">
        <f t="shared" si="152"/>
        <v>15.000000000000075</v>
      </c>
      <c r="HY10" s="553" t="str">
        <f>IFERROR(IF(OR(HS10="SUPPLEMENTARY",HS10="RE-EXAM"),'Supp. Result Entry'!AQ8,""),"")</f>
        <v/>
      </c>
      <c r="HZ10" s="538" t="str">
        <f t="shared" si="153"/>
        <v/>
      </c>
      <c r="IA10" s="415" t="str">
        <f t="shared" si="154"/>
        <v/>
      </c>
      <c r="IB10" s="415" t="str">
        <f>IF(AND(HZ10="",IA10=""),"",IF(OR(HS10="SUPPLEMENTARY",HS10="RE-EXAM"),'Supp. Result Entry'!AQ8,HS10))</f>
        <v/>
      </c>
      <c r="IC10" s="87"/>
      <c r="IS10" s="109" t="str">
        <f>IF('Supp. Result Entry'!T8="","",'Supp. Result Entry'!$T$4)</f>
        <v/>
      </c>
      <c r="IT10" s="110" t="str">
        <f>IF('Supp. Result Entry'!W8="","",'Supp. Result Entry'!$W$4)</f>
        <v/>
      </c>
      <c r="IU10" s="110" t="str">
        <f>IF('Supp. Result Entry'!Z8="","",'Supp. Result Entry'!$Z$4)</f>
        <v/>
      </c>
      <c r="IV10" s="110" t="str">
        <f>IF('Supp. Result Entry'!AC8="","",'Supp. Result Entry'!$AC$4)</f>
        <v/>
      </c>
      <c r="IW10" s="110" t="str">
        <f>IF('Supp. Result Entry'!AF8="","",'Supp. Result Entry'!$AF$4)</f>
        <v/>
      </c>
      <c r="IX10" s="110" t="str">
        <f>IF('Supp. Result Entry'!AI8="","",'Supp. Result Entry'!$AI$4)</f>
        <v/>
      </c>
      <c r="IY10" s="110" t="str">
        <f>IF('Supp. Result Entry'!AI8="","",'Supp. Result Entry'!$AL$4)</f>
        <v/>
      </c>
      <c r="IZ10" s="110" t="str">
        <f>IF('Supp. Result Entry'!U8="","",'Supp. Result Entry'!U8)</f>
        <v/>
      </c>
      <c r="JA10" s="110" t="str">
        <f>IF('Supp. Result Entry'!X8="","",'Supp. Result Entry'!X8)</f>
        <v/>
      </c>
      <c r="JB10" s="110" t="str">
        <f>IF('Supp. Result Entry'!AA8="","",'Supp. Result Entry'!AA8)</f>
        <v/>
      </c>
      <c r="JC10" s="110" t="str">
        <f>IF('Supp. Result Entry'!AD8="","",'Supp. Result Entry'!AD8)</f>
        <v/>
      </c>
      <c r="JD10" s="110" t="str">
        <f>IF('Supp. Result Entry'!AG8="","",'Supp. Result Entry'!AG8)</f>
        <v/>
      </c>
      <c r="JE10" s="110" t="str">
        <f>IF('Supp. Result Entry'!AJ8="","",'Supp. Result Entry'!AJ8)</f>
        <v/>
      </c>
      <c r="JF10" s="110" t="str">
        <f>IF('Supp. Result Entry'!AM8="","",'Supp. Result Entry'!AM8)</f>
        <v/>
      </c>
      <c r="JG10" s="110" t="str">
        <f>IF('Supp. Result Entry'!V8="","",'Supp. Result Entry'!V8)</f>
        <v/>
      </c>
      <c r="JH10" s="110" t="str">
        <f>IF('Supp. Result Entry'!Y8="","",'Supp. Result Entry'!Y8)</f>
        <v/>
      </c>
      <c r="JI10" s="110" t="str">
        <f>IF('Supp. Result Entry'!AB8="","",'Supp. Result Entry'!AB8)</f>
        <v/>
      </c>
      <c r="JJ10" s="110" t="str">
        <f>IF('Supp. Result Entry'!AE8="","",'Supp. Result Entry'!AE8)</f>
        <v/>
      </c>
      <c r="JK10" s="110" t="str">
        <f>IF('Supp. Result Entry'!AH8="","",'Supp. Result Entry'!AH8)</f>
        <v/>
      </c>
      <c r="JL10" s="110" t="str">
        <f>IF('Supp. Result Entry'!AK8="","",'Supp. Result Entry'!AK8)</f>
        <v/>
      </c>
      <c r="JM10" s="110" t="str">
        <f>IF('Supp. Result Entry'!AN8="","",'Supp. Result Entry'!AN8)</f>
        <v/>
      </c>
      <c r="JN10" s="110">
        <f>COUNTIF('Supp. Result Entry'!K8:Q8,"S")</f>
        <v>0</v>
      </c>
      <c r="JO10" s="110">
        <f t="shared" si="155"/>
        <v>0</v>
      </c>
      <c r="JP10" s="110">
        <f t="shared" si="156"/>
        <v>0</v>
      </c>
      <c r="JQ10" s="110" t="str">
        <f t="shared" si="75"/>
        <v/>
      </c>
      <c r="JR10" s="110" t="str">
        <f t="shared" si="76"/>
        <v/>
      </c>
      <c r="JS10" s="110" t="str">
        <f t="shared" si="77"/>
        <v/>
      </c>
      <c r="JT10" s="110" t="str">
        <f t="shared" si="78"/>
        <v/>
      </c>
      <c r="JU10" s="110" t="str">
        <f t="shared" si="79"/>
        <v/>
      </c>
      <c r="JV10" s="110" t="str">
        <f t="shared" si="80"/>
        <v/>
      </c>
      <c r="JW10" s="110" t="str">
        <f t="shared" si="81"/>
        <v/>
      </c>
      <c r="JX10" s="110" t="str">
        <f t="shared" si="157"/>
        <v/>
      </c>
      <c r="JY10" s="110" t="str">
        <f t="shared" si="158"/>
        <v/>
      </c>
      <c r="JZ10" s="110" t="str">
        <f t="shared" si="82"/>
        <v/>
      </c>
      <c r="KA10" s="108" t="str">
        <f t="shared" si="159"/>
        <v/>
      </c>
    </row>
    <row r="11" spans="1:287" s="108" customFormat="1" ht="21.95" customHeight="1">
      <c r="A11" s="89">
        <v>5</v>
      </c>
      <c r="B11" s="90">
        <f>IF('Marks Entry'!B11="","",'Marks Entry'!B11)</f>
        <v>905</v>
      </c>
      <c r="C11" s="94" t="str">
        <f>IF('Marks Entry'!D11="","",'Marks Entry'!D11)</f>
        <v>A</v>
      </c>
      <c r="D11" s="91" t="str">
        <f>IF('Marks Entry'!E11="","",'Marks Entry'!E11)</f>
        <v/>
      </c>
      <c r="E11" s="92">
        <f>IF('Marks Entry'!F11="","",'Marks Entry'!F11)</f>
        <v>41525</v>
      </c>
      <c r="F11" s="93" t="str">
        <f>IF('Marks Entry'!G11="","",'Marks Entry'!G11)</f>
        <v>SHYAM</v>
      </c>
      <c r="G11" s="93" t="str">
        <f>IF('Marks Entry'!H11="","",'Marks Entry'!H11)</f>
        <v/>
      </c>
      <c r="H11" s="93" t="str">
        <f>IF('Marks Entry'!I11="","",'Marks Entry'!I11)</f>
        <v/>
      </c>
      <c r="I11" s="94" t="str">
        <f>IF('Marks Entry'!J11="","",'Marks Entry'!J11)</f>
        <v>SC</v>
      </c>
      <c r="J11" s="95" t="str">
        <f>IF('Marks Entry'!K11="","",'Marks Entry'!K11)</f>
        <v>M</v>
      </c>
      <c r="K11" s="68">
        <f>IF('Marks Entry'!L11="","",'Marks Entry'!L11)</f>
        <v>8</v>
      </c>
      <c r="L11" s="68">
        <f>IF('Marks Entry'!M11="","",'Marks Entry'!M11)</f>
        <v>9</v>
      </c>
      <c r="M11" s="68">
        <f>IF('Marks Entry'!N11="","",'Marks Entry'!N11)</f>
        <v>8</v>
      </c>
      <c r="N11" s="514">
        <f t="shared" si="83"/>
        <v>25</v>
      </c>
      <c r="O11" s="68">
        <f>IF('Marks Entry'!O11="","",'Marks Entry'!O11)</f>
        <v>46</v>
      </c>
      <c r="P11" s="515">
        <f t="shared" si="84"/>
        <v>71</v>
      </c>
      <c r="Q11" s="68">
        <f>IF('Marks Entry'!P11="","",'Marks Entry'!P11)</f>
        <v>65</v>
      </c>
      <c r="R11" s="96">
        <f t="shared" si="85"/>
        <v>136</v>
      </c>
      <c r="S11" s="65">
        <f t="shared" si="86"/>
        <v>0</v>
      </c>
      <c r="T11" s="65">
        <f t="shared" si="87"/>
        <v>0</v>
      </c>
      <c r="U11" s="66">
        <f t="shared" si="88"/>
        <v>200</v>
      </c>
      <c r="V11" s="65" t="str">
        <f t="shared" si="89"/>
        <v/>
      </c>
      <c r="W11" s="65" t="str">
        <f t="shared" si="90"/>
        <v>P</v>
      </c>
      <c r="X11" s="65" t="str">
        <f t="shared" si="91"/>
        <v>I</v>
      </c>
      <c r="Y11" s="68">
        <f>IF('Marks Entry'!Q11="","",'Marks Entry'!Q11)</f>
        <v>8</v>
      </c>
      <c r="Z11" s="68">
        <f>IF('Marks Entry'!R11="","",'Marks Entry'!R11)</f>
        <v>9</v>
      </c>
      <c r="AA11" s="68">
        <f>IF('Marks Entry'!S11="","",'Marks Entry'!S11)</f>
        <v>10</v>
      </c>
      <c r="AB11" s="514">
        <f t="shared" si="2"/>
        <v>27</v>
      </c>
      <c r="AC11" s="68">
        <f>IF('Marks Entry'!T11="","",'Marks Entry'!T11)</f>
        <v>61</v>
      </c>
      <c r="AD11" s="515">
        <f t="shared" si="3"/>
        <v>88</v>
      </c>
      <c r="AE11" s="68">
        <f>IF('Marks Entry'!U11="","",'Marks Entry'!U11)</f>
        <v>45</v>
      </c>
      <c r="AF11" s="96">
        <f t="shared" si="4"/>
        <v>133</v>
      </c>
      <c r="AG11" s="65">
        <f t="shared" si="5"/>
        <v>0</v>
      </c>
      <c r="AH11" s="65">
        <f t="shared" si="6"/>
        <v>0</v>
      </c>
      <c r="AI11" s="66">
        <f t="shared" si="7"/>
        <v>200</v>
      </c>
      <c r="AJ11" s="65" t="str">
        <f t="shared" si="8"/>
        <v/>
      </c>
      <c r="AK11" s="65" t="str">
        <f t="shared" si="9"/>
        <v>P</v>
      </c>
      <c r="AL11" s="65" t="str">
        <f t="shared" si="10"/>
        <v>I</v>
      </c>
      <c r="AM11" s="524" t="str">
        <f>IF('Marks Entry'!V11="","",IF('Marks Entry'!V11=1,'School Profile'!$I$9,IF('Marks Entry'!V11=2,'School Profile'!$I$10,IF('Marks Entry'!V11=3,'School Profile'!$I$11,IF('Marks Entry'!V11=4,'School Profile'!$I$12,IF('Marks Entry'!V11=5,'School Profile'!$I$13,IF('Marks Entry'!V11=6,'School Profile'!$I$14,"")))))))</f>
        <v xml:space="preserve">उर्दू (72) </v>
      </c>
      <c r="AN11" s="68">
        <f>IF('Marks Entry'!W11="","",'Marks Entry'!W11)</f>
        <v>8</v>
      </c>
      <c r="AO11" s="68">
        <f>IF('Marks Entry'!X11="","",'Marks Entry'!X11)</f>
        <v>9</v>
      </c>
      <c r="AP11" s="68">
        <f>IF('Marks Entry'!Y11="","",'Marks Entry'!Y11)</f>
        <v>8</v>
      </c>
      <c r="AQ11" s="514">
        <f t="shared" si="11"/>
        <v>25</v>
      </c>
      <c r="AR11" s="68">
        <f>IF('Marks Entry'!Z11="","",'Marks Entry'!Z11)</f>
        <v>46</v>
      </c>
      <c r="AS11" s="515">
        <f t="shared" si="12"/>
        <v>71</v>
      </c>
      <c r="AT11" s="68">
        <f>IF('Marks Entry'!AA11="","",'Marks Entry'!AA11)</f>
        <v>45</v>
      </c>
      <c r="AU11" s="96">
        <f t="shared" si="13"/>
        <v>116</v>
      </c>
      <c r="AV11" s="65">
        <f t="shared" si="14"/>
        <v>0</v>
      </c>
      <c r="AW11" s="65">
        <f t="shared" si="15"/>
        <v>0</v>
      </c>
      <c r="AX11" s="66">
        <f t="shared" si="16"/>
        <v>200</v>
      </c>
      <c r="AY11" s="65" t="str">
        <f t="shared" si="17"/>
        <v/>
      </c>
      <c r="AZ11" s="65" t="str">
        <f t="shared" si="18"/>
        <v>P</v>
      </c>
      <c r="BA11" s="65" t="str">
        <f t="shared" si="19"/>
        <v>II</v>
      </c>
      <c r="BB11" s="68">
        <f>IF('Marks Entry'!AB11="","",'Marks Entry'!AB11)</f>
        <v>8</v>
      </c>
      <c r="BC11" s="68">
        <f>IF('Marks Entry'!AC11="","",'Marks Entry'!AC11)</f>
        <v>9</v>
      </c>
      <c r="BD11" s="68">
        <f>IF('Marks Entry'!AD11="","",'Marks Entry'!AD11)</f>
        <v>9</v>
      </c>
      <c r="BE11" s="514">
        <f t="shared" si="20"/>
        <v>26</v>
      </c>
      <c r="BF11" s="68">
        <f>IF('Marks Entry'!AE11="","",'Marks Entry'!AE11)</f>
        <v>46</v>
      </c>
      <c r="BG11" s="515">
        <f t="shared" si="21"/>
        <v>72</v>
      </c>
      <c r="BH11" s="68">
        <f>IF('Marks Entry'!AF11="","",'Marks Entry'!AF11)</f>
        <v>45</v>
      </c>
      <c r="BI11" s="96">
        <f t="shared" si="22"/>
        <v>117</v>
      </c>
      <c r="BJ11" s="65">
        <f t="shared" si="23"/>
        <v>0</v>
      </c>
      <c r="BK11" s="65">
        <f t="shared" si="92"/>
        <v>0</v>
      </c>
      <c r="BL11" s="66">
        <f t="shared" si="24"/>
        <v>200</v>
      </c>
      <c r="BM11" s="65" t="str">
        <f t="shared" si="25"/>
        <v/>
      </c>
      <c r="BN11" s="65" t="str">
        <f t="shared" si="26"/>
        <v>P</v>
      </c>
      <c r="BO11" s="65" t="str">
        <f t="shared" si="27"/>
        <v>II</v>
      </c>
      <c r="BP11" s="68">
        <f>IF('Marks Entry'!AG11="","",'Marks Entry'!AG11)</f>
        <v>8</v>
      </c>
      <c r="BQ11" s="68">
        <f>IF('Marks Entry'!AH11="","",'Marks Entry'!AH11)</f>
        <v>9</v>
      </c>
      <c r="BR11" s="68">
        <f>IF('Marks Entry'!AI11="","",'Marks Entry'!AI11)</f>
        <v>10</v>
      </c>
      <c r="BS11" s="514">
        <f t="shared" si="28"/>
        <v>27</v>
      </c>
      <c r="BT11" s="68">
        <f>IF('Marks Entry'!AJ11="","",'Marks Entry'!AJ11)</f>
        <v>46</v>
      </c>
      <c r="BU11" s="515">
        <f t="shared" si="29"/>
        <v>73</v>
      </c>
      <c r="BV11" s="68">
        <f>IF('Marks Entry'!AK11="","",'Marks Entry'!AK11)</f>
        <v>45</v>
      </c>
      <c r="BW11" s="96">
        <f t="shared" si="30"/>
        <v>118</v>
      </c>
      <c r="BX11" s="65">
        <f t="shared" si="31"/>
        <v>0</v>
      </c>
      <c r="BY11" s="65">
        <f t="shared" si="32"/>
        <v>0</v>
      </c>
      <c r="BZ11" s="66">
        <f t="shared" si="33"/>
        <v>200</v>
      </c>
      <c r="CA11" s="65" t="str">
        <f t="shared" si="34"/>
        <v/>
      </c>
      <c r="CB11" s="65" t="str">
        <f>IF(OR($B11="NSO",$B11="",BV11=""),"",IF(OR(CA11="AB",BV11="ab"),"AB",IF(BV11="ML","RE",IF(BV11&lt;20%*$BV$6,"F",IF(AND(BW11&gt;=36%*BZ11,BV11&gt;=20),"P",IF(AND(BW11&gt;=34%*BZ11,BY11=0,BV11&gt;=20),"G2",IF(AND(BW11&gt;=31%*BZ11,BY11=0,BV11&gt;=20),"G1",IF(BW11&gt;=25%*BZ11,"S","F"))))))))</f>
        <v>P</v>
      </c>
      <c r="CC11" s="65" t="str">
        <f t="shared" si="36"/>
        <v>II</v>
      </c>
      <c r="CD11" s="66">
        <f t="shared" si="93"/>
        <v>0</v>
      </c>
      <c r="CE11" s="68">
        <f>IF('Marks Entry'!AL11="","",'Marks Entry'!AL11)</f>
        <v>6</v>
      </c>
      <c r="CF11" s="68">
        <f>IF('Marks Entry'!AM11="","",'Marks Entry'!AM11)</f>
        <v>6</v>
      </c>
      <c r="CG11" s="68">
        <f>IF('Marks Entry'!AN11="","",'Marks Entry'!AN11)</f>
        <v>6</v>
      </c>
      <c r="CH11" s="514">
        <f t="shared" si="37"/>
        <v>18</v>
      </c>
      <c r="CI11" s="68">
        <f>IF('Marks Entry'!AO11="","",'Marks Entry'!AO11)</f>
        <v>46</v>
      </c>
      <c r="CJ11" s="515">
        <f t="shared" si="38"/>
        <v>64</v>
      </c>
      <c r="CK11" s="68">
        <f>IF('Marks Entry'!AP11="","",'Marks Entry'!AP11)</f>
        <v>45</v>
      </c>
      <c r="CL11" s="96">
        <f t="shared" si="39"/>
        <v>109</v>
      </c>
      <c r="CM11" s="65">
        <f t="shared" si="40"/>
        <v>0</v>
      </c>
      <c r="CN11" s="65">
        <f t="shared" si="41"/>
        <v>0</v>
      </c>
      <c r="CO11" s="66">
        <f t="shared" si="42"/>
        <v>200</v>
      </c>
      <c r="CP11" s="65" t="str">
        <f t="shared" si="43"/>
        <v/>
      </c>
      <c r="CQ11" s="65" t="str">
        <f>IF(OR($B11="NSO",$B11="",CK11=""),"",IF(OR(CP11="AB",CK11="ab"),"AB",IF(CK11="ML","RE",IF(CK11&lt;20%*$CK$6,"F",IF(AND(CL11&gt;=36%*CO11,CK11&gt;=20),"P",IF(AND(CL11&gt;=34%*CO11,CN11=0,CK11&gt;=20),"G2",IF(AND(CL11&gt;=31%*CO11,CN11=0,CK11&gt;=20),"G1",IF(CL11&gt;=25%*CO11,"S","F"))))))))</f>
        <v>P</v>
      </c>
      <c r="CR11" s="65" t="str">
        <f t="shared" si="45"/>
        <v>II</v>
      </c>
      <c r="CS11" s="616"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8" t="str">
        <f>IF('School Profile'!$D$20="NO","",IF('Marks Entry'!AR11="","",'Marks Entry'!AR11))</f>
        <v/>
      </c>
      <c r="CU11" s="68" t="str">
        <f>IF('School Profile'!$D$20="NO","",IF('Marks Entry'!AS11="","",'Marks Entry'!AS11))</f>
        <v/>
      </c>
      <c r="CV11" s="68" t="str">
        <f>IF('School Profile'!$D$20="NO","",IF('Marks Entry'!AT11="","",'Marks Entry'!AT11))</f>
        <v/>
      </c>
      <c r="CW11" s="514" t="str">
        <f>IF('School Profile'!$D$20="NO","",IF(AND(CT11="",CU11="",CV11=""),"",SUM(CT11:CV11)))</f>
        <v/>
      </c>
      <c r="CX11" s="68" t="str">
        <f>IF('School Profile'!$D$20="NO","",IF('Marks Entry'!AU11="","",'Marks Entry'!AU11))</f>
        <v/>
      </c>
      <c r="CY11" s="68" t="str">
        <f>IF('School Profile'!$D$20="NO","",IF('Marks Entry'!AV11="","",'Marks Entry'!AV11))</f>
        <v/>
      </c>
      <c r="CZ11" s="515" t="str">
        <f>IF('School Profile'!$D$20="NO","",IF(AND(CX11="",CY11=""),"",SUM(CX11,CY11)))</f>
        <v/>
      </c>
      <c r="DA11" s="69" t="str">
        <f>IF('School Profile'!$D$20="NO","",IF(AND(CW11="",CZ11=""),"",SUM(CW11+CZ11)))</f>
        <v/>
      </c>
      <c r="DB11" s="68" t="str">
        <f>IF('School Profile'!$D$20="NO","",IF('Marks Entry'!AW11="","",'Marks Entry'!AW11))</f>
        <v/>
      </c>
      <c r="DC11" s="68" t="str">
        <f>IF('School Profile'!$D$20="NO","",IF('Marks Entry'!AX11="","",'Marks Entry'!AX11))</f>
        <v/>
      </c>
      <c r="DD11" s="515" t="str">
        <f>IF('School Profile'!$D$20="NO","",IF(AND(DB11="",DC11=""),"",SUM(DB11,DC11)))</f>
        <v/>
      </c>
      <c r="DE11" s="96" t="str">
        <f>IF('School Profile'!$D$20="NO","",IF(AND(DA11="",DD11=""),"",SUM(DA11,DD11)))</f>
        <v/>
      </c>
      <c r="DF11" s="532">
        <f t="shared" si="46"/>
        <v>0</v>
      </c>
      <c r="DG11" s="65">
        <f t="shared" si="47"/>
        <v>0</v>
      </c>
      <c r="DH11" s="66" t="str">
        <f t="shared" si="48"/>
        <v/>
      </c>
      <c r="DI11" s="65" t="str">
        <f t="shared" si="49"/>
        <v/>
      </c>
      <c r="DJ11" s="65" t="str">
        <f t="shared" si="50"/>
        <v/>
      </c>
      <c r="DK11" s="65" t="str">
        <f t="shared" si="51"/>
        <v/>
      </c>
      <c r="DL11" s="97" t="str">
        <f t="shared" si="94"/>
        <v>I</v>
      </c>
      <c r="DM11" s="97" t="str">
        <f t="shared" si="95"/>
        <v>I</v>
      </c>
      <c r="DN11" s="97" t="str">
        <f t="shared" si="96"/>
        <v>II</v>
      </c>
      <c r="DO11" s="97" t="str">
        <f t="shared" si="97"/>
        <v>II</v>
      </c>
      <c r="DP11" s="97" t="str">
        <f t="shared" si="98"/>
        <v>II</v>
      </c>
      <c r="DQ11" s="97" t="str">
        <f t="shared" si="99"/>
        <v>II</v>
      </c>
      <c r="DR11" s="97" t="str">
        <f t="shared" si="100"/>
        <v/>
      </c>
      <c r="DS11" s="98">
        <f t="shared" si="101"/>
        <v>0</v>
      </c>
      <c r="DT11" s="98">
        <f t="shared" si="102"/>
        <v>0</v>
      </c>
      <c r="DU11" s="98">
        <f t="shared" si="103"/>
        <v>0</v>
      </c>
      <c r="DV11" s="98">
        <f t="shared" si="104"/>
        <v>0</v>
      </c>
      <c r="DW11" s="98">
        <f t="shared" si="105"/>
        <v>0</v>
      </c>
      <c r="DX11" s="98" t="str">
        <f t="shared" si="106"/>
        <v/>
      </c>
      <c r="DY11" s="99" t="str">
        <f t="shared" si="107"/>
        <v>PASS</v>
      </c>
      <c r="DZ11" s="74">
        <f>IF('Marks Entry'!AY11="","",'Marks Entry'!AY11)</f>
        <v>9</v>
      </c>
      <c r="EA11" s="74">
        <f>IF('Marks Entry'!AZ11="","",'Marks Entry'!AZ11)</f>
        <v>9</v>
      </c>
      <c r="EB11" s="74">
        <f>IF('Marks Entry'!BA11="","",'Marks Entry'!BA11)</f>
        <v>9</v>
      </c>
      <c r="EC11" s="527">
        <f t="shared" si="52"/>
        <v>27</v>
      </c>
      <c r="ED11" s="74">
        <f>IF('Marks Entry'!BB11="","",'Marks Entry'!BB11)</f>
        <v>66</v>
      </c>
      <c r="EE11" s="528">
        <f t="shared" si="53"/>
        <v>93</v>
      </c>
      <c r="EF11" s="74">
        <f>IF('Marks Entry'!BC11="","",'Marks Entry'!BC11)</f>
        <v>91</v>
      </c>
      <c r="EG11" s="530">
        <f t="shared" si="54"/>
        <v>184</v>
      </c>
      <c r="EH11" s="368" t="str">
        <f t="shared" si="108"/>
        <v>A</v>
      </c>
      <c r="EI11" s="65">
        <f t="shared" si="109"/>
        <v>0</v>
      </c>
      <c r="EJ11" s="65">
        <f t="shared" si="110"/>
        <v>0</v>
      </c>
      <c r="EK11" s="66">
        <f t="shared" si="111"/>
        <v>200</v>
      </c>
      <c r="EL11" s="74">
        <f>IF('Marks Entry'!BD11="","",'Marks Entry'!BD11)</f>
        <v>8</v>
      </c>
      <c r="EM11" s="74">
        <f>IF('Marks Entry'!BE11="","",'Marks Entry'!BE11)</f>
        <v>8</v>
      </c>
      <c r="EN11" s="74">
        <f>IF('Marks Entry'!BF11="","",'Marks Entry'!BF11)</f>
        <v>8</v>
      </c>
      <c r="EO11" s="527">
        <f t="shared" si="55"/>
        <v>24</v>
      </c>
      <c r="EP11" s="74">
        <f>IF('Marks Entry'!BG11="","",'Marks Entry'!BG11)</f>
        <v>49</v>
      </c>
      <c r="EQ11" s="74">
        <f>IF('Marks Entry'!BH11="","",'Marks Entry'!BH11)</f>
        <v>14</v>
      </c>
      <c r="ER11" s="528">
        <f t="shared" si="56"/>
        <v>63</v>
      </c>
      <c r="ES11" s="529">
        <f t="shared" si="57"/>
        <v>87</v>
      </c>
      <c r="ET11" s="74">
        <f>IF('Marks Entry'!BI11="","",'Marks Entry'!BI11)</f>
        <v>63</v>
      </c>
      <c r="EU11" s="74">
        <f>IF('Marks Entry'!BJ11="","",'Marks Entry'!BJ11)</f>
        <v>27</v>
      </c>
      <c r="EV11" s="528">
        <f t="shared" si="58"/>
        <v>90</v>
      </c>
      <c r="EW11" s="530">
        <f t="shared" si="59"/>
        <v>177</v>
      </c>
      <c r="EX11" s="368" t="str">
        <f t="shared" si="112"/>
        <v>A</v>
      </c>
      <c r="EY11" s="65">
        <f t="shared" si="113"/>
        <v>0</v>
      </c>
      <c r="EZ11" s="65">
        <f t="shared" si="114"/>
        <v>0</v>
      </c>
      <c r="FA11" s="66">
        <f t="shared" si="115"/>
        <v>200</v>
      </c>
      <c r="FB11" s="74">
        <f>IF('Marks Entry'!BK11="","",'Marks Entry'!BK11)</f>
        <v>9</v>
      </c>
      <c r="FC11" s="74">
        <f>IF('Marks Entry'!BL11="","",'Marks Entry'!BL11)</f>
        <v>7</v>
      </c>
      <c r="FD11" s="74">
        <f>IF('Marks Entry'!BM11="","",'Marks Entry'!BM11)</f>
        <v>9</v>
      </c>
      <c r="FE11" s="74">
        <f>IF('Marks Entry'!BN11="","",'Marks Entry'!BN11)</f>
        <v>6</v>
      </c>
      <c r="FF11" s="74">
        <f>IF('Marks Entry'!BO11="","",'Marks Entry'!BO11)</f>
        <v>9</v>
      </c>
      <c r="FG11" s="74">
        <f>IF('Marks Entry'!BP11="","",'Marks Entry'!BP11)</f>
        <v>14</v>
      </c>
      <c r="FH11" s="527">
        <f t="shared" si="60"/>
        <v>54</v>
      </c>
      <c r="FI11" s="74">
        <f>IF('Marks Entry'!BQ11="","",'Marks Entry'!BQ11)</f>
        <v>21</v>
      </c>
      <c r="FJ11" s="74">
        <f>IF('Marks Entry'!BR11="","",'Marks Entry'!BR11)</f>
        <v>14</v>
      </c>
      <c r="FK11" s="528">
        <f t="shared" si="61"/>
        <v>35</v>
      </c>
      <c r="FL11" s="529">
        <f t="shared" si="62"/>
        <v>89</v>
      </c>
      <c r="FM11" s="74">
        <f>IF('Marks Entry'!BS11="","",'Marks Entry'!BS11)</f>
        <v>26</v>
      </c>
      <c r="FN11" s="74">
        <f>IF('Marks Entry'!BT11="","",'Marks Entry'!BT11)</f>
        <v>58</v>
      </c>
      <c r="FO11" s="528">
        <f t="shared" si="63"/>
        <v>84</v>
      </c>
      <c r="FP11" s="530">
        <f t="shared" si="64"/>
        <v>173</v>
      </c>
      <c r="FQ11" s="368" t="str">
        <f t="shared" si="116"/>
        <v>A</v>
      </c>
      <c r="FR11" s="65">
        <f t="shared" si="117"/>
        <v>0</v>
      </c>
      <c r="FS11" s="65">
        <f t="shared" si="118"/>
        <v>0</v>
      </c>
      <c r="FT11" s="66">
        <f t="shared" si="119"/>
        <v>200</v>
      </c>
      <c r="FU11" s="74">
        <f>IF('Marks Entry'!BU11="","",'Marks Entry'!BU11)</f>
        <v>21</v>
      </c>
      <c r="FV11" s="74">
        <f>IF('Marks Entry'!BV11="","",'Marks Entry'!BV11)</f>
        <v>41</v>
      </c>
      <c r="FW11" s="74">
        <f>IF('Marks Entry'!BW11="","",'Marks Entry'!BW11)</f>
        <v>25</v>
      </c>
      <c r="FX11" s="75">
        <f t="shared" si="65"/>
        <v>87</v>
      </c>
      <c r="FY11" s="368" t="str">
        <f t="shared" si="120"/>
        <v>A</v>
      </c>
      <c r="FZ11" s="65">
        <f t="shared" si="121"/>
        <v>0</v>
      </c>
      <c r="GA11" s="66">
        <f t="shared" si="122"/>
        <v>0</v>
      </c>
      <c r="GB11" s="66">
        <f t="shared" si="123"/>
        <v>100</v>
      </c>
      <c r="GC11" s="74">
        <f>IF('Marks Entry'!BX11="","",'Marks Entry'!BX11)</f>
        <v>24</v>
      </c>
      <c r="GD11" s="74">
        <f>IF('Marks Entry'!BY11="","",'Marks Entry'!BY11)</f>
        <v>56</v>
      </c>
      <c r="GE11" s="74">
        <f>IF('Marks Entry'!BZ11="","",'Marks Entry'!BZ11)</f>
        <v>11</v>
      </c>
      <c r="GF11" s="75">
        <f t="shared" si="124"/>
        <v>91</v>
      </c>
      <c r="GG11" s="368" t="str">
        <f t="shared" si="125"/>
        <v>A</v>
      </c>
      <c r="GH11" s="65">
        <f t="shared" si="126"/>
        <v>0</v>
      </c>
      <c r="GI11" s="66">
        <f t="shared" si="127"/>
        <v>0</v>
      </c>
      <c r="GJ11" s="66">
        <f t="shared" si="128"/>
        <v>100</v>
      </c>
      <c r="GK11" s="100" t="str">
        <f>IF(AND(F11="",B11=""),"",IF('Student DATA Entry'!M8="","",'Student DATA Entry'!M8))</f>
        <v/>
      </c>
      <c r="GL11" s="101" t="str">
        <f>IF(AND(B11="",F11=""),"",IF('Student DATA Entry'!N8="","",'Student DATA Entry'!N8))</f>
        <v/>
      </c>
      <c r="GM11" s="581" t="str">
        <f t="shared" si="129"/>
        <v/>
      </c>
      <c r="GN11" s="94" t="str">
        <f t="shared" si="130"/>
        <v>I</v>
      </c>
      <c r="GO11" s="94" t="str">
        <f t="shared" si="131"/>
        <v/>
      </c>
      <c r="GP11" s="102" t="str">
        <f t="shared" si="67"/>
        <v/>
      </c>
      <c r="GQ11" s="94" t="str">
        <f t="shared" si="132"/>
        <v>I</v>
      </c>
      <c r="GR11" s="103" t="str">
        <f t="shared" si="133"/>
        <v/>
      </c>
      <c r="GS11" s="102" t="str">
        <f t="shared" si="68"/>
        <v/>
      </c>
      <c r="GT11" s="104" t="str">
        <f t="shared" si="134"/>
        <v>II</v>
      </c>
      <c r="GU11" s="94" t="str">
        <f>IF('Marks Entry'!V11=1,GT11,"")</f>
        <v/>
      </c>
      <c r="GV11" s="94" t="str">
        <f>IF('Marks Entry'!V11=2,GT11,"")</f>
        <v>II</v>
      </c>
      <c r="GW11" s="94" t="str">
        <f>IF('Marks Entry'!V11=3,GT11,"")</f>
        <v/>
      </c>
      <c r="GX11" s="94" t="str">
        <f>IF('Marks Entry'!V11=4,GT11,"")</f>
        <v/>
      </c>
      <c r="GY11" s="94" t="str">
        <f>IF('Marks Entry'!V11=5,GT11,"")</f>
        <v/>
      </c>
      <c r="GZ11" s="94" t="str">
        <f t="shared" si="135"/>
        <v/>
      </c>
      <c r="HA11" s="105" t="str">
        <f t="shared" si="69"/>
        <v/>
      </c>
      <c r="HB11" s="94" t="str">
        <f t="shared" si="136"/>
        <v>II</v>
      </c>
      <c r="HC11" s="94" t="str">
        <f t="shared" si="137"/>
        <v/>
      </c>
      <c r="HD11" s="105" t="str">
        <f t="shared" si="70"/>
        <v/>
      </c>
      <c r="HE11" s="94" t="str">
        <f t="shared" si="138"/>
        <v>II</v>
      </c>
      <c r="HF11" s="94" t="str">
        <f t="shared" si="139"/>
        <v/>
      </c>
      <c r="HG11" s="105" t="str">
        <f t="shared" si="71"/>
        <v/>
      </c>
      <c r="HH11" s="94" t="str">
        <f t="shared" si="140"/>
        <v>II</v>
      </c>
      <c r="HI11" s="94" t="str">
        <f t="shared" si="141"/>
        <v/>
      </c>
      <c r="HJ11" s="105" t="str">
        <f t="shared" si="72"/>
        <v/>
      </c>
      <c r="HK11" s="94" t="str">
        <f t="shared" si="142"/>
        <v/>
      </c>
      <c r="HL11" s="94" t="str">
        <f t="shared" si="143"/>
        <v/>
      </c>
      <c r="HM11" s="105" t="str">
        <f t="shared" si="73"/>
        <v/>
      </c>
      <c r="HN11" s="367" t="str">
        <f t="shared" si="144"/>
        <v xml:space="preserve">      </v>
      </c>
      <c r="HO11" s="418" t="str">
        <f t="shared" si="145"/>
        <v xml:space="preserve">      </v>
      </c>
      <c r="HP11" s="367" t="str">
        <f t="shared" si="146"/>
        <v xml:space="preserve">      </v>
      </c>
      <c r="HQ11" s="107" t="str">
        <f t="shared" si="147"/>
        <v xml:space="preserve">      </v>
      </c>
      <c r="HR11" s="366" t="str">
        <f t="shared" si="148"/>
        <v xml:space="preserve">      </v>
      </c>
      <c r="HS11" s="544" t="str">
        <f t="shared" si="74"/>
        <v>PASS</v>
      </c>
      <c r="HT11" s="542">
        <f t="shared" si="149"/>
        <v>729</v>
      </c>
      <c r="HU11" s="541">
        <f t="shared" si="160"/>
        <v>60.75</v>
      </c>
      <c r="HV11" s="540" t="str">
        <f t="shared" si="150"/>
        <v>1st</v>
      </c>
      <c r="HW11" s="537">
        <f t="shared" si="151"/>
        <v>60.75</v>
      </c>
      <c r="HX11" s="539">
        <f t="shared" si="152"/>
        <v>11.000000000000082</v>
      </c>
      <c r="HY11" s="553" t="str">
        <f>IFERROR(IF(OR(HS11="SUPPLEMENTARY",HS11="RE-EXAM"),'Supp. Result Entry'!AQ9,""),"")</f>
        <v/>
      </c>
      <c r="HZ11" s="538" t="str">
        <f t="shared" si="153"/>
        <v/>
      </c>
      <c r="IA11" s="415" t="str">
        <f t="shared" si="154"/>
        <v/>
      </c>
      <c r="IB11" s="415" t="str">
        <f>IF(AND(HZ11="",IA11=""),"",IF(OR(HS11="SUPPLEMENTARY",HS11="RE-EXAM"),'Supp. Result Entry'!AQ9,HS11))</f>
        <v/>
      </c>
      <c r="IC11" s="87"/>
      <c r="IS11" s="109" t="str">
        <f>IF('Supp. Result Entry'!T9="","",'Supp. Result Entry'!$T$4)</f>
        <v/>
      </c>
      <c r="IT11" s="110" t="str">
        <f>IF('Supp. Result Entry'!W9="","",'Supp. Result Entry'!$W$4)</f>
        <v/>
      </c>
      <c r="IU11" s="110" t="str">
        <f>IF('Supp. Result Entry'!Z9="","",'Supp. Result Entry'!$Z$4)</f>
        <v/>
      </c>
      <c r="IV11" s="110" t="str">
        <f>IF('Supp. Result Entry'!AC9="","",'Supp. Result Entry'!$AC$4)</f>
        <v/>
      </c>
      <c r="IW11" s="110" t="str">
        <f>IF('Supp. Result Entry'!AF9="","",'Supp. Result Entry'!$AF$4)</f>
        <v/>
      </c>
      <c r="IX11" s="110" t="str">
        <f>IF('Supp. Result Entry'!AI9="","",'Supp. Result Entry'!$AI$4)</f>
        <v/>
      </c>
      <c r="IY11" s="110" t="str">
        <f>IF('Supp. Result Entry'!AI9="","",'Supp. Result Entry'!$AL$4)</f>
        <v/>
      </c>
      <c r="IZ11" s="110" t="str">
        <f>IF('Supp. Result Entry'!U9="","",'Supp. Result Entry'!U9)</f>
        <v/>
      </c>
      <c r="JA11" s="110" t="str">
        <f>IF('Supp. Result Entry'!X9="","",'Supp. Result Entry'!X9)</f>
        <v/>
      </c>
      <c r="JB11" s="110" t="str">
        <f>IF('Supp. Result Entry'!AA9="","",'Supp. Result Entry'!AA9)</f>
        <v/>
      </c>
      <c r="JC11" s="110" t="str">
        <f>IF('Supp. Result Entry'!AD9="","",'Supp. Result Entry'!AD9)</f>
        <v/>
      </c>
      <c r="JD11" s="110" t="str">
        <f>IF('Supp. Result Entry'!AG9="","",'Supp. Result Entry'!AG9)</f>
        <v/>
      </c>
      <c r="JE11" s="110" t="str">
        <f>IF('Supp. Result Entry'!AJ9="","",'Supp. Result Entry'!AJ9)</f>
        <v/>
      </c>
      <c r="JF11" s="110" t="str">
        <f>IF('Supp. Result Entry'!AM9="","",'Supp. Result Entry'!AM9)</f>
        <v/>
      </c>
      <c r="JG11" s="110" t="str">
        <f>IF('Supp. Result Entry'!V9="","",'Supp. Result Entry'!V9)</f>
        <v/>
      </c>
      <c r="JH11" s="110" t="str">
        <f>IF('Supp. Result Entry'!Y9="","",'Supp. Result Entry'!Y9)</f>
        <v/>
      </c>
      <c r="JI11" s="110" t="str">
        <f>IF('Supp. Result Entry'!AB9="","",'Supp. Result Entry'!AB9)</f>
        <v/>
      </c>
      <c r="JJ11" s="110" t="str">
        <f>IF('Supp. Result Entry'!AE9="","",'Supp. Result Entry'!AE9)</f>
        <v/>
      </c>
      <c r="JK11" s="110" t="str">
        <f>IF('Supp. Result Entry'!AH9="","",'Supp. Result Entry'!AH9)</f>
        <v/>
      </c>
      <c r="JL11" s="110" t="str">
        <f>IF('Supp. Result Entry'!AK9="","",'Supp. Result Entry'!AK9)</f>
        <v/>
      </c>
      <c r="JM11" s="110" t="str">
        <f>IF('Supp. Result Entry'!AN9="","",'Supp. Result Entry'!AN9)</f>
        <v/>
      </c>
      <c r="JN11" s="110">
        <f>COUNTIF('Supp. Result Entry'!K9:Q9,"S")</f>
        <v>0</v>
      </c>
      <c r="JO11" s="110">
        <f t="shared" si="155"/>
        <v>0</v>
      </c>
      <c r="JP11" s="110">
        <f t="shared" si="156"/>
        <v>0</v>
      </c>
      <c r="JQ11" s="110" t="str">
        <f t="shared" si="75"/>
        <v/>
      </c>
      <c r="JR11" s="110" t="str">
        <f t="shared" si="76"/>
        <v/>
      </c>
      <c r="JS11" s="110" t="str">
        <f t="shared" si="77"/>
        <v/>
      </c>
      <c r="JT11" s="110" t="str">
        <f t="shared" si="78"/>
        <v/>
      </c>
      <c r="JU11" s="110" t="str">
        <f t="shared" si="79"/>
        <v/>
      </c>
      <c r="JV11" s="110" t="str">
        <f t="shared" si="80"/>
        <v/>
      </c>
      <c r="JW11" s="110" t="str">
        <f t="shared" si="81"/>
        <v/>
      </c>
      <c r="JX11" s="110" t="str">
        <f t="shared" si="157"/>
        <v/>
      </c>
      <c r="JY11" s="110" t="str">
        <f t="shared" si="158"/>
        <v/>
      </c>
      <c r="JZ11" s="110" t="str">
        <f t="shared" si="82"/>
        <v/>
      </c>
      <c r="KA11" s="108" t="str">
        <f t="shared" si="159"/>
        <v/>
      </c>
    </row>
    <row r="12" spans="1:287" s="108" customFormat="1" ht="21.95" customHeight="1">
      <c r="A12" s="89">
        <v>6</v>
      </c>
      <c r="B12" s="90">
        <f>IF('Marks Entry'!B12="","",'Marks Entry'!B12)</f>
        <v>906</v>
      </c>
      <c r="C12" s="94" t="str">
        <f>IF('Marks Entry'!D12="","",'Marks Entry'!D12)</f>
        <v>A</v>
      </c>
      <c r="D12" s="91" t="str">
        <f>IF('Marks Entry'!E12="","",'Marks Entry'!E12)</f>
        <v/>
      </c>
      <c r="E12" s="92">
        <f>IF('Marks Entry'!F12="","",'Marks Entry'!F12)</f>
        <v>40933</v>
      </c>
      <c r="F12" s="93" t="str">
        <f>IF('Marks Entry'!G12="","",'Marks Entry'!G12)</f>
        <v>GITA</v>
      </c>
      <c r="G12" s="93" t="str">
        <f>IF('Marks Entry'!H12="","",'Marks Entry'!H12)</f>
        <v/>
      </c>
      <c r="H12" s="93" t="str">
        <f>IF('Marks Entry'!I12="","",'Marks Entry'!I12)</f>
        <v/>
      </c>
      <c r="I12" s="94" t="str">
        <f>IF('Marks Entry'!J12="","",'Marks Entry'!J12)</f>
        <v>OBC</v>
      </c>
      <c r="J12" s="95" t="str">
        <f>IF('Marks Entry'!K12="","",'Marks Entry'!K12)</f>
        <v>F</v>
      </c>
      <c r="K12" s="68" t="str">
        <f>IF('Marks Entry'!L12="","",'Marks Entry'!L12)</f>
        <v>NA</v>
      </c>
      <c r="L12" s="68">
        <f>IF('Marks Entry'!M12="","",'Marks Entry'!M12)</f>
        <v>9</v>
      </c>
      <c r="M12" s="68">
        <f>IF('Marks Entry'!N12="","",'Marks Entry'!N12)</f>
        <v>7</v>
      </c>
      <c r="N12" s="514">
        <f t="shared" si="83"/>
        <v>16</v>
      </c>
      <c r="O12" s="68">
        <f>IF('Marks Entry'!O12="","",'Marks Entry'!O12)</f>
        <v>46</v>
      </c>
      <c r="P12" s="515">
        <f t="shared" si="84"/>
        <v>62</v>
      </c>
      <c r="Q12" s="68">
        <f>IF('Marks Entry'!P12="","",'Marks Entry'!P12)</f>
        <v>65</v>
      </c>
      <c r="R12" s="96">
        <f t="shared" si="85"/>
        <v>127</v>
      </c>
      <c r="S12" s="65">
        <f t="shared" si="86"/>
        <v>10</v>
      </c>
      <c r="T12" s="65">
        <f t="shared" si="87"/>
        <v>0</v>
      </c>
      <c r="U12" s="66">
        <f t="shared" si="88"/>
        <v>190</v>
      </c>
      <c r="V12" s="65" t="str">
        <f t="shared" si="89"/>
        <v/>
      </c>
      <c r="W12" s="65" t="str">
        <f t="shared" si="90"/>
        <v>P</v>
      </c>
      <c r="X12" s="65" t="str">
        <f t="shared" si="91"/>
        <v>I</v>
      </c>
      <c r="Y12" s="68">
        <f>IF('Marks Entry'!Q12="","",'Marks Entry'!Q12)</f>
        <v>8</v>
      </c>
      <c r="Z12" s="68">
        <f>IF('Marks Entry'!R12="","",'Marks Entry'!R12)</f>
        <v>9</v>
      </c>
      <c r="AA12" s="68">
        <f>IF('Marks Entry'!S12="","",'Marks Entry'!S12)</f>
        <v>10</v>
      </c>
      <c r="AB12" s="514">
        <f t="shared" si="2"/>
        <v>27</v>
      </c>
      <c r="AC12" s="68">
        <f>IF('Marks Entry'!T12="","",'Marks Entry'!T12)</f>
        <v>62</v>
      </c>
      <c r="AD12" s="515">
        <f t="shared" si="3"/>
        <v>89</v>
      </c>
      <c r="AE12" s="68">
        <f>IF('Marks Entry'!U12="","",'Marks Entry'!U12)</f>
        <v>95</v>
      </c>
      <c r="AF12" s="96">
        <f t="shared" si="4"/>
        <v>184</v>
      </c>
      <c r="AG12" s="65">
        <f t="shared" si="5"/>
        <v>0</v>
      </c>
      <c r="AH12" s="65">
        <f t="shared" si="6"/>
        <v>0</v>
      </c>
      <c r="AI12" s="66">
        <f t="shared" si="7"/>
        <v>200</v>
      </c>
      <c r="AJ12" s="65" t="str">
        <f t="shared" si="8"/>
        <v/>
      </c>
      <c r="AK12" s="65" t="str">
        <f t="shared" si="9"/>
        <v>P</v>
      </c>
      <c r="AL12" s="65" t="str">
        <f t="shared" si="10"/>
        <v>D</v>
      </c>
      <c r="AM12" s="524" t="str">
        <f>IF('Marks Entry'!V12="","",IF('Marks Entry'!V12=1,'School Profile'!$I$9,IF('Marks Entry'!V12=2,'School Profile'!$I$10,IF('Marks Entry'!V12=3,'School Profile'!$I$11,IF('Marks Entry'!V12=4,'School Profile'!$I$12,IF('Marks Entry'!V12=5,'School Profile'!$I$13,IF('Marks Entry'!V12=6,'School Profile'!$I$14,"")))))))</f>
        <v xml:space="preserve">उर्दू (72) </v>
      </c>
      <c r="AN12" s="68">
        <f>IF('Marks Entry'!W12="","",'Marks Entry'!W12)</f>
        <v>8</v>
      </c>
      <c r="AO12" s="68">
        <f>IF('Marks Entry'!X12="","",'Marks Entry'!X12)</f>
        <v>9</v>
      </c>
      <c r="AP12" s="68">
        <f>IF('Marks Entry'!Y12="","",'Marks Entry'!Y12)</f>
        <v>8</v>
      </c>
      <c r="AQ12" s="514">
        <f t="shared" si="11"/>
        <v>25</v>
      </c>
      <c r="AR12" s="68">
        <f>IF('Marks Entry'!Z12="","",'Marks Entry'!Z12)</f>
        <v>46</v>
      </c>
      <c r="AS12" s="515">
        <f t="shared" si="12"/>
        <v>71</v>
      </c>
      <c r="AT12" s="68">
        <f>IF('Marks Entry'!AA12="","",'Marks Entry'!AA12)</f>
        <v>45</v>
      </c>
      <c r="AU12" s="96">
        <f t="shared" si="13"/>
        <v>116</v>
      </c>
      <c r="AV12" s="65">
        <f t="shared" si="14"/>
        <v>0</v>
      </c>
      <c r="AW12" s="65">
        <f t="shared" si="15"/>
        <v>0</v>
      </c>
      <c r="AX12" s="66">
        <f t="shared" si="16"/>
        <v>200</v>
      </c>
      <c r="AY12" s="65" t="str">
        <f t="shared" si="17"/>
        <v/>
      </c>
      <c r="AZ12" s="65" t="str">
        <f t="shared" si="18"/>
        <v>P</v>
      </c>
      <c r="BA12" s="65" t="str">
        <f t="shared" si="19"/>
        <v>II</v>
      </c>
      <c r="BB12" s="68">
        <f>IF('Marks Entry'!AB12="","",'Marks Entry'!AB12)</f>
        <v>8</v>
      </c>
      <c r="BC12" s="68">
        <f>IF('Marks Entry'!AC12="","",'Marks Entry'!AC12)</f>
        <v>9</v>
      </c>
      <c r="BD12" s="68">
        <f>IF('Marks Entry'!AD12="","",'Marks Entry'!AD12)</f>
        <v>9</v>
      </c>
      <c r="BE12" s="514">
        <f t="shared" si="20"/>
        <v>26</v>
      </c>
      <c r="BF12" s="68">
        <f>IF('Marks Entry'!AE12="","",'Marks Entry'!AE12)</f>
        <v>46</v>
      </c>
      <c r="BG12" s="515">
        <f t="shared" si="21"/>
        <v>72</v>
      </c>
      <c r="BH12" s="68">
        <f>IF('Marks Entry'!AF12="","",'Marks Entry'!AF12)</f>
        <v>45</v>
      </c>
      <c r="BI12" s="96">
        <f t="shared" si="22"/>
        <v>117</v>
      </c>
      <c r="BJ12" s="65">
        <f t="shared" si="23"/>
        <v>0</v>
      </c>
      <c r="BK12" s="65">
        <f t="shared" si="92"/>
        <v>0</v>
      </c>
      <c r="BL12" s="66">
        <f t="shared" si="24"/>
        <v>200</v>
      </c>
      <c r="BM12" s="65" t="str">
        <f t="shared" si="25"/>
        <v/>
      </c>
      <c r="BN12" s="65" t="str">
        <f>IF(OR($B12="NSO",$B12="",BH12=""),"",IF(OR(BM12="AB",BH12="ab"),"AB",IF(BH12="ML","RE",IF(BH12&lt;20%*$BH$6,"F",IF(AND(BI12&gt;=36%*BL12,BH12&gt;=20),"P",IF(AND(BI12&gt;=34%*BL12,BK12=0,BH12&gt;=20),"G2",IF(AND(BI12&gt;=31%*BL12,BK12=0,BH12&gt;=20),"G1",IF(BI12&gt;=25%*BL12,"S","F"))))))))</f>
        <v>P</v>
      </c>
      <c r="BO12" s="65" t="str">
        <f t="shared" si="27"/>
        <v>II</v>
      </c>
      <c r="BP12" s="68">
        <f>IF('Marks Entry'!AG12="","",'Marks Entry'!AG12)</f>
        <v>8</v>
      </c>
      <c r="BQ12" s="68">
        <f>IF('Marks Entry'!AH12="","",'Marks Entry'!AH12)</f>
        <v>9</v>
      </c>
      <c r="BR12" s="68">
        <f>IF('Marks Entry'!AI12="","",'Marks Entry'!AI12)</f>
        <v>10</v>
      </c>
      <c r="BS12" s="514">
        <f t="shared" si="28"/>
        <v>27</v>
      </c>
      <c r="BT12" s="68">
        <f>IF('Marks Entry'!AJ12="","",'Marks Entry'!AJ12)</f>
        <v>46</v>
      </c>
      <c r="BU12" s="515">
        <f t="shared" si="29"/>
        <v>73</v>
      </c>
      <c r="BV12" s="68">
        <f>IF('Marks Entry'!AK12="","",'Marks Entry'!AK12)</f>
        <v>45</v>
      </c>
      <c r="BW12" s="96">
        <f t="shared" si="30"/>
        <v>118</v>
      </c>
      <c r="BX12" s="65">
        <f t="shared" si="31"/>
        <v>0</v>
      </c>
      <c r="BY12" s="65">
        <f t="shared" si="32"/>
        <v>0</v>
      </c>
      <c r="BZ12" s="66">
        <f t="shared" si="33"/>
        <v>200</v>
      </c>
      <c r="CA12" s="65" t="str">
        <f t="shared" si="34"/>
        <v/>
      </c>
      <c r="CB12" s="65" t="str">
        <f t="shared" si="35"/>
        <v>P</v>
      </c>
      <c r="CC12" s="65" t="str">
        <f t="shared" si="36"/>
        <v>II</v>
      </c>
      <c r="CD12" s="66">
        <f t="shared" si="93"/>
        <v>10</v>
      </c>
      <c r="CE12" s="68">
        <f>IF('Marks Entry'!AL12="","",'Marks Entry'!AL12)</f>
        <v>8</v>
      </c>
      <c r="CF12" s="68">
        <f>IF('Marks Entry'!AM12="","",'Marks Entry'!AM12)</f>
        <v>8</v>
      </c>
      <c r="CG12" s="68">
        <f>IF('Marks Entry'!AN12="","",'Marks Entry'!AN12)</f>
        <v>8</v>
      </c>
      <c r="CH12" s="514">
        <f t="shared" si="37"/>
        <v>24</v>
      </c>
      <c r="CI12" s="68">
        <f>IF('Marks Entry'!AO12="","",'Marks Entry'!AO12)</f>
        <v>46</v>
      </c>
      <c r="CJ12" s="515">
        <f t="shared" si="38"/>
        <v>70</v>
      </c>
      <c r="CK12" s="68">
        <f>IF('Marks Entry'!AP12="","",'Marks Entry'!AP12)</f>
        <v>45</v>
      </c>
      <c r="CL12" s="96">
        <f t="shared" si="39"/>
        <v>115</v>
      </c>
      <c r="CM12" s="65">
        <f t="shared" si="40"/>
        <v>0</v>
      </c>
      <c r="CN12" s="65">
        <f t="shared" si="41"/>
        <v>0</v>
      </c>
      <c r="CO12" s="66">
        <f t="shared" si="42"/>
        <v>200</v>
      </c>
      <c r="CP12" s="65" t="str">
        <f t="shared" si="43"/>
        <v/>
      </c>
      <c r="CQ12" s="65" t="str">
        <f t="shared" si="44"/>
        <v>P</v>
      </c>
      <c r="CR12" s="65" t="str">
        <f t="shared" si="45"/>
        <v>II</v>
      </c>
      <c r="CS12" s="616"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8" t="str">
        <f>IF('School Profile'!$D$20="NO","",IF('Marks Entry'!AR12="","",'Marks Entry'!AR12))</f>
        <v/>
      </c>
      <c r="CU12" s="68" t="str">
        <f>IF('School Profile'!$D$20="NO","",IF('Marks Entry'!AS12="","",'Marks Entry'!AS12))</f>
        <v/>
      </c>
      <c r="CV12" s="68" t="str">
        <f>IF('School Profile'!$D$20="NO","",IF('Marks Entry'!AT12="","",'Marks Entry'!AT12))</f>
        <v/>
      </c>
      <c r="CW12" s="514" t="str">
        <f>IF('School Profile'!$D$20="NO","",IF(AND(CT12="",CU12="",CV12=""),"",SUM(CT12:CV12)))</f>
        <v/>
      </c>
      <c r="CX12" s="68" t="str">
        <f>IF('School Profile'!$D$20="NO","",IF('Marks Entry'!AU12="","",'Marks Entry'!AU12))</f>
        <v/>
      </c>
      <c r="CY12" s="68" t="str">
        <f>IF('School Profile'!$D$20="NO","",IF('Marks Entry'!AV12="","",'Marks Entry'!AV12))</f>
        <v/>
      </c>
      <c r="CZ12" s="515" t="str">
        <f>IF('School Profile'!$D$20="NO","",IF(AND(CX12="",CY12=""),"",SUM(CX12,CY12)))</f>
        <v/>
      </c>
      <c r="DA12" s="69" t="str">
        <f>IF('School Profile'!$D$20="NO","",IF(AND(CW12="",CZ12=""),"",SUM(CW12+CZ12)))</f>
        <v/>
      </c>
      <c r="DB12" s="68" t="str">
        <f>IF('School Profile'!$D$20="NO","",IF('Marks Entry'!AW12="","",'Marks Entry'!AW12))</f>
        <v/>
      </c>
      <c r="DC12" s="68" t="str">
        <f>IF('School Profile'!$D$20="NO","",IF('Marks Entry'!AX12="","",'Marks Entry'!AX12))</f>
        <v/>
      </c>
      <c r="DD12" s="515" t="str">
        <f>IF('School Profile'!$D$20="NO","",IF(AND(DB12="",DC12=""),"",SUM(DB12,DC12)))</f>
        <v/>
      </c>
      <c r="DE12" s="96" t="str">
        <f>IF('School Profile'!$D$20="NO","",IF(AND(DA12="",DD12=""),"",SUM(DA12,DD12)))</f>
        <v/>
      </c>
      <c r="DF12" s="532">
        <f t="shared" si="46"/>
        <v>0</v>
      </c>
      <c r="DG12" s="65">
        <f t="shared" si="47"/>
        <v>0</v>
      </c>
      <c r="DH12" s="66" t="str">
        <f t="shared" si="48"/>
        <v/>
      </c>
      <c r="DI12" s="65" t="str">
        <f t="shared" si="49"/>
        <v/>
      </c>
      <c r="DJ12" s="65" t="str">
        <f t="shared" si="50"/>
        <v/>
      </c>
      <c r="DK12" s="65" t="str">
        <f t="shared" si="51"/>
        <v/>
      </c>
      <c r="DL12" s="97" t="str">
        <f t="shared" si="94"/>
        <v>I</v>
      </c>
      <c r="DM12" s="97" t="str">
        <f t="shared" si="95"/>
        <v>D</v>
      </c>
      <c r="DN12" s="97" t="str">
        <f t="shared" si="96"/>
        <v>II</v>
      </c>
      <c r="DO12" s="97" t="str">
        <f t="shared" si="97"/>
        <v>II</v>
      </c>
      <c r="DP12" s="97" t="str">
        <f t="shared" si="98"/>
        <v>II</v>
      </c>
      <c r="DQ12" s="97" t="str">
        <f t="shared" si="99"/>
        <v>II</v>
      </c>
      <c r="DR12" s="97" t="str">
        <f>DK12</f>
        <v/>
      </c>
      <c r="DS12" s="98">
        <f t="shared" si="101"/>
        <v>0</v>
      </c>
      <c r="DT12" s="98">
        <f t="shared" si="102"/>
        <v>0</v>
      </c>
      <c r="DU12" s="98">
        <f t="shared" si="103"/>
        <v>0</v>
      </c>
      <c r="DV12" s="98">
        <f t="shared" si="104"/>
        <v>0</v>
      </c>
      <c r="DW12" s="98">
        <f t="shared" si="105"/>
        <v>0</v>
      </c>
      <c r="DX12" s="98" t="str">
        <f t="shared" si="106"/>
        <v/>
      </c>
      <c r="DY12" s="99" t="str">
        <f t="shared" si="107"/>
        <v>PASS</v>
      </c>
      <c r="DZ12" s="74">
        <f>IF('Marks Entry'!AY12="","",'Marks Entry'!AY12)</f>
        <v>9</v>
      </c>
      <c r="EA12" s="74">
        <f>IF('Marks Entry'!AZ12="","",'Marks Entry'!AZ12)</f>
        <v>9</v>
      </c>
      <c r="EB12" s="74">
        <f>IF('Marks Entry'!BA12="","",'Marks Entry'!BA12)</f>
        <v>9</v>
      </c>
      <c r="EC12" s="527">
        <f t="shared" si="52"/>
        <v>27</v>
      </c>
      <c r="ED12" s="74">
        <f>IF('Marks Entry'!BB12="","",'Marks Entry'!BB12)</f>
        <v>66</v>
      </c>
      <c r="EE12" s="528">
        <f t="shared" si="53"/>
        <v>93</v>
      </c>
      <c r="EF12" s="74">
        <f>IF('Marks Entry'!BC12="","",'Marks Entry'!BC12)</f>
        <v>91</v>
      </c>
      <c r="EG12" s="530">
        <f t="shared" si="54"/>
        <v>184</v>
      </c>
      <c r="EH12" s="368" t="str">
        <f t="shared" si="108"/>
        <v>A</v>
      </c>
      <c r="EI12" s="65">
        <f t="shared" si="109"/>
        <v>0</v>
      </c>
      <c r="EJ12" s="65">
        <f t="shared" si="110"/>
        <v>0</v>
      </c>
      <c r="EK12" s="66">
        <f t="shared" si="111"/>
        <v>200</v>
      </c>
      <c r="EL12" s="74">
        <f>IF('Marks Entry'!BD12="","",'Marks Entry'!BD12)</f>
        <v>8</v>
      </c>
      <c r="EM12" s="74">
        <f>IF('Marks Entry'!BE12="","",'Marks Entry'!BE12)</f>
        <v>8</v>
      </c>
      <c r="EN12" s="74">
        <f>IF('Marks Entry'!BF12="","",'Marks Entry'!BF12)</f>
        <v>8</v>
      </c>
      <c r="EO12" s="527">
        <f t="shared" si="55"/>
        <v>24</v>
      </c>
      <c r="EP12" s="74">
        <f>IF('Marks Entry'!BG12="","",'Marks Entry'!BG12)</f>
        <v>41</v>
      </c>
      <c r="EQ12" s="74">
        <f>IF('Marks Entry'!BH12="","",'Marks Entry'!BH12)</f>
        <v>19</v>
      </c>
      <c r="ER12" s="528">
        <f t="shared" si="56"/>
        <v>60</v>
      </c>
      <c r="ES12" s="529">
        <f t="shared" si="57"/>
        <v>84</v>
      </c>
      <c r="ET12" s="74">
        <f>IF('Marks Entry'!BI12="","",'Marks Entry'!BI12)</f>
        <v>61</v>
      </c>
      <c r="EU12" s="74">
        <f>IF('Marks Entry'!BJ12="","",'Marks Entry'!BJ12)</f>
        <v>27</v>
      </c>
      <c r="EV12" s="528">
        <f t="shared" si="58"/>
        <v>88</v>
      </c>
      <c r="EW12" s="530">
        <f t="shared" si="59"/>
        <v>172</v>
      </c>
      <c r="EX12" s="368" t="str">
        <f t="shared" si="112"/>
        <v>A</v>
      </c>
      <c r="EY12" s="65">
        <f t="shared" si="113"/>
        <v>0</v>
      </c>
      <c r="EZ12" s="65">
        <f t="shared" si="114"/>
        <v>0</v>
      </c>
      <c r="FA12" s="66">
        <f t="shared" si="115"/>
        <v>200</v>
      </c>
      <c r="FB12" s="74">
        <f>IF('Marks Entry'!BK12="","",'Marks Entry'!BK12)</f>
        <v>9</v>
      </c>
      <c r="FC12" s="74">
        <f>IF('Marks Entry'!BL12="","",'Marks Entry'!BL12)</f>
        <v>7</v>
      </c>
      <c r="FD12" s="74">
        <f>IF('Marks Entry'!BM12="","",'Marks Entry'!BM12)</f>
        <v>9</v>
      </c>
      <c r="FE12" s="74">
        <f>IF('Marks Entry'!BN12="","",'Marks Entry'!BN12)</f>
        <v>6</v>
      </c>
      <c r="FF12" s="74">
        <f>IF('Marks Entry'!BO12="","",'Marks Entry'!BO12)</f>
        <v>9</v>
      </c>
      <c r="FG12" s="74">
        <f>IF('Marks Entry'!BP12="","",'Marks Entry'!BP12)</f>
        <v>14</v>
      </c>
      <c r="FH12" s="527">
        <f t="shared" si="60"/>
        <v>54</v>
      </c>
      <c r="FI12" s="74">
        <f>IF('Marks Entry'!BQ12="","",'Marks Entry'!BQ12)</f>
        <v>21</v>
      </c>
      <c r="FJ12" s="74">
        <f>IF('Marks Entry'!BR12="","",'Marks Entry'!BR12)</f>
        <v>15</v>
      </c>
      <c r="FK12" s="528">
        <f t="shared" si="61"/>
        <v>36</v>
      </c>
      <c r="FL12" s="529">
        <f t="shared" si="62"/>
        <v>90</v>
      </c>
      <c r="FM12" s="74">
        <f>IF('Marks Entry'!BS12="","",'Marks Entry'!BS12)</f>
        <v>29</v>
      </c>
      <c r="FN12" s="74">
        <f>IF('Marks Entry'!BT12="","",'Marks Entry'!BT12)</f>
        <v>59</v>
      </c>
      <c r="FO12" s="528">
        <f t="shared" si="63"/>
        <v>88</v>
      </c>
      <c r="FP12" s="530">
        <f t="shared" si="64"/>
        <v>178</v>
      </c>
      <c r="FQ12" s="368" t="str">
        <f t="shared" si="116"/>
        <v>A</v>
      </c>
      <c r="FR12" s="65">
        <f t="shared" si="117"/>
        <v>0</v>
      </c>
      <c r="FS12" s="65">
        <f t="shared" si="118"/>
        <v>0</v>
      </c>
      <c r="FT12" s="66">
        <f t="shared" si="119"/>
        <v>200</v>
      </c>
      <c r="FU12" s="74">
        <f>IF('Marks Entry'!BU12="","",'Marks Entry'!BU12)</f>
        <v>20</v>
      </c>
      <c r="FV12" s="74">
        <f>IF('Marks Entry'!BV12="","",'Marks Entry'!BV12)</f>
        <v>40</v>
      </c>
      <c r="FW12" s="74">
        <f>IF('Marks Entry'!BW12="","",'Marks Entry'!BW12)</f>
        <v>20</v>
      </c>
      <c r="FX12" s="75">
        <f t="shared" si="65"/>
        <v>80</v>
      </c>
      <c r="FY12" s="368" t="str">
        <f t="shared" si="120"/>
        <v>B</v>
      </c>
      <c r="FZ12" s="65">
        <f t="shared" si="121"/>
        <v>0</v>
      </c>
      <c r="GA12" s="66">
        <f t="shared" si="122"/>
        <v>0</v>
      </c>
      <c r="GB12" s="66">
        <f t="shared" si="123"/>
        <v>100</v>
      </c>
      <c r="GC12" s="74">
        <f>IF('Marks Entry'!BX12="","",'Marks Entry'!BX12)</f>
        <v>21</v>
      </c>
      <c r="GD12" s="74">
        <f>IF('Marks Entry'!BY12="","",'Marks Entry'!BY12)</f>
        <v>52</v>
      </c>
      <c r="GE12" s="74">
        <f>IF('Marks Entry'!BZ12="","",'Marks Entry'!BZ12)</f>
        <v>12</v>
      </c>
      <c r="GF12" s="75">
        <f t="shared" si="124"/>
        <v>85</v>
      </c>
      <c r="GG12" s="368" t="str">
        <f t="shared" si="125"/>
        <v>A</v>
      </c>
      <c r="GH12" s="65">
        <f t="shared" si="126"/>
        <v>0</v>
      </c>
      <c r="GI12" s="66">
        <f t="shared" si="127"/>
        <v>0</v>
      </c>
      <c r="GJ12" s="66">
        <f t="shared" si="128"/>
        <v>100</v>
      </c>
      <c r="GK12" s="100" t="str">
        <f>IF(AND(F12="",B12=""),"",IF('Student DATA Entry'!M9="","",'Student DATA Entry'!M9))</f>
        <v/>
      </c>
      <c r="GL12" s="101" t="str">
        <f>IF(AND(B12="",F12=""),"",IF('Student DATA Entry'!N9="","",'Student DATA Entry'!N9))</f>
        <v/>
      </c>
      <c r="GM12" s="581" t="str">
        <f t="shared" si="129"/>
        <v/>
      </c>
      <c r="GN12" s="94" t="str">
        <f t="shared" si="130"/>
        <v>I</v>
      </c>
      <c r="GO12" s="94" t="str">
        <f t="shared" si="131"/>
        <v/>
      </c>
      <c r="GP12" s="102" t="str">
        <f t="shared" si="67"/>
        <v/>
      </c>
      <c r="GQ12" s="94" t="str">
        <f t="shared" si="132"/>
        <v>D</v>
      </c>
      <c r="GR12" s="103" t="str">
        <f t="shared" si="133"/>
        <v/>
      </c>
      <c r="GS12" s="102" t="str">
        <f t="shared" si="68"/>
        <v/>
      </c>
      <c r="GT12" s="104" t="str">
        <f t="shared" si="134"/>
        <v>II</v>
      </c>
      <c r="GU12" s="94" t="str">
        <f>IF('Marks Entry'!V12=1,GT12,"")</f>
        <v/>
      </c>
      <c r="GV12" s="94" t="str">
        <f>IF('Marks Entry'!V12=2,GT12,"")</f>
        <v>II</v>
      </c>
      <c r="GW12" s="94" t="str">
        <f>IF('Marks Entry'!V12=3,GT12,"")</f>
        <v/>
      </c>
      <c r="GX12" s="94" t="str">
        <f>IF('Marks Entry'!V12=4,GT12,"")</f>
        <v/>
      </c>
      <c r="GY12" s="94" t="str">
        <f>IF('Marks Entry'!V12=5,GT12,"")</f>
        <v/>
      </c>
      <c r="GZ12" s="94" t="str">
        <f t="shared" si="135"/>
        <v/>
      </c>
      <c r="HA12" s="105" t="str">
        <f t="shared" si="69"/>
        <v/>
      </c>
      <c r="HB12" s="94" t="str">
        <f t="shared" si="136"/>
        <v>II</v>
      </c>
      <c r="HC12" s="94" t="str">
        <f t="shared" si="137"/>
        <v/>
      </c>
      <c r="HD12" s="105" t="str">
        <f t="shared" si="70"/>
        <v/>
      </c>
      <c r="HE12" s="94" t="str">
        <f t="shared" si="138"/>
        <v>II</v>
      </c>
      <c r="HF12" s="94" t="str">
        <f t="shared" si="139"/>
        <v/>
      </c>
      <c r="HG12" s="105" t="str">
        <f t="shared" si="71"/>
        <v/>
      </c>
      <c r="HH12" s="94" t="str">
        <f t="shared" si="140"/>
        <v>II</v>
      </c>
      <c r="HI12" s="94" t="str">
        <f t="shared" si="141"/>
        <v/>
      </c>
      <c r="HJ12" s="105" t="str">
        <f t="shared" si="72"/>
        <v/>
      </c>
      <c r="HK12" s="94" t="str">
        <f t="shared" si="142"/>
        <v/>
      </c>
      <c r="HL12" s="94" t="str">
        <f t="shared" si="143"/>
        <v/>
      </c>
      <c r="HM12" s="105" t="str">
        <f t="shared" si="73"/>
        <v/>
      </c>
      <c r="HN12" s="367" t="str">
        <f t="shared" si="144"/>
        <v xml:space="preserve">      </v>
      </c>
      <c r="HO12" s="418" t="str">
        <f t="shared" si="145"/>
        <v xml:space="preserve">      </v>
      </c>
      <c r="HP12" s="367" t="str">
        <f t="shared" si="146"/>
        <v xml:space="preserve">      </v>
      </c>
      <c r="HQ12" s="107" t="str">
        <f t="shared" si="147"/>
        <v xml:space="preserve">      </v>
      </c>
      <c r="HR12" s="366" t="str">
        <f t="shared" si="148"/>
        <v xml:space="preserve"> अंग्रेजी     </v>
      </c>
      <c r="HS12" s="544" t="str">
        <f t="shared" si="74"/>
        <v>PASS</v>
      </c>
      <c r="HT12" s="542">
        <f t="shared" si="149"/>
        <v>777</v>
      </c>
      <c r="HU12" s="541">
        <f t="shared" si="160"/>
        <v>65.294117647058826</v>
      </c>
      <c r="HV12" s="540" t="str">
        <f t="shared" si="150"/>
        <v>1st</v>
      </c>
      <c r="HW12" s="537">
        <f t="shared" si="151"/>
        <v>65.294117647058826</v>
      </c>
      <c r="HX12" s="539">
        <f t="shared" si="152"/>
        <v>4.0000000000000018</v>
      </c>
      <c r="HY12" s="553" t="str">
        <f>IFERROR(IF(OR(HS12="SUPPLEMENTARY",HS12="RE-EXAM"),'Supp. Result Entry'!AQ10,""),"")</f>
        <v/>
      </c>
      <c r="HZ12" s="538" t="str">
        <f t="shared" si="153"/>
        <v/>
      </c>
      <c r="IA12" s="415" t="str">
        <f t="shared" si="154"/>
        <v/>
      </c>
      <c r="IB12" s="415" t="str">
        <f>IF(AND(HZ12="",IA12=""),"",IF(OR(HS12="SUPPLEMENTARY",HS12="RE-EXAM"),'Supp. Result Entry'!AQ10,HS12))</f>
        <v/>
      </c>
      <c r="IC12" s="87"/>
      <c r="IS12" s="109" t="str">
        <f>IF('Supp. Result Entry'!T10="","",'Supp. Result Entry'!$T$4)</f>
        <v/>
      </c>
      <c r="IT12" s="110" t="str">
        <f>IF('Supp. Result Entry'!W10="","",'Supp. Result Entry'!$W$4)</f>
        <v/>
      </c>
      <c r="IU12" s="110" t="str">
        <f>IF('Supp. Result Entry'!Z10="","",'Supp. Result Entry'!$Z$4)</f>
        <v/>
      </c>
      <c r="IV12" s="110" t="str">
        <f>IF('Supp. Result Entry'!AC10="","",'Supp. Result Entry'!$AC$4)</f>
        <v/>
      </c>
      <c r="IW12" s="110" t="str">
        <f>IF('Supp. Result Entry'!AF10="","",'Supp. Result Entry'!$AF$4)</f>
        <v/>
      </c>
      <c r="IX12" s="110" t="str">
        <f>IF('Supp. Result Entry'!AI10="","",'Supp. Result Entry'!$AI$4)</f>
        <v/>
      </c>
      <c r="IY12" s="110" t="str">
        <f>IF('Supp. Result Entry'!AI10="","",'Supp. Result Entry'!$AL$4)</f>
        <v/>
      </c>
      <c r="IZ12" s="110" t="str">
        <f>IF('Supp. Result Entry'!U10="","",'Supp. Result Entry'!U10)</f>
        <v/>
      </c>
      <c r="JA12" s="110" t="str">
        <f>IF('Supp. Result Entry'!X10="","",'Supp. Result Entry'!X10)</f>
        <v/>
      </c>
      <c r="JB12" s="110" t="str">
        <f>IF('Supp. Result Entry'!AA10="","",'Supp. Result Entry'!AA10)</f>
        <v/>
      </c>
      <c r="JC12" s="110" t="str">
        <f>IF('Supp. Result Entry'!AD10="","",'Supp. Result Entry'!AD10)</f>
        <v/>
      </c>
      <c r="JD12" s="110" t="str">
        <f>IF('Supp. Result Entry'!AG10="","",'Supp. Result Entry'!AG10)</f>
        <v/>
      </c>
      <c r="JE12" s="110" t="str">
        <f>IF('Supp. Result Entry'!AJ10="","",'Supp. Result Entry'!AJ10)</f>
        <v/>
      </c>
      <c r="JF12" s="110" t="str">
        <f>IF('Supp. Result Entry'!AM10="","",'Supp. Result Entry'!AM10)</f>
        <v/>
      </c>
      <c r="JG12" s="110" t="str">
        <f>IF('Supp. Result Entry'!V10="","",'Supp. Result Entry'!V10)</f>
        <v/>
      </c>
      <c r="JH12" s="110" t="str">
        <f>IF('Supp. Result Entry'!Y10="","",'Supp. Result Entry'!Y10)</f>
        <v/>
      </c>
      <c r="JI12" s="110" t="str">
        <f>IF('Supp. Result Entry'!AB10="","",'Supp. Result Entry'!AB10)</f>
        <v/>
      </c>
      <c r="JJ12" s="110" t="str">
        <f>IF('Supp. Result Entry'!AE10="","",'Supp. Result Entry'!AE10)</f>
        <v/>
      </c>
      <c r="JK12" s="110" t="str">
        <f>IF('Supp. Result Entry'!AH10="","",'Supp. Result Entry'!AH10)</f>
        <v/>
      </c>
      <c r="JL12" s="110" t="str">
        <f>IF('Supp. Result Entry'!AK10="","",'Supp. Result Entry'!AK10)</f>
        <v/>
      </c>
      <c r="JM12" s="110" t="str">
        <f>IF('Supp. Result Entry'!AN10="","",'Supp. Result Entry'!AN10)</f>
        <v/>
      </c>
      <c r="JN12" s="110">
        <f>COUNTIF('Supp. Result Entry'!K10:Q10,"S")</f>
        <v>0</v>
      </c>
      <c r="JO12" s="110">
        <f t="shared" si="155"/>
        <v>0</v>
      </c>
      <c r="JP12" s="110">
        <f t="shared" si="156"/>
        <v>0</v>
      </c>
      <c r="JQ12" s="110" t="str">
        <f t="shared" si="75"/>
        <v/>
      </c>
      <c r="JR12" s="110" t="str">
        <f t="shared" si="76"/>
        <v/>
      </c>
      <c r="JS12" s="110" t="str">
        <f t="shared" si="77"/>
        <v/>
      </c>
      <c r="JT12" s="110" t="str">
        <f t="shared" si="78"/>
        <v/>
      </c>
      <c r="JU12" s="110" t="str">
        <f t="shared" si="79"/>
        <v/>
      </c>
      <c r="JV12" s="110" t="str">
        <f t="shared" si="80"/>
        <v/>
      </c>
      <c r="JW12" s="110" t="str">
        <f t="shared" si="81"/>
        <v/>
      </c>
      <c r="JX12" s="110" t="str">
        <f t="shared" si="157"/>
        <v/>
      </c>
      <c r="JY12" s="110" t="str">
        <f t="shared" si="158"/>
        <v/>
      </c>
      <c r="JZ12" s="110" t="str">
        <f t="shared" si="82"/>
        <v/>
      </c>
      <c r="KA12" s="108" t="str">
        <f t="shared" si="159"/>
        <v/>
      </c>
    </row>
    <row r="13" spans="1:287" s="108" customFormat="1" ht="21.95" customHeight="1">
      <c r="A13" s="89">
        <v>7</v>
      </c>
      <c r="B13" s="90">
        <f>IF('Marks Entry'!B13="","",'Marks Entry'!B13)</f>
        <v>907</v>
      </c>
      <c r="C13" s="94" t="str">
        <f>IF('Marks Entry'!D13="","",'Marks Entry'!D13)</f>
        <v>A</v>
      </c>
      <c r="D13" s="91" t="str">
        <f>IF('Marks Entry'!E13="","",'Marks Entry'!E13)</f>
        <v/>
      </c>
      <c r="E13" s="92">
        <f>IF('Marks Entry'!F13="","",'Marks Entry'!F13)</f>
        <v>41317</v>
      </c>
      <c r="F13" s="93" t="str">
        <f>IF('Marks Entry'!G13="","",'Marks Entry'!G13)</f>
        <v>MITA</v>
      </c>
      <c r="G13" s="93" t="str">
        <f>IF('Marks Entry'!H13="","",'Marks Entry'!H13)</f>
        <v/>
      </c>
      <c r="H13" s="93" t="str">
        <f>IF('Marks Entry'!I13="","",'Marks Entry'!I13)</f>
        <v/>
      </c>
      <c r="I13" s="94" t="str">
        <f>IF('Marks Entry'!J13="","",'Marks Entry'!J13)</f>
        <v>GEN</v>
      </c>
      <c r="J13" s="95" t="str">
        <f>IF('Marks Entry'!K13="","",'Marks Entry'!K13)</f>
        <v>F</v>
      </c>
      <c r="K13" s="68">
        <f>IF('Marks Entry'!L13="","",'Marks Entry'!L13)</f>
        <v>8</v>
      </c>
      <c r="L13" s="68" t="str">
        <f>IF('Marks Entry'!M13="","",'Marks Entry'!M13)</f>
        <v>ML</v>
      </c>
      <c r="M13" s="68">
        <f>IF('Marks Entry'!N13="","",'Marks Entry'!N13)</f>
        <v>8</v>
      </c>
      <c r="N13" s="514">
        <f t="shared" si="83"/>
        <v>16</v>
      </c>
      <c r="O13" s="68">
        <f>IF('Marks Entry'!O13="","",'Marks Entry'!O13)</f>
        <v>46</v>
      </c>
      <c r="P13" s="515">
        <f t="shared" si="84"/>
        <v>62</v>
      </c>
      <c r="Q13" s="68">
        <f>IF('Marks Entry'!P13="","",'Marks Entry'!P13)</f>
        <v>65</v>
      </c>
      <c r="R13" s="96">
        <f t="shared" si="85"/>
        <v>127</v>
      </c>
      <c r="S13" s="65">
        <f t="shared" si="86"/>
        <v>0</v>
      </c>
      <c r="T13" s="65">
        <f t="shared" si="87"/>
        <v>10</v>
      </c>
      <c r="U13" s="66">
        <f t="shared" si="88"/>
        <v>190</v>
      </c>
      <c r="V13" s="65" t="str">
        <f t="shared" si="89"/>
        <v/>
      </c>
      <c r="W13" s="65" t="str">
        <f t="shared" si="90"/>
        <v>P</v>
      </c>
      <c r="X13" s="65" t="str">
        <f t="shared" si="91"/>
        <v>I</v>
      </c>
      <c r="Y13" s="68">
        <f>IF('Marks Entry'!Q13="","",'Marks Entry'!Q13)</f>
        <v>8</v>
      </c>
      <c r="Z13" s="68">
        <f>IF('Marks Entry'!R13="","",'Marks Entry'!R13)</f>
        <v>9</v>
      </c>
      <c r="AA13" s="68">
        <f>IF('Marks Entry'!S13="","",'Marks Entry'!S13)</f>
        <v>9</v>
      </c>
      <c r="AB13" s="514">
        <f t="shared" si="2"/>
        <v>26</v>
      </c>
      <c r="AC13" s="68">
        <f>IF('Marks Entry'!T13="","",'Marks Entry'!T13)</f>
        <v>60</v>
      </c>
      <c r="AD13" s="515">
        <f t="shared" si="3"/>
        <v>86</v>
      </c>
      <c r="AE13" s="68">
        <f>IF('Marks Entry'!U13="","",'Marks Entry'!U13)</f>
        <v>60</v>
      </c>
      <c r="AF13" s="96">
        <f t="shared" si="4"/>
        <v>146</v>
      </c>
      <c r="AG13" s="65">
        <f t="shared" si="5"/>
        <v>0</v>
      </c>
      <c r="AH13" s="65">
        <f t="shared" si="6"/>
        <v>0</v>
      </c>
      <c r="AI13" s="66">
        <f t="shared" si="7"/>
        <v>200</v>
      </c>
      <c r="AJ13" s="65" t="str">
        <f t="shared" si="8"/>
        <v/>
      </c>
      <c r="AK13" s="65" t="str">
        <f t="shared" si="9"/>
        <v>P</v>
      </c>
      <c r="AL13" s="65" t="str">
        <f t="shared" si="10"/>
        <v>I</v>
      </c>
      <c r="AM13" s="524" t="str">
        <f>IF('Marks Entry'!V13="","",IF('Marks Entry'!V13=1,'School Profile'!$I$9,IF('Marks Entry'!V13=2,'School Profile'!$I$10,IF('Marks Entry'!V13=3,'School Profile'!$I$11,IF('Marks Entry'!V13=4,'School Profile'!$I$12,IF('Marks Entry'!V13=5,'School Profile'!$I$13,IF('Marks Entry'!V13=6,'School Profile'!$I$14,"")))))))</f>
        <v>गुजराती (73)</v>
      </c>
      <c r="AN13" s="68">
        <f>IF('Marks Entry'!W13="","",'Marks Entry'!W13)</f>
        <v>8</v>
      </c>
      <c r="AO13" s="68">
        <f>IF('Marks Entry'!X13="","",'Marks Entry'!X13)</f>
        <v>9</v>
      </c>
      <c r="AP13" s="68">
        <f>IF('Marks Entry'!Y13="","",'Marks Entry'!Y13)</f>
        <v>8</v>
      </c>
      <c r="AQ13" s="514">
        <f t="shared" si="11"/>
        <v>25</v>
      </c>
      <c r="AR13" s="68">
        <f>IF('Marks Entry'!Z13="","",'Marks Entry'!Z13)</f>
        <v>46</v>
      </c>
      <c r="AS13" s="515">
        <f t="shared" si="12"/>
        <v>71</v>
      </c>
      <c r="AT13" s="68">
        <f>IF('Marks Entry'!AA13="","",'Marks Entry'!AA13)</f>
        <v>45</v>
      </c>
      <c r="AU13" s="96">
        <f t="shared" si="13"/>
        <v>116</v>
      </c>
      <c r="AV13" s="65">
        <f t="shared" si="14"/>
        <v>0</v>
      </c>
      <c r="AW13" s="65">
        <f t="shared" si="15"/>
        <v>0</v>
      </c>
      <c r="AX13" s="66">
        <f t="shared" si="16"/>
        <v>200</v>
      </c>
      <c r="AY13" s="65" t="str">
        <f t="shared" si="17"/>
        <v/>
      </c>
      <c r="AZ13" s="65" t="str">
        <f t="shared" si="18"/>
        <v>P</v>
      </c>
      <c r="BA13" s="65" t="str">
        <f t="shared" si="19"/>
        <v>II</v>
      </c>
      <c r="BB13" s="68">
        <f>IF('Marks Entry'!AB13="","",'Marks Entry'!AB13)</f>
        <v>4</v>
      </c>
      <c r="BC13" s="68">
        <f>IF('Marks Entry'!AC13="","",'Marks Entry'!AC13)</f>
        <v>4</v>
      </c>
      <c r="BD13" s="68">
        <f>IF('Marks Entry'!AD13="","",'Marks Entry'!AD13)</f>
        <v>9</v>
      </c>
      <c r="BE13" s="514">
        <f t="shared" si="20"/>
        <v>17</v>
      </c>
      <c r="BF13" s="68">
        <f>IF('Marks Entry'!AE13="","",'Marks Entry'!AE13)</f>
        <v>9</v>
      </c>
      <c r="BG13" s="515">
        <f t="shared" si="21"/>
        <v>26</v>
      </c>
      <c r="BH13" s="68">
        <f>IF('Marks Entry'!AF13="","",'Marks Entry'!AF13)</f>
        <v>34</v>
      </c>
      <c r="BI13" s="96">
        <f t="shared" si="22"/>
        <v>60</v>
      </c>
      <c r="BJ13" s="65">
        <f t="shared" si="23"/>
        <v>0</v>
      </c>
      <c r="BK13" s="65">
        <f t="shared" si="92"/>
        <v>0</v>
      </c>
      <c r="BL13" s="66">
        <f t="shared" si="24"/>
        <v>200</v>
      </c>
      <c r="BM13" s="65" t="str">
        <f t="shared" si="25"/>
        <v/>
      </c>
      <c r="BN13" s="65" t="str">
        <f t="shared" si="26"/>
        <v>S</v>
      </c>
      <c r="BO13" s="65" t="str">
        <f t="shared" si="27"/>
        <v>S</v>
      </c>
      <c r="BP13" s="68">
        <f>IF('Marks Entry'!AG13="","",'Marks Entry'!AG13)</f>
        <v>8</v>
      </c>
      <c r="BQ13" s="68">
        <f>IF('Marks Entry'!AH13="","",'Marks Entry'!AH13)</f>
        <v>9</v>
      </c>
      <c r="BR13" s="68">
        <f>IF('Marks Entry'!AI13="","",'Marks Entry'!AI13)</f>
        <v>10</v>
      </c>
      <c r="BS13" s="514">
        <f t="shared" si="28"/>
        <v>27</v>
      </c>
      <c r="BT13" s="68">
        <f>IF('Marks Entry'!AJ13="","",'Marks Entry'!AJ13)</f>
        <v>46</v>
      </c>
      <c r="BU13" s="515">
        <f t="shared" si="29"/>
        <v>73</v>
      </c>
      <c r="BV13" s="68">
        <f>IF('Marks Entry'!AK13="","",'Marks Entry'!AK13)</f>
        <v>45</v>
      </c>
      <c r="BW13" s="96">
        <f t="shared" si="30"/>
        <v>118</v>
      </c>
      <c r="BX13" s="65">
        <f t="shared" si="31"/>
        <v>0</v>
      </c>
      <c r="BY13" s="65">
        <f t="shared" si="32"/>
        <v>0</v>
      </c>
      <c r="BZ13" s="66">
        <f t="shared" si="33"/>
        <v>200</v>
      </c>
      <c r="CA13" s="65" t="str">
        <f t="shared" si="34"/>
        <v/>
      </c>
      <c r="CB13" s="65" t="str">
        <f t="shared" si="35"/>
        <v>P</v>
      </c>
      <c r="CC13" s="65" t="str">
        <f t="shared" si="36"/>
        <v>II</v>
      </c>
      <c r="CD13" s="66">
        <f t="shared" si="93"/>
        <v>10</v>
      </c>
      <c r="CE13" s="68">
        <f>IF('Marks Entry'!AL13="","",'Marks Entry'!AL13)</f>
        <v>10</v>
      </c>
      <c r="CF13" s="68">
        <f>IF('Marks Entry'!AM13="","",'Marks Entry'!AM13)</f>
        <v>10</v>
      </c>
      <c r="CG13" s="68">
        <f>IF('Marks Entry'!AN13="","",'Marks Entry'!AN13)</f>
        <v>10</v>
      </c>
      <c r="CH13" s="514">
        <f t="shared" si="37"/>
        <v>30</v>
      </c>
      <c r="CI13" s="68">
        <f>IF('Marks Entry'!AO13="","",'Marks Entry'!AO13)</f>
        <v>46</v>
      </c>
      <c r="CJ13" s="515">
        <f t="shared" si="38"/>
        <v>76</v>
      </c>
      <c r="CK13" s="68">
        <f>IF('Marks Entry'!AP13="","",'Marks Entry'!AP13)</f>
        <v>45</v>
      </c>
      <c r="CL13" s="96">
        <f t="shared" si="39"/>
        <v>121</v>
      </c>
      <c r="CM13" s="65">
        <f t="shared" si="40"/>
        <v>0</v>
      </c>
      <c r="CN13" s="65">
        <f t="shared" si="41"/>
        <v>0</v>
      </c>
      <c r="CO13" s="66">
        <f t="shared" si="42"/>
        <v>200</v>
      </c>
      <c r="CP13" s="65" t="str">
        <f t="shared" si="43"/>
        <v/>
      </c>
      <c r="CQ13" s="65" t="str">
        <f t="shared" si="44"/>
        <v>P</v>
      </c>
      <c r="CR13" s="65" t="str">
        <f t="shared" si="45"/>
        <v>I</v>
      </c>
      <c r="CS13" s="616"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8" t="str">
        <f>IF('School Profile'!$D$20="NO","",IF('Marks Entry'!AR13="","",'Marks Entry'!AR13))</f>
        <v/>
      </c>
      <c r="CU13" s="68" t="str">
        <f>IF('School Profile'!$D$20="NO","",IF('Marks Entry'!AS13="","",'Marks Entry'!AS13))</f>
        <v/>
      </c>
      <c r="CV13" s="68" t="str">
        <f>IF('School Profile'!$D$20="NO","",IF('Marks Entry'!AT13="","",'Marks Entry'!AT13))</f>
        <v/>
      </c>
      <c r="CW13" s="514" t="str">
        <f>IF('School Profile'!$D$20="NO","",IF(AND(CT13="",CU13="",CV13=""),"",SUM(CT13:CV13)))</f>
        <v/>
      </c>
      <c r="CX13" s="68" t="str">
        <f>IF('School Profile'!$D$20="NO","",IF('Marks Entry'!AU13="","",'Marks Entry'!AU13))</f>
        <v/>
      </c>
      <c r="CY13" s="68" t="str">
        <f>IF('School Profile'!$D$20="NO","",IF('Marks Entry'!AV13="","",'Marks Entry'!AV13))</f>
        <v/>
      </c>
      <c r="CZ13" s="515" t="str">
        <f>IF('School Profile'!$D$20="NO","",IF(AND(CX13="",CY13=""),"",SUM(CX13,CY13)))</f>
        <v/>
      </c>
      <c r="DA13" s="69" t="str">
        <f>IF('School Profile'!$D$20="NO","",IF(AND(CW13="",CZ13=""),"",SUM(CW13+CZ13)))</f>
        <v/>
      </c>
      <c r="DB13" s="68" t="str">
        <f>IF('School Profile'!$D$20="NO","",IF('Marks Entry'!AW13="","",'Marks Entry'!AW13))</f>
        <v/>
      </c>
      <c r="DC13" s="68" t="str">
        <f>IF('School Profile'!$D$20="NO","",IF('Marks Entry'!AX13="","",'Marks Entry'!AX13))</f>
        <v/>
      </c>
      <c r="DD13" s="515" t="str">
        <f>IF('School Profile'!$D$20="NO","",IF(AND(DB13="",DC13=""),"",SUM(DB13,DC13)))</f>
        <v/>
      </c>
      <c r="DE13" s="96" t="str">
        <f>IF('School Profile'!$D$20="NO","",IF(AND(DA13="",DD13=""),"",SUM(DA13,DD13)))</f>
        <v/>
      </c>
      <c r="DF13" s="532">
        <f t="shared" si="46"/>
        <v>0</v>
      </c>
      <c r="DG13" s="65">
        <f t="shared" si="47"/>
        <v>0</v>
      </c>
      <c r="DH13" s="66" t="str">
        <f t="shared" si="48"/>
        <v/>
      </c>
      <c r="DI13" s="65" t="str">
        <f t="shared" si="49"/>
        <v/>
      </c>
      <c r="DJ13" s="65" t="str">
        <f t="shared" si="50"/>
        <v/>
      </c>
      <c r="DK13" s="65" t="str">
        <f t="shared" si="51"/>
        <v/>
      </c>
      <c r="DL13" s="97" t="str">
        <f t="shared" si="94"/>
        <v>I</v>
      </c>
      <c r="DM13" s="97" t="str">
        <f t="shared" si="95"/>
        <v>I</v>
      </c>
      <c r="DN13" s="97" t="str">
        <f t="shared" si="96"/>
        <v>II</v>
      </c>
      <c r="DO13" s="97" t="str">
        <f t="shared" si="97"/>
        <v>S</v>
      </c>
      <c r="DP13" s="97" t="str">
        <f t="shared" si="98"/>
        <v>II</v>
      </c>
      <c r="DQ13" s="97" t="str">
        <f t="shared" si="99"/>
        <v>I</v>
      </c>
      <c r="DR13" s="97" t="str">
        <f t="shared" si="100"/>
        <v/>
      </c>
      <c r="DS13" s="98">
        <f t="shared" si="101"/>
        <v>0</v>
      </c>
      <c r="DT13" s="98">
        <f t="shared" si="102"/>
        <v>1</v>
      </c>
      <c r="DU13" s="98">
        <f t="shared" si="103"/>
        <v>0</v>
      </c>
      <c r="DV13" s="98">
        <f t="shared" si="104"/>
        <v>0</v>
      </c>
      <c r="DW13" s="98">
        <f t="shared" si="105"/>
        <v>0</v>
      </c>
      <c r="DX13" s="98" t="str">
        <f t="shared" si="106"/>
        <v/>
      </c>
      <c r="DY13" s="99" t="str">
        <f t="shared" si="107"/>
        <v>SUPPLEMENTARY</v>
      </c>
      <c r="DZ13" s="74">
        <f>IF('Marks Entry'!AY13="","",'Marks Entry'!AY13)</f>
        <v>9</v>
      </c>
      <c r="EA13" s="74">
        <f>IF('Marks Entry'!AZ13="","",'Marks Entry'!AZ13)</f>
        <v>9</v>
      </c>
      <c r="EB13" s="74">
        <f>IF('Marks Entry'!BA13="","",'Marks Entry'!BA13)</f>
        <v>9</v>
      </c>
      <c r="EC13" s="527">
        <f t="shared" si="52"/>
        <v>27</v>
      </c>
      <c r="ED13" s="74">
        <f>IF('Marks Entry'!BB13="","",'Marks Entry'!BB13)</f>
        <v>66</v>
      </c>
      <c r="EE13" s="528">
        <f t="shared" si="53"/>
        <v>93</v>
      </c>
      <c r="EF13" s="74">
        <f>IF('Marks Entry'!BC13="","",'Marks Entry'!BC13)</f>
        <v>91</v>
      </c>
      <c r="EG13" s="530">
        <f t="shared" si="54"/>
        <v>184</v>
      </c>
      <c r="EH13" s="368" t="str">
        <f t="shared" si="108"/>
        <v>A</v>
      </c>
      <c r="EI13" s="65">
        <f t="shared" si="109"/>
        <v>0</v>
      </c>
      <c r="EJ13" s="65">
        <f t="shared" si="110"/>
        <v>0</v>
      </c>
      <c r="EK13" s="66">
        <f t="shared" si="111"/>
        <v>200</v>
      </c>
      <c r="EL13" s="74">
        <f>IF('Marks Entry'!BD13="","",'Marks Entry'!BD13)</f>
        <v>8</v>
      </c>
      <c r="EM13" s="74">
        <f>IF('Marks Entry'!BE13="","",'Marks Entry'!BE13)</f>
        <v>8</v>
      </c>
      <c r="EN13" s="74">
        <f>IF('Marks Entry'!BF13="","",'Marks Entry'!BF13)</f>
        <v>8</v>
      </c>
      <c r="EO13" s="527">
        <f t="shared" si="55"/>
        <v>24</v>
      </c>
      <c r="EP13" s="74">
        <f>IF('Marks Entry'!BG13="","",'Marks Entry'!BG13)</f>
        <v>40</v>
      </c>
      <c r="EQ13" s="74">
        <f>IF('Marks Entry'!BH13="","",'Marks Entry'!BH13)</f>
        <v>17</v>
      </c>
      <c r="ER13" s="528">
        <f t="shared" si="56"/>
        <v>57</v>
      </c>
      <c r="ES13" s="529">
        <f t="shared" si="57"/>
        <v>81</v>
      </c>
      <c r="ET13" s="74">
        <f>IF('Marks Entry'!BI13="","",'Marks Entry'!BI13)</f>
        <v>60</v>
      </c>
      <c r="EU13" s="74">
        <f>IF('Marks Entry'!BJ13="","",'Marks Entry'!BJ13)</f>
        <v>27</v>
      </c>
      <c r="EV13" s="528">
        <f t="shared" si="58"/>
        <v>87</v>
      </c>
      <c r="EW13" s="530">
        <f t="shared" si="59"/>
        <v>168</v>
      </c>
      <c r="EX13" s="368" t="str">
        <f t="shared" si="112"/>
        <v>A</v>
      </c>
      <c r="EY13" s="65">
        <f t="shared" si="113"/>
        <v>0</v>
      </c>
      <c r="EZ13" s="65">
        <f t="shared" si="114"/>
        <v>0</v>
      </c>
      <c r="FA13" s="66">
        <f t="shared" si="115"/>
        <v>200</v>
      </c>
      <c r="FB13" s="74">
        <f>IF('Marks Entry'!BK13="","",'Marks Entry'!BK13)</f>
        <v>9</v>
      </c>
      <c r="FC13" s="74">
        <f>IF('Marks Entry'!BL13="","",'Marks Entry'!BL13)</f>
        <v>7</v>
      </c>
      <c r="FD13" s="74">
        <f>IF('Marks Entry'!BM13="","",'Marks Entry'!BM13)</f>
        <v>9</v>
      </c>
      <c r="FE13" s="74">
        <f>IF('Marks Entry'!BN13="","",'Marks Entry'!BN13)</f>
        <v>6</v>
      </c>
      <c r="FF13" s="74">
        <f>IF('Marks Entry'!BO13="","",'Marks Entry'!BO13)</f>
        <v>9</v>
      </c>
      <c r="FG13" s="74">
        <f>IF('Marks Entry'!BP13="","",'Marks Entry'!BP13)</f>
        <v>14</v>
      </c>
      <c r="FH13" s="527">
        <f t="shared" si="60"/>
        <v>54</v>
      </c>
      <c r="FI13" s="74">
        <f>IF('Marks Entry'!BQ13="","",'Marks Entry'!BQ13)</f>
        <v>21</v>
      </c>
      <c r="FJ13" s="74">
        <f>IF('Marks Entry'!BR13="","",'Marks Entry'!BR13)</f>
        <v>12</v>
      </c>
      <c r="FK13" s="528">
        <f t="shared" si="61"/>
        <v>33</v>
      </c>
      <c r="FL13" s="529">
        <f t="shared" si="62"/>
        <v>87</v>
      </c>
      <c r="FM13" s="74">
        <f>IF('Marks Entry'!BS13="","",'Marks Entry'!BS13)</f>
        <v>27</v>
      </c>
      <c r="FN13" s="74">
        <f>IF('Marks Entry'!BT13="","",'Marks Entry'!BT13)</f>
        <v>57</v>
      </c>
      <c r="FO13" s="528">
        <f t="shared" si="63"/>
        <v>84</v>
      </c>
      <c r="FP13" s="530">
        <f t="shared" si="64"/>
        <v>171</v>
      </c>
      <c r="FQ13" s="368" t="str">
        <f t="shared" si="116"/>
        <v>A</v>
      </c>
      <c r="FR13" s="65">
        <f t="shared" si="117"/>
        <v>0</v>
      </c>
      <c r="FS13" s="65">
        <f t="shared" si="118"/>
        <v>0</v>
      </c>
      <c r="FT13" s="66">
        <f t="shared" si="119"/>
        <v>200</v>
      </c>
      <c r="FU13" s="74">
        <f>IF('Marks Entry'!BU13="","",'Marks Entry'!BU13)</f>
        <v>20</v>
      </c>
      <c r="FV13" s="74">
        <f>IF('Marks Entry'!BV13="","",'Marks Entry'!BV13)</f>
        <v>40</v>
      </c>
      <c r="FW13" s="74">
        <f>IF('Marks Entry'!BW13="","",'Marks Entry'!BW13)</f>
        <v>20</v>
      </c>
      <c r="FX13" s="75">
        <f t="shared" si="65"/>
        <v>80</v>
      </c>
      <c r="FY13" s="368" t="str">
        <f t="shared" si="120"/>
        <v>B</v>
      </c>
      <c r="FZ13" s="65">
        <f t="shared" si="121"/>
        <v>0</v>
      </c>
      <c r="GA13" s="66">
        <f t="shared" si="122"/>
        <v>0</v>
      </c>
      <c r="GB13" s="66">
        <f t="shared" si="123"/>
        <v>100</v>
      </c>
      <c r="GC13" s="74">
        <f>IF('Marks Entry'!BX13="","",'Marks Entry'!BX13)</f>
        <v>20</v>
      </c>
      <c r="GD13" s="74">
        <f>IF('Marks Entry'!BY13="","",'Marks Entry'!BY13)</f>
        <v>54</v>
      </c>
      <c r="GE13" s="74">
        <f>IF('Marks Entry'!BZ13="","",'Marks Entry'!BZ13)</f>
        <v>14</v>
      </c>
      <c r="GF13" s="75">
        <f t="shared" si="124"/>
        <v>88</v>
      </c>
      <c r="GG13" s="368" t="str">
        <f t="shared" si="125"/>
        <v>A</v>
      </c>
      <c r="GH13" s="65">
        <f t="shared" si="126"/>
        <v>0</v>
      </c>
      <c r="GI13" s="66">
        <f t="shared" si="127"/>
        <v>0</v>
      </c>
      <c r="GJ13" s="66">
        <f t="shared" si="128"/>
        <v>100</v>
      </c>
      <c r="GK13" s="100" t="str">
        <f>IF(AND(F13="",B13=""),"",IF('Student DATA Entry'!M10="","",'Student DATA Entry'!M10))</f>
        <v/>
      </c>
      <c r="GL13" s="101" t="str">
        <f>IF(AND(B13="",F13=""),"",IF('Student DATA Entry'!N10="","",'Student DATA Entry'!N10))</f>
        <v/>
      </c>
      <c r="GM13" s="581" t="str">
        <f t="shared" si="129"/>
        <v/>
      </c>
      <c r="GN13" s="94" t="str">
        <f t="shared" si="130"/>
        <v>I</v>
      </c>
      <c r="GO13" s="94" t="str">
        <f t="shared" si="131"/>
        <v/>
      </c>
      <c r="GP13" s="102" t="str">
        <f t="shared" si="67"/>
        <v/>
      </c>
      <c r="GQ13" s="94" t="str">
        <f t="shared" si="132"/>
        <v>I</v>
      </c>
      <c r="GR13" s="103" t="str">
        <f t="shared" si="133"/>
        <v/>
      </c>
      <c r="GS13" s="102" t="str">
        <f t="shared" si="68"/>
        <v/>
      </c>
      <c r="GT13" s="104" t="str">
        <f t="shared" si="134"/>
        <v>II</v>
      </c>
      <c r="GU13" s="94" t="str">
        <f>IF('Marks Entry'!V13=1,GT13,"")</f>
        <v/>
      </c>
      <c r="GV13" s="94" t="str">
        <f>IF('Marks Entry'!V13=2,GT13,"")</f>
        <v/>
      </c>
      <c r="GW13" s="94" t="str">
        <f>IF('Marks Entry'!V13=3,GT13,"")</f>
        <v>II</v>
      </c>
      <c r="GX13" s="94" t="str">
        <f>IF('Marks Entry'!V13=4,GT13,"")</f>
        <v/>
      </c>
      <c r="GY13" s="94" t="str">
        <f>IF('Marks Entry'!V13=5,GT13,"")</f>
        <v/>
      </c>
      <c r="GZ13" s="94" t="str">
        <f t="shared" si="135"/>
        <v/>
      </c>
      <c r="HA13" s="105" t="str">
        <f t="shared" si="69"/>
        <v/>
      </c>
      <c r="HB13" s="94" t="str">
        <f t="shared" si="136"/>
        <v>S</v>
      </c>
      <c r="HC13" s="94" t="str">
        <f t="shared" si="137"/>
        <v/>
      </c>
      <c r="HD13" s="105" t="str">
        <f t="shared" si="70"/>
        <v/>
      </c>
      <c r="HE13" s="94" t="str">
        <f t="shared" si="138"/>
        <v>II</v>
      </c>
      <c r="HF13" s="94" t="str">
        <f t="shared" si="139"/>
        <v/>
      </c>
      <c r="HG13" s="105" t="str">
        <f t="shared" si="71"/>
        <v/>
      </c>
      <c r="HH13" s="94" t="str">
        <f t="shared" si="140"/>
        <v>I</v>
      </c>
      <c r="HI13" s="94" t="str">
        <f t="shared" si="141"/>
        <v/>
      </c>
      <c r="HJ13" s="105" t="str">
        <f t="shared" si="72"/>
        <v/>
      </c>
      <c r="HK13" s="94" t="str">
        <f t="shared" si="142"/>
        <v/>
      </c>
      <c r="HL13" s="94" t="str">
        <f t="shared" si="143"/>
        <v/>
      </c>
      <c r="HM13" s="105" t="str">
        <f t="shared" si="73"/>
        <v/>
      </c>
      <c r="HN13" s="367" t="str">
        <f t="shared" si="144"/>
        <v xml:space="preserve">      </v>
      </c>
      <c r="HO13" s="418" t="str">
        <f t="shared" si="145"/>
        <v xml:space="preserve">   गणित   </v>
      </c>
      <c r="HP13" s="367" t="str">
        <f t="shared" si="146"/>
        <v xml:space="preserve">      </v>
      </c>
      <c r="HQ13" s="107" t="str">
        <f t="shared" si="147"/>
        <v xml:space="preserve">      </v>
      </c>
      <c r="HR13" s="366" t="str">
        <f t="shared" si="148"/>
        <v xml:space="preserve">      </v>
      </c>
      <c r="HS13" s="544" t="str">
        <f t="shared" si="74"/>
        <v>SUPPLEMENTARY</v>
      </c>
      <c r="HT13" s="542">
        <f t="shared" si="149"/>
        <v>688</v>
      </c>
      <c r="HU13" s="541">
        <f t="shared" si="160"/>
        <v>57.815126050420169</v>
      </c>
      <c r="HV13" s="540" t="str">
        <f t="shared" si="150"/>
        <v/>
      </c>
      <c r="HW13" s="537" t="str">
        <f t="shared" si="151"/>
        <v/>
      </c>
      <c r="HX13" s="539" t="str">
        <f t="shared" si="152"/>
        <v/>
      </c>
      <c r="HY13" s="553" t="str">
        <f>IFERROR(IF(OR(HS13="SUPPLEMENTARY",HS13="RE-EXAM"),'Supp. Result Entry'!AQ11,""),"")</f>
        <v>PASS</v>
      </c>
      <c r="HZ13" s="538">
        <f t="shared" si="153"/>
        <v>60.363636363636367</v>
      </c>
      <c r="IA13" s="415" t="str">
        <f t="shared" si="154"/>
        <v>I</v>
      </c>
      <c r="IB13" s="415" t="str">
        <f>IF(AND(HZ13="",IA13=""),"",IF(OR(HS13="SUPPLEMENTARY",HS13="RE-EXAM"),'Supp. Result Entry'!AQ11,HS13))</f>
        <v>PASS</v>
      </c>
      <c r="IC13" s="87"/>
      <c r="IS13" s="109" t="str">
        <f>IF('Supp. Result Entry'!T11="","",'Supp. Result Entry'!$T$4)</f>
        <v/>
      </c>
      <c r="IT13" s="110" t="str">
        <f>IF('Supp. Result Entry'!W11="","",'Supp. Result Entry'!$W$4)</f>
        <v/>
      </c>
      <c r="IU13" s="110" t="str">
        <f>IF('Supp. Result Entry'!Z11="","",'Supp. Result Entry'!$Z$4)</f>
        <v/>
      </c>
      <c r="IV13" s="110">
        <f>IF('Supp. Result Entry'!AC11="","",'Supp. Result Entry'!$AC$4)</f>
        <v>100</v>
      </c>
      <c r="IW13" s="110" t="str">
        <f>IF('Supp. Result Entry'!AF11="","",'Supp. Result Entry'!$AF$4)</f>
        <v/>
      </c>
      <c r="IX13" s="110" t="str">
        <f>IF('Supp. Result Entry'!AI11="","",'Supp. Result Entry'!$AI$4)</f>
        <v/>
      </c>
      <c r="IY13" s="110" t="str">
        <f>IF('Supp. Result Entry'!AI11="","",'Supp. Result Entry'!$AL$4)</f>
        <v/>
      </c>
      <c r="IZ13" s="110" t="str">
        <f>IF('Supp. Result Entry'!U11="","",'Supp. Result Entry'!U11)</f>
        <v/>
      </c>
      <c r="JA13" s="110" t="str">
        <f>IF('Supp. Result Entry'!X11="","",'Supp. Result Entry'!X11)</f>
        <v/>
      </c>
      <c r="JB13" s="110" t="str">
        <f>IF('Supp. Result Entry'!AA11="","",'Supp. Result Entry'!AA11)</f>
        <v/>
      </c>
      <c r="JC13" s="110">
        <f>IF('Supp. Result Entry'!AD11="","",'Supp. Result Entry'!AD11)</f>
        <v>36</v>
      </c>
      <c r="JD13" s="110" t="str">
        <f>IF('Supp. Result Entry'!AG11="","",'Supp. Result Entry'!AG11)</f>
        <v/>
      </c>
      <c r="JE13" s="110" t="str">
        <f>IF('Supp. Result Entry'!AJ11="","",'Supp. Result Entry'!AJ11)</f>
        <v/>
      </c>
      <c r="JF13" s="110" t="str">
        <f>IF('Supp. Result Entry'!AM11="","",'Supp. Result Entry'!AM11)</f>
        <v/>
      </c>
      <c r="JG13" s="110" t="str">
        <f>IF('Supp. Result Entry'!V11="","",'Supp. Result Entry'!V11)</f>
        <v/>
      </c>
      <c r="JH13" s="110" t="str">
        <f>IF('Supp. Result Entry'!Y11="","",'Supp. Result Entry'!Y11)</f>
        <v/>
      </c>
      <c r="JI13" s="110" t="str">
        <f>IF('Supp. Result Entry'!AB11="","",'Supp. Result Entry'!AB11)</f>
        <v/>
      </c>
      <c r="JJ13" s="110" t="str">
        <f>IF('Supp. Result Entry'!AE11="","",'Supp. Result Entry'!AE11)</f>
        <v>P</v>
      </c>
      <c r="JK13" s="110" t="str">
        <f>IF('Supp. Result Entry'!AH11="","",'Supp. Result Entry'!AH11)</f>
        <v/>
      </c>
      <c r="JL13" s="110" t="str">
        <f>IF('Supp. Result Entry'!AK11="","",'Supp. Result Entry'!AK11)</f>
        <v/>
      </c>
      <c r="JM13" s="110" t="str">
        <f>IF('Supp. Result Entry'!AN11="","",'Supp. Result Entry'!AN11)</f>
        <v/>
      </c>
      <c r="JN13" s="110">
        <f>COUNTIF('Supp. Result Entry'!K11:Q11,"S")</f>
        <v>1</v>
      </c>
      <c r="JO13" s="110">
        <f t="shared" si="155"/>
        <v>0</v>
      </c>
      <c r="JP13" s="110">
        <f>COUNTIF(JG13:JM13,"P")</f>
        <v>1</v>
      </c>
      <c r="JQ13" s="110">
        <f t="shared" si="75"/>
        <v>127</v>
      </c>
      <c r="JR13" s="110">
        <f t="shared" si="76"/>
        <v>146</v>
      </c>
      <c r="JS13" s="110">
        <f t="shared" si="77"/>
        <v>116</v>
      </c>
      <c r="JT13" s="110">
        <f t="shared" si="78"/>
        <v>36</v>
      </c>
      <c r="JU13" s="110">
        <f t="shared" si="79"/>
        <v>118</v>
      </c>
      <c r="JV13" s="110">
        <f t="shared" si="80"/>
        <v>121</v>
      </c>
      <c r="JW13" s="110" t="str">
        <f t="shared" si="81"/>
        <v/>
      </c>
      <c r="JX13" s="110">
        <f t="shared" si="157"/>
        <v>664</v>
      </c>
      <c r="JY13" s="110">
        <f>IF(OR(JN13=0,JN13&lt;JP13),"",JX13/JZ13*100)</f>
        <v>60.363636363636367</v>
      </c>
      <c r="JZ13" s="110">
        <f t="shared" si="82"/>
        <v>1100</v>
      </c>
      <c r="KA13" s="108" t="str">
        <f t="shared" si="159"/>
        <v>I</v>
      </c>
    </row>
    <row r="14" spans="1:287" s="108" customFormat="1" ht="21.95" customHeight="1">
      <c r="A14" s="89">
        <v>8</v>
      </c>
      <c r="B14" s="90">
        <f>IF('Marks Entry'!B14="","",'Marks Entry'!B14)</f>
        <v>908</v>
      </c>
      <c r="C14" s="94" t="str">
        <f>IF('Marks Entry'!D14="","",'Marks Entry'!D14)</f>
        <v>A</v>
      </c>
      <c r="D14" s="91" t="str">
        <f>IF('Marks Entry'!E14="","",'Marks Entry'!E14)</f>
        <v/>
      </c>
      <c r="E14" s="92">
        <f>IF('Marks Entry'!F14="","",'Marks Entry'!F14)</f>
        <v>40282</v>
      </c>
      <c r="F14" s="93" t="str">
        <f>IF('Marks Entry'!G14="","",'Marks Entry'!G14)</f>
        <v>SITA</v>
      </c>
      <c r="G14" s="93" t="str">
        <f>IF('Marks Entry'!H14="","",'Marks Entry'!H14)</f>
        <v/>
      </c>
      <c r="H14" s="93" t="str">
        <f>IF('Marks Entry'!I14="","",'Marks Entry'!I14)</f>
        <v/>
      </c>
      <c r="I14" s="94" t="str">
        <f>IF('Marks Entry'!J14="","",'Marks Entry'!J14)</f>
        <v>MIN</v>
      </c>
      <c r="J14" s="95" t="str">
        <f>IF('Marks Entry'!K14="","",'Marks Entry'!K14)</f>
        <v>F</v>
      </c>
      <c r="K14" s="68">
        <f>IF('Marks Entry'!L14="","",'Marks Entry'!L14)</f>
        <v>8</v>
      </c>
      <c r="L14" s="68">
        <f>IF('Marks Entry'!M14="","",'Marks Entry'!M14)</f>
        <v>9</v>
      </c>
      <c r="M14" s="68">
        <f>IF('Marks Entry'!N14="","",'Marks Entry'!N14)</f>
        <v>9</v>
      </c>
      <c r="N14" s="514">
        <f t="shared" si="83"/>
        <v>26</v>
      </c>
      <c r="O14" s="68">
        <f>IF('Marks Entry'!O14="","",'Marks Entry'!O14)</f>
        <v>46</v>
      </c>
      <c r="P14" s="515">
        <f t="shared" si="84"/>
        <v>72</v>
      </c>
      <c r="Q14" s="68">
        <f>IF('Marks Entry'!P14="","",'Marks Entry'!P14)</f>
        <v>65</v>
      </c>
      <c r="R14" s="96">
        <f t="shared" si="85"/>
        <v>137</v>
      </c>
      <c r="S14" s="65">
        <f t="shared" si="86"/>
        <v>0</v>
      </c>
      <c r="T14" s="65">
        <f t="shared" si="87"/>
        <v>0</v>
      </c>
      <c r="U14" s="66">
        <f t="shared" si="88"/>
        <v>200</v>
      </c>
      <c r="V14" s="65" t="str">
        <f t="shared" si="89"/>
        <v/>
      </c>
      <c r="W14" s="65" t="str">
        <f t="shared" si="90"/>
        <v>P</v>
      </c>
      <c r="X14" s="65" t="str">
        <f t="shared" si="91"/>
        <v>I</v>
      </c>
      <c r="Y14" s="68">
        <f>IF('Marks Entry'!Q14="","",'Marks Entry'!Q14)</f>
        <v>8</v>
      </c>
      <c r="Z14" s="68">
        <f>IF('Marks Entry'!R14="","",'Marks Entry'!R14)</f>
        <v>9</v>
      </c>
      <c r="AA14" s="68">
        <f>IF('Marks Entry'!S14="","",'Marks Entry'!S14)</f>
        <v>9</v>
      </c>
      <c r="AB14" s="514">
        <f t="shared" si="2"/>
        <v>26</v>
      </c>
      <c r="AC14" s="68">
        <f>IF('Marks Entry'!T14="","",'Marks Entry'!T14)</f>
        <v>60</v>
      </c>
      <c r="AD14" s="515">
        <f t="shared" si="3"/>
        <v>86</v>
      </c>
      <c r="AE14" s="68">
        <f>IF('Marks Entry'!U14="","",'Marks Entry'!U14)</f>
        <v>95</v>
      </c>
      <c r="AF14" s="96">
        <f t="shared" si="4"/>
        <v>181</v>
      </c>
      <c r="AG14" s="65">
        <f t="shared" si="5"/>
        <v>0</v>
      </c>
      <c r="AH14" s="65">
        <f t="shared" si="6"/>
        <v>0</v>
      </c>
      <c r="AI14" s="66">
        <f t="shared" si="7"/>
        <v>200</v>
      </c>
      <c r="AJ14" s="65" t="str">
        <f t="shared" si="8"/>
        <v/>
      </c>
      <c r="AK14" s="65" t="str">
        <f t="shared" si="9"/>
        <v>P</v>
      </c>
      <c r="AL14" s="65" t="str">
        <f t="shared" si="10"/>
        <v>D</v>
      </c>
      <c r="AM14" s="524" t="str">
        <f>IF('Marks Entry'!V14="","",IF('Marks Entry'!V14=1,'School Profile'!$I$9,IF('Marks Entry'!V14=2,'School Profile'!$I$10,IF('Marks Entry'!V14=3,'School Profile'!$I$11,IF('Marks Entry'!V14=4,'School Profile'!$I$12,IF('Marks Entry'!V14=5,'School Profile'!$I$13,IF('Marks Entry'!V14=6,'School Profile'!$I$14,"")))))))</f>
        <v>गुजराती (73)</v>
      </c>
      <c r="AN14" s="68">
        <f>IF('Marks Entry'!W14="","",'Marks Entry'!W14)</f>
        <v>8</v>
      </c>
      <c r="AO14" s="68">
        <f>IF('Marks Entry'!X14="","",'Marks Entry'!X14)</f>
        <v>9</v>
      </c>
      <c r="AP14" s="68">
        <f>IF('Marks Entry'!Y14="","",'Marks Entry'!Y14)</f>
        <v>8</v>
      </c>
      <c r="AQ14" s="514">
        <f t="shared" si="11"/>
        <v>25</v>
      </c>
      <c r="AR14" s="68">
        <f>IF('Marks Entry'!Z14="","",'Marks Entry'!Z14)</f>
        <v>58</v>
      </c>
      <c r="AS14" s="515">
        <f t="shared" si="12"/>
        <v>83</v>
      </c>
      <c r="AT14" s="68">
        <f>IF('Marks Entry'!AA14="","",'Marks Entry'!AA14)</f>
        <v>95</v>
      </c>
      <c r="AU14" s="96">
        <f t="shared" si="13"/>
        <v>178</v>
      </c>
      <c r="AV14" s="65">
        <f t="shared" si="14"/>
        <v>0</v>
      </c>
      <c r="AW14" s="65">
        <f t="shared" si="15"/>
        <v>0</v>
      </c>
      <c r="AX14" s="66">
        <f t="shared" si="16"/>
        <v>200</v>
      </c>
      <c r="AY14" s="65" t="str">
        <f t="shared" si="17"/>
        <v/>
      </c>
      <c r="AZ14" s="65" t="str">
        <f t="shared" si="18"/>
        <v>P</v>
      </c>
      <c r="BA14" s="65" t="str">
        <f t="shared" si="19"/>
        <v>D</v>
      </c>
      <c r="BB14" s="68">
        <f>IF('Marks Entry'!AB14="","",'Marks Entry'!AB14)</f>
        <v>8</v>
      </c>
      <c r="BC14" s="68">
        <f>IF('Marks Entry'!AC14="","",'Marks Entry'!AC14)</f>
        <v>9</v>
      </c>
      <c r="BD14" s="68">
        <f>IF('Marks Entry'!AD14="","",'Marks Entry'!AD14)</f>
        <v>9</v>
      </c>
      <c r="BE14" s="514">
        <f t="shared" si="20"/>
        <v>26</v>
      </c>
      <c r="BF14" s="68">
        <f>IF('Marks Entry'!AE14="","",'Marks Entry'!AE14)</f>
        <v>46</v>
      </c>
      <c r="BG14" s="515">
        <f t="shared" si="21"/>
        <v>72</v>
      </c>
      <c r="BH14" s="68">
        <f>IF('Marks Entry'!AF14="","",'Marks Entry'!AF14)</f>
        <v>45</v>
      </c>
      <c r="BI14" s="96">
        <f t="shared" si="22"/>
        <v>117</v>
      </c>
      <c r="BJ14" s="65">
        <f t="shared" si="23"/>
        <v>0</v>
      </c>
      <c r="BK14" s="65">
        <f t="shared" si="92"/>
        <v>0</v>
      </c>
      <c r="BL14" s="66">
        <f t="shared" si="24"/>
        <v>200</v>
      </c>
      <c r="BM14" s="65" t="str">
        <f t="shared" si="25"/>
        <v/>
      </c>
      <c r="BN14" s="65" t="str">
        <f t="shared" si="26"/>
        <v>P</v>
      </c>
      <c r="BO14" s="65" t="str">
        <f t="shared" si="27"/>
        <v>II</v>
      </c>
      <c r="BP14" s="68">
        <f>IF('Marks Entry'!AG14="","",'Marks Entry'!AG14)</f>
        <v>8</v>
      </c>
      <c r="BQ14" s="68">
        <f>IF('Marks Entry'!AH14="","",'Marks Entry'!AH14)</f>
        <v>9</v>
      </c>
      <c r="BR14" s="68">
        <f>IF('Marks Entry'!AI14="","",'Marks Entry'!AI14)</f>
        <v>10</v>
      </c>
      <c r="BS14" s="514">
        <f t="shared" si="28"/>
        <v>27</v>
      </c>
      <c r="BT14" s="68">
        <f>IF('Marks Entry'!AJ14="","",'Marks Entry'!AJ14)</f>
        <v>46</v>
      </c>
      <c r="BU14" s="515">
        <f t="shared" si="29"/>
        <v>73</v>
      </c>
      <c r="BV14" s="68">
        <f>IF('Marks Entry'!AK14="","",'Marks Entry'!AK14)</f>
        <v>45</v>
      </c>
      <c r="BW14" s="96">
        <f t="shared" si="30"/>
        <v>118</v>
      </c>
      <c r="BX14" s="65">
        <f t="shared" si="31"/>
        <v>0</v>
      </c>
      <c r="BY14" s="65">
        <f t="shared" si="32"/>
        <v>0</v>
      </c>
      <c r="BZ14" s="66">
        <f t="shared" si="33"/>
        <v>200</v>
      </c>
      <c r="CA14" s="65" t="str">
        <f t="shared" si="34"/>
        <v/>
      </c>
      <c r="CB14" s="65" t="str">
        <f t="shared" si="35"/>
        <v>P</v>
      </c>
      <c r="CC14" s="65" t="str">
        <f t="shared" si="36"/>
        <v>II</v>
      </c>
      <c r="CD14" s="66">
        <f t="shared" si="93"/>
        <v>0</v>
      </c>
      <c r="CE14" s="68">
        <f>IF('Marks Entry'!AL14="","",'Marks Entry'!AL14)</f>
        <v>8</v>
      </c>
      <c r="CF14" s="68">
        <f>IF('Marks Entry'!AM14="","",'Marks Entry'!AM14)</f>
        <v>8</v>
      </c>
      <c r="CG14" s="68">
        <f>IF('Marks Entry'!AN14="","",'Marks Entry'!AN14)</f>
        <v>8</v>
      </c>
      <c r="CH14" s="514">
        <f t="shared" si="37"/>
        <v>24</v>
      </c>
      <c r="CI14" s="68">
        <f>IF('Marks Entry'!AO14="","",'Marks Entry'!AO14)</f>
        <v>46</v>
      </c>
      <c r="CJ14" s="515">
        <f t="shared" si="38"/>
        <v>70</v>
      </c>
      <c r="CK14" s="68">
        <f>IF('Marks Entry'!AP14="","",'Marks Entry'!AP14)</f>
        <v>45</v>
      </c>
      <c r="CL14" s="96">
        <f t="shared" si="39"/>
        <v>115</v>
      </c>
      <c r="CM14" s="65">
        <f t="shared" si="40"/>
        <v>0</v>
      </c>
      <c r="CN14" s="65">
        <f t="shared" si="41"/>
        <v>0</v>
      </c>
      <c r="CO14" s="66">
        <f t="shared" si="42"/>
        <v>200</v>
      </c>
      <c r="CP14" s="65" t="str">
        <f t="shared" si="43"/>
        <v/>
      </c>
      <c r="CQ14" s="65" t="str">
        <f t="shared" si="44"/>
        <v>P</v>
      </c>
      <c r="CR14" s="65" t="str">
        <f t="shared" si="45"/>
        <v>II</v>
      </c>
      <c r="CS14" s="616"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8" t="str">
        <f>IF('School Profile'!$D$20="NO","",IF('Marks Entry'!AR14="","",'Marks Entry'!AR14))</f>
        <v/>
      </c>
      <c r="CU14" s="68" t="str">
        <f>IF('School Profile'!$D$20="NO","",IF('Marks Entry'!AS14="","",'Marks Entry'!AS14))</f>
        <v/>
      </c>
      <c r="CV14" s="68" t="str">
        <f>IF('School Profile'!$D$20="NO","",IF('Marks Entry'!AT14="","",'Marks Entry'!AT14))</f>
        <v/>
      </c>
      <c r="CW14" s="514" t="str">
        <f>IF('School Profile'!$D$20="NO","",IF(AND(CT14="",CU14="",CV14=""),"",SUM(CT14:CV14)))</f>
        <v/>
      </c>
      <c r="CX14" s="68" t="str">
        <f>IF('School Profile'!$D$20="NO","",IF('Marks Entry'!AU14="","",'Marks Entry'!AU14))</f>
        <v/>
      </c>
      <c r="CY14" s="68" t="str">
        <f>IF('School Profile'!$D$20="NO","",IF('Marks Entry'!AV14="","",'Marks Entry'!AV14))</f>
        <v/>
      </c>
      <c r="CZ14" s="515" t="str">
        <f>IF('School Profile'!$D$20="NO","",IF(AND(CX14="",CY14=""),"",SUM(CX14,CY14)))</f>
        <v/>
      </c>
      <c r="DA14" s="69" t="str">
        <f>IF('School Profile'!$D$20="NO","",IF(AND(CW14="",CZ14=""),"",SUM(CW14+CZ14)))</f>
        <v/>
      </c>
      <c r="DB14" s="68" t="str">
        <f>IF('School Profile'!$D$20="NO","",IF('Marks Entry'!AW14="","",'Marks Entry'!AW14))</f>
        <v/>
      </c>
      <c r="DC14" s="68" t="str">
        <f>IF('School Profile'!$D$20="NO","",IF('Marks Entry'!AX14="","",'Marks Entry'!AX14))</f>
        <v/>
      </c>
      <c r="DD14" s="515" t="str">
        <f>IF('School Profile'!$D$20="NO","",IF(AND(DB14="",DC14=""),"",SUM(DB14,DC14)))</f>
        <v/>
      </c>
      <c r="DE14" s="96" t="str">
        <f>IF('School Profile'!$D$20="NO","",IF(AND(DA14="",DD14=""),"",SUM(DA14,DD14)))</f>
        <v/>
      </c>
      <c r="DF14" s="532">
        <f t="shared" si="46"/>
        <v>0</v>
      </c>
      <c r="DG14" s="65">
        <f t="shared" si="47"/>
        <v>0</v>
      </c>
      <c r="DH14" s="66" t="str">
        <f t="shared" si="48"/>
        <v/>
      </c>
      <c r="DI14" s="65" t="str">
        <f t="shared" si="49"/>
        <v/>
      </c>
      <c r="DJ14" s="65" t="str">
        <f t="shared" si="50"/>
        <v/>
      </c>
      <c r="DK14" s="65" t="str">
        <f t="shared" si="51"/>
        <v/>
      </c>
      <c r="DL14" s="97" t="str">
        <f t="shared" si="94"/>
        <v>I</v>
      </c>
      <c r="DM14" s="97" t="str">
        <f t="shared" si="95"/>
        <v>D</v>
      </c>
      <c r="DN14" s="97" t="str">
        <f t="shared" si="96"/>
        <v>D</v>
      </c>
      <c r="DO14" s="97" t="str">
        <f t="shared" si="97"/>
        <v>II</v>
      </c>
      <c r="DP14" s="97" t="str">
        <f t="shared" si="98"/>
        <v>II</v>
      </c>
      <c r="DQ14" s="97" t="str">
        <f t="shared" si="99"/>
        <v>II</v>
      </c>
      <c r="DR14" s="97" t="str">
        <f t="shared" si="100"/>
        <v/>
      </c>
      <c r="DS14" s="98">
        <f t="shared" si="101"/>
        <v>0</v>
      </c>
      <c r="DT14" s="98">
        <f t="shared" si="102"/>
        <v>0</v>
      </c>
      <c r="DU14" s="98">
        <f t="shared" si="103"/>
        <v>0</v>
      </c>
      <c r="DV14" s="98">
        <f t="shared" si="104"/>
        <v>0</v>
      </c>
      <c r="DW14" s="98">
        <f t="shared" si="105"/>
        <v>0</v>
      </c>
      <c r="DX14" s="98" t="str">
        <f t="shared" si="106"/>
        <v/>
      </c>
      <c r="DY14" s="99" t="str">
        <f t="shared" si="107"/>
        <v>PASS</v>
      </c>
      <c r="DZ14" s="74">
        <f>IF('Marks Entry'!AY14="","",'Marks Entry'!AY14)</f>
        <v>9</v>
      </c>
      <c r="EA14" s="74">
        <f>IF('Marks Entry'!AZ14="","",'Marks Entry'!AZ14)</f>
        <v>9</v>
      </c>
      <c r="EB14" s="74">
        <f>IF('Marks Entry'!BA14="","",'Marks Entry'!BA14)</f>
        <v>9</v>
      </c>
      <c r="EC14" s="527">
        <f t="shared" si="52"/>
        <v>27</v>
      </c>
      <c r="ED14" s="74">
        <f>IF('Marks Entry'!BB14="","",'Marks Entry'!BB14)</f>
        <v>66</v>
      </c>
      <c r="EE14" s="528">
        <f t="shared" si="53"/>
        <v>93</v>
      </c>
      <c r="EF14" s="74">
        <f>IF('Marks Entry'!BC14="","",'Marks Entry'!BC14)</f>
        <v>91</v>
      </c>
      <c r="EG14" s="530">
        <f t="shared" si="54"/>
        <v>184</v>
      </c>
      <c r="EH14" s="368" t="str">
        <f t="shared" si="108"/>
        <v>A</v>
      </c>
      <c r="EI14" s="65">
        <f t="shared" si="109"/>
        <v>0</v>
      </c>
      <c r="EJ14" s="65">
        <f t="shared" si="110"/>
        <v>0</v>
      </c>
      <c r="EK14" s="66">
        <f t="shared" si="111"/>
        <v>200</v>
      </c>
      <c r="EL14" s="74">
        <f>IF('Marks Entry'!BD14="","",'Marks Entry'!BD14)</f>
        <v>8</v>
      </c>
      <c r="EM14" s="74">
        <f>IF('Marks Entry'!BE14="","",'Marks Entry'!BE14)</f>
        <v>8</v>
      </c>
      <c r="EN14" s="74">
        <f>IF('Marks Entry'!BF14="","",'Marks Entry'!BF14)</f>
        <v>8</v>
      </c>
      <c r="EO14" s="527">
        <f t="shared" si="55"/>
        <v>24</v>
      </c>
      <c r="EP14" s="74">
        <f>IF('Marks Entry'!BG14="","",'Marks Entry'!BG14)</f>
        <v>45</v>
      </c>
      <c r="EQ14" s="74">
        <f>IF('Marks Entry'!BH14="","",'Marks Entry'!BH14)</f>
        <v>18</v>
      </c>
      <c r="ER14" s="528">
        <f t="shared" si="56"/>
        <v>63</v>
      </c>
      <c r="ES14" s="529">
        <f t="shared" si="57"/>
        <v>87</v>
      </c>
      <c r="ET14" s="74">
        <f>IF('Marks Entry'!BI14="","",'Marks Entry'!BI14)</f>
        <v>69</v>
      </c>
      <c r="EU14" s="74">
        <f>IF('Marks Entry'!BJ14="","",'Marks Entry'!BJ14)</f>
        <v>27</v>
      </c>
      <c r="EV14" s="528">
        <f t="shared" si="58"/>
        <v>96</v>
      </c>
      <c r="EW14" s="530">
        <f t="shared" si="59"/>
        <v>183</v>
      </c>
      <c r="EX14" s="368" t="str">
        <f t="shared" si="112"/>
        <v>A</v>
      </c>
      <c r="EY14" s="65">
        <f t="shared" si="113"/>
        <v>0</v>
      </c>
      <c r="EZ14" s="65">
        <f t="shared" si="114"/>
        <v>0</v>
      </c>
      <c r="FA14" s="66">
        <f t="shared" si="115"/>
        <v>200</v>
      </c>
      <c r="FB14" s="74">
        <f>IF('Marks Entry'!BK14="","",'Marks Entry'!BK14)</f>
        <v>9</v>
      </c>
      <c r="FC14" s="74">
        <f>IF('Marks Entry'!BL14="","",'Marks Entry'!BL14)</f>
        <v>7</v>
      </c>
      <c r="FD14" s="74">
        <f>IF('Marks Entry'!BM14="","",'Marks Entry'!BM14)</f>
        <v>9</v>
      </c>
      <c r="FE14" s="74">
        <f>IF('Marks Entry'!BN14="","",'Marks Entry'!BN14)</f>
        <v>6</v>
      </c>
      <c r="FF14" s="74">
        <f>IF('Marks Entry'!BO14="","",'Marks Entry'!BO14)</f>
        <v>9</v>
      </c>
      <c r="FG14" s="74">
        <f>IF('Marks Entry'!BP14="","",'Marks Entry'!BP14)</f>
        <v>14</v>
      </c>
      <c r="FH14" s="527">
        <f t="shared" si="60"/>
        <v>54</v>
      </c>
      <c r="FI14" s="74">
        <f>IF('Marks Entry'!BQ14="","",'Marks Entry'!BQ14)</f>
        <v>21</v>
      </c>
      <c r="FJ14" s="74">
        <f>IF('Marks Entry'!BR14="","",'Marks Entry'!BR14)</f>
        <v>10</v>
      </c>
      <c r="FK14" s="528">
        <f t="shared" si="61"/>
        <v>31</v>
      </c>
      <c r="FL14" s="529">
        <f t="shared" si="62"/>
        <v>85</v>
      </c>
      <c r="FM14" s="74">
        <f>IF('Marks Entry'!BS14="","",'Marks Entry'!BS14)</f>
        <v>28</v>
      </c>
      <c r="FN14" s="74">
        <f>IF('Marks Entry'!BT14="","",'Marks Entry'!BT14)</f>
        <v>62</v>
      </c>
      <c r="FO14" s="528">
        <f t="shared" si="63"/>
        <v>90</v>
      </c>
      <c r="FP14" s="530">
        <f t="shared" si="64"/>
        <v>175</v>
      </c>
      <c r="FQ14" s="368" t="str">
        <f t="shared" si="116"/>
        <v>A</v>
      </c>
      <c r="FR14" s="65">
        <f t="shared" si="117"/>
        <v>0</v>
      </c>
      <c r="FS14" s="65">
        <f t="shared" si="118"/>
        <v>0</v>
      </c>
      <c r="FT14" s="66">
        <f t="shared" si="119"/>
        <v>200</v>
      </c>
      <c r="FU14" s="74">
        <f>IF('Marks Entry'!BU14="","",'Marks Entry'!BU14)</f>
        <v>20</v>
      </c>
      <c r="FV14" s="74">
        <f>IF('Marks Entry'!BV14="","",'Marks Entry'!BV14)</f>
        <v>40</v>
      </c>
      <c r="FW14" s="74">
        <f>IF('Marks Entry'!BW14="","",'Marks Entry'!BW14)</f>
        <v>20</v>
      </c>
      <c r="FX14" s="75">
        <f t="shared" si="65"/>
        <v>80</v>
      </c>
      <c r="FY14" s="368" t="str">
        <f t="shared" si="120"/>
        <v>B</v>
      </c>
      <c r="FZ14" s="65">
        <f t="shared" si="121"/>
        <v>0</v>
      </c>
      <c r="GA14" s="66">
        <f t="shared" si="122"/>
        <v>0</v>
      </c>
      <c r="GB14" s="66">
        <f t="shared" si="123"/>
        <v>100</v>
      </c>
      <c r="GC14" s="74">
        <f>IF('Marks Entry'!BX14="","",'Marks Entry'!BX14)</f>
        <v>23</v>
      </c>
      <c r="GD14" s="74">
        <f>IF('Marks Entry'!BY14="","",'Marks Entry'!BY14)</f>
        <v>58</v>
      </c>
      <c r="GE14" s="74">
        <f>IF('Marks Entry'!BZ14="","",'Marks Entry'!BZ14)</f>
        <v>15</v>
      </c>
      <c r="GF14" s="75">
        <f t="shared" si="124"/>
        <v>96</v>
      </c>
      <c r="GG14" s="368" t="str">
        <f t="shared" si="125"/>
        <v>A</v>
      </c>
      <c r="GH14" s="65">
        <f t="shared" si="126"/>
        <v>0</v>
      </c>
      <c r="GI14" s="66">
        <f t="shared" si="127"/>
        <v>0</v>
      </c>
      <c r="GJ14" s="66">
        <f t="shared" si="128"/>
        <v>100</v>
      </c>
      <c r="GK14" s="100" t="str">
        <f>IF(AND(F14="",B14=""),"",IF('Student DATA Entry'!M11="","",'Student DATA Entry'!M11))</f>
        <v/>
      </c>
      <c r="GL14" s="101" t="str">
        <f>IF(AND(B14="",F14=""),"",IF('Student DATA Entry'!N11="","",'Student DATA Entry'!N11))</f>
        <v/>
      </c>
      <c r="GM14" s="581" t="str">
        <f t="shared" si="129"/>
        <v/>
      </c>
      <c r="GN14" s="94" t="str">
        <f t="shared" si="130"/>
        <v>I</v>
      </c>
      <c r="GO14" s="94" t="str">
        <f t="shared" si="131"/>
        <v/>
      </c>
      <c r="GP14" s="102" t="str">
        <f t="shared" si="67"/>
        <v/>
      </c>
      <c r="GQ14" s="94" t="str">
        <f t="shared" si="132"/>
        <v>D</v>
      </c>
      <c r="GR14" s="103" t="str">
        <f t="shared" si="133"/>
        <v/>
      </c>
      <c r="GS14" s="102" t="str">
        <f t="shared" si="68"/>
        <v/>
      </c>
      <c r="GT14" s="104" t="str">
        <f t="shared" si="134"/>
        <v>D</v>
      </c>
      <c r="GU14" s="94" t="str">
        <f>IF('Marks Entry'!V14=1,GT14,"")</f>
        <v/>
      </c>
      <c r="GV14" s="94" t="str">
        <f>IF('Marks Entry'!V14=2,GT14,"")</f>
        <v/>
      </c>
      <c r="GW14" s="94" t="str">
        <f>IF('Marks Entry'!V14=3,GT14,"")</f>
        <v>D</v>
      </c>
      <c r="GX14" s="94" t="str">
        <f>IF('Marks Entry'!V14=4,GT14,"")</f>
        <v/>
      </c>
      <c r="GY14" s="94" t="str">
        <f>IF('Marks Entry'!V14=5,GT14,"")</f>
        <v/>
      </c>
      <c r="GZ14" s="94" t="str">
        <f t="shared" si="135"/>
        <v/>
      </c>
      <c r="HA14" s="105" t="str">
        <f t="shared" si="69"/>
        <v/>
      </c>
      <c r="HB14" s="94" t="str">
        <f t="shared" si="136"/>
        <v>II</v>
      </c>
      <c r="HC14" s="94" t="str">
        <f t="shared" si="137"/>
        <v/>
      </c>
      <c r="HD14" s="105" t="str">
        <f t="shared" si="70"/>
        <v/>
      </c>
      <c r="HE14" s="94" t="str">
        <f t="shared" si="138"/>
        <v>II</v>
      </c>
      <c r="HF14" s="94" t="str">
        <f t="shared" si="139"/>
        <v/>
      </c>
      <c r="HG14" s="105" t="str">
        <f t="shared" si="71"/>
        <v/>
      </c>
      <c r="HH14" s="94" t="str">
        <f t="shared" si="140"/>
        <v>II</v>
      </c>
      <c r="HI14" s="94" t="str">
        <f t="shared" si="141"/>
        <v/>
      </c>
      <c r="HJ14" s="105" t="str">
        <f t="shared" si="72"/>
        <v/>
      </c>
      <c r="HK14" s="94" t="str">
        <f t="shared" si="142"/>
        <v/>
      </c>
      <c r="HL14" s="94" t="str">
        <f t="shared" si="143"/>
        <v/>
      </c>
      <c r="HM14" s="105" t="str">
        <f t="shared" si="73"/>
        <v/>
      </c>
      <c r="HN14" s="367" t="str">
        <f t="shared" si="144"/>
        <v xml:space="preserve">      </v>
      </c>
      <c r="HO14" s="418" t="str">
        <f t="shared" si="145"/>
        <v xml:space="preserve">      </v>
      </c>
      <c r="HP14" s="367" t="str">
        <f t="shared" si="146"/>
        <v xml:space="preserve">      </v>
      </c>
      <c r="HQ14" s="107" t="str">
        <f t="shared" si="147"/>
        <v xml:space="preserve">      </v>
      </c>
      <c r="HR14" s="366" t="str">
        <f t="shared" si="148"/>
        <v xml:space="preserve"> अंग्रेजी गुजराती (73)    </v>
      </c>
      <c r="HS14" s="544" t="str">
        <f t="shared" si="74"/>
        <v>PASS</v>
      </c>
      <c r="HT14" s="542">
        <f t="shared" si="149"/>
        <v>846</v>
      </c>
      <c r="HU14" s="541">
        <f t="shared" si="160"/>
        <v>70.5</v>
      </c>
      <c r="HV14" s="540" t="str">
        <f t="shared" si="150"/>
        <v>1st</v>
      </c>
      <c r="HW14" s="537">
        <f t="shared" si="151"/>
        <v>70.5</v>
      </c>
      <c r="HX14" s="539">
        <f t="shared" si="152"/>
        <v>3.0000000000000018</v>
      </c>
      <c r="HY14" s="553" t="str">
        <f>IFERROR(IF(OR(HS14="SUPPLEMENTARY",HS14="RE-EXAM"),'Supp. Result Entry'!AQ12,""),"")</f>
        <v/>
      </c>
      <c r="HZ14" s="538" t="str">
        <f t="shared" si="153"/>
        <v/>
      </c>
      <c r="IA14" s="415" t="str">
        <f t="shared" si="154"/>
        <v/>
      </c>
      <c r="IB14" s="415" t="str">
        <f>IF(AND(HZ14="",IA14=""),"",IF(OR(HS14="SUPPLEMENTARY",HS14="RE-EXAM"),'Supp. Result Entry'!AQ12,HS14))</f>
        <v/>
      </c>
      <c r="IC14" s="87"/>
      <c r="IS14" s="109" t="str">
        <f>IF('Supp. Result Entry'!T12="","",'Supp. Result Entry'!$T$4)</f>
        <v/>
      </c>
      <c r="IT14" s="110" t="str">
        <f>IF('Supp. Result Entry'!W12="","",'Supp. Result Entry'!$W$4)</f>
        <v/>
      </c>
      <c r="IU14" s="110" t="str">
        <f>IF('Supp. Result Entry'!Z12="","",'Supp. Result Entry'!$Z$4)</f>
        <v/>
      </c>
      <c r="IV14" s="110" t="str">
        <f>IF('Supp. Result Entry'!AC12="","",'Supp. Result Entry'!$AC$4)</f>
        <v/>
      </c>
      <c r="IW14" s="110" t="str">
        <f>IF('Supp. Result Entry'!AF12="","",'Supp. Result Entry'!$AF$4)</f>
        <v/>
      </c>
      <c r="IX14" s="110" t="str">
        <f>IF('Supp. Result Entry'!AI12="","",'Supp. Result Entry'!$AI$4)</f>
        <v/>
      </c>
      <c r="IY14" s="110" t="str">
        <f>IF('Supp. Result Entry'!AI12="","",'Supp. Result Entry'!$AL$4)</f>
        <v/>
      </c>
      <c r="IZ14" s="110" t="str">
        <f>IF('Supp. Result Entry'!U12="","",'Supp. Result Entry'!U12)</f>
        <v/>
      </c>
      <c r="JA14" s="110" t="str">
        <f>IF('Supp. Result Entry'!X12="","",'Supp. Result Entry'!X12)</f>
        <v/>
      </c>
      <c r="JB14" s="110" t="str">
        <f>IF('Supp. Result Entry'!AA12="","",'Supp. Result Entry'!AA12)</f>
        <v/>
      </c>
      <c r="JC14" s="110" t="str">
        <f>IF('Supp. Result Entry'!AD12="","",'Supp. Result Entry'!AD12)</f>
        <v/>
      </c>
      <c r="JD14" s="110" t="str">
        <f>IF('Supp. Result Entry'!AG12="","",'Supp. Result Entry'!AG12)</f>
        <v/>
      </c>
      <c r="JE14" s="110" t="str">
        <f>IF('Supp. Result Entry'!AJ12="","",'Supp. Result Entry'!AJ12)</f>
        <v/>
      </c>
      <c r="JF14" s="110" t="str">
        <f>IF('Supp. Result Entry'!AM12="","",'Supp. Result Entry'!AM12)</f>
        <v/>
      </c>
      <c r="JG14" s="110" t="str">
        <f>IF('Supp. Result Entry'!V12="","",'Supp. Result Entry'!V12)</f>
        <v/>
      </c>
      <c r="JH14" s="110" t="str">
        <f>IF('Supp. Result Entry'!Y12="","",'Supp. Result Entry'!Y12)</f>
        <v/>
      </c>
      <c r="JI14" s="110" t="str">
        <f>IF('Supp. Result Entry'!AB12="","",'Supp. Result Entry'!AB12)</f>
        <v/>
      </c>
      <c r="JJ14" s="110" t="str">
        <f>IF('Supp. Result Entry'!AE12="","",'Supp. Result Entry'!AE12)</f>
        <v/>
      </c>
      <c r="JK14" s="110" t="str">
        <f>IF('Supp. Result Entry'!AH12="","",'Supp. Result Entry'!AH12)</f>
        <v/>
      </c>
      <c r="JL14" s="110" t="str">
        <f>IF('Supp. Result Entry'!AK12="","",'Supp. Result Entry'!AK12)</f>
        <v/>
      </c>
      <c r="JM14" s="110" t="str">
        <f>IF('Supp. Result Entry'!AN12="","",'Supp. Result Entry'!AN12)</f>
        <v/>
      </c>
      <c r="JN14" s="110">
        <f>COUNTIF('Supp. Result Entry'!K12:Q12,"S")</f>
        <v>0</v>
      </c>
      <c r="JO14" s="110">
        <f t="shared" si="155"/>
        <v>0</v>
      </c>
      <c r="JP14" s="110">
        <f t="shared" si="156"/>
        <v>0</v>
      </c>
      <c r="JQ14" s="110" t="str">
        <f t="shared" si="75"/>
        <v/>
      </c>
      <c r="JR14" s="110" t="str">
        <f t="shared" si="76"/>
        <v/>
      </c>
      <c r="JS14" s="110" t="str">
        <f t="shared" si="77"/>
        <v/>
      </c>
      <c r="JT14" s="110" t="str">
        <f t="shared" si="78"/>
        <v/>
      </c>
      <c r="JU14" s="110" t="str">
        <f t="shared" si="79"/>
        <v/>
      </c>
      <c r="JV14" s="110" t="str">
        <f t="shared" si="80"/>
        <v/>
      </c>
      <c r="JW14" s="110" t="str">
        <f t="shared" si="81"/>
        <v/>
      </c>
      <c r="JX14" s="110" t="str">
        <f t="shared" si="157"/>
        <v/>
      </c>
      <c r="JY14" s="110" t="str">
        <f t="shared" si="158"/>
        <v/>
      </c>
      <c r="JZ14" s="110" t="str">
        <f t="shared" si="82"/>
        <v/>
      </c>
      <c r="KA14" s="108" t="str">
        <f t="shared" si="159"/>
        <v/>
      </c>
    </row>
    <row r="15" spans="1:287" s="108" customFormat="1" ht="21.95" customHeight="1">
      <c r="A15" s="89">
        <v>9</v>
      </c>
      <c r="B15" s="90">
        <f>IF('Marks Entry'!B15="","",'Marks Entry'!B15)</f>
        <v>909</v>
      </c>
      <c r="C15" s="94" t="str">
        <f>IF('Marks Entry'!D15="","",'Marks Entry'!D15)</f>
        <v>A</v>
      </c>
      <c r="D15" s="91" t="str">
        <f>IF('Marks Entry'!E15="","",'Marks Entry'!E15)</f>
        <v/>
      </c>
      <c r="E15" s="92">
        <f>IF('Marks Entry'!F15="","",'Marks Entry'!F15)</f>
        <v>40065</v>
      </c>
      <c r="F15" s="93" t="str">
        <f>IF('Marks Entry'!G15="","",'Marks Entry'!G15)</f>
        <v>RITA</v>
      </c>
      <c r="G15" s="93" t="str">
        <f>IF('Marks Entry'!H15="","",'Marks Entry'!H15)</f>
        <v/>
      </c>
      <c r="H15" s="93" t="str">
        <f>IF('Marks Entry'!I15="","",'Marks Entry'!I15)</f>
        <v/>
      </c>
      <c r="I15" s="94" t="str">
        <f>IF('Marks Entry'!J15="","",'Marks Entry'!J15)</f>
        <v>SBC</v>
      </c>
      <c r="J15" s="95" t="str">
        <f>IF('Marks Entry'!K15="","",'Marks Entry'!K15)</f>
        <v>F</v>
      </c>
      <c r="K15" s="68" t="str">
        <f>IF('Marks Entry'!L15="","",'Marks Entry'!L15)</f>
        <v/>
      </c>
      <c r="L15" s="68" t="str">
        <f>IF('Marks Entry'!M15="","",'Marks Entry'!M15)</f>
        <v/>
      </c>
      <c r="M15" s="68">
        <f>IF('Marks Entry'!N15="","",'Marks Entry'!N15)</f>
        <v>8</v>
      </c>
      <c r="N15" s="514">
        <f t="shared" si="83"/>
        <v>8</v>
      </c>
      <c r="O15" s="68">
        <f>IF('Marks Entry'!O15="","",'Marks Entry'!O15)</f>
        <v>46</v>
      </c>
      <c r="P15" s="515">
        <f t="shared" si="84"/>
        <v>54</v>
      </c>
      <c r="Q15" s="68">
        <f>IF('Marks Entry'!P15="","",'Marks Entry'!P15)</f>
        <v>65</v>
      </c>
      <c r="R15" s="96">
        <f t="shared" si="85"/>
        <v>119</v>
      </c>
      <c r="S15" s="65">
        <f t="shared" si="86"/>
        <v>0</v>
      </c>
      <c r="T15" s="65">
        <f t="shared" si="87"/>
        <v>0</v>
      </c>
      <c r="U15" s="66">
        <f t="shared" si="88"/>
        <v>200</v>
      </c>
      <c r="V15" s="65" t="str">
        <f t="shared" si="89"/>
        <v/>
      </c>
      <c r="W15" s="65" t="str">
        <f t="shared" si="90"/>
        <v>P</v>
      </c>
      <c r="X15" s="65" t="str">
        <f t="shared" si="91"/>
        <v>II</v>
      </c>
      <c r="Y15" s="68">
        <f>IF('Marks Entry'!Q15="","",'Marks Entry'!Q15)</f>
        <v>8</v>
      </c>
      <c r="Z15" s="68">
        <f>IF('Marks Entry'!R15="","",'Marks Entry'!R15)</f>
        <v>9</v>
      </c>
      <c r="AA15" s="68">
        <f>IF('Marks Entry'!S15="","",'Marks Entry'!S15)</f>
        <v>9</v>
      </c>
      <c r="AB15" s="514">
        <f t="shared" si="2"/>
        <v>26</v>
      </c>
      <c r="AC15" s="68">
        <f>IF('Marks Entry'!T15="","",'Marks Entry'!T15)</f>
        <v>60</v>
      </c>
      <c r="AD15" s="515">
        <f t="shared" si="3"/>
        <v>86</v>
      </c>
      <c r="AE15" s="68">
        <f>IF('Marks Entry'!U15="","",'Marks Entry'!U15)</f>
        <v>85</v>
      </c>
      <c r="AF15" s="96">
        <f t="shared" si="4"/>
        <v>171</v>
      </c>
      <c r="AG15" s="65">
        <f t="shared" si="5"/>
        <v>0</v>
      </c>
      <c r="AH15" s="65">
        <f t="shared" si="6"/>
        <v>0</v>
      </c>
      <c r="AI15" s="66">
        <f t="shared" si="7"/>
        <v>200</v>
      </c>
      <c r="AJ15" s="65" t="str">
        <f t="shared" si="8"/>
        <v/>
      </c>
      <c r="AK15" s="65" t="str">
        <f t="shared" si="9"/>
        <v>P</v>
      </c>
      <c r="AL15" s="65" t="str">
        <f t="shared" si="10"/>
        <v>D</v>
      </c>
      <c r="AM15" s="524" t="str">
        <f>IF('Marks Entry'!V15="","",IF('Marks Entry'!V15=1,'School Profile'!$I$9,IF('Marks Entry'!V15=2,'School Profile'!$I$10,IF('Marks Entry'!V15=3,'School Profile'!$I$11,IF('Marks Entry'!V15=4,'School Profile'!$I$12,IF('Marks Entry'!V15=5,'School Profile'!$I$13,IF('Marks Entry'!V15=6,'School Profile'!$I$14,"")))))))</f>
        <v xml:space="preserve">उर्दू (72) </v>
      </c>
      <c r="AN15" s="68">
        <f>IF('Marks Entry'!W15="","",'Marks Entry'!W15)</f>
        <v>8</v>
      </c>
      <c r="AO15" s="68">
        <f>IF('Marks Entry'!X15="","",'Marks Entry'!X15)</f>
        <v>9</v>
      </c>
      <c r="AP15" s="68">
        <f>IF('Marks Entry'!Y15="","",'Marks Entry'!Y15)</f>
        <v>8</v>
      </c>
      <c r="AQ15" s="514">
        <f t="shared" si="11"/>
        <v>25</v>
      </c>
      <c r="AR15" s="68">
        <f>IF('Marks Entry'!Z15="","",'Marks Entry'!Z15)</f>
        <v>46</v>
      </c>
      <c r="AS15" s="515">
        <f t="shared" si="12"/>
        <v>71</v>
      </c>
      <c r="AT15" s="68">
        <f>IF('Marks Entry'!AA15="","",'Marks Entry'!AA15)</f>
        <v>45</v>
      </c>
      <c r="AU15" s="96">
        <f t="shared" si="13"/>
        <v>116</v>
      </c>
      <c r="AV15" s="65">
        <f t="shared" si="14"/>
        <v>0</v>
      </c>
      <c r="AW15" s="65">
        <f t="shared" si="15"/>
        <v>0</v>
      </c>
      <c r="AX15" s="66">
        <f t="shared" si="16"/>
        <v>200</v>
      </c>
      <c r="AY15" s="65" t="str">
        <f t="shared" si="17"/>
        <v/>
      </c>
      <c r="AZ15" s="65" t="str">
        <f t="shared" si="18"/>
        <v>P</v>
      </c>
      <c r="BA15" s="65" t="str">
        <f t="shared" si="19"/>
        <v>II</v>
      </c>
      <c r="BB15" s="68">
        <f>IF('Marks Entry'!AB15="","",'Marks Entry'!AB15)</f>
        <v>8</v>
      </c>
      <c r="BC15" s="68">
        <f>IF('Marks Entry'!AC15="","",'Marks Entry'!AC15)</f>
        <v>9</v>
      </c>
      <c r="BD15" s="68">
        <f>IF('Marks Entry'!AD15="","",'Marks Entry'!AD15)</f>
        <v>9</v>
      </c>
      <c r="BE15" s="514">
        <f t="shared" si="20"/>
        <v>26</v>
      </c>
      <c r="BF15" s="68">
        <f>IF('Marks Entry'!AE15="","",'Marks Entry'!AE15)</f>
        <v>16</v>
      </c>
      <c r="BG15" s="515">
        <f t="shared" si="21"/>
        <v>42</v>
      </c>
      <c r="BH15" s="68">
        <f>IF('Marks Entry'!AF15="","",'Marks Entry'!AF15)</f>
        <v>45</v>
      </c>
      <c r="BI15" s="96">
        <f t="shared" si="22"/>
        <v>87</v>
      </c>
      <c r="BJ15" s="65">
        <f t="shared" si="23"/>
        <v>0</v>
      </c>
      <c r="BK15" s="65">
        <f t="shared" si="92"/>
        <v>0</v>
      </c>
      <c r="BL15" s="66">
        <f t="shared" si="24"/>
        <v>200</v>
      </c>
      <c r="BM15" s="65" t="str">
        <f t="shared" si="25"/>
        <v/>
      </c>
      <c r="BN15" s="65" t="str">
        <f t="shared" si="26"/>
        <v>P</v>
      </c>
      <c r="BO15" s="65" t="str">
        <f t="shared" si="27"/>
        <v>III</v>
      </c>
      <c r="BP15" s="68">
        <f>IF('Marks Entry'!AG15="","",'Marks Entry'!AG15)</f>
        <v>8</v>
      </c>
      <c r="BQ15" s="68">
        <f>IF('Marks Entry'!AH15="","",'Marks Entry'!AH15)</f>
        <v>9</v>
      </c>
      <c r="BR15" s="68">
        <f>IF('Marks Entry'!AI15="","",'Marks Entry'!AI15)</f>
        <v>8</v>
      </c>
      <c r="BS15" s="514">
        <f t="shared" si="28"/>
        <v>25</v>
      </c>
      <c r="BT15" s="68">
        <f>IF('Marks Entry'!AJ15="","",'Marks Entry'!AJ15)</f>
        <v>46</v>
      </c>
      <c r="BU15" s="515">
        <f t="shared" si="29"/>
        <v>71</v>
      </c>
      <c r="BV15" s="68">
        <f>IF('Marks Entry'!AK15="","",'Marks Entry'!AK15)</f>
        <v>45</v>
      </c>
      <c r="BW15" s="96">
        <f t="shared" si="30"/>
        <v>116</v>
      </c>
      <c r="BX15" s="65">
        <f t="shared" si="31"/>
        <v>0</v>
      </c>
      <c r="BY15" s="65">
        <f t="shared" si="32"/>
        <v>0</v>
      </c>
      <c r="BZ15" s="66">
        <f t="shared" si="33"/>
        <v>200</v>
      </c>
      <c r="CA15" s="65" t="str">
        <f t="shared" si="34"/>
        <v/>
      </c>
      <c r="CB15" s="65" t="str">
        <f t="shared" si="35"/>
        <v>P</v>
      </c>
      <c r="CC15" s="65" t="str">
        <f t="shared" si="36"/>
        <v>II</v>
      </c>
      <c r="CD15" s="66">
        <f t="shared" si="93"/>
        <v>0</v>
      </c>
      <c r="CE15" s="68">
        <f>IF('Marks Entry'!AL15="","",'Marks Entry'!AL15)</f>
        <v>8</v>
      </c>
      <c r="CF15" s="68">
        <f>IF('Marks Entry'!AM15="","",'Marks Entry'!AM15)</f>
        <v>8</v>
      </c>
      <c r="CG15" s="68">
        <f>IF('Marks Entry'!AN15="","",'Marks Entry'!AN15)</f>
        <v>8</v>
      </c>
      <c r="CH15" s="514">
        <f t="shared" si="37"/>
        <v>24</v>
      </c>
      <c r="CI15" s="68">
        <f>IF('Marks Entry'!AO15="","",'Marks Entry'!AO15)</f>
        <v>46</v>
      </c>
      <c r="CJ15" s="515">
        <f t="shared" si="38"/>
        <v>70</v>
      </c>
      <c r="CK15" s="68">
        <f>IF('Marks Entry'!AP15="","",'Marks Entry'!AP15)</f>
        <v>45</v>
      </c>
      <c r="CL15" s="96">
        <f t="shared" si="39"/>
        <v>115</v>
      </c>
      <c r="CM15" s="65">
        <f t="shared" si="40"/>
        <v>0</v>
      </c>
      <c r="CN15" s="65">
        <f t="shared" si="41"/>
        <v>0</v>
      </c>
      <c r="CO15" s="66">
        <f t="shared" si="42"/>
        <v>200</v>
      </c>
      <c r="CP15" s="65" t="str">
        <f t="shared" si="43"/>
        <v/>
      </c>
      <c r="CQ15" s="65" t="str">
        <f t="shared" si="44"/>
        <v>P</v>
      </c>
      <c r="CR15" s="65" t="str">
        <f t="shared" si="45"/>
        <v>II</v>
      </c>
      <c r="CS15" s="616"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8" t="str">
        <f>IF('School Profile'!$D$20="NO","",IF('Marks Entry'!AR15="","",'Marks Entry'!AR15))</f>
        <v/>
      </c>
      <c r="CU15" s="68" t="str">
        <f>IF('School Profile'!$D$20="NO","",IF('Marks Entry'!AS15="","",'Marks Entry'!AS15))</f>
        <v/>
      </c>
      <c r="CV15" s="68" t="str">
        <f>IF('School Profile'!$D$20="NO","",IF('Marks Entry'!AT15="","",'Marks Entry'!AT15))</f>
        <v/>
      </c>
      <c r="CW15" s="514" t="str">
        <f>IF('School Profile'!$D$20="NO","",IF(AND(CT15="",CU15="",CV15=""),"",SUM(CT15:CV15)))</f>
        <v/>
      </c>
      <c r="CX15" s="68" t="str">
        <f>IF('School Profile'!$D$20="NO","",IF('Marks Entry'!AU15="","",'Marks Entry'!AU15))</f>
        <v/>
      </c>
      <c r="CY15" s="68" t="str">
        <f>IF('School Profile'!$D$20="NO","",IF('Marks Entry'!AV15="","",'Marks Entry'!AV15))</f>
        <v/>
      </c>
      <c r="CZ15" s="515" t="str">
        <f>IF('School Profile'!$D$20="NO","",IF(AND(CX15="",CY15=""),"",SUM(CX15,CY15)))</f>
        <v/>
      </c>
      <c r="DA15" s="69" t="str">
        <f>IF('School Profile'!$D$20="NO","",IF(AND(CW15="",CZ15=""),"",SUM(CW15+CZ15)))</f>
        <v/>
      </c>
      <c r="DB15" s="68" t="str">
        <f>IF('School Profile'!$D$20="NO","",IF('Marks Entry'!AW15="","",'Marks Entry'!AW15))</f>
        <v/>
      </c>
      <c r="DC15" s="68" t="str">
        <f>IF('School Profile'!$D$20="NO","",IF('Marks Entry'!AX15="","",'Marks Entry'!AX15))</f>
        <v/>
      </c>
      <c r="DD15" s="515" t="str">
        <f>IF('School Profile'!$D$20="NO","",IF(AND(DB15="",DC15=""),"",SUM(DB15,DC15)))</f>
        <v/>
      </c>
      <c r="DE15" s="96" t="str">
        <f>IF('School Profile'!$D$20="NO","",IF(AND(DA15="",DD15=""),"",SUM(DA15,DD15)))</f>
        <v/>
      </c>
      <c r="DF15" s="532">
        <f t="shared" si="46"/>
        <v>0</v>
      </c>
      <c r="DG15" s="65">
        <f t="shared" si="47"/>
        <v>0</v>
      </c>
      <c r="DH15" s="66" t="str">
        <f t="shared" si="48"/>
        <v/>
      </c>
      <c r="DI15" s="65" t="str">
        <f t="shared" si="49"/>
        <v/>
      </c>
      <c r="DJ15" s="65" t="str">
        <f t="shared" si="50"/>
        <v/>
      </c>
      <c r="DK15" s="65" t="str">
        <f t="shared" si="51"/>
        <v/>
      </c>
      <c r="DL15" s="97" t="str">
        <f t="shared" si="94"/>
        <v>II</v>
      </c>
      <c r="DM15" s="97" t="str">
        <f t="shared" si="95"/>
        <v>D</v>
      </c>
      <c r="DN15" s="97" t="str">
        <f t="shared" si="96"/>
        <v>II</v>
      </c>
      <c r="DO15" s="97" t="str">
        <f t="shared" si="97"/>
        <v>III</v>
      </c>
      <c r="DP15" s="97" t="str">
        <f t="shared" si="98"/>
        <v>II</v>
      </c>
      <c r="DQ15" s="97" t="str">
        <f t="shared" si="99"/>
        <v>II</v>
      </c>
      <c r="DR15" s="97" t="str">
        <f t="shared" si="100"/>
        <v/>
      </c>
      <c r="DS15" s="98">
        <f t="shared" si="101"/>
        <v>0</v>
      </c>
      <c r="DT15" s="98">
        <f t="shared" si="102"/>
        <v>0</v>
      </c>
      <c r="DU15" s="98">
        <f t="shared" si="103"/>
        <v>0</v>
      </c>
      <c r="DV15" s="98">
        <f t="shared" si="104"/>
        <v>0</v>
      </c>
      <c r="DW15" s="98">
        <f t="shared" si="105"/>
        <v>0</v>
      </c>
      <c r="DX15" s="98" t="str">
        <f t="shared" si="106"/>
        <v/>
      </c>
      <c r="DY15" s="99" t="str">
        <f t="shared" si="107"/>
        <v>PASS</v>
      </c>
      <c r="DZ15" s="74">
        <f>IF('Marks Entry'!AY15="","",'Marks Entry'!AY15)</f>
        <v>9</v>
      </c>
      <c r="EA15" s="74">
        <f>IF('Marks Entry'!AZ15="","",'Marks Entry'!AZ15)</f>
        <v>9</v>
      </c>
      <c r="EB15" s="74">
        <f>IF('Marks Entry'!BA15="","",'Marks Entry'!BA15)</f>
        <v>9</v>
      </c>
      <c r="EC15" s="527">
        <f t="shared" si="52"/>
        <v>27</v>
      </c>
      <c r="ED15" s="74">
        <f>IF('Marks Entry'!BB15="","",'Marks Entry'!BB15)</f>
        <v>66</v>
      </c>
      <c r="EE15" s="528">
        <f t="shared" si="53"/>
        <v>93</v>
      </c>
      <c r="EF15" s="74">
        <f>IF('Marks Entry'!BC15="","",'Marks Entry'!BC15)</f>
        <v>91</v>
      </c>
      <c r="EG15" s="530">
        <f t="shared" si="54"/>
        <v>184</v>
      </c>
      <c r="EH15" s="368" t="str">
        <f t="shared" si="108"/>
        <v>A</v>
      </c>
      <c r="EI15" s="65">
        <f t="shared" si="109"/>
        <v>0</v>
      </c>
      <c r="EJ15" s="65">
        <f t="shared" si="110"/>
        <v>0</v>
      </c>
      <c r="EK15" s="66">
        <f t="shared" si="111"/>
        <v>200</v>
      </c>
      <c r="EL15" s="74">
        <f>IF('Marks Entry'!BD15="","",'Marks Entry'!BD15)</f>
        <v>8</v>
      </c>
      <c r="EM15" s="74">
        <f>IF('Marks Entry'!BE15="","",'Marks Entry'!BE15)</f>
        <v>8</v>
      </c>
      <c r="EN15" s="74">
        <f>IF('Marks Entry'!BF15="","",'Marks Entry'!BF15)</f>
        <v>8</v>
      </c>
      <c r="EO15" s="527">
        <f t="shared" si="55"/>
        <v>24</v>
      </c>
      <c r="EP15" s="74">
        <f>IF('Marks Entry'!BG15="","",'Marks Entry'!BG15)</f>
        <v>46</v>
      </c>
      <c r="EQ15" s="74">
        <f>IF('Marks Entry'!BH15="","",'Marks Entry'!BH15)</f>
        <v>14</v>
      </c>
      <c r="ER15" s="528">
        <f t="shared" si="56"/>
        <v>60</v>
      </c>
      <c r="ES15" s="529">
        <f t="shared" si="57"/>
        <v>84</v>
      </c>
      <c r="ET15" s="74">
        <f>IF('Marks Entry'!BI15="","",'Marks Entry'!BI15)</f>
        <v>68</v>
      </c>
      <c r="EU15" s="74">
        <f>IF('Marks Entry'!BJ15="","",'Marks Entry'!BJ15)</f>
        <v>27</v>
      </c>
      <c r="EV15" s="528">
        <f t="shared" si="58"/>
        <v>95</v>
      </c>
      <c r="EW15" s="530">
        <f t="shared" si="59"/>
        <v>179</v>
      </c>
      <c r="EX15" s="368" t="str">
        <f t="shared" si="112"/>
        <v>A</v>
      </c>
      <c r="EY15" s="65">
        <f t="shared" si="113"/>
        <v>0</v>
      </c>
      <c r="EZ15" s="65">
        <f t="shared" si="114"/>
        <v>0</v>
      </c>
      <c r="FA15" s="66">
        <f t="shared" si="115"/>
        <v>200</v>
      </c>
      <c r="FB15" s="74">
        <f>IF('Marks Entry'!BK15="","",'Marks Entry'!BK15)</f>
        <v>9</v>
      </c>
      <c r="FC15" s="74">
        <f>IF('Marks Entry'!BL15="","",'Marks Entry'!BL15)</f>
        <v>7</v>
      </c>
      <c r="FD15" s="74">
        <f>IF('Marks Entry'!BM15="","",'Marks Entry'!BM15)</f>
        <v>9</v>
      </c>
      <c r="FE15" s="74">
        <f>IF('Marks Entry'!BN15="","",'Marks Entry'!BN15)</f>
        <v>6</v>
      </c>
      <c r="FF15" s="74">
        <f>IF('Marks Entry'!BO15="","",'Marks Entry'!BO15)</f>
        <v>9</v>
      </c>
      <c r="FG15" s="74">
        <f>IF('Marks Entry'!BP15="","",'Marks Entry'!BP15)</f>
        <v>14</v>
      </c>
      <c r="FH15" s="527">
        <f t="shared" si="60"/>
        <v>54</v>
      </c>
      <c r="FI15" s="74">
        <f>IF('Marks Entry'!BQ15="","",'Marks Entry'!BQ15)</f>
        <v>21</v>
      </c>
      <c r="FJ15" s="74">
        <f>IF('Marks Entry'!BR15="","",'Marks Entry'!BR15)</f>
        <v>12</v>
      </c>
      <c r="FK15" s="528">
        <f t="shared" si="61"/>
        <v>33</v>
      </c>
      <c r="FL15" s="529">
        <f t="shared" si="62"/>
        <v>87</v>
      </c>
      <c r="FM15" s="74">
        <f>IF('Marks Entry'!BS15="","",'Marks Entry'!BS15)</f>
        <v>24</v>
      </c>
      <c r="FN15" s="74">
        <f>IF('Marks Entry'!BT15="","",'Marks Entry'!BT15)</f>
        <v>63</v>
      </c>
      <c r="FO15" s="528">
        <f t="shared" si="63"/>
        <v>87</v>
      </c>
      <c r="FP15" s="530">
        <f t="shared" si="64"/>
        <v>174</v>
      </c>
      <c r="FQ15" s="368" t="str">
        <f t="shared" si="116"/>
        <v>A</v>
      </c>
      <c r="FR15" s="65">
        <f t="shared" si="117"/>
        <v>0</v>
      </c>
      <c r="FS15" s="65">
        <f t="shared" si="118"/>
        <v>0</v>
      </c>
      <c r="FT15" s="66">
        <f t="shared" si="119"/>
        <v>200</v>
      </c>
      <c r="FU15" s="74">
        <f>IF('Marks Entry'!BU15="","",'Marks Entry'!BU15)</f>
        <v>20</v>
      </c>
      <c r="FV15" s="74">
        <f>IF('Marks Entry'!BV15="","",'Marks Entry'!BV15)</f>
        <v>40</v>
      </c>
      <c r="FW15" s="74">
        <f>IF('Marks Entry'!BW15="","",'Marks Entry'!BW15)</f>
        <v>20</v>
      </c>
      <c r="FX15" s="75">
        <f t="shared" si="65"/>
        <v>80</v>
      </c>
      <c r="FY15" s="368" t="str">
        <f t="shared" si="120"/>
        <v>B</v>
      </c>
      <c r="FZ15" s="65">
        <f t="shared" si="121"/>
        <v>0</v>
      </c>
      <c r="GA15" s="66">
        <f t="shared" si="122"/>
        <v>0</v>
      </c>
      <c r="GB15" s="66">
        <f t="shared" si="123"/>
        <v>100</v>
      </c>
      <c r="GC15" s="74">
        <f>IF('Marks Entry'!BX15="","",'Marks Entry'!BX15)</f>
        <v>20</v>
      </c>
      <c r="GD15" s="74">
        <f>IF('Marks Entry'!BY15="","",'Marks Entry'!BY15)</f>
        <v>59</v>
      </c>
      <c r="GE15" s="74">
        <f>IF('Marks Entry'!BZ15="","",'Marks Entry'!BZ15)</f>
        <v>10</v>
      </c>
      <c r="GF15" s="75">
        <f t="shared" si="124"/>
        <v>89</v>
      </c>
      <c r="GG15" s="368" t="str">
        <f t="shared" si="125"/>
        <v>A</v>
      </c>
      <c r="GH15" s="65">
        <f t="shared" si="126"/>
        <v>0</v>
      </c>
      <c r="GI15" s="66">
        <f t="shared" si="127"/>
        <v>0</v>
      </c>
      <c r="GJ15" s="66">
        <f t="shared" si="128"/>
        <v>100</v>
      </c>
      <c r="GK15" s="100" t="str">
        <f>IF(AND(F15="",B15=""),"",IF('Student DATA Entry'!M12="","",'Student DATA Entry'!M12))</f>
        <v/>
      </c>
      <c r="GL15" s="101" t="str">
        <f>IF(AND(B15="",F15=""),"",IF('Student DATA Entry'!N12="","",'Student DATA Entry'!N12))</f>
        <v/>
      </c>
      <c r="GM15" s="581" t="str">
        <f t="shared" si="129"/>
        <v/>
      </c>
      <c r="GN15" s="94" t="str">
        <f t="shared" si="130"/>
        <v>II</v>
      </c>
      <c r="GO15" s="94" t="str">
        <f t="shared" si="131"/>
        <v/>
      </c>
      <c r="GP15" s="102" t="str">
        <f t="shared" si="67"/>
        <v/>
      </c>
      <c r="GQ15" s="94" t="str">
        <f t="shared" si="132"/>
        <v>D</v>
      </c>
      <c r="GR15" s="103" t="str">
        <f t="shared" si="133"/>
        <v/>
      </c>
      <c r="GS15" s="102" t="str">
        <f t="shared" si="68"/>
        <v/>
      </c>
      <c r="GT15" s="104" t="str">
        <f t="shared" si="134"/>
        <v>II</v>
      </c>
      <c r="GU15" s="94" t="str">
        <f>IF('Marks Entry'!V15=1,GT15,"")</f>
        <v/>
      </c>
      <c r="GV15" s="94" t="str">
        <f>IF('Marks Entry'!V15=2,GT15,"")</f>
        <v>II</v>
      </c>
      <c r="GW15" s="94" t="str">
        <f>IF('Marks Entry'!V15=3,GT15,"")</f>
        <v/>
      </c>
      <c r="GX15" s="94" t="str">
        <f>IF('Marks Entry'!V15=4,GT15,"")</f>
        <v/>
      </c>
      <c r="GY15" s="94" t="str">
        <f>IF('Marks Entry'!V15=5,GT15,"")</f>
        <v/>
      </c>
      <c r="GZ15" s="94" t="str">
        <f t="shared" si="135"/>
        <v/>
      </c>
      <c r="HA15" s="105" t="str">
        <f t="shared" si="69"/>
        <v/>
      </c>
      <c r="HB15" s="94" t="str">
        <f t="shared" si="136"/>
        <v>III</v>
      </c>
      <c r="HC15" s="94" t="str">
        <f t="shared" si="137"/>
        <v/>
      </c>
      <c r="HD15" s="105" t="str">
        <f t="shared" si="70"/>
        <v/>
      </c>
      <c r="HE15" s="94" t="str">
        <f t="shared" si="138"/>
        <v>II</v>
      </c>
      <c r="HF15" s="94" t="str">
        <f t="shared" si="139"/>
        <v/>
      </c>
      <c r="HG15" s="105" t="str">
        <f t="shared" si="71"/>
        <v/>
      </c>
      <c r="HH15" s="94" t="str">
        <f t="shared" si="140"/>
        <v>II</v>
      </c>
      <c r="HI15" s="94" t="str">
        <f t="shared" si="141"/>
        <v/>
      </c>
      <c r="HJ15" s="105" t="str">
        <f t="shared" si="72"/>
        <v/>
      </c>
      <c r="HK15" s="94" t="str">
        <f t="shared" si="142"/>
        <v/>
      </c>
      <c r="HL15" s="94" t="str">
        <f t="shared" si="143"/>
        <v/>
      </c>
      <c r="HM15" s="105" t="str">
        <f t="shared" si="73"/>
        <v/>
      </c>
      <c r="HN15" s="367" t="str">
        <f t="shared" si="144"/>
        <v xml:space="preserve">      </v>
      </c>
      <c r="HO15" s="418" t="str">
        <f t="shared" si="145"/>
        <v xml:space="preserve">      </v>
      </c>
      <c r="HP15" s="367" t="str">
        <f t="shared" si="146"/>
        <v xml:space="preserve">      </v>
      </c>
      <c r="HQ15" s="107" t="str">
        <f t="shared" si="147"/>
        <v xml:space="preserve">      </v>
      </c>
      <c r="HR15" s="366" t="str">
        <f>CONCATENATE(IF(GN15="D",$GN$5,"")," ",IF($GQ15="D",$GQ$5,"")," ",IF(GU15="D",$GU$5,IF(GV15="D",$GV$5,IF(GW15="D",$GW$5,IF(GX15="D",$GX$5,IF(GY15="D",$GY$5,"")))))," ",IF(HB15="D",$HB$5,"")," ",IF(HE15="D",$HE$5,"")," ",IF(HH15="D",$HH$5,"")," ",IF(HK15="D",$HK$5,""))</f>
        <v xml:space="preserve"> अंग्रेजी     </v>
      </c>
      <c r="HS15" s="544" t="str">
        <f t="shared" si="74"/>
        <v>PASS</v>
      </c>
      <c r="HT15" s="542">
        <f t="shared" si="149"/>
        <v>724</v>
      </c>
      <c r="HU15" s="541">
        <f t="shared" si="160"/>
        <v>60.333333333333336</v>
      </c>
      <c r="HV15" s="540" t="str">
        <f t="shared" si="150"/>
        <v>1st</v>
      </c>
      <c r="HW15" s="537">
        <f t="shared" si="151"/>
        <v>60.333333333333336</v>
      </c>
      <c r="HX15" s="539">
        <f t="shared" si="152"/>
        <v>12.00000000000008</v>
      </c>
      <c r="HY15" s="553" t="str">
        <f>IFERROR(IF(OR(HS15="SUPPLEMENTARY",HS15="RE-EXAM"),'Supp. Result Entry'!AQ13,""),"")</f>
        <v/>
      </c>
      <c r="HZ15" s="538" t="str">
        <f t="shared" si="153"/>
        <v/>
      </c>
      <c r="IA15" s="415" t="str">
        <f t="shared" si="154"/>
        <v/>
      </c>
      <c r="IB15" s="415" t="str">
        <f>IF(AND(HZ15="",IA15=""),"",IF(OR(HS15="SUPPLEMENTARY",HS15="RE-EXAM"),'Supp. Result Entry'!AQ13,HS15))</f>
        <v/>
      </c>
      <c r="IC15" s="87"/>
      <c r="IS15" s="109" t="str">
        <f>IF('Supp. Result Entry'!T13="","",'Supp. Result Entry'!$T$4)</f>
        <v/>
      </c>
      <c r="IT15" s="110" t="str">
        <f>IF('Supp. Result Entry'!W13="","",'Supp. Result Entry'!$W$4)</f>
        <v/>
      </c>
      <c r="IU15" s="110" t="str">
        <f>IF('Supp. Result Entry'!Z13="","",'Supp. Result Entry'!$Z$4)</f>
        <v/>
      </c>
      <c r="IV15" s="110" t="str">
        <f>IF('Supp. Result Entry'!AC13="","",'Supp. Result Entry'!$AC$4)</f>
        <v/>
      </c>
      <c r="IW15" s="110" t="str">
        <f>IF('Supp. Result Entry'!AF13="","",'Supp. Result Entry'!$AF$4)</f>
        <v/>
      </c>
      <c r="IX15" s="110" t="str">
        <f>IF('Supp. Result Entry'!AI13="","",'Supp. Result Entry'!$AI$4)</f>
        <v/>
      </c>
      <c r="IY15" s="110" t="str">
        <f>IF('Supp. Result Entry'!AI13="","",'Supp. Result Entry'!$AL$4)</f>
        <v/>
      </c>
      <c r="IZ15" s="110" t="str">
        <f>IF('Supp. Result Entry'!U13="","",'Supp. Result Entry'!U13)</f>
        <v/>
      </c>
      <c r="JA15" s="110" t="str">
        <f>IF('Supp. Result Entry'!X13="","",'Supp. Result Entry'!X13)</f>
        <v/>
      </c>
      <c r="JB15" s="110" t="str">
        <f>IF('Supp. Result Entry'!AA13="","",'Supp. Result Entry'!AA13)</f>
        <v/>
      </c>
      <c r="JC15" s="110" t="str">
        <f>IF('Supp. Result Entry'!AD13="","",'Supp. Result Entry'!AD13)</f>
        <v/>
      </c>
      <c r="JD15" s="110" t="str">
        <f>IF('Supp. Result Entry'!AG13="","",'Supp. Result Entry'!AG13)</f>
        <v/>
      </c>
      <c r="JE15" s="110" t="str">
        <f>IF('Supp. Result Entry'!AJ13="","",'Supp. Result Entry'!AJ13)</f>
        <v/>
      </c>
      <c r="JF15" s="110" t="str">
        <f>IF('Supp. Result Entry'!AM13="","",'Supp. Result Entry'!AM13)</f>
        <v/>
      </c>
      <c r="JG15" s="110" t="str">
        <f>IF('Supp. Result Entry'!V13="","",'Supp. Result Entry'!V13)</f>
        <v/>
      </c>
      <c r="JH15" s="110" t="str">
        <f>IF('Supp. Result Entry'!Y13="","",'Supp. Result Entry'!Y13)</f>
        <v/>
      </c>
      <c r="JI15" s="110" t="str">
        <f>IF('Supp. Result Entry'!AB13="","",'Supp. Result Entry'!AB13)</f>
        <v/>
      </c>
      <c r="JJ15" s="110" t="str">
        <f>IF('Supp. Result Entry'!AE13="","",'Supp. Result Entry'!AE13)</f>
        <v/>
      </c>
      <c r="JK15" s="110" t="str">
        <f>IF('Supp. Result Entry'!AH13="","",'Supp. Result Entry'!AH13)</f>
        <v/>
      </c>
      <c r="JL15" s="110" t="str">
        <f>IF('Supp. Result Entry'!AK13="","",'Supp. Result Entry'!AK13)</f>
        <v/>
      </c>
      <c r="JM15" s="110" t="str">
        <f>IF('Supp. Result Entry'!AN13="","",'Supp. Result Entry'!AN13)</f>
        <v/>
      </c>
      <c r="JN15" s="110">
        <f>COUNTIF('Supp. Result Entry'!K13:Q13,"S")</f>
        <v>0</v>
      </c>
      <c r="JO15" s="110">
        <f t="shared" si="155"/>
        <v>0</v>
      </c>
      <c r="JP15" s="110">
        <f t="shared" si="156"/>
        <v>0</v>
      </c>
      <c r="JQ15" s="110" t="str">
        <f t="shared" si="75"/>
        <v/>
      </c>
      <c r="JR15" s="110" t="str">
        <f t="shared" si="76"/>
        <v/>
      </c>
      <c r="JS15" s="110" t="str">
        <f t="shared" si="77"/>
        <v/>
      </c>
      <c r="JT15" s="110" t="str">
        <f t="shared" si="78"/>
        <v/>
      </c>
      <c r="JU15" s="110" t="str">
        <f t="shared" si="79"/>
        <v/>
      </c>
      <c r="JV15" s="110" t="str">
        <f t="shared" si="80"/>
        <v/>
      </c>
      <c r="JW15" s="110" t="str">
        <f t="shared" si="81"/>
        <v/>
      </c>
      <c r="JX15" s="110" t="str">
        <f t="shared" si="157"/>
        <v/>
      </c>
      <c r="JY15" s="110" t="str">
        <f t="shared" si="158"/>
        <v/>
      </c>
      <c r="JZ15" s="110" t="str">
        <f t="shared" si="82"/>
        <v/>
      </c>
      <c r="KA15" s="108" t="str">
        <f t="shared" si="159"/>
        <v/>
      </c>
    </row>
    <row r="16" spans="1:287" s="108" customFormat="1" ht="21.95" customHeight="1">
      <c r="A16" s="89">
        <v>10</v>
      </c>
      <c r="B16" s="90">
        <f>IF('Marks Entry'!B16="","",'Marks Entry'!B16)</f>
        <v>910</v>
      </c>
      <c r="C16" s="94" t="str">
        <f>IF('Marks Entry'!D16="","",'Marks Entry'!D16)</f>
        <v>A</v>
      </c>
      <c r="D16" s="91" t="str">
        <f>IF('Marks Entry'!E16="","",'Marks Entry'!E16)</f>
        <v/>
      </c>
      <c r="E16" s="92">
        <f>IF('Marks Entry'!F16="","",'Marks Entry'!F16)</f>
        <v>40737</v>
      </c>
      <c r="F16" s="93" t="str">
        <f>IF('Marks Entry'!G16="","",'Marks Entry'!G16)</f>
        <v>SONU</v>
      </c>
      <c r="G16" s="93" t="str">
        <f>IF('Marks Entry'!H16="","",'Marks Entry'!H16)</f>
        <v/>
      </c>
      <c r="H16" s="93" t="str">
        <f>IF('Marks Entry'!I16="","",'Marks Entry'!I16)</f>
        <v/>
      </c>
      <c r="I16" s="94" t="str">
        <f>IF('Marks Entry'!J16="","",'Marks Entry'!J16)</f>
        <v>ST</v>
      </c>
      <c r="J16" s="95" t="str">
        <f>IF('Marks Entry'!K16="","",'Marks Entry'!K16)</f>
        <v>F</v>
      </c>
      <c r="K16" s="68">
        <f>IF('Marks Entry'!L16="","",'Marks Entry'!L16)</f>
        <v>8</v>
      </c>
      <c r="L16" s="68">
        <f>IF('Marks Entry'!M16="","",'Marks Entry'!M16)</f>
        <v>9</v>
      </c>
      <c r="M16" s="68">
        <f>IF('Marks Entry'!N16="","",'Marks Entry'!N16)</f>
        <v>7</v>
      </c>
      <c r="N16" s="514">
        <f t="shared" si="83"/>
        <v>24</v>
      </c>
      <c r="O16" s="68">
        <f>IF('Marks Entry'!O16="","",'Marks Entry'!O16)</f>
        <v>46</v>
      </c>
      <c r="P16" s="515">
        <f t="shared" si="84"/>
        <v>70</v>
      </c>
      <c r="Q16" s="68">
        <f>IF('Marks Entry'!P16="","",'Marks Entry'!P16)</f>
        <v>65</v>
      </c>
      <c r="R16" s="96">
        <f t="shared" si="85"/>
        <v>135</v>
      </c>
      <c r="S16" s="65">
        <f t="shared" si="86"/>
        <v>0</v>
      </c>
      <c r="T16" s="65">
        <f t="shared" si="87"/>
        <v>0</v>
      </c>
      <c r="U16" s="66">
        <f t="shared" si="88"/>
        <v>200</v>
      </c>
      <c r="V16" s="65" t="str">
        <f t="shared" si="89"/>
        <v/>
      </c>
      <c r="W16" s="65" t="str">
        <f t="shared" si="90"/>
        <v>P</v>
      </c>
      <c r="X16" s="65" t="str">
        <f t="shared" si="91"/>
        <v>I</v>
      </c>
      <c r="Y16" s="68">
        <f>IF('Marks Entry'!Q16="","",'Marks Entry'!Q16)</f>
        <v>8</v>
      </c>
      <c r="Z16" s="68">
        <f>IF('Marks Entry'!R16="","",'Marks Entry'!R16)</f>
        <v>9</v>
      </c>
      <c r="AA16" s="68">
        <f>IF('Marks Entry'!S16="","",'Marks Entry'!S16)</f>
        <v>9</v>
      </c>
      <c r="AB16" s="514">
        <f t="shared" si="2"/>
        <v>26</v>
      </c>
      <c r="AC16" s="68">
        <f>IF('Marks Entry'!T16="","",'Marks Entry'!T16)</f>
        <v>30</v>
      </c>
      <c r="AD16" s="515">
        <f t="shared" si="3"/>
        <v>56</v>
      </c>
      <c r="AE16" s="68">
        <f>IF('Marks Entry'!U16="","",'Marks Entry'!U16)</f>
        <v>30</v>
      </c>
      <c r="AF16" s="96">
        <f t="shared" si="4"/>
        <v>86</v>
      </c>
      <c r="AG16" s="65">
        <f t="shared" si="5"/>
        <v>0</v>
      </c>
      <c r="AH16" s="65">
        <f t="shared" si="6"/>
        <v>0</v>
      </c>
      <c r="AI16" s="66">
        <f t="shared" si="7"/>
        <v>200</v>
      </c>
      <c r="AJ16" s="65" t="str">
        <f t="shared" si="8"/>
        <v/>
      </c>
      <c r="AK16" s="65" t="str">
        <f t="shared" si="9"/>
        <v>P</v>
      </c>
      <c r="AL16" s="65" t="str">
        <f t="shared" si="10"/>
        <v>III</v>
      </c>
      <c r="AM16" s="524" t="str">
        <f>IF('Marks Entry'!V16="","",IF('Marks Entry'!V16=1,'School Profile'!$I$9,IF('Marks Entry'!V16=2,'School Profile'!$I$10,IF('Marks Entry'!V16=3,'School Profile'!$I$11,IF('Marks Entry'!V16=4,'School Profile'!$I$12,IF('Marks Entry'!V16=5,'School Profile'!$I$13,IF('Marks Entry'!V16=6,'School Profile'!$I$14,"")))))))</f>
        <v>संस्कृत (71)</v>
      </c>
      <c r="AN16" s="68">
        <f>IF('Marks Entry'!W16="","",'Marks Entry'!W16)</f>
        <v>8</v>
      </c>
      <c r="AO16" s="68">
        <f>IF('Marks Entry'!X16="","",'Marks Entry'!X16)</f>
        <v>9</v>
      </c>
      <c r="AP16" s="68">
        <f>IF('Marks Entry'!Y16="","",'Marks Entry'!Y16)</f>
        <v>7</v>
      </c>
      <c r="AQ16" s="514">
        <f t="shared" si="11"/>
        <v>24</v>
      </c>
      <c r="AR16" s="68">
        <f>IF('Marks Entry'!Z16="","",'Marks Entry'!Z16)</f>
        <v>46</v>
      </c>
      <c r="AS16" s="515">
        <f t="shared" si="12"/>
        <v>70</v>
      </c>
      <c r="AT16" s="68">
        <f>IF('Marks Entry'!AA16="","",'Marks Entry'!AA16)</f>
        <v>45</v>
      </c>
      <c r="AU16" s="96">
        <f t="shared" si="13"/>
        <v>115</v>
      </c>
      <c r="AV16" s="65">
        <f t="shared" si="14"/>
        <v>0</v>
      </c>
      <c r="AW16" s="65">
        <f t="shared" si="15"/>
        <v>0</v>
      </c>
      <c r="AX16" s="66">
        <f t="shared" si="16"/>
        <v>200</v>
      </c>
      <c r="AY16" s="65" t="str">
        <f t="shared" si="17"/>
        <v/>
      </c>
      <c r="AZ16" s="65" t="str">
        <f t="shared" si="18"/>
        <v>P</v>
      </c>
      <c r="BA16" s="65" t="str">
        <f t="shared" si="19"/>
        <v>II</v>
      </c>
      <c r="BB16" s="68">
        <f>IF('Marks Entry'!AB16="","",'Marks Entry'!AB16)</f>
        <v>8</v>
      </c>
      <c r="BC16" s="68">
        <f>IF('Marks Entry'!AC16="","",'Marks Entry'!AC16)</f>
        <v>9</v>
      </c>
      <c r="BD16" s="68">
        <f>IF('Marks Entry'!AD16="","",'Marks Entry'!AD16)</f>
        <v>10</v>
      </c>
      <c r="BE16" s="514">
        <f t="shared" si="20"/>
        <v>27</v>
      </c>
      <c r="BF16" s="68">
        <f>IF('Marks Entry'!AE16="","",'Marks Entry'!AE16)</f>
        <v>15</v>
      </c>
      <c r="BG16" s="515">
        <f t="shared" si="21"/>
        <v>42</v>
      </c>
      <c r="BH16" s="68">
        <f>IF('Marks Entry'!AF16="","",'Marks Entry'!AF16)</f>
        <v>25</v>
      </c>
      <c r="BI16" s="96">
        <f t="shared" si="22"/>
        <v>67</v>
      </c>
      <c r="BJ16" s="65">
        <f t="shared" si="23"/>
        <v>0</v>
      </c>
      <c r="BK16" s="65">
        <f t="shared" si="92"/>
        <v>0</v>
      </c>
      <c r="BL16" s="66">
        <f t="shared" si="24"/>
        <v>200</v>
      </c>
      <c r="BM16" s="65" t="str">
        <f t="shared" si="25"/>
        <v/>
      </c>
      <c r="BN16" s="65" t="str">
        <f t="shared" si="26"/>
        <v>G1</v>
      </c>
      <c r="BO16" s="65" t="str">
        <f t="shared" si="27"/>
        <v>G1</v>
      </c>
      <c r="BP16" s="68">
        <f>IF('Marks Entry'!AG16="","",'Marks Entry'!AG16)</f>
        <v>8</v>
      </c>
      <c r="BQ16" s="68">
        <f>IF('Marks Entry'!AH16="","",'Marks Entry'!AH16)</f>
        <v>9</v>
      </c>
      <c r="BR16" s="68">
        <f>IF('Marks Entry'!AI16="","",'Marks Entry'!AI16)</f>
        <v>7</v>
      </c>
      <c r="BS16" s="514">
        <f t="shared" si="28"/>
        <v>24</v>
      </c>
      <c r="BT16" s="68">
        <f>IF('Marks Entry'!AJ16="","",'Marks Entry'!AJ16)</f>
        <v>46</v>
      </c>
      <c r="BU16" s="515">
        <f t="shared" si="29"/>
        <v>70</v>
      </c>
      <c r="BV16" s="68">
        <f>IF('Marks Entry'!AK16="","",'Marks Entry'!AK16)</f>
        <v>45</v>
      </c>
      <c r="BW16" s="96">
        <f t="shared" si="30"/>
        <v>115</v>
      </c>
      <c r="BX16" s="65">
        <f t="shared" si="31"/>
        <v>0</v>
      </c>
      <c r="BY16" s="65">
        <f t="shared" si="32"/>
        <v>0</v>
      </c>
      <c r="BZ16" s="66">
        <f t="shared" si="33"/>
        <v>200</v>
      </c>
      <c r="CA16" s="65" t="str">
        <f t="shared" si="34"/>
        <v/>
      </c>
      <c r="CB16" s="65" t="str">
        <f t="shared" si="35"/>
        <v>P</v>
      </c>
      <c r="CC16" s="65" t="str">
        <f t="shared" si="36"/>
        <v>II</v>
      </c>
      <c r="CD16" s="66">
        <f t="shared" si="93"/>
        <v>0</v>
      </c>
      <c r="CE16" s="68">
        <f>IF('Marks Entry'!AL16="","",'Marks Entry'!AL16)</f>
        <v>8</v>
      </c>
      <c r="CF16" s="68">
        <f>IF('Marks Entry'!AM16="","",'Marks Entry'!AM16)</f>
        <v>8</v>
      </c>
      <c r="CG16" s="68">
        <f>IF('Marks Entry'!AN16="","",'Marks Entry'!AN16)</f>
        <v>8</v>
      </c>
      <c r="CH16" s="514">
        <f t="shared" si="37"/>
        <v>24</v>
      </c>
      <c r="CI16" s="68">
        <f>IF('Marks Entry'!AO16="","",'Marks Entry'!AO16)</f>
        <v>46</v>
      </c>
      <c r="CJ16" s="515">
        <f t="shared" si="38"/>
        <v>70</v>
      </c>
      <c r="CK16" s="68">
        <f>IF('Marks Entry'!AP16="","",'Marks Entry'!AP16)</f>
        <v>45</v>
      </c>
      <c r="CL16" s="96">
        <f t="shared" si="39"/>
        <v>115</v>
      </c>
      <c r="CM16" s="65">
        <f t="shared" si="40"/>
        <v>0</v>
      </c>
      <c r="CN16" s="65">
        <f t="shared" si="41"/>
        <v>0</v>
      </c>
      <c r="CO16" s="66">
        <f t="shared" si="42"/>
        <v>200</v>
      </c>
      <c r="CP16" s="65" t="str">
        <f t="shared" si="43"/>
        <v/>
      </c>
      <c r="CQ16" s="65" t="str">
        <f t="shared" si="44"/>
        <v>P</v>
      </c>
      <c r="CR16" s="65" t="str">
        <f t="shared" si="45"/>
        <v>II</v>
      </c>
      <c r="CS16" s="616"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8" t="str">
        <f>IF('School Profile'!$D$20="NO","",IF('Marks Entry'!AR16="","",'Marks Entry'!AR16))</f>
        <v/>
      </c>
      <c r="CU16" s="68" t="str">
        <f>IF('School Profile'!$D$20="NO","",IF('Marks Entry'!AS16="","",'Marks Entry'!AS16))</f>
        <v/>
      </c>
      <c r="CV16" s="68" t="str">
        <f>IF('School Profile'!$D$20="NO","",IF('Marks Entry'!AT16="","",'Marks Entry'!AT16))</f>
        <v/>
      </c>
      <c r="CW16" s="514" t="str">
        <f>IF('School Profile'!$D$20="NO","",IF(AND(CT16="",CU16="",CV16=""),"",SUM(CT16:CV16)))</f>
        <v/>
      </c>
      <c r="CX16" s="68" t="str">
        <f>IF('School Profile'!$D$20="NO","",IF('Marks Entry'!AU16="","",'Marks Entry'!AU16))</f>
        <v/>
      </c>
      <c r="CY16" s="68" t="str">
        <f>IF('School Profile'!$D$20="NO","",IF('Marks Entry'!AV16="","",'Marks Entry'!AV16))</f>
        <v/>
      </c>
      <c r="CZ16" s="515" t="str">
        <f>IF('School Profile'!$D$20="NO","",IF(AND(CX16="",CY16=""),"",SUM(CX16,CY16)))</f>
        <v/>
      </c>
      <c r="DA16" s="69" t="str">
        <f>IF('School Profile'!$D$20="NO","",IF(AND(CW16="",CZ16=""),"",SUM(CW16+CZ16)))</f>
        <v/>
      </c>
      <c r="DB16" s="68" t="str">
        <f>IF('School Profile'!$D$20="NO","",IF('Marks Entry'!AW16="","",'Marks Entry'!AW16))</f>
        <v/>
      </c>
      <c r="DC16" s="68" t="str">
        <f>IF('School Profile'!$D$20="NO","",IF('Marks Entry'!AX16="","",'Marks Entry'!AX16))</f>
        <v/>
      </c>
      <c r="DD16" s="515" t="str">
        <f>IF('School Profile'!$D$20="NO","",IF(AND(DB16="",DC16=""),"",SUM(DB16,DC16)))</f>
        <v/>
      </c>
      <c r="DE16" s="96" t="str">
        <f>IF('School Profile'!$D$20="NO","",IF(AND(DA16="",DD16=""),"",SUM(DA16,DD16)))</f>
        <v/>
      </c>
      <c r="DF16" s="532">
        <f t="shared" si="46"/>
        <v>0</v>
      </c>
      <c r="DG16" s="65">
        <f t="shared" si="47"/>
        <v>0</v>
      </c>
      <c r="DH16" s="66" t="str">
        <f t="shared" si="48"/>
        <v/>
      </c>
      <c r="DI16" s="65" t="str">
        <f t="shared" si="49"/>
        <v/>
      </c>
      <c r="DJ16" s="65" t="str">
        <f t="shared" si="50"/>
        <v/>
      </c>
      <c r="DK16" s="65" t="str">
        <f t="shared" si="51"/>
        <v/>
      </c>
      <c r="DL16" s="97" t="str">
        <f t="shared" si="94"/>
        <v>I</v>
      </c>
      <c r="DM16" s="97" t="str">
        <f t="shared" si="95"/>
        <v>III</v>
      </c>
      <c r="DN16" s="97" t="str">
        <f t="shared" si="96"/>
        <v>II</v>
      </c>
      <c r="DO16" s="97" t="str">
        <f t="shared" si="97"/>
        <v>G1</v>
      </c>
      <c r="DP16" s="97" t="str">
        <f t="shared" si="98"/>
        <v>II</v>
      </c>
      <c r="DQ16" s="97" t="str">
        <f t="shared" si="99"/>
        <v>II</v>
      </c>
      <c r="DR16" s="97" t="str">
        <f t="shared" si="100"/>
        <v/>
      </c>
      <c r="DS16" s="98">
        <f t="shared" si="101"/>
        <v>0</v>
      </c>
      <c r="DT16" s="98">
        <f t="shared" si="102"/>
        <v>0</v>
      </c>
      <c r="DU16" s="98">
        <f t="shared" si="103"/>
        <v>1</v>
      </c>
      <c r="DV16" s="98">
        <f t="shared" si="104"/>
        <v>0</v>
      </c>
      <c r="DW16" s="98">
        <f t="shared" si="105"/>
        <v>0</v>
      </c>
      <c r="DX16" s="98" t="str">
        <f t="shared" si="106"/>
        <v/>
      </c>
      <c r="DY16" s="99" t="str">
        <f t="shared" si="107"/>
        <v>BY GRACE PASS</v>
      </c>
      <c r="DZ16" s="74">
        <f>IF('Marks Entry'!AY16="","",'Marks Entry'!AY16)</f>
        <v>9</v>
      </c>
      <c r="EA16" s="74">
        <f>IF('Marks Entry'!AZ16="","",'Marks Entry'!AZ16)</f>
        <v>9</v>
      </c>
      <c r="EB16" s="74">
        <f>IF('Marks Entry'!BA16="","",'Marks Entry'!BA16)</f>
        <v>9</v>
      </c>
      <c r="EC16" s="527">
        <f t="shared" si="52"/>
        <v>27</v>
      </c>
      <c r="ED16" s="74">
        <f>IF('Marks Entry'!BB16="","",'Marks Entry'!BB16)</f>
        <v>66</v>
      </c>
      <c r="EE16" s="528">
        <f t="shared" si="53"/>
        <v>93</v>
      </c>
      <c r="EF16" s="74">
        <f>IF('Marks Entry'!BC16="","",'Marks Entry'!BC16)</f>
        <v>91</v>
      </c>
      <c r="EG16" s="530">
        <f t="shared" si="54"/>
        <v>184</v>
      </c>
      <c r="EH16" s="368" t="str">
        <f t="shared" si="108"/>
        <v>A</v>
      </c>
      <c r="EI16" s="65">
        <f t="shared" si="109"/>
        <v>0</v>
      </c>
      <c r="EJ16" s="65">
        <f t="shared" si="110"/>
        <v>0</v>
      </c>
      <c r="EK16" s="66">
        <f t="shared" si="111"/>
        <v>200</v>
      </c>
      <c r="EL16" s="74">
        <f>IF('Marks Entry'!BD16="","",'Marks Entry'!BD16)</f>
        <v>8</v>
      </c>
      <c r="EM16" s="74">
        <f>IF('Marks Entry'!BE16="","",'Marks Entry'!BE16)</f>
        <v>8</v>
      </c>
      <c r="EN16" s="74">
        <f>IF('Marks Entry'!BF16="","",'Marks Entry'!BF16)</f>
        <v>8</v>
      </c>
      <c r="EO16" s="527">
        <f t="shared" si="55"/>
        <v>24</v>
      </c>
      <c r="EP16" s="74">
        <f>IF('Marks Entry'!BG16="","",'Marks Entry'!BG16)</f>
        <v>41</v>
      </c>
      <c r="EQ16" s="74">
        <f>IF('Marks Entry'!BH16="","",'Marks Entry'!BH16)</f>
        <v>15</v>
      </c>
      <c r="ER16" s="528">
        <f t="shared" si="56"/>
        <v>56</v>
      </c>
      <c r="ES16" s="529">
        <f t="shared" si="57"/>
        <v>80</v>
      </c>
      <c r="ET16" s="74">
        <f>IF('Marks Entry'!BI16="","",'Marks Entry'!BI16)</f>
        <v>56</v>
      </c>
      <c r="EU16" s="74">
        <f>IF('Marks Entry'!BJ16="","",'Marks Entry'!BJ16)</f>
        <v>27</v>
      </c>
      <c r="EV16" s="528">
        <f t="shared" si="58"/>
        <v>83</v>
      </c>
      <c r="EW16" s="530">
        <f t="shared" si="59"/>
        <v>163</v>
      </c>
      <c r="EX16" s="368" t="str">
        <f t="shared" si="112"/>
        <v>A</v>
      </c>
      <c r="EY16" s="65">
        <f t="shared" si="113"/>
        <v>0</v>
      </c>
      <c r="EZ16" s="65">
        <f t="shared" si="114"/>
        <v>0</v>
      </c>
      <c r="FA16" s="66">
        <f t="shared" si="115"/>
        <v>200</v>
      </c>
      <c r="FB16" s="74">
        <f>IF('Marks Entry'!BK16="","",'Marks Entry'!BK16)</f>
        <v>9</v>
      </c>
      <c r="FC16" s="74">
        <f>IF('Marks Entry'!BL16="","",'Marks Entry'!BL16)</f>
        <v>7</v>
      </c>
      <c r="FD16" s="74">
        <f>IF('Marks Entry'!BM16="","",'Marks Entry'!BM16)</f>
        <v>9</v>
      </c>
      <c r="FE16" s="74">
        <f>IF('Marks Entry'!BN16="","",'Marks Entry'!BN16)</f>
        <v>6</v>
      </c>
      <c r="FF16" s="74">
        <f>IF('Marks Entry'!BO16="","",'Marks Entry'!BO16)</f>
        <v>9</v>
      </c>
      <c r="FG16" s="74">
        <f>IF('Marks Entry'!BP16="","",'Marks Entry'!BP16)</f>
        <v>14</v>
      </c>
      <c r="FH16" s="527">
        <f t="shared" si="60"/>
        <v>54</v>
      </c>
      <c r="FI16" s="74">
        <f>IF('Marks Entry'!BQ16="","",'Marks Entry'!BQ16)</f>
        <v>21</v>
      </c>
      <c r="FJ16" s="74">
        <f>IF('Marks Entry'!BR16="","",'Marks Entry'!BR16)</f>
        <v>13</v>
      </c>
      <c r="FK16" s="528">
        <f t="shared" si="61"/>
        <v>34</v>
      </c>
      <c r="FL16" s="529">
        <f t="shared" si="62"/>
        <v>88</v>
      </c>
      <c r="FM16" s="74">
        <f>IF('Marks Entry'!BS16="","",'Marks Entry'!BS16)</f>
        <v>25</v>
      </c>
      <c r="FN16" s="74">
        <f>IF('Marks Entry'!BT16="","",'Marks Entry'!BT16)</f>
        <v>69</v>
      </c>
      <c r="FO16" s="528">
        <f t="shared" si="63"/>
        <v>94</v>
      </c>
      <c r="FP16" s="530">
        <f t="shared" si="64"/>
        <v>182</v>
      </c>
      <c r="FQ16" s="368" t="str">
        <f t="shared" si="116"/>
        <v>A</v>
      </c>
      <c r="FR16" s="65">
        <f t="shared" si="117"/>
        <v>0</v>
      </c>
      <c r="FS16" s="65">
        <f t="shared" si="118"/>
        <v>0</v>
      </c>
      <c r="FT16" s="66">
        <f t="shared" si="119"/>
        <v>200</v>
      </c>
      <c r="FU16" s="74">
        <f>IF('Marks Entry'!BU16="","",'Marks Entry'!BU16)</f>
        <v>20</v>
      </c>
      <c r="FV16" s="74">
        <f>IF('Marks Entry'!BV16="","",'Marks Entry'!BV16)</f>
        <v>40</v>
      </c>
      <c r="FW16" s="74">
        <f>IF('Marks Entry'!BW16="","",'Marks Entry'!BW16)</f>
        <v>20</v>
      </c>
      <c r="FX16" s="75">
        <f t="shared" si="65"/>
        <v>80</v>
      </c>
      <c r="FY16" s="368" t="str">
        <f t="shared" si="120"/>
        <v>B</v>
      </c>
      <c r="FZ16" s="65">
        <f t="shared" si="121"/>
        <v>0</v>
      </c>
      <c r="GA16" s="66">
        <f t="shared" si="122"/>
        <v>0</v>
      </c>
      <c r="GB16" s="66">
        <f t="shared" si="123"/>
        <v>100</v>
      </c>
      <c r="GC16" s="74">
        <f>IF('Marks Entry'!BX16="","",'Marks Entry'!BX16)</f>
        <v>20</v>
      </c>
      <c r="GD16" s="74">
        <f>IF('Marks Entry'!BY16="","",'Marks Entry'!BY16)</f>
        <v>45</v>
      </c>
      <c r="GE16" s="74">
        <f>IF('Marks Entry'!BZ16="","",'Marks Entry'!BZ16)</f>
        <v>15</v>
      </c>
      <c r="GF16" s="75">
        <f t="shared" si="124"/>
        <v>80</v>
      </c>
      <c r="GG16" s="368" t="str">
        <f t="shared" si="125"/>
        <v>B</v>
      </c>
      <c r="GH16" s="65">
        <f t="shared" si="126"/>
        <v>0</v>
      </c>
      <c r="GI16" s="66">
        <f t="shared" si="127"/>
        <v>0</v>
      </c>
      <c r="GJ16" s="66">
        <f t="shared" si="128"/>
        <v>100</v>
      </c>
      <c r="GK16" s="100" t="str">
        <f>IF(AND(F16="",B16=""),"",IF('Student DATA Entry'!M13="","",'Student DATA Entry'!M13))</f>
        <v/>
      </c>
      <c r="GL16" s="101" t="str">
        <f>IF(AND(B16="",F16=""),"",IF('Student DATA Entry'!N13="","",'Student DATA Entry'!N13))</f>
        <v/>
      </c>
      <c r="GM16" s="581" t="str">
        <f t="shared" si="129"/>
        <v/>
      </c>
      <c r="GN16" s="94" t="str">
        <f t="shared" si="130"/>
        <v>I</v>
      </c>
      <c r="GO16" s="94" t="str">
        <f t="shared" si="131"/>
        <v/>
      </c>
      <c r="GP16" s="102" t="str">
        <f t="shared" si="67"/>
        <v/>
      </c>
      <c r="GQ16" s="94" t="str">
        <f t="shared" si="132"/>
        <v>III</v>
      </c>
      <c r="GR16" s="103" t="str">
        <f t="shared" si="133"/>
        <v/>
      </c>
      <c r="GS16" s="102" t="str">
        <f t="shared" si="68"/>
        <v/>
      </c>
      <c r="GT16" s="104" t="str">
        <f t="shared" si="134"/>
        <v>II</v>
      </c>
      <c r="GU16" s="94" t="str">
        <f>IF('Marks Entry'!V16=1,GT16,"")</f>
        <v>II</v>
      </c>
      <c r="GV16" s="94" t="str">
        <f>IF('Marks Entry'!V16=2,GT16,"")</f>
        <v/>
      </c>
      <c r="GW16" s="94" t="str">
        <f>IF('Marks Entry'!V16=3,GT16,"")</f>
        <v/>
      </c>
      <c r="GX16" s="94" t="str">
        <f>IF('Marks Entry'!V16=4,GT16,"")</f>
        <v/>
      </c>
      <c r="GY16" s="94" t="str">
        <f>IF('Marks Entry'!V16=5,GT16,"")</f>
        <v/>
      </c>
      <c r="GZ16" s="94" t="str">
        <f t="shared" si="135"/>
        <v/>
      </c>
      <c r="HA16" s="105" t="str">
        <f t="shared" si="69"/>
        <v/>
      </c>
      <c r="HB16" s="94" t="str">
        <f t="shared" si="136"/>
        <v>G</v>
      </c>
      <c r="HC16" s="94" t="str">
        <f t="shared" si="137"/>
        <v>,+</v>
      </c>
      <c r="HD16" s="105">
        <f t="shared" si="70"/>
        <v>5</v>
      </c>
      <c r="HE16" s="94" t="str">
        <f t="shared" si="138"/>
        <v>II</v>
      </c>
      <c r="HF16" s="94" t="str">
        <f t="shared" si="139"/>
        <v/>
      </c>
      <c r="HG16" s="105" t="str">
        <f t="shared" si="71"/>
        <v/>
      </c>
      <c r="HH16" s="94" t="str">
        <f t="shared" si="140"/>
        <v>II</v>
      </c>
      <c r="HI16" s="94" t="str">
        <f t="shared" si="141"/>
        <v/>
      </c>
      <c r="HJ16" s="105" t="str">
        <f t="shared" si="72"/>
        <v/>
      </c>
      <c r="HK16" s="94" t="str">
        <f t="shared" si="142"/>
        <v/>
      </c>
      <c r="HL16" s="94" t="str">
        <f t="shared" si="143"/>
        <v/>
      </c>
      <c r="HM16" s="105" t="str">
        <f t="shared" si="73"/>
        <v/>
      </c>
      <c r="HN16" s="367" t="str">
        <f t="shared" si="144"/>
        <v xml:space="preserve">      </v>
      </c>
      <c r="HO16" s="418" t="str">
        <f t="shared" si="145"/>
        <v xml:space="preserve">      </v>
      </c>
      <c r="HP16" s="367" t="str">
        <f t="shared" si="146"/>
        <v xml:space="preserve">   गणित   </v>
      </c>
      <c r="HQ16" s="107" t="str">
        <f t="shared" si="147"/>
        <v xml:space="preserve">      </v>
      </c>
      <c r="HR16" s="366" t="str">
        <f t="shared" si="148"/>
        <v xml:space="preserve">      </v>
      </c>
      <c r="HS16" s="544" t="str">
        <f t="shared" si="74"/>
        <v>BY GRACE PASS</v>
      </c>
      <c r="HT16" s="542">
        <f t="shared" si="149"/>
        <v>633</v>
      </c>
      <c r="HU16" s="541">
        <f t="shared" si="160"/>
        <v>52.75</v>
      </c>
      <c r="HV16" s="540" t="str">
        <f t="shared" si="150"/>
        <v>2nd</v>
      </c>
      <c r="HW16" s="537">
        <f t="shared" si="151"/>
        <v>52.75</v>
      </c>
      <c r="HX16" s="539">
        <f t="shared" si="152"/>
        <v>17.999999999999773</v>
      </c>
      <c r="HY16" s="553" t="str">
        <f>IFERROR(IF(OR(HS16="SUPPLEMENTARY",HS16="RE-EXAM"),'Supp. Result Entry'!AQ14,""),"")</f>
        <v/>
      </c>
      <c r="HZ16" s="538" t="str">
        <f t="shared" si="153"/>
        <v/>
      </c>
      <c r="IA16" s="415" t="str">
        <f t="shared" si="154"/>
        <v/>
      </c>
      <c r="IB16" s="415" t="str">
        <f>IF(AND(HZ16="",IA16=""),"",IF(OR(HS16="SUPPLEMENTARY",HS16="RE-EXAM"),'Supp. Result Entry'!AQ14,HS16))</f>
        <v/>
      </c>
      <c r="IC16" s="87"/>
      <c r="IS16" s="109" t="str">
        <f>IF('Supp. Result Entry'!T14="","",'Supp. Result Entry'!$T$4)</f>
        <v/>
      </c>
      <c r="IT16" s="110" t="str">
        <f>IF('Supp. Result Entry'!W14="","",'Supp. Result Entry'!$W$4)</f>
        <v/>
      </c>
      <c r="IU16" s="110" t="str">
        <f>IF('Supp. Result Entry'!Z14="","",'Supp. Result Entry'!$Z$4)</f>
        <v/>
      </c>
      <c r="IV16" s="110" t="str">
        <f>IF('Supp. Result Entry'!AC14="","",'Supp. Result Entry'!$AC$4)</f>
        <v/>
      </c>
      <c r="IW16" s="110" t="str">
        <f>IF('Supp. Result Entry'!AF14="","",'Supp. Result Entry'!$AF$4)</f>
        <v/>
      </c>
      <c r="IX16" s="110" t="str">
        <f>IF('Supp. Result Entry'!AI14="","",'Supp. Result Entry'!$AI$4)</f>
        <v/>
      </c>
      <c r="IY16" s="110" t="str">
        <f>IF('Supp. Result Entry'!AI14="","",'Supp. Result Entry'!$AL$4)</f>
        <v/>
      </c>
      <c r="IZ16" s="110" t="str">
        <f>IF('Supp. Result Entry'!U14="","",'Supp. Result Entry'!U14)</f>
        <v/>
      </c>
      <c r="JA16" s="110" t="str">
        <f>IF('Supp. Result Entry'!X14="","",'Supp. Result Entry'!X14)</f>
        <v/>
      </c>
      <c r="JB16" s="110" t="str">
        <f>IF('Supp. Result Entry'!AA14="","",'Supp. Result Entry'!AA14)</f>
        <v/>
      </c>
      <c r="JC16" s="110" t="str">
        <f>IF('Supp. Result Entry'!AD14="","",'Supp. Result Entry'!AD14)</f>
        <v/>
      </c>
      <c r="JD16" s="110" t="str">
        <f>IF('Supp. Result Entry'!AG14="","",'Supp. Result Entry'!AG14)</f>
        <v/>
      </c>
      <c r="JE16" s="110" t="str">
        <f>IF('Supp. Result Entry'!AJ14="","",'Supp. Result Entry'!AJ14)</f>
        <v/>
      </c>
      <c r="JF16" s="110" t="str">
        <f>IF('Supp. Result Entry'!AM14="","",'Supp. Result Entry'!AM14)</f>
        <v/>
      </c>
      <c r="JG16" s="110" t="str">
        <f>IF('Supp. Result Entry'!V14="","",'Supp. Result Entry'!V14)</f>
        <v/>
      </c>
      <c r="JH16" s="110" t="str">
        <f>IF('Supp. Result Entry'!Y14="","",'Supp. Result Entry'!Y14)</f>
        <v/>
      </c>
      <c r="JI16" s="110" t="str">
        <f>IF('Supp. Result Entry'!AB14="","",'Supp. Result Entry'!AB14)</f>
        <v/>
      </c>
      <c r="JJ16" s="110" t="str">
        <f>IF('Supp. Result Entry'!AE14="","",'Supp. Result Entry'!AE14)</f>
        <v/>
      </c>
      <c r="JK16" s="110" t="str">
        <f>IF('Supp. Result Entry'!AH14="","",'Supp. Result Entry'!AH14)</f>
        <v/>
      </c>
      <c r="JL16" s="110" t="str">
        <f>IF('Supp. Result Entry'!AK14="","",'Supp. Result Entry'!AK14)</f>
        <v/>
      </c>
      <c r="JM16" s="110" t="str">
        <f>IF('Supp. Result Entry'!AN14="","",'Supp. Result Entry'!AN14)</f>
        <v/>
      </c>
      <c r="JN16" s="110">
        <f>COUNTIF('Supp. Result Entry'!K14:Q14,"S")</f>
        <v>0</v>
      </c>
      <c r="JO16" s="110">
        <f t="shared" si="155"/>
        <v>0</v>
      </c>
      <c r="JP16" s="110">
        <f t="shared" si="156"/>
        <v>0</v>
      </c>
      <c r="JQ16" s="110" t="str">
        <f t="shared" si="75"/>
        <v/>
      </c>
      <c r="JR16" s="110" t="str">
        <f t="shared" si="76"/>
        <v/>
      </c>
      <c r="JS16" s="110" t="str">
        <f t="shared" si="77"/>
        <v/>
      </c>
      <c r="JT16" s="110" t="str">
        <f t="shared" si="78"/>
        <v/>
      </c>
      <c r="JU16" s="110" t="str">
        <f t="shared" si="79"/>
        <v/>
      </c>
      <c r="JV16" s="110" t="str">
        <f t="shared" si="80"/>
        <v/>
      </c>
      <c r="JW16" s="110" t="str">
        <f t="shared" si="81"/>
        <v/>
      </c>
      <c r="JX16" s="110" t="str">
        <f t="shared" si="157"/>
        <v/>
      </c>
      <c r="JY16" s="110" t="str">
        <f t="shared" si="158"/>
        <v/>
      </c>
      <c r="JZ16" s="110" t="str">
        <f t="shared" si="82"/>
        <v/>
      </c>
      <c r="KA16" s="108" t="str">
        <f t="shared" si="159"/>
        <v/>
      </c>
    </row>
    <row r="17" spans="1:287" s="108" customFormat="1" ht="21.95" customHeight="1">
      <c r="A17" s="89">
        <v>11</v>
      </c>
      <c r="B17" s="90">
        <f>IF('Marks Entry'!B17="","",'Marks Entry'!B17)</f>
        <v>911</v>
      </c>
      <c r="C17" s="94" t="str">
        <f>IF('Marks Entry'!D17="","",'Marks Entry'!D17)</f>
        <v>A</v>
      </c>
      <c r="D17" s="91" t="str">
        <f>IF('Marks Entry'!E17="","",'Marks Entry'!E17)</f>
        <v/>
      </c>
      <c r="E17" s="92">
        <f>IF('Marks Entry'!F17="","",'Marks Entry'!F17)</f>
        <v>41878</v>
      </c>
      <c r="F17" s="93" t="str">
        <f>IF('Marks Entry'!G17="","",'Marks Entry'!G17)</f>
        <v>MONU</v>
      </c>
      <c r="G17" s="93" t="str">
        <f>IF('Marks Entry'!H17="","",'Marks Entry'!H17)</f>
        <v/>
      </c>
      <c r="H17" s="93" t="str">
        <f>IF('Marks Entry'!I17="","",'Marks Entry'!I17)</f>
        <v/>
      </c>
      <c r="I17" s="94" t="str">
        <f>IF('Marks Entry'!J17="","",'Marks Entry'!J17)</f>
        <v>SC</v>
      </c>
      <c r="J17" s="95" t="str">
        <f>IF('Marks Entry'!K17="","",'Marks Entry'!K17)</f>
        <v>M</v>
      </c>
      <c r="K17" s="68" t="str">
        <f>IF('Marks Entry'!L17="","",'Marks Entry'!L17)</f>
        <v/>
      </c>
      <c r="L17" s="68" t="str">
        <f>IF('Marks Entry'!M17="","",'Marks Entry'!M17)</f>
        <v/>
      </c>
      <c r="M17" s="68" t="str">
        <f>IF('Marks Entry'!N17="","",'Marks Entry'!N17)</f>
        <v/>
      </c>
      <c r="N17" s="514" t="str">
        <f t="shared" si="83"/>
        <v/>
      </c>
      <c r="O17" s="68">
        <f>IF('Marks Entry'!O17="","",'Marks Entry'!O17)</f>
        <v>46</v>
      </c>
      <c r="P17" s="515">
        <f t="shared" si="84"/>
        <v>46</v>
      </c>
      <c r="Q17" s="68">
        <f>IF('Marks Entry'!P17="","",'Marks Entry'!P17)</f>
        <v>65</v>
      </c>
      <c r="R17" s="96">
        <f t="shared" si="85"/>
        <v>111</v>
      </c>
      <c r="S17" s="65">
        <f t="shared" si="86"/>
        <v>0</v>
      </c>
      <c r="T17" s="65">
        <f t="shared" si="87"/>
        <v>0</v>
      </c>
      <c r="U17" s="66">
        <f t="shared" si="88"/>
        <v>170</v>
      </c>
      <c r="V17" s="65" t="str">
        <f t="shared" si="89"/>
        <v>AB</v>
      </c>
      <c r="W17" s="65" t="str">
        <f t="shared" si="90"/>
        <v>AB</v>
      </c>
      <c r="X17" s="65" t="str">
        <f t="shared" si="91"/>
        <v>AB</v>
      </c>
      <c r="Y17" s="68">
        <f>IF('Marks Entry'!Q17="","",'Marks Entry'!Q17)</f>
        <v>8</v>
      </c>
      <c r="Z17" s="68">
        <f>IF('Marks Entry'!R17="","",'Marks Entry'!R17)</f>
        <v>9</v>
      </c>
      <c r="AA17" s="68">
        <f>IF('Marks Entry'!S17="","",'Marks Entry'!S17)</f>
        <v>9</v>
      </c>
      <c r="AB17" s="514">
        <f t="shared" si="2"/>
        <v>26</v>
      </c>
      <c r="AC17" s="68">
        <f>IF('Marks Entry'!T17="","",'Marks Entry'!T17)</f>
        <v>60</v>
      </c>
      <c r="AD17" s="515">
        <f t="shared" si="3"/>
        <v>86</v>
      </c>
      <c r="AE17" s="68">
        <f>IF('Marks Entry'!U17="","",'Marks Entry'!U17)</f>
        <v>85</v>
      </c>
      <c r="AF17" s="96">
        <f t="shared" si="4"/>
        <v>171</v>
      </c>
      <c r="AG17" s="65">
        <f t="shared" si="5"/>
        <v>0</v>
      </c>
      <c r="AH17" s="65">
        <f t="shared" si="6"/>
        <v>0</v>
      </c>
      <c r="AI17" s="66">
        <f t="shared" si="7"/>
        <v>200</v>
      </c>
      <c r="AJ17" s="65" t="str">
        <f t="shared" si="8"/>
        <v/>
      </c>
      <c r="AK17" s="65" t="str">
        <f t="shared" si="9"/>
        <v>P</v>
      </c>
      <c r="AL17" s="65" t="str">
        <f t="shared" si="10"/>
        <v>D</v>
      </c>
      <c r="AM17" s="524" t="str">
        <f>IF('Marks Entry'!V17="","",IF('Marks Entry'!V17=1,'School Profile'!$I$9,IF('Marks Entry'!V17=2,'School Profile'!$I$10,IF('Marks Entry'!V17=3,'School Profile'!$I$11,IF('Marks Entry'!V17=4,'School Profile'!$I$12,IF('Marks Entry'!V17=5,'School Profile'!$I$13,IF('Marks Entry'!V17=6,'School Profile'!$I$14,"")))))))</f>
        <v>संस्कृत (71)</v>
      </c>
      <c r="AN17" s="68">
        <f>IF('Marks Entry'!W17="","",'Marks Entry'!W17)</f>
        <v>8</v>
      </c>
      <c r="AO17" s="68">
        <f>IF('Marks Entry'!X17="","",'Marks Entry'!X17)</f>
        <v>9</v>
      </c>
      <c r="AP17" s="68">
        <f>IF('Marks Entry'!Y17="","",'Marks Entry'!Y17)</f>
        <v>7</v>
      </c>
      <c r="AQ17" s="514">
        <f t="shared" si="11"/>
        <v>24</v>
      </c>
      <c r="AR17" s="68">
        <f>IF('Marks Entry'!Z17="","",'Marks Entry'!Z17)</f>
        <v>46</v>
      </c>
      <c r="AS17" s="515">
        <f t="shared" si="12"/>
        <v>70</v>
      </c>
      <c r="AT17" s="68">
        <f>IF('Marks Entry'!AA17="","",'Marks Entry'!AA17)</f>
        <v>45</v>
      </c>
      <c r="AU17" s="96">
        <f t="shared" si="13"/>
        <v>115</v>
      </c>
      <c r="AV17" s="65">
        <f t="shared" si="14"/>
        <v>0</v>
      </c>
      <c r="AW17" s="65">
        <f t="shared" si="15"/>
        <v>0</v>
      </c>
      <c r="AX17" s="66">
        <f t="shared" si="16"/>
        <v>200</v>
      </c>
      <c r="AY17" s="65" t="str">
        <f t="shared" si="17"/>
        <v/>
      </c>
      <c r="AZ17" s="65" t="str">
        <f t="shared" si="18"/>
        <v>P</v>
      </c>
      <c r="BA17" s="65" t="str">
        <f t="shared" si="19"/>
        <v>II</v>
      </c>
      <c r="BB17" s="68">
        <f>IF('Marks Entry'!AB17="","",'Marks Entry'!AB17)</f>
        <v>8</v>
      </c>
      <c r="BC17" s="68">
        <f>IF('Marks Entry'!AC17="","",'Marks Entry'!AC17)</f>
        <v>9</v>
      </c>
      <c r="BD17" s="68">
        <f>IF('Marks Entry'!AD17="","",'Marks Entry'!AD17)</f>
        <v>10</v>
      </c>
      <c r="BE17" s="514">
        <f t="shared" si="20"/>
        <v>27</v>
      </c>
      <c r="BF17" s="68">
        <f>IF('Marks Entry'!AE17="","",'Marks Entry'!AE17)</f>
        <v>46</v>
      </c>
      <c r="BG17" s="515">
        <f t="shared" si="21"/>
        <v>73</v>
      </c>
      <c r="BH17" s="68">
        <f>IF('Marks Entry'!AF17="","",'Marks Entry'!AF17)</f>
        <v>45</v>
      </c>
      <c r="BI17" s="96">
        <f t="shared" si="22"/>
        <v>118</v>
      </c>
      <c r="BJ17" s="65">
        <f t="shared" si="23"/>
        <v>0</v>
      </c>
      <c r="BK17" s="65">
        <f t="shared" si="92"/>
        <v>0</v>
      </c>
      <c r="BL17" s="66">
        <f t="shared" si="24"/>
        <v>200</v>
      </c>
      <c r="BM17" s="65" t="str">
        <f t="shared" si="25"/>
        <v/>
      </c>
      <c r="BN17" s="65" t="str">
        <f t="shared" si="26"/>
        <v>P</v>
      </c>
      <c r="BO17" s="65" t="str">
        <f t="shared" si="27"/>
        <v>II</v>
      </c>
      <c r="BP17" s="68">
        <f>IF('Marks Entry'!AG17="","",'Marks Entry'!AG17)</f>
        <v>8</v>
      </c>
      <c r="BQ17" s="68">
        <f>IF('Marks Entry'!AH17="","",'Marks Entry'!AH17)</f>
        <v>9</v>
      </c>
      <c r="BR17" s="68">
        <f>IF('Marks Entry'!AI17="","",'Marks Entry'!AI17)</f>
        <v>7</v>
      </c>
      <c r="BS17" s="514">
        <f t="shared" si="28"/>
        <v>24</v>
      </c>
      <c r="BT17" s="68">
        <f>IF('Marks Entry'!AJ17="","",'Marks Entry'!AJ17)</f>
        <v>46</v>
      </c>
      <c r="BU17" s="515">
        <f t="shared" si="29"/>
        <v>70</v>
      </c>
      <c r="BV17" s="68">
        <f>IF('Marks Entry'!AK17="","",'Marks Entry'!AK17)</f>
        <v>45</v>
      </c>
      <c r="BW17" s="96">
        <f t="shared" si="30"/>
        <v>115</v>
      </c>
      <c r="BX17" s="65">
        <f t="shared" si="31"/>
        <v>0</v>
      </c>
      <c r="BY17" s="65">
        <f t="shared" si="32"/>
        <v>0</v>
      </c>
      <c r="BZ17" s="66">
        <f t="shared" si="33"/>
        <v>200</v>
      </c>
      <c r="CA17" s="65" t="str">
        <f t="shared" si="34"/>
        <v/>
      </c>
      <c r="CB17" s="65" t="str">
        <f t="shared" si="35"/>
        <v>P</v>
      </c>
      <c r="CC17" s="65" t="str">
        <f t="shared" si="36"/>
        <v>II</v>
      </c>
      <c r="CD17" s="66">
        <f t="shared" si="93"/>
        <v>0</v>
      </c>
      <c r="CE17" s="68">
        <f>IF('Marks Entry'!AL17="","",'Marks Entry'!AL17)</f>
        <v>8</v>
      </c>
      <c r="CF17" s="68">
        <f>IF('Marks Entry'!AM17="","",'Marks Entry'!AM17)</f>
        <v>8</v>
      </c>
      <c r="CG17" s="68">
        <f>IF('Marks Entry'!AN17="","",'Marks Entry'!AN17)</f>
        <v>8</v>
      </c>
      <c r="CH17" s="514">
        <f t="shared" si="37"/>
        <v>24</v>
      </c>
      <c r="CI17" s="68">
        <f>IF('Marks Entry'!AO17="","",'Marks Entry'!AO17)</f>
        <v>46</v>
      </c>
      <c r="CJ17" s="515">
        <f t="shared" si="38"/>
        <v>70</v>
      </c>
      <c r="CK17" s="68">
        <f>IF('Marks Entry'!AP17="","",'Marks Entry'!AP17)</f>
        <v>45</v>
      </c>
      <c r="CL17" s="96">
        <f t="shared" si="39"/>
        <v>115</v>
      </c>
      <c r="CM17" s="65">
        <f t="shared" si="40"/>
        <v>0</v>
      </c>
      <c r="CN17" s="65">
        <f t="shared" si="41"/>
        <v>0</v>
      </c>
      <c r="CO17" s="66">
        <f t="shared" si="42"/>
        <v>200</v>
      </c>
      <c r="CP17" s="65" t="str">
        <f t="shared" si="43"/>
        <v/>
      </c>
      <c r="CQ17" s="65" t="str">
        <f t="shared" si="44"/>
        <v>P</v>
      </c>
      <c r="CR17" s="65" t="str">
        <f t="shared" si="45"/>
        <v>II</v>
      </c>
      <c r="CS17" s="616"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8" t="str">
        <f>IF('School Profile'!$D$20="NO","",IF('Marks Entry'!AR17="","",'Marks Entry'!AR17))</f>
        <v/>
      </c>
      <c r="CU17" s="68" t="str">
        <f>IF('School Profile'!$D$20="NO","",IF('Marks Entry'!AS17="","",'Marks Entry'!AS17))</f>
        <v/>
      </c>
      <c r="CV17" s="68" t="str">
        <f>IF('School Profile'!$D$20="NO","",IF('Marks Entry'!AT17="","",'Marks Entry'!AT17))</f>
        <v/>
      </c>
      <c r="CW17" s="514" t="str">
        <f>IF('School Profile'!$D$20="NO","",IF(AND(CT17="",CU17="",CV17=""),"",SUM(CT17:CV17)))</f>
        <v/>
      </c>
      <c r="CX17" s="68" t="str">
        <f>IF('School Profile'!$D$20="NO","",IF('Marks Entry'!AU17="","",'Marks Entry'!AU17))</f>
        <v/>
      </c>
      <c r="CY17" s="68" t="str">
        <f>IF('School Profile'!$D$20="NO","",IF('Marks Entry'!AV17="","",'Marks Entry'!AV17))</f>
        <v/>
      </c>
      <c r="CZ17" s="515" t="str">
        <f>IF('School Profile'!$D$20="NO","",IF(AND(CX17="",CY17=""),"",SUM(CX17,CY17)))</f>
        <v/>
      </c>
      <c r="DA17" s="69" t="str">
        <f>IF('School Profile'!$D$20="NO","",IF(AND(CW17="",CZ17=""),"",SUM(CW17+CZ17)))</f>
        <v/>
      </c>
      <c r="DB17" s="68" t="str">
        <f>IF('School Profile'!$D$20="NO","",IF('Marks Entry'!AW17="","",'Marks Entry'!AW17))</f>
        <v/>
      </c>
      <c r="DC17" s="68" t="str">
        <f>IF('School Profile'!$D$20="NO","",IF('Marks Entry'!AX17="","",'Marks Entry'!AX17))</f>
        <v/>
      </c>
      <c r="DD17" s="515" t="str">
        <f>IF('School Profile'!$D$20="NO","",IF(AND(DB17="",DC17=""),"",SUM(DB17,DC17)))</f>
        <v/>
      </c>
      <c r="DE17" s="96" t="str">
        <f>IF('School Profile'!$D$20="NO","",IF(AND(DA17="",DD17=""),"",SUM(DA17,DD17)))</f>
        <v/>
      </c>
      <c r="DF17" s="532">
        <f t="shared" si="46"/>
        <v>0</v>
      </c>
      <c r="DG17" s="65">
        <f t="shared" si="47"/>
        <v>0</v>
      </c>
      <c r="DH17" s="66" t="str">
        <f t="shared" si="48"/>
        <v/>
      </c>
      <c r="DI17" s="65" t="str">
        <f t="shared" si="49"/>
        <v/>
      </c>
      <c r="DJ17" s="65" t="str">
        <f t="shared" si="50"/>
        <v/>
      </c>
      <c r="DK17" s="65" t="str">
        <f t="shared" si="51"/>
        <v/>
      </c>
      <c r="DL17" s="97" t="str">
        <f t="shared" si="94"/>
        <v>AB</v>
      </c>
      <c r="DM17" s="97" t="str">
        <f t="shared" si="95"/>
        <v>D</v>
      </c>
      <c r="DN17" s="97" t="str">
        <f t="shared" si="96"/>
        <v>II</v>
      </c>
      <c r="DO17" s="97" t="str">
        <f t="shared" si="97"/>
        <v>II</v>
      </c>
      <c r="DP17" s="97" t="str">
        <f t="shared" si="98"/>
        <v>II</v>
      </c>
      <c r="DQ17" s="97" t="str">
        <f t="shared" si="99"/>
        <v>II</v>
      </c>
      <c r="DR17" s="97" t="str">
        <f t="shared" si="100"/>
        <v/>
      </c>
      <c r="DS17" s="98">
        <f t="shared" si="101"/>
        <v>1</v>
      </c>
      <c r="DT17" s="98">
        <f t="shared" si="102"/>
        <v>0</v>
      </c>
      <c r="DU17" s="98">
        <f t="shared" si="103"/>
        <v>0</v>
      </c>
      <c r="DV17" s="98">
        <f t="shared" si="104"/>
        <v>0</v>
      </c>
      <c r="DW17" s="98">
        <f t="shared" si="105"/>
        <v>0</v>
      </c>
      <c r="DX17" s="98" t="str">
        <f t="shared" si="106"/>
        <v/>
      </c>
      <c r="DY17" s="99" t="str">
        <f t="shared" si="107"/>
        <v>FAIL</v>
      </c>
      <c r="DZ17" s="74">
        <f>IF('Marks Entry'!AY17="","",'Marks Entry'!AY17)</f>
        <v>9</v>
      </c>
      <c r="EA17" s="74">
        <f>IF('Marks Entry'!AZ17="","",'Marks Entry'!AZ17)</f>
        <v>9</v>
      </c>
      <c r="EB17" s="74">
        <f>IF('Marks Entry'!BA17="","",'Marks Entry'!BA17)</f>
        <v>9</v>
      </c>
      <c r="EC17" s="527">
        <f t="shared" si="52"/>
        <v>27</v>
      </c>
      <c r="ED17" s="74">
        <f>IF('Marks Entry'!BB17="","",'Marks Entry'!BB17)</f>
        <v>66</v>
      </c>
      <c r="EE17" s="528">
        <f t="shared" si="53"/>
        <v>93</v>
      </c>
      <c r="EF17" s="74">
        <f>IF('Marks Entry'!BC17="","",'Marks Entry'!BC17)</f>
        <v>91</v>
      </c>
      <c r="EG17" s="530">
        <f t="shared" si="54"/>
        <v>184</v>
      </c>
      <c r="EH17" s="368" t="str">
        <f t="shared" si="108"/>
        <v>A</v>
      </c>
      <c r="EI17" s="65">
        <f t="shared" si="109"/>
        <v>0</v>
      </c>
      <c r="EJ17" s="65">
        <f t="shared" si="110"/>
        <v>0</v>
      </c>
      <c r="EK17" s="66">
        <f t="shared" si="111"/>
        <v>200</v>
      </c>
      <c r="EL17" s="74">
        <f>IF('Marks Entry'!BD17="","",'Marks Entry'!BD17)</f>
        <v>8</v>
      </c>
      <c r="EM17" s="74">
        <f>IF('Marks Entry'!BE17="","",'Marks Entry'!BE17)</f>
        <v>8</v>
      </c>
      <c r="EN17" s="74">
        <f>IF('Marks Entry'!BF17="","",'Marks Entry'!BF17)</f>
        <v>8</v>
      </c>
      <c r="EO17" s="527">
        <f t="shared" si="55"/>
        <v>24</v>
      </c>
      <c r="EP17" s="74">
        <f>IF('Marks Entry'!BG17="","",'Marks Entry'!BG17)</f>
        <v>42</v>
      </c>
      <c r="EQ17" s="74">
        <f>IF('Marks Entry'!BH17="","",'Marks Entry'!BH17)</f>
        <v>18</v>
      </c>
      <c r="ER17" s="528">
        <f t="shared" si="56"/>
        <v>60</v>
      </c>
      <c r="ES17" s="529">
        <f t="shared" si="57"/>
        <v>84</v>
      </c>
      <c r="ET17" s="74">
        <f>IF('Marks Entry'!BI17="","",'Marks Entry'!BI17)</f>
        <v>58</v>
      </c>
      <c r="EU17" s="74">
        <f>IF('Marks Entry'!BJ17="","",'Marks Entry'!BJ17)</f>
        <v>27</v>
      </c>
      <c r="EV17" s="528">
        <f t="shared" si="58"/>
        <v>85</v>
      </c>
      <c r="EW17" s="530">
        <f t="shared" si="59"/>
        <v>169</v>
      </c>
      <c r="EX17" s="368" t="str">
        <f t="shared" si="112"/>
        <v>A</v>
      </c>
      <c r="EY17" s="65">
        <f t="shared" si="113"/>
        <v>0</v>
      </c>
      <c r="EZ17" s="65">
        <f t="shared" si="114"/>
        <v>0</v>
      </c>
      <c r="FA17" s="66">
        <f t="shared" si="115"/>
        <v>200</v>
      </c>
      <c r="FB17" s="74">
        <f>IF('Marks Entry'!BK17="","",'Marks Entry'!BK17)</f>
        <v>9</v>
      </c>
      <c r="FC17" s="74">
        <f>IF('Marks Entry'!BL17="","",'Marks Entry'!BL17)</f>
        <v>7</v>
      </c>
      <c r="FD17" s="74">
        <f>IF('Marks Entry'!BM17="","",'Marks Entry'!BM17)</f>
        <v>9</v>
      </c>
      <c r="FE17" s="74">
        <f>IF('Marks Entry'!BN17="","",'Marks Entry'!BN17)</f>
        <v>6</v>
      </c>
      <c r="FF17" s="74">
        <f>IF('Marks Entry'!BO17="","",'Marks Entry'!BO17)</f>
        <v>9</v>
      </c>
      <c r="FG17" s="74">
        <f>IF('Marks Entry'!BP17="","",'Marks Entry'!BP17)</f>
        <v>14</v>
      </c>
      <c r="FH17" s="527">
        <f t="shared" si="60"/>
        <v>54</v>
      </c>
      <c r="FI17" s="74">
        <f>IF('Marks Entry'!BQ17="","",'Marks Entry'!BQ17)</f>
        <v>21</v>
      </c>
      <c r="FJ17" s="74">
        <f>IF('Marks Entry'!BR17="","",'Marks Entry'!BR17)</f>
        <v>12</v>
      </c>
      <c r="FK17" s="528">
        <f t="shared" si="61"/>
        <v>33</v>
      </c>
      <c r="FL17" s="529">
        <f t="shared" si="62"/>
        <v>87</v>
      </c>
      <c r="FM17" s="74">
        <f>IF('Marks Entry'!BS17="","",'Marks Entry'!BS17)</f>
        <v>20</v>
      </c>
      <c r="FN17" s="74">
        <f>IF('Marks Entry'!BT17="","",'Marks Entry'!BT17)</f>
        <v>68</v>
      </c>
      <c r="FO17" s="528">
        <f t="shared" si="63"/>
        <v>88</v>
      </c>
      <c r="FP17" s="530">
        <f t="shared" si="64"/>
        <v>175</v>
      </c>
      <c r="FQ17" s="368" t="str">
        <f t="shared" si="116"/>
        <v>A</v>
      </c>
      <c r="FR17" s="65">
        <f t="shared" si="117"/>
        <v>0</v>
      </c>
      <c r="FS17" s="65">
        <f t="shared" si="118"/>
        <v>0</v>
      </c>
      <c r="FT17" s="66">
        <f t="shared" si="119"/>
        <v>200</v>
      </c>
      <c r="FU17" s="74">
        <f>IF('Marks Entry'!BU17="","",'Marks Entry'!BU17)</f>
        <v>20</v>
      </c>
      <c r="FV17" s="74">
        <f>IF('Marks Entry'!BV17="","",'Marks Entry'!BV17)</f>
        <v>40</v>
      </c>
      <c r="FW17" s="74">
        <f>IF('Marks Entry'!BW17="","",'Marks Entry'!BW17)</f>
        <v>20</v>
      </c>
      <c r="FX17" s="75">
        <f t="shared" si="65"/>
        <v>80</v>
      </c>
      <c r="FY17" s="368" t="str">
        <f t="shared" si="120"/>
        <v>B</v>
      </c>
      <c r="FZ17" s="65">
        <f t="shared" si="121"/>
        <v>0</v>
      </c>
      <c r="GA17" s="66">
        <f t="shared" si="122"/>
        <v>0</v>
      </c>
      <c r="GB17" s="66">
        <f t="shared" si="123"/>
        <v>100</v>
      </c>
      <c r="GC17" s="74">
        <f>IF('Marks Entry'!BX17="","",'Marks Entry'!BX17)</f>
        <v>20</v>
      </c>
      <c r="GD17" s="74">
        <f>IF('Marks Entry'!BY17="","",'Marks Entry'!BY17)</f>
        <v>45</v>
      </c>
      <c r="GE17" s="74">
        <f>IF('Marks Entry'!BZ17="","",'Marks Entry'!BZ17)</f>
        <v>14</v>
      </c>
      <c r="GF17" s="75">
        <f t="shared" si="124"/>
        <v>79</v>
      </c>
      <c r="GG17" s="368" t="str">
        <f t="shared" si="125"/>
        <v>B</v>
      </c>
      <c r="GH17" s="65">
        <f t="shared" si="126"/>
        <v>0</v>
      </c>
      <c r="GI17" s="66">
        <f t="shared" si="127"/>
        <v>0</v>
      </c>
      <c r="GJ17" s="66">
        <f t="shared" si="128"/>
        <v>100</v>
      </c>
      <c r="GK17" s="100" t="str">
        <f>IF(AND(F17="",B17=""),"",IF('Student DATA Entry'!M14="","",'Student DATA Entry'!M14))</f>
        <v/>
      </c>
      <c r="GL17" s="101" t="str">
        <f>IF(AND(B17="",F17=""),"",IF('Student DATA Entry'!N14="","",'Student DATA Entry'!N14))</f>
        <v/>
      </c>
      <c r="GM17" s="581" t="str">
        <f t="shared" si="129"/>
        <v/>
      </c>
      <c r="GN17" s="94" t="str">
        <f t="shared" si="130"/>
        <v>AB</v>
      </c>
      <c r="GO17" s="94" t="str">
        <f t="shared" si="131"/>
        <v/>
      </c>
      <c r="GP17" s="102" t="str">
        <f t="shared" si="67"/>
        <v/>
      </c>
      <c r="GQ17" s="94" t="str">
        <f t="shared" si="132"/>
        <v>D</v>
      </c>
      <c r="GR17" s="103" t="str">
        <f t="shared" si="133"/>
        <v/>
      </c>
      <c r="GS17" s="102" t="str">
        <f t="shared" si="68"/>
        <v/>
      </c>
      <c r="GT17" s="104" t="str">
        <f t="shared" si="134"/>
        <v>II</v>
      </c>
      <c r="GU17" s="94" t="str">
        <f>IF('Marks Entry'!V17=1,GT17,"")</f>
        <v>II</v>
      </c>
      <c r="GV17" s="94" t="str">
        <f>IF('Marks Entry'!V17=2,GT17,"")</f>
        <v/>
      </c>
      <c r="GW17" s="94" t="str">
        <f>IF('Marks Entry'!V17=3,GT17,"")</f>
        <v/>
      </c>
      <c r="GX17" s="94" t="str">
        <f>IF('Marks Entry'!V17=4,GT17,"")</f>
        <v/>
      </c>
      <c r="GY17" s="94" t="str">
        <f>IF('Marks Entry'!V17=5,GT17,"")</f>
        <v/>
      </c>
      <c r="GZ17" s="94" t="str">
        <f t="shared" si="135"/>
        <v/>
      </c>
      <c r="HA17" s="105" t="str">
        <f t="shared" si="69"/>
        <v/>
      </c>
      <c r="HB17" s="94" t="str">
        <f t="shared" si="136"/>
        <v>II</v>
      </c>
      <c r="HC17" s="94" t="str">
        <f t="shared" si="137"/>
        <v/>
      </c>
      <c r="HD17" s="105" t="str">
        <f t="shared" si="70"/>
        <v/>
      </c>
      <c r="HE17" s="94" t="str">
        <f t="shared" si="138"/>
        <v>II</v>
      </c>
      <c r="HF17" s="94" t="str">
        <f t="shared" si="139"/>
        <v/>
      </c>
      <c r="HG17" s="105" t="str">
        <f t="shared" si="71"/>
        <v/>
      </c>
      <c r="HH17" s="94" t="str">
        <f t="shared" si="140"/>
        <v>II</v>
      </c>
      <c r="HI17" s="94" t="str">
        <f t="shared" si="141"/>
        <v/>
      </c>
      <c r="HJ17" s="105" t="str">
        <f t="shared" si="72"/>
        <v/>
      </c>
      <c r="HK17" s="94" t="str">
        <f t="shared" si="142"/>
        <v/>
      </c>
      <c r="HL17" s="94" t="str">
        <f t="shared" si="143"/>
        <v/>
      </c>
      <c r="HM17" s="105" t="str">
        <f t="shared" si="73"/>
        <v/>
      </c>
      <c r="HN17" s="367" t="str">
        <f t="shared" si="144"/>
        <v xml:space="preserve">हिंदी      </v>
      </c>
      <c r="HO17" s="418" t="str">
        <f t="shared" si="145"/>
        <v xml:space="preserve">      </v>
      </c>
      <c r="HP17" s="367" t="str">
        <f t="shared" si="146"/>
        <v xml:space="preserve">      </v>
      </c>
      <c r="HQ17" s="107" t="str">
        <f t="shared" si="147"/>
        <v xml:space="preserve">      </v>
      </c>
      <c r="HR17" s="366" t="str">
        <f t="shared" si="148"/>
        <v xml:space="preserve"> अंग्रेजी     </v>
      </c>
      <c r="HS17" s="544" t="str">
        <f t="shared" si="74"/>
        <v>FAIL</v>
      </c>
      <c r="HT17" s="542">
        <f t="shared" si="149"/>
        <v>745</v>
      </c>
      <c r="HU17" s="541">
        <f t="shared" si="160"/>
        <v>62.083333333333336</v>
      </c>
      <c r="HV17" s="540" t="str">
        <f t="shared" si="150"/>
        <v/>
      </c>
      <c r="HW17" s="537" t="str">
        <f t="shared" si="151"/>
        <v/>
      </c>
      <c r="HX17" s="539" t="str">
        <f t="shared" si="152"/>
        <v/>
      </c>
      <c r="HY17" s="553" t="str">
        <f>IFERROR(IF(OR(HS17="SUPPLEMENTARY",HS17="RE-EXAM"),'Supp. Result Entry'!AQ15,""),"")</f>
        <v/>
      </c>
      <c r="HZ17" s="538" t="str">
        <f t="shared" si="153"/>
        <v/>
      </c>
      <c r="IA17" s="415" t="str">
        <f t="shared" si="154"/>
        <v/>
      </c>
      <c r="IB17" s="415" t="str">
        <f>IF(AND(HZ17="",IA17=""),"",IF(OR(HS17="SUPPLEMENTARY",HS17="RE-EXAM"),'Supp. Result Entry'!AQ15,HS17))</f>
        <v/>
      </c>
      <c r="IC17" s="87"/>
      <c r="IS17" s="109" t="str">
        <f>IF('Supp. Result Entry'!T15="","",'Supp. Result Entry'!$T$4)</f>
        <v/>
      </c>
      <c r="IT17" s="110" t="str">
        <f>IF('Supp. Result Entry'!W15="","",'Supp. Result Entry'!$W$4)</f>
        <v/>
      </c>
      <c r="IU17" s="110" t="str">
        <f>IF('Supp. Result Entry'!Z15="","",'Supp. Result Entry'!$Z$4)</f>
        <v/>
      </c>
      <c r="IV17" s="110" t="str">
        <f>IF('Supp. Result Entry'!AC15="","",'Supp. Result Entry'!$AC$4)</f>
        <v/>
      </c>
      <c r="IW17" s="110" t="str">
        <f>IF('Supp. Result Entry'!AF15="","",'Supp. Result Entry'!$AF$4)</f>
        <v/>
      </c>
      <c r="IX17" s="110" t="str">
        <f>IF('Supp. Result Entry'!AI15="","",'Supp. Result Entry'!$AI$4)</f>
        <v/>
      </c>
      <c r="IY17" s="110" t="str">
        <f>IF('Supp. Result Entry'!AI15="","",'Supp. Result Entry'!$AL$4)</f>
        <v/>
      </c>
      <c r="IZ17" s="110" t="str">
        <f>IF('Supp. Result Entry'!U15="","",'Supp. Result Entry'!U15)</f>
        <v/>
      </c>
      <c r="JA17" s="110" t="str">
        <f>IF('Supp. Result Entry'!X15="","",'Supp. Result Entry'!X15)</f>
        <v/>
      </c>
      <c r="JB17" s="110" t="str">
        <f>IF('Supp. Result Entry'!AA15="","",'Supp. Result Entry'!AA15)</f>
        <v/>
      </c>
      <c r="JC17" s="110" t="str">
        <f>IF('Supp. Result Entry'!AD15="","",'Supp. Result Entry'!AD15)</f>
        <v/>
      </c>
      <c r="JD17" s="110" t="str">
        <f>IF('Supp. Result Entry'!AG15="","",'Supp. Result Entry'!AG15)</f>
        <v/>
      </c>
      <c r="JE17" s="110" t="str">
        <f>IF('Supp. Result Entry'!AJ15="","",'Supp. Result Entry'!AJ15)</f>
        <v/>
      </c>
      <c r="JF17" s="110" t="str">
        <f>IF('Supp. Result Entry'!AM15="","",'Supp. Result Entry'!AM15)</f>
        <v/>
      </c>
      <c r="JG17" s="110" t="str">
        <f>IF('Supp. Result Entry'!V15="","",'Supp. Result Entry'!V15)</f>
        <v/>
      </c>
      <c r="JH17" s="110" t="str">
        <f>IF('Supp. Result Entry'!Y15="","",'Supp. Result Entry'!Y15)</f>
        <v/>
      </c>
      <c r="JI17" s="110" t="str">
        <f>IF('Supp. Result Entry'!AB15="","",'Supp. Result Entry'!AB15)</f>
        <v/>
      </c>
      <c r="JJ17" s="110" t="str">
        <f>IF('Supp. Result Entry'!AE15="","",'Supp. Result Entry'!AE15)</f>
        <v/>
      </c>
      <c r="JK17" s="110" t="str">
        <f>IF('Supp. Result Entry'!AH15="","",'Supp. Result Entry'!AH15)</f>
        <v/>
      </c>
      <c r="JL17" s="110" t="str">
        <f>IF('Supp. Result Entry'!AK15="","",'Supp. Result Entry'!AK15)</f>
        <v/>
      </c>
      <c r="JM17" s="110" t="str">
        <f>IF('Supp. Result Entry'!AN15="","",'Supp. Result Entry'!AN15)</f>
        <v/>
      </c>
      <c r="JN17" s="110">
        <f>COUNTIF('Supp. Result Entry'!K15:Q15,"S")</f>
        <v>0</v>
      </c>
      <c r="JO17" s="110">
        <f t="shared" si="155"/>
        <v>0</v>
      </c>
      <c r="JP17" s="110">
        <f t="shared" si="156"/>
        <v>0</v>
      </c>
      <c r="JQ17" s="110" t="str">
        <f t="shared" si="75"/>
        <v/>
      </c>
      <c r="JR17" s="110" t="str">
        <f t="shared" si="76"/>
        <v/>
      </c>
      <c r="JS17" s="110" t="str">
        <f t="shared" si="77"/>
        <v/>
      </c>
      <c r="JT17" s="110" t="str">
        <f t="shared" si="78"/>
        <v/>
      </c>
      <c r="JU17" s="110" t="str">
        <f t="shared" si="79"/>
        <v/>
      </c>
      <c r="JV17" s="110" t="str">
        <f t="shared" si="80"/>
        <v/>
      </c>
      <c r="JW17" s="110" t="str">
        <f t="shared" si="81"/>
        <v/>
      </c>
      <c r="JX17" s="110" t="str">
        <f t="shared" si="157"/>
        <v/>
      </c>
      <c r="JY17" s="110" t="str">
        <f t="shared" si="158"/>
        <v/>
      </c>
      <c r="JZ17" s="110" t="str">
        <f t="shared" si="82"/>
        <v/>
      </c>
      <c r="KA17" s="108" t="str">
        <f t="shared" si="159"/>
        <v/>
      </c>
    </row>
    <row r="18" spans="1:287" s="108" customFormat="1" ht="21.95" customHeight="1">
      <c r="A18" s="89">
        <v>12</v>
      </c>
      <c r="B18" s="90">
        <f>IF('Marks Entry'!B18="","",'Marks Entry'!B18)</f>
        <v>912</v>
      </c>
      <c r="C18" s="94" t="str">
        <f>IF('Marks Entry'!D18="","",'Marks Entry'!D18)</f>
        <v>A</v>
      </c>
      <c r="D18" s="91" t="str">
        <f>IF('Marks Entry'!E18="","",'Marks Entry'!E18)</f>
        <v/>
      </c>
      <c r="E18" s="92" t="str">
        <f>IF('Marks Entry'!F18="","",'Marks Entry'!F18)</f>
        <v/>
      </c>
      <c r="F18" s="93" t="str">
        <f>IF('Marks Entry'!G18="","",'Marks Entry'!G18)</f>
        <v>JAY</v>
      </c>
      <c r="G18" s="93" t="str">
        <f>IF('Marks Entry'!H18="","",'Marks Entry'!H18)</f>
        <v/>
      </c>
      <c r="H18" s="93" t="str">
        <f>IF('Marks Entry'!I18="","",'Marks Entry'!I18)</f>
        <v/>
      </c>
      <c r="I18" s="94" t="str">
        <f>IF('Marks Entry'!J18="","",'Marks Entry'!J18)</f>
        <v/>
      </c>
      <c r="J18" s="95" t="str">
        <f>IF('Marks Entry'!K18="","",'Marks Entry'!K18)</f>
        <v/>
      </c>
      <c r="K18" s="68">
        <f>IF('Marks Entry'!L18="","",'Marks Entry'!L18)</f>
        <v>7</v>
      </c>
      <c r="L18" s="68">
        <f>IF('Marks Entry'!M18="","",'Marks Entry'!M18)</f>
        <v>8</v>
      </c>
      <c r="M18" s="68">
        <f>IF('Marks Entry'!N18="","",'Marks Entry'!N18)</f>
        <v>7</v>
      </c>
      <c r="N18" s="514">
        <f t="shared" si="83"/>
        <v>22</v>
      </c>
      <c r="O18" s="68">
        <f>IF('Marks Entry'!O18="","",'Marks Entry'!O18)</f>
        <v>47</v>
      </c>
      <c r="P18" s="515">
        <f t="shared" si="84"/>
        <v>69</v>
      </c>
      <c r="Q18" s="68">
        <f>IF('Marks Entry'!P18="","",'Marks Entry'!P18)</f>
        <v>65</v>
      </c>
      <c r="R18" s="96">
        <f t="shared" si="85"/>
        <v>134</v>
      </c>
      <c r="S18" s="65">
        <f t="shared" si="86"/>
        <v>0</v>
      </c>
      <c r="T18" s="65">
        <f t="shared" si="87"/>
        <v>0</v>
      </c>
      <c r="U18" s="66">
        <f t="shared" si="88"/>
        <v>200</v>
      </c>
      <c r="V18" s="65" t="str">
        <f t="shared" si="89"/>
        <v/>
      </c>
      <c r="W18" s="65" t="str">
        <f t="shared" si="90"/>
        <v>P</v>
      </c>
      <c r="X18" s="65" t="str">
        <f t="shared" si="91"/>
        <v>I</v>
      </c>
      <c r="Y18" s="68">
        <f>IF('Marks Entry'!Q18="","",'Marks Entry'!Q18)</f>
        <v>8</v>
      </c>
      <c r="Z18" s="68">
        <f>IF('Marks Entry'!R18="","",'Marks Entry'!R18)</f>
        <v>9</v>
      </c>
      <c r="AA18" s="68">
        <f>IF('Marks Entry'!S18="","",'Marks Entry'!S18)</f>
        <v>9</v>
      </c>
      <c r="AB18" s="514">
        <f t="shared" si="2"/>
        <v>26</v>
      </c>
      <c r="AC18" s="68">
        <f>IF('Marks Entry'!T18="","",'Marks Entry'!T18)</f>
        <v>60</v>
      </c>
      <c r="AD18" s="515">
        <f t="shared" si="3"/>
        <v>86</v>
      </c>
      <c r="AE18" s="68">
        <f>IF('Marks Entry'!U18="","",'Marks Entry'!U18)</f>
        <v>85</v>
      </c>
      <c r="AF18" s="96">
        <f t="shared" si="4"/>
        <v>171</v>
      </c>
      <c r="AG18" s="65">
        <f t="shared" si="5"/>
        <v>0</v>
      </c>
      <c r="AH18" s="65">
        <f t="shared" si="6"/>
        <v>0</v>
      </c>
      <c r="AI18" s="66">
        <f t="shared" si="7"/>
        <v>200</v>
      </c>
      <c r="AJ18" s="65" t="str">
        <f t="shared" si="8"/>
        <v/>
      </c>
      <c r="AK18" s="65" t="str">
        <f t="shared" si="9"/>
        <v>P</v>
      </c>
      <c r="AL18" s="65" t="str">
        <f t="shared" si="10"/>
        <v>D</v>
      </c>
      <c r="AM18" s="524" t="str">
        <f>IF('Marks Entry'!V18="","",IF('Marks Entry'!V18=1,'School Profile'!$I$9,IF('Marks Entry'!V18=2,'School Profile'!$I$10,IF('Marks Entry'!V18=3,'School Profile'!$I$11,IF('Marks Entry'!V18=4,'School Profile'!$I$12,IF('Marks Entry'!V18=5,'School Profile'!$I$13,IF('Marks Entry'!V18=6,'School Profile'!$I$14,"")))))))</f>
        <v>संस्कृत (71)</v>
      </c>
      <c r="AN18" s="68">
        <f>IF('Marks Entry'!W18="","",'Marks Entry'!W18)</f>
        <v>8</v>
      </c>
      <c r="AO18" s="68">
        <f>IF('Marks Entry'!X18="","",'Marks Entry'!X18)</f>
        <v>9</v>
      </c>
      <c r="AP18" s="68">
        <f>IF('Marks Entry'!Y18="","",'Marks Entry'!Y18)</f>
        <v>7</v>
      </c>
      <c r="AQ18" s="514">
        <f t="shared" si="11"/>
        <v>24</v>
      </c>
      <c r="AR18" s="68">
        <f>IF('Marks Entry'!Z18="","",'Marks Entry'!Z18)</f>
        <v>46</v>
      </c>
      <c r="AS18" s="515">
        <f t="shared" si="12"/>
        <v>70</v>
      </c>
      <c r="AT18" s="68">
        <f>IF('Marks Entry'!AA18="","",'Marks Entry'!AA18)</f>
        <v>45</v>
      </c>
      <c r="AU18" s="96">
        <f t="shared" si="13"/>
        <v>115</v>
      </c>
      <c r="AV18" s="65">
        <f t="shared" si="14"/>
        <v>0</v>
      </c>
      <c r="AW18" s="65">
        <f t="shared" si="15"/>
        <v>0</v>
      </c>
      <c r="AX18" s="66">
        <f t="shared" si="16"/>
        <v>200</v>
      </c>
      <c r="AY18" s="65" t="str">
        <f t="shared" si="17"/>
        <v/>
      </c>
      <c r="AZ18" s="65" t="str">
        <f t="shared" si="18"/>
        <v>P</v>
      </c>
      <c r="BA18" s="65" t="str">
        <f t="shared" si="19"/>
        <v>II</v>
      </c>
      <c r="BB18" s="68">
        <f>IF('Marks Entry'!AB18="","",'Marks Entry'!AB18)</f>
        <v>8</v>
      </c>
      <c r="BC18" s="68">
        <f>IF('Marks Entry'!AC18="","",'Marks Entry'!AC18)</f>
        <v>9</v>
      </c>
      <c r="BD18" s="68">
        <f>IF('Marks Entry'!AD18="","",'Marks Entry'!AD18)</f>
        <v>10</v>
      </c>
      <c r="BE18" s="514">
        <f t="shared" si="20"/>
        <v>27</v>
      </c>
      <c r="BF18" s="68">
        <f>IF('Marks Entry'!AE18="","",'Marks Entry'!AE18)</f>
        <v>20</v>
      </c>
      <c r="BG18" s="515">
        <f t="shared" si="21"/>
        <v>47</v>
      </c>
      <c r="BH18" s="68">
        <f>IF('Marks Entry'!AF18="","",'Marks Entry'!AF18)</f>
        <v>21</v>
      </c>
      <c r="BI18" s="96">
        <f t="shared" si="22"/>
        <v>68</v>
      </c>
      <c r="BJ18" s="65">
        <f t="shared" si="23"/>
        <v>0</v>
      </c>
      <c r="BK18" s="65">
        <f t="shared" si="92"/>
        <v>0</v>
      </c>
      <c r="BL18" s="66">
        <f t="shared" si="24"/>
        <v>200</v>
      </c>
      <c r="BM18" s="65" t="str">
        <f t="shared" si="25"/>
        <v/>
      </c>
      <c r="BN18" s="65" t="str">
        <f t="shared" si="26"/>
        <v>G2</v>
      </c>
      <c r="BO18" s="65" t="str">
        <f t="shared" si="27"/>
        <v>G2</v>
      </c>
      <c r="BP18" s="68">
        <f>IF('Marks Entry'!AG18="","",'Marks Entry'!AG18)</f>
        <v>8</v>
      </c>
      <c r="BQ18" s="68">
        <f>IF('Marks Entry'!AH18="","",'Marks Entry'!AH18)</f>
        <v>9</v>
      </c>
      <c r="BR18" s="68">
        <f>IF('Marks Entry'!AI18="","",'Marks Entry'!AI18)</f>
        <v>7</v>
      </c>
      <c r="BS18" s="514">
        <f t="shared" si="28"/>
        <v>24</v>
      </c>
      <c r="BT18" s="68">
        <f>IF('Marks Entry'!AJ18="","",'Marks Entry'!AJ18)</f>
        <v>46</v>
      </c>
      <c r="BU18" s="515">
        <f t="shared" si="29"/>
        <v>70</v>
      </c>
      <c r="BV18" s="68">
        <f>IF('Marks Entry'!AK18="","",'Marks Entry'!AK18)</f>
        <v>45</v>
      </c>
      <c r="BW18" s="96">
        <f t="shared" si="30"/>
        <v>115</v>
      </c>
      <c r="BX18" s="65">
        <f t="shared" si="31"/>
        <v>0</v>
      </c>
      <c r="BY18" s="65">
        <f t="shared" si="32"/>
        <v>0</v>
      </c>
      <c r="BZ18" s="66">
        <f t="shared" si="33"/>
        <v>200</v>
      </c>
      <c r="CA18" s="65" t="str">
        <f t="shared" si="34"/>
        <v/>
      </c>
      <c r="CB18" s="65" t="str">
        <f t="shared" si="35"/>
        <v>P</v>
      </c>
      <c r="CC18" s="65" t="str">
        <f t="shared" si="36"/>
        <v>II</v>
      </c>
      <c r="CD18" s="66">
        <f t="shared" si="93"/>
        <v>0</v>
      </c>
      <c r="CE18" s="68">
        <f>IF('Marks Entry'!AL18="","",'Marks Entry'!AL18)</f>
        <v>8</v>
      </c>
      <c r="CF18" s="68">
        <f>IF('Marks Entry'!AM18="","",'Marks Entry'!AM18)</f>
        <v>8</v>
      </c>
      <c r="CG18" s="68">
        <f>IF('Marks Entry'!AN18="","",'Marks Entry'!AN18)</f>
        <v>8</v>
      </c>
      <c r="CH18" s="514">
        <f t="shared" si="37"/>
        <v>24</v>
      </c>
      <c r="CI18" s="68">
        <f>IF('Marks Entry'!AO18="","",'Marks Entry'!AO18)</f>
        <v>46</v>
      </c>
      <c r="CJ18" s="515">
        <f t="shared" si="38"/>
        <v>70</v>
      </c>
      <c r="CK18" s="68">
        <f>IF('Marks Entry'!AP18="","",'Marks Entry'!AP18)</f>
        <v>45</v>
      </c>
      <c r="CL18" s="96">
        <f t="shared" si="39"/>
        <v>115</v>
      </c>
      <c r="CM18" s="65">
        <f t="shared" si="40"/>
        <v>0</v>
      </c>
      <c r="CN18" s="65">
        <f t="shared" si="41"/>
        <v>0</v>
      </c>
      <c r="CO18" s="66">
        <f t="shared" si="42"/>
        <v>200</v>
      </c>
      <c r="CP18" s="65" t="str">
        <f t="shared" si="43"/>
        <v/>
      </c>
      <c r="CQ18" s="65" t="str">
        <f t="shared" si="44"/>
        <v>P</v>
      </c>
      <c r="CR18" s="65" t="str">
        <f t="shared" si="45"/>
        <v>II</v>
      </c>
      <c r="CS18" s="616"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8" t="str">
        <f>IF('School Profile'!$D$20="NO","",IF('Marks Entry'!AR18="","",'Marks Entry'!AR18))</f>
        <v/>
      </c>
      <c r="CU18" s="68" t="str">
        <f>IF('School Profile'!$D$20="NO","",IF('Marks Entry'!AS18="","",'Marks Entry'!AS18))</f>
        <v/>
      </c>
      <c r="CV18" s="68" t="str">
        <f>IF('School Profile'!$D$20="NO","",IF('Marks Entry'!AT18="","",'Marks Entry'!AT18))</f>
        <v/>
      </c>
      <c r="CW18" s="514" t="str">
        <f>IF('School Profile'!$D$20="NO","",IF(AND(CT18="",CU18="",CV18=""),"",SUM(CT18:CV18)))</f>
        <v/>
      </c>
      <c r="CX18" s="68" t="str">
        <f>IF('School Profile'!$D$20="NO","",IF('Marks Entry'!AU18="","",'Marks Entry'!AU18))</f>
        <v/>
      </c>
      <c r="CY18" s="68" t="str">
        <f>IF('School Profile'!$D$20="NO","",IF('Marks Entry'!AV18="","",'Marks Entry'!AV18))</f>
        <v/>
      </c>
      <c r="CZ18" s="515" t="str">
        <f>IF('School Profile'!$D$20="NO","",IF(AND(CX18="",CY18=""),"",SUM(CX18,CY18)))</f>
        <v/>
      </c>
      <c r="DA18" s="69" t="str">
        <f>IF('School Profile'!$D$20="NO","",IF(AND(CW18="",CZ18=""),"",SUM(CW18+CZ18)))</f>
        <v/>
      </c>
      <c r="DB18" s="68" t="str">
        <f>IF('School Profile'!$D$20="NO","",IF('Marks Entry'!AW18="","",'Marks Entry'!AW18))</f>
        <v/>
      </c>
      <c r="DC18" s="68" t="str">
        <f>IF('School Profile'!$D$20="NO","",IF('Marks Entry'!AX18="","",'Marks Entry'!AX18))</f>
        <v/>
      </c>
      <c r="DD18" s="515" t="str">
        <f>IF('School Profile'!$D$20="NO","",IF(AND(DB18="",DC18=""),"",SUM(DB18,DC18)))</f>
        <v/>
      </c>
      <c r="DE18" s="96" t="str">
        <f>IF('School Profile'!$D$20="NO","",IF(AND(DA18="",DD18=""),"",SUM(DA18,DD18)))</f>
        <v/>
      </c>
      <c r="DF18" s="532">
        <f t="shared" si="46"/>
        <v>0</v>
      </c>
      <c r="DG18" s="65">
        <f t="shared" si="47"/>
        <v>0</v>
      </c>
      <c r="DH18" s="66" t="str">
        <f t="shared" si="48"/>
        <v/>
      </c>
      <c r="DI18" s="65" t="str">
        <f t="shared" si="49"/>
        <v/>
      </c>
      <c r="DJ18" s="65" t="str">
        <f t="shared" si="50"/>
        <v/>
      </c>
      <c r="DK18" s="65" t="str">
        <f t="shared" si="51"/>
        <v/>
      </c>
      <c r="DL18" s="97" t="str">
        <f t="shared" si="94"/>
        <v>I</v>
      </c>
      <c r="DM18" s="97" t="str">
        <f t="shared" si="95"/>
        <v>D</v>
      </c>
      <c r="DN18" s="97" t="str">
        <f t="shared" si="96"/>
        <v>II</v>
      </c>
      <c r="DO18" s="97" t="str">
        <f t="shared" si="97"/>
        <v>G2</v>
      </c>
      <c r="DP18" s="97" t="str">
        <f t="shared" si="98"/>
        <v>II</v>
      </c>
      <c r="DQ18" s="97" t="str">
        <f t="shared" si="99"/>
        <v>II</v>
      </c>
      <c r="DR18" s="97" t="str">
        <f t="shared" si="100"/>
        <v/>
      </c>
      <c r="DS18" s="98">
        <f t="shared" si="101"/>
        <v>0</v>
      </c>
      <c r="DT18" s="98">
        <f t="shared" si="102"/>
        <v>0</v>
      </c>
      <c r="DU18" s="98">
        <f t="shared" si="103"/>
        <v>0</v>
      </c>
      <c r="DV18" s="98">
        <f t="shared" si="104"/>
        <v>1</v>
      </c>
      <c r="DW18" s="98">
        <f t="shared" si="105"/>
        <v>0</v>
      </c>
      <c r="DX18" s="98" t="str">
        <f t="shared" si="106"/>
        <v/>
      </c>
      <c r="DY18" s="99" t="str">
        <f t="shared" si="107"/>
        <v>BY GRACE PASS</v>
      </c>
      <c r="DZ18" s="74">
        <f>IF('Marks Entry'!AY18="","",'Marks Entry'!AY18)</f>
        <v>9</v>
      </c>
      <c r="EA18" s="74">
        <f>IF('Marks Entry'!AZ18="","",'Marks Entry'!AZ18)</f>
        <v>9</v>
      </c>
      <c r="EB18" s="74">
        <f>IF('Marks Entry'!BA18="","",'Marks Entry'!BA18)</f>
        <v>9</v>
      </c>
      <c r="EC18" s="527">
        <f t="shared" si="52"/>
        <v>27</v>
      </c>
      <c r="ED18" s="74">
        <f>IF('Marks Entry'!BB18="","",'Marks Entry'!BB18)</f>
        <v>66</v>
      </c>
      <c r="EE18" s="528">
        <f t="shared" si="53"/>
        <v>93</v>
      </c>
      <c r="EF18" s="74">
        <f>IF('Marks Entry'!BC18="","",'Marks Entry'!BC18)</f>
        <v>91</v>
      </c>
      <c r="EG18" s="530">
        <f t="shared" si="54"/>
        <v>184</v>
      </c>
      <c r="EH18" s="368" t="str">
        <f t="shared" si="108"/>
        <v>A</v>
      </c>
      <c r="EI18" s="65">
        <f t="shared" si="109"/>
        <v>0</v>
      </c>
      <c r="EJ18" s="65">
        <f t="shared" si="110"/>
        <v>0</v>
      </c>
      <c r="EK18" s="66">
        <f t="shared" si="111"/>
        <v>200</v>
      </c>
      <c r="EL18" s="74">
        <f>IF('Marks Entry'!BD18="","",'Marks Entry'!BD18)</f>
        <v>8</v>
      </c>
      <c r="EM18" s="74">
        <f>IF('Marks Entry'!BE18="","",'Marks Entry'!BE18)</f>
        <v>8</v>
      </c>
      <c r="EN18" s="74">
        <f>IF('Marks Entry'!BF18="","",'Marks Entry'!BF18)</f>
        <v>8</v>
      </c>
      <c r="EO18" s="527">
        <f t="shared" si="55"/>
        <v>24</v>
      </c>
      <c r="EP18" s="74">
        <f>IF('Marks Entry'!BG18="","",'Marks Entry'!BG18)</f>
        <v>20</v>
      </c>
      <c r="EQ18" s="74">
        <f>IF('Marks Entry'!BH18="","",'Marks Entry'!BH18)</f>
        <v>15</v>
      </c>
      <c r="ER18" s="528">
        <f t="shared" si="56"/>
        <v>35</v>
      </c>
      <c r="ES18" s="529">
        <f t="shared" si="57"/>
        <v>59</v>
      </c>
      <c r="ET18" s="74">
        <f>IF('Marks Entry'!BI18="","",'Marks Entry'!BI18)</f>
        <v>54</v>
      </c>
      <c r="EU18" s="74">
        <f>IF('Marks Entry'!BJ18="","",'Marks Entry'!BJ18)</f>
        <v>27</v>
      </c>
      <c r="EV18" s="528">
        <f t="shared" si="58"/>
        <v>81</v>
      </c>
      <c r="EW18" s="530">
        <f t="shared" si="59"/>
        <v>140</v>
      </c>
      <c r="EX18" s="368" t="str">
        <f t="shared" si="112"/>
        <v>B</v>
      </c>
      <c r="EY18" s="65">
        <f t="shared" si="113"/>
        <v>0</v>
      </c>
      <c r="EZ18" s="65">
        <f t="shared" si="114"/>
        <v>0</v>
      </c>
      <c r="FA18" s="66">
        <f t="shared" si="115"/>
        <v>200</v>
      </c>
      <c r="FB18" s="74">
        <f>IF('Marks Entry'!BK18="","",'Marks Entry'!BK18)</f>
        <v>9</v>
      </c>
      <c r="FC18" s="74">
        <f>IF('Marks Entry'!BL18="","",'Marks Entry'!BL18)</f>
        <v>7</v>
      </c>
      <c r="FD18" s="74">
        <f>IF('Marks Entry'!BM18="","",'Marks Entry'!BM18)</f>
        <v>9</v>
      </c>
      <c r="FE18" s="74">
        <f>IF('Marks Entry'!BN18="","",'Marks Entry'!BN18)</f>
        <v>6</v>
      </c>
      <c r="FF18" s="74">
        <f>IF('Marks Entry'!BO18="","",'Marks Entry'!BO18)</f>
        <v>9</v>
      </c>
      <c r="FG18" s="74">
        <f>IF('Marks Entry'!BP18="","",'Marks Entry'!BP18)</f>
        <v>14</v>
      </c>
      <c r="FH18" s="527">
        <f t="shared" si="60"/>
        <v>54</v>
      </c>
      <c r="FI18" s="74">
        <f>IF('Marks Entry'!BQ18="","",'Marks Entry'!BQ18)</f>
        <v>21</v>
      </c>
      <c r="FJ18" s="74">
        <f>IF('Marks Entry'!BR18="","",'Marks Entry'!BR18)</f>
        <v>14</v>
      </c>
      <c r="FK18" s="528">
        <f t="shared" si="61"/>
        <v>35</v>
      </c>
      <c r="FL18" s="529">
        <f t="shared" si="62"/>
        <v>89</v>
      </c>
      <c r="FM18" s="74">
        <f>IF('Marks Entry'!BS18="","",'Marks Entry'!BS18)</f>
        <v>21</v>
      </c>
      <c r="FN18" s="74">
        <f>IF('Marks Entry'!BT18="","",'Marks Entry'!BT18)</f>
        <v>65</v>
      </c>
      <c r="FO18" s="528">
        <f t="shared" si="63"/>
        <v>86</v>
      </c>
      <c r="FP18" s="530">
        <f t="shared" si="64"/>
        <v>175</v>
      </c>
      <c r="FQ18" s="368" t="str">
        <f t="shared" si="116"/>
        <v>A</v>
      </c>
      <c r="FR18" s="65">
        <f t="shared" si="117"/>
        <v>0</v>
      </c>
      <c r="FS18" s="65">
        <f t="shared" si="118"/>
        <v>0</v>
      </c>
      <c r="FT18" s="66">
        <f t="shared" si="119"/>
        <v>200</v>
      </c>
      <c r="FU18" s="74">
        <f>IF('Marks Entry'!BU18="","",'Marks Entry'!BU18)</f>
        <v>20</v>
      </c>
      <c r="FV18" s="74">
        <f>IF('Marks Entry'!BV18="","",'Marks Entry'!BV18)</f>
        <v>40</v>
      </c>
      <c r="FW18" s="74">
        <f>IF('Marks Entry'!BW18="","",'Marks Entry'!BW18)</f>
        <v>20</v>
      </c>
      <c r="FX18" s="75">
        <f t="shared" si="65"/>
        <v>80</v>
      </c>
      <c r="FY18" s="368" t="str">
        <f t="shared" si="120"/>
        <v>B</v>
      </c>
      <c r="FZ18" s="65">
        <f t="shared" si="121"/>
        <v>0</v>
      </c>
      <c r="GA18" s="66">
        <f t="shared" si="122"/>
        <v>0</v>
      </c>
      <c r="GB18" s="66">
        <f t="shared" si="123"/>
        <v>100</v>
      </c>
      <c r="GC18" s="74">
        <f>IF('Marks Entry'!BX18="","",'Marks Entry'!BX18)</f>
        <v>20</v>
      </c>
      <c r="GD18" s="74">
        <f>IF('Marks Entry'!BY18="","",'Marks Entry'!BY18)</f>
        <v>35</v>
      </c>
      <c r="GE18" s="74">
        <f>IF('Marks Entry'!BZ18="","",'Marks Entry'!BZ18)</f>
        <v>10</v>
      </c>
      <c r="GF18" s="75">
        <f t="shared" si="124"/>
        <v>65</v>
      </c>
      <c r="GG18" s="368" t="str">
        <f t="shared" si="125"/>
        <v>B</v>
      </c>
      <c r="GH18" s="65">
        <f t="shared" si="126"/>
        <v>0</v>
      </c>
      <c r="GI18" s="66">
        <f t="shared" si="127"/>
        <v>0</v>
      </c>
      <c r="GJ18" s="66">
        <f t="shared" si="128"/>
        <v>100</v>
      </c>
      <c r="GK18" s="100" t="str">
        <f>IF(AND(F18="",B18=""),"",IF('Student DATA Entry'!M15="","",'Student DATA Entry'!M15))</f>
        <v/>
      </c>
      <c r="GL18" s="101" t="str">
        <f>IF(AND(B18="",F18=""),"",IF('Student DATA Entry'!N15="","",'Student DATA Entry'!N15))</f>
        <v/>
      </c>
      <c r="GM18" s="581" t="str">
        <f t="shared" si="129"/>
        <v/>
      </c>
      <c r="GN18" s="94" t="str">
        <f t="shared" si="130"/>
        <v>I</v>
      </c>
      <c r="GO18" s="94" t="str">
        <f t="shared" si="131"/>
        <v/>
      </c>
      <c r="GP18" s="102" t="str">
        <f t="shared" si="67"/>
        <v/>
      </c>
      <c r="GQ18" s="94" t="str">
        <f t="shared" si="132"/>
        <v>D</v>
      </c>
      <c r="GR18" s="103" t="str">
        <f t="shared" si="133"/>
        <v/>
      </c>
      <c r="GS18" s="102" t="str">
        <f t="shared" si="68"/>
        <v/>
      </c>
      <c r="GT18" s="104" t="str">
        <f t="shared" si="134"/>
        <v>II</v>
      </c>
      <c r="GU18" s="94" t="str">
        <f>IF('Marks Entry'!V18=1,GT18,"")</f>
        <v>II</v>
      </c>
      <c r="GV18" s="94" t="str">
        <f>IF('Marks Entry'!V18=2,GT18,"")</f>
        <v/>
      </c>
      <c r="GW18" s="94" t="str">
        <f>IF('Marks Entry'!V18=3,GT18,"")</f>
        <v/>
      </c>
      <c r="GX18" s="94" t="str">
        <f>IF('Marks Entry'!V18=4,GT18,"")</f>
        <v/>
      </c>
      <c r="GY18" s="94" t="str">
        <f>IF('Marks Entry'!V18=5,GT18,"")</f>
        <v/>
      </c>
      <c r="GZ18" s="94" t="str">
        <f t="shared" si="135"/>
        <v/>
      </c>
      <c r="HA18" s="105" t="str">
        <f t="shared" si="69"/>
        <v/>
      </c>
      <c r="HB18" s="94" t="str">
        <f t="shared" si="136"/>
        <v>G</v>
      </c>
      <c r="HC18" s="94" t="str">
        <f t="shared" si="137"/>
        <v>,+</v>
      </c>
      <c r="HD18" s="105">
        <f t="shared" si="70"/>
        <v>4</v>
      </c>
      <c r="HE18" s="94" t="str">
        <f t="shared" si="138"/>
        <v>II</v>
      </c>
      <c r="HF18" s="94" t="str">
        <f t="shared" si="139"/>
        <v/>
      </c>
      <c r="HG18" s="105" t="str">
        <f t="shared" si="71"/>
        <v/>
      </c>
      <c r="HH18" s="94" t="str">
        <f t="shared" si="140"/>
        <v>II</v>
      </c>
      <c r="HI18" s="94" t="str">
        <f t="shared" si="141"/>
        <v/>
      </c>
      <c r="HJ18" s="105" t="str">
        <f t="shared" si="72"/>
        <v/>
      </c>
      <c r="HK18" s="94" t="str">
        <f t="shared" si="142"/>
        <v/>
      </c>
      <c r="HL18" s="94" t="str">
        <f t="shared" si="143"/>
        <v/>
      </c>
      <c r="HM18" s="105" t="str">
        <f t="shared" si="73"/>
        <v/>
      </c>
      <c r="HN18" s="367" t="str">
        <f t="shared" si="144"/>
        <v xml:space="preserve">      </v>
      </c>
      <c r="HO18" s="418" t="str">
        <f t="shared" si="145"/>
        <v xml:space="preserve">      </v>
      </c>
      <c r="HP18" s="367" t="str">
        <f t="shared" si="146"/>
        <v xml:space="preserve">   गणित   </v>
      </c>
      <c r="HQ18" s="107" t="str">
        <f t="shared" si="147"/>
        <v xml:space="preserve">      </v>
      </c>
      <c r="HR18" s="366" t="str">
        <f t="shared" si="148"/>
        <v xml:space="preserve"> अंग्रेजी     </v>
      </c>
      <c r="HS18" s="544" t="str">
        <f t="shared" si="74"/>
        <v>BY GRACE PASS</v>
      </c>
      <c r="HT18" s="542">
        <f t="shared" si="149"/>
        <v>718</v>
      </c>
      <c r="HU18" s="541">
        <f t="shared" si="160"/>
        <v>59.833333333333336</v>
      </c>
      <c r="HV18" s="540" t="str">
        <f t="shared" si="150"/>
        <v>2nd</v>
      </c>
      <c r="HW18" s="537">
        <f t="shared" si="151"/>
        <v>59.833333333333336</v>
      </c>
      <c r="HX18" s="539">
        <f t="shared" si="152"/>
        <v>14.000000000000078</v>
      </c>
      <c r="HY18" s="553" t="str">
        <f>IFERROR(IF(OR(HS18="SUPPLEMENTARY",HS18="RE-EXAM"),'Supp. Result Entry'!AQ16,""),"")</f>
        <v/>
      </c>
      <c r="HZ18" s="538" t="str">
        <f t="shared" si="153"/>
        <v/>
      </c>
      <c r="IA18" s="415" t="str">
        <f t="shared" si="154"/>
        <v/>
      </c>
      <c r="IB18" s="415" t="str">
        <f>IF(AND(HZ18="",IA18=""),"",IF(OR(HS18="SUPPLEMENTARY",HS18="RE-EXAM"),'Supp. Result Entry'!AQ16,HS18))</f>
        <v/>
      </c>
      <c r="IC18" s="87"/>
      <c r="IS18" s="109" t="str">
        <f>IF('Supp. Result Entry'!T16="","",'Supp. Result Entry'!$T$4)</f>
        <v/>
      </c>
      <c r="IT18" s="110" t="str">
        <f>IF('Supp. Result Entry'!W16="","",'Supp. Result Entry'!$W$4)</f>
        <v/>
      </c>
      <c r="IU18" s="110" t="str">
        <f>IF('Supp. Result Entry'!Z16="","",'Supp. Result Entry'!$Z$4)</f>
        <v/>
      </c>
      <c r="IV18" s="110" t="str">
        <f>IF('Supp. Result Entry'!AC16="","",'Supp. Result Entry'!$AC$4)</f>
        <v/>
      </c>
      <c r="IW18" s="110" t="str">
        <f>IF('Supp. Result Entry'!AF16="","",'Supp. Result Entry'!$AF$4)</f>
        <v/>
      </c>
      <c r="IX18" s="110" t="str">
        <f>IF('Supp. Result Entry'!AI16="","",'Supp. Result Entry'!$AI$4)</f>
        <v/>
      </c>
      <c r="IY18" s="110" t="str">
        <f>IF('Supp. Result Entry'!AI16="","",'Supp. Result Entry'!$AL$4)</f>
        <v/>
      </c>
      <c r="IZ18" s="110" t="str">
        <f>IF('Supp. Result Entry'!U16="","",'Supp. Result Entry'!U16)</f>
        <v/>
      </c>
      <c r="JA18" s="110" t="str">
        <f>IF('Supp. Result Entry'!X16="","",'Supp. Result Entry'!X16)</f>
        <v/>
      </c>
      <c r="JB18" s="110" t="str">
        <f>IF('Supp. Result Entry'!AA16="","",'Supp. Result Entry'!AA16)</f>
        <v/>
      </c>
      <c r="JC18" s="110" t="str">
        <f>IF('Supp. Result Entry'!AD16="","",'Supp. Result Entry'!AD16)</f>
        <v/>
      </c>
      <c r="JD18" s="110" t="str">
        <f>IF('Supp. Result Entry'!AG16="","",'Supp. Result Entry'!AG16)</f>
        <v/>
      </c>
      <c r="JE18" s="110" t="str">
        <f>IF('Supp. Result Entry'!AJ16="","",'Supp. Result Entry'!AJ16)</f>
        <v/>
      </c>
      <c r="JF18" s="110" t="str">
        <f>IF('Supp. Result Entry'!AM16="","",'Supp. Result Entry'!AM16)</f>
        <v/>
      </c>
      <c r="JG18" s="110" t="str">
        <f>IF('Supp. Result Entry'!V16="","",'Supp. Result Entry'!V16)</f>
        <v/>
      </c>
      <c r="JH18" s="110" t="str">
        <f>IF('Supp. Result Entry'!Y16="","",'Supp. Result Entry'!Y16)</f>
        <v/>
      </c>
      <c r="JI18" s="110" t="str">
        <f>IF('Supp. Result Entry'!AB16="","",'Supp. Result Entry'!AB16)</f>
        <v/>
      </c>
      <c r="JJ18" s="110" t="str">
        <f>IF('Supp. Result Entry'!AE16="","",'Supp. Result Entry'!AE16)</f>
        <v/>
      </c>
      <c r="JK18" s="110" t="str">
        <f>IF('Supp. Result Entry'!AH16="","",'Supp. Result Entry'!AH16)</f>
        <v/>
      </c>
      <c r="JL18" s="110" t="str">
        <f>IF('Supp. Result Entry'!AK16="","",'Supp. Result Entry'!AK16)</f>
        <v/>
      </c>
      <c r="JM18" s="110" t="str">
        <f>IF('Supp. Result Entry'!AN16="","",'Supp. Result Entry'!AN16)</f>
        <v/>
      </c>
      <c r="JN18" s="110">
        <f>COUNTIF('Supp. Result Entry'!K16:Q16,"S")</f>
        <v>0</v>
      </c>
      <c r="JO18" s="110">
        <f t="shared" si="155"/>
        <v>0</v>
      </c>
      <c r="JP18" s="110">
        <f t="shared" si="156"/>
        <v>0</v>
      </c>
      <c r="JQ18" s="110" t="str">
        <f t="shared" si="75"/>
        <v/>
      </c>
      <c r="JR18" s="110" t="str">
        <f t="shared" si="76"/>
        <v/>
      </c>
      <c r="JS18" s="110" t="str">
        <f t="shared" si="77"/>
        <v/>
      </c>
      <c r="JT18" s="110" t="str">
        <f t="shared" si="78"/>
        <v/>
      </c>
      <c r="JU18" s="110" t="str">
        <f t="shared" si="79"/>
        <v/>
      </c>
      <c r="JV18" s="110" t="str">
        <f t="shared" si="80"/>
        <v/>
      </c>
      <c r="JW18" s="110" t="str">
        <f t="shared" si="81"/>
        <v/>
      </c>
      <c r="JX18" s="110" t="str">
        <f t="shared" si="157"/>
        <v/>
      </c>
      <c r="JY18" s="110" t="str">
        <f t="shared" si="158"/>
        <v/>
      </c>
      <c r="JZ18" s="110" t="str">
        <f t="shared" si="82"/>
        <v/>
      </c>
      <c r="KA18" s="108" t="str">
        <f t="shared" si="159"/>
        <v/>
      </c>
    </row>
    <row r="19" spans="1:287" s="108" customFormat="1" ht="21.95" customHeight="1">
      <c r="A19" s="89">
        <v>13</v>
      </c>
      <c r="B19" s="90">
        <f>IF('Marks Entry'!B19="","",'Marks Entry'!B19)</f>
        <v>913</v>
      </c>
      <c r="C19" s="94" t="str">
        <f>IF('Marks Entry'!D19="","",'Marks Entry'!D19)</f>
        <v>A</v>
      </c>
      <c r="D19" s="91" t="str">
        <f>IF('Marks Entry'!E19="","",'Marks Entry'!E19)</f>
        <v/>
      </c>
      <c r="E19" s="92" t="str">
        <f>IF('Marks Entry'!F19="","",'Marks Entry'!F19)</f>
        <v/>
      </c>
      <c r="F19" s="93" t="str">
        <f>IF('Marks Entry'!G19="","",'Marks Entry'!G19)</f>
        <v>VIRU</v>
      </c>
      <c r="G19" s="93" t="str">
        <f>IF('Marks Entry'!H19="","",'Marks Entry'!H19)</f>
        <v/>
      </c>
      <c r="H19" s="93" t="str">
        <f>IF('Marks Entry'!I19="","",'Marks Entry'!I19)</f>
        <v/>
      </c>
      <c r="I19" s="94" t="str">
        <f>IF('Marks Entry'!J19="","",'Marks Entry'!J19)</f>
        <v/>
      </c>
      <c r="J19" s="95" t="str">
        <f>IF('Marks Entry'!K19="","",'Marks Entry'!K19)</f>
        <v/>
      </c>
      <c r="K19" s="68">
        <f>IF('Marks Entry'!L19="","",'Marks Entry'!L19)</f>
        <v>8</v>
      </c>
      <c r="L19" s="68">
        <f>IF('Marks Entry'!M19="","",'Marks Entry'!M19)</f>
        <v>9</v>
      </c>
      <c r="M19" s="68">
        <f>IF('Marks Entry'!N19="","",'Marks Entry'!N19)</f>
        <v>5</v>
      </c>
      <c r="N19" s="514">
        <f t="shared" si="83"/>
        <v>22</v>
      </c>
      <c r="O19" s="68" t="str">
        <f>IF('Marks Entry'!O19="","",'Marks Entry'!O19)</f>
        <v/>
      </c>
      <c r="P19" s="515">
        <f t="shared" si="84"/>
        <v>22</v>
      </c>
      <c r="Q19" s="68">
        <f>IF('Marks Entry'!P19="","",'Marks Entry'!P19)</f>
        <v>65</v>
      </c>
      <c r="R19" s="96">
        <f t="shared" si="85"/>
        <v>87</v>
      </c>
      <c r="S19" s="65">
        <f t="shared" si="86"/>
        <v>0</v>
      </c>
      <c r="T19" s="65">
        <f t="shared" si="87"/>
        <v>0</v>
      </c>
      <c r="U19" s="66">
        <f t="shared" si="88"/>
        <v>130</v>
      </c>
      <c r="V19" s="65" t="str">
        <f t="shared" si="89"/>
        <v/>
      </c>
      <c r="W19" s="65" t="str">
        <f t="shared" si="90"/>
        <v>P</v>
      </c>
      <c r="X19" s="65" t="str">
        <f t="shared" si="91"/>
        <v>I</v>
      </c>
      <c r="Y19" s="68">
        <f>IF('Marks Entry'!Q19="","",'Marks Entry'!Q19)</f>
        <v>8</v>
      </c>
      <c r="Z19" s="68">
        <f>IF('Marks Entry'!R19="","",'Marks Entry'!R19)</f>
        <v>9</v>
      </c>
      <c r="AA19" s="68">
        <f>IF('Marks Entry'!S19="","",'Marks Entry'!S19)</f>
        <v>9</v>
      </c>
      <c r="AB19" s="514">
        <f t="shared" si="2"/>
        <v>26</v>
      </c>
      <c r="AC19" s="68">
        <f>IF('Marks Entry'!T19="","",'Marks Entry'!T19)</f>
        <v>60</v>
      </c>
      <c r="AD19" s="515">
        <f t="shared" si="3"/>
        <v>86</v>
      </c>
      <c r="AE19" s="68">
        <f>IF('Marks Entry'!U19="","",'Marks Entry'!U19)</f>
        <v>85</v>
      </c>
      <c r="AF19" s="96">
        <f t="shared" si="4"/>
        <v>171</v>
      </c>
      <c r="AG19" s="65">
        <f t="shared" si="5"/>
        <v>0</v>
      </c>
      <c r="AH19" s="65">
        <f t="shared" si="6"/>
        <v>0</v>
      </c>
      <c r="AI19" s="66">
        <f t="shared" si="7"/>
        <v>200</v>
      </c>
      <c r="AJ19" s="65" t="str">
        <f t="shared" si="8"/>
        <v/>
      </c>
      <c r="AK19" s="65" t="str">
        <f t="shared" si="9"/>
        <v>P</v>
      </c>
      <c r="AL19" s="65" t="str">
        <f t="shared" si="10"/>
        <v>D</v>
      </c>
      <c r="AM19" s="524" t="str">
        <f>IF('Marks Entry'!V19="","",IF('Marks Entry'!V19=1,'School Profile'!$I$9,IF('Marks Entry'!V19=2,'School Profile'!$I$10,IF('Marks Entry'!V19=3,'School Profile'!$I$11,IF('Marks Entry'!V19=4,'School Profile'!$I$12,IF('Marks Entry'!V19=5,'School Profile'!$I$13,IF('Marks Entry'!V19=6,'School Profile'!$I$14,"")))))))</f>
        <v xml:space="preserve">उर्दू (72) </v>
      </c>
      <c r="AN19" s="68">
        <f>IF('Marks Entry'!W19="","",'Marks Entry'!W19)</f>
        <v>8</v>
      </c>
      <c r="AO19" s="68">
        <f>IF('Marks Entry'!X19="","",'Marks Entry'!X19)</f>
        <v>9</v>
      </c>
      <c r="AP19" s="68">
        <f>IF('Marks Entry'!Y19="","",'Marks Entry'!Y19)</f>
        <v>7</v>
      </c>
      <c r="AQ19" s="514">
        <f t="shared" si="11"/>
        <v>24</v>
      </c>
      <c r="AR19" s="68">
        <f>IF('Marks Entry'!Z19="","",'Marks Entry'!Z19)</f>
        <v>46</v>
      </c>
      <c r="AS19" s="515">
        <f t="shared" si="12"/>
        <v>70</v>
      </c>
      <c r="AT19" s="68">
        <f>IF('Marks Entry'!AA19="","",'Marks Entry'!AA19)</f>
        <v>45</v>
      </c>
      <c r="AU19" s="96">
        <f t="shared" si="13"/>
        <v>115</v>
      </c>
      <c r="AV19" s="65">
        <f t="shared" si="14"/>
        <v>0</v>
      </c>
      <c r="AW19" s="65">
        <f t="shared" si="15"/>
        <v>0</v>
      </c>
      <c r="AX19" s="66">
        <f t="shared" si="16"/>
        <v>200</v>
      </c>
      <c r="AY19" s="65" t="str">
        <f t="shared" si="17"/>
        <v/>
      </c>
      <c r="AZ19" s="65" t="str">
        <f t="shared" si="18"/>
        <v>P</v>
      </c>
      <c r="BA19" s="65" t="str">
        <f t="shared" si="19"/>
        <v>II</v>
      </c>
      <c r="BB19" s="68">
        <f>IF('Marks Entry'!AB19="","",'Marks Entry'!AB19)</f>
        <v>8</v>
      </c>
      <c r="BC19" s="68">
        <f>IF('Marks Entry'!AC19="","",'Marks Entry'!AC19)</f>
        <v>9</v>
      </c>
      <c r="BD19" s="68">
        <f>IF('Marks Entry'!AD19="","",'Marks Entry'!AD19)</f>
        <v>10</v>
      </c>
      <c r="BE19" s="514">
        <f t="shared" si="20"/>
        <v>27</v>
      </c>
      <c r="BF19" s="68">
        <f>IF('Marks Entry'!AE19="","",'Marks Entry'!AE19)</f>
        <v>46</v>
      </c>
      <c r="BG19" s="515">
        <f t="shared" si="21"/>
        <v>73</v>
      </c>
      <c r="BH19" s="68">
        <f>IF('Marks Entry'!AF19="","",'Marks Entry'!AF19)</f>
        <v>45</v>
      </c>
      <c r="BI19" s="96">
        <f t="shared" si="22"/>
        <v>118</v>
      </c>
      <c r="BJ19" s="65">
        <f t="shared" si="23"/>
        <v>0</v>
      </c>
      <c r="BK19" s="65">
        <f t="shared" si="92"/>
        <v>0</v>
      </c>
      <c r="BL19" s="66">
        <f t="shared" si="24"/>
        <v>200</v>
      </c>
      <c r="BM19" s="65" t="str">
        <f t="shared" si="25"/>
        <v/>
      </c>
      <c r="BN19" s="65" t="str">
        <f t="shared" si="26"/>
        <v>P</v>
      </c>
      <c r="BO19" s="65" t="str">
        <f t="shared" si="27"/>
        <v>II</v>
      </c>
      <c r="BP19" s="68">
        <f>IF('Marks Entry'!AG19="","",'Marks Entry'!AG19)</f>
        <v>8</v>
      </c>
      <c r="BQ19" s="68">
        <f>IF('Marks Entry'!AH19="","",'Marks Entry'!AH19)</f>
        <v>9</v>
      </c>
      <c r="BR19" s="68">
        <f>IF('Marks Entry'!AI19="","",'Marks Entry'!AI19)</f>
        <v>7</v>
      </c>
      <c r="BS19" s="514">
        <f t="shared" si="28"/>
        <v>24</v>
      </c>
      <c r="BT19" s="68">
        <f>IF('Marks Entry'!AJ19="","",'Marks Entry'!AJ19)</f>
        <v>46</v>
      </c>
      <c r="BU19" s="515">
        <f t="shared" si="29"/>
        <v>70</v>
      </c>
      <c r="BV19" s="68">
        <f>IF('Marks Entry'!AK19="","",'Marks Entry'!AK19)</f>
        <v>45</v>
      </c>
      <c r="BW19" s="96">
        <f t="shared" si="30"/>
        <v>115</v>
      </c>
      <c r="BX19" s="65">
        <f t="shared" si="31"/>
        <v>0</v>
      </c>
      <c r="BY19" s="65">
        <f t="shared" si="32"/>
        <v>0</v>
      </c>
      <c r="BZ19" s="66">
        <f t="shared" si="33"/>
        <v>200</v>
      </c>
      <c r="CA19" s="65" t="str">
        <f t="shared" si="34"/>
        <v/>
      </c>
      <c r="CB19" s="65" t="str">
        <f t="shared" si="35"/>
        <v>P</v>
      </c>
      <c r="CC19" s="65" t="str">
        <f t="shared" si="36"/>
        <v>II</v>
      </c>
      <c r="CD19" s="66">
        <f t="shared" si="93"/>
        <v>0</v>
      </c>
      <c r="CE19" s="68">
        <f>IF('Marks Entry'!AL19="","",'Marks Entry'!AL19)</f>
        <v>8</v>
      </c>
      <c r="CF19" s="68">
        <f>IF('Marks Entry'!AM19="","",'Marks Entry'!AM19)</f>
        <v>8</v>
      </c>
      <c r="CG19" s="68">
        <f>IF('Marks Entry'!AN19="","",'Marks Entry'!AN19)</f>
        <v>8</v>
      </c>
      <c r="CH19" s="514">
        <f t="shared" si="37"/>
        <v>24</v>
      </c>
      <c r="CI19" s="68">
        <f>IF('Marks Entry'!AO19="","",'Marks Entry'!AO19)</f>
        <v>46</v>
      </c>
      <c r="CJ19" s="515">
        <f t="shared" si="38"/>
        <v>70</v>
      </c>
      <c r="CK19" s="68">
        <f>IF('Marks Entry'!AP19="","",'Marks Entry'!AP19)</f>
        <v>45</v>
      </c>
      <c r="CL19" s="96">
        <f t="shared" si="39"/>
        <v>115</v>
      </c>
      <c r="CM19" s="65">
        <f t="shared" si="40"/>
        <v>0</v>
      </c>
      <c r="CN19" s="65">
        <f t="shared" si="41"/>
        <v>0</v>
      </c>
      <c r="CO19" s="66">
        <f t="shared" si="42"/>
        <v>200</v>
      </c>
      <c r="CP19" s="65" t="str">
        <f t="shared" si="43"/>
        <v/>
      </c>
      <c r="CQ19" s="65" t="str">
        <f t="shared" si="44"/>
        <v>P</v>
      </c>
      <c r="CR19" s="65" t="str">
        <f t="shared" si="45"/>
        <v>II</v>
      </c>
      <c r="CS19" s="616"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8" t="str">
        <f>IF('School Profile'!$D$20="NO","",IF('Marks Entry'!AR19="","",'Marks Entry'!AR19))</f>
        <v/>
      </c>
      <c r="CU19" s="68" t="str">
        <f>IF('School Profile'!$D$20="NO","",IF('Marks Entry'!AS19="","",'Marks Entry'!AS19))</f>
        <v/>
      </c>
      <c r="CV19" s="68" t="str">
        <f>IF('School Profile'!$D$20="NO","",IF('Marks Entry'!AT19="","",'Marks Entry'!AT19))</f>
        <v/>
      </c>
      <c r="CW19" s="514" t="str">
        <f>IF('School Profile'!$D$20="NO","",IF(AND(CT19="",CU19="",CV19=""),"",SUM(CT19:CV19)))</f>
        <v/>
      </c>
      <c r="CX19" s="68" t="str">
        <f>IF('School Profile'!$D$20="NO","",IF('Marks Entry'!AU19="","",'Marks Entry'!AU19))</f>
        <v/>
      </c>
      <c r="CY19" s="68" t="str">
        <f>IF('School Profile'!$D$20="NO","",IF('Marks Entry'!AV19="","",'Marks Entry'!AV19))</f>
        <v/>
      </c>
      <c r="CZ19" s="515" t="str">
        <f>IF('School Profile'!$D$20="NO","",IF(AND(CX19="",CY19=""),"",SUM(CX19,CY19)))</f>
        <v/>
      </c>
      <c r="DA19" s="69" t="str">
        <f>IF('School Profile'!$D$20="NO","",IF(AND(CW19="",CZ19=""),"",SUM(CW19+CZ19)))</f>
        <v/>
      </c>
      <c r="DB19" s="68" t="str">
        <f>IF('School Profile'!$D$20="NO","",IF('Marks Entry'!AW19="","",'Marks Entry'!AW19))</f>
        <v/>
      </c>
      <c r="DC19" s="68" t="str">
        <f>IF('School Profile'!$D$20="NO","",IF('Marks Entry'!AX19="","",'Marks Entry'!AX19))</f>
        <v/>
      </c>
      <c r="DD19" s="515" t="str">
        <f>IF('School Profile'!$D$20="NO","",IF(AND(DB19="",DC19=""),"",SUM(DB19,DC19)))</f>
        <v/>
      </c>
      <c r="DE19" s="96" t="str">
        <f>IF('School Profile'!$D$20="NO","",IF(AND(DA19="",DD19=""),"",SUM(DA19,DD19)))</f>
        <v/>
      </c>
      <c r="DF19" s="532">
        <f t="shared" si="46"/>
        <v>0</v>
      </c>
      <c r="DG19" s="65">
        <f t="shared" si="47"/>
        <v>0</v>
      </c>
      <c r="DH19" s="66" t="str">
        <f t="shared" si="48"/>
        <v/>
      </c>
      <c r="DI19" s="65" t="str">
        <f t="shared" si="49"/>
        <v/>
      </c>
      <c r="DJ19" s="65" t="str">
        <f t="shared" si="50"/>
        <v/>
      </c>
      <c r="DK19" s="65" t="str">
        <f t="shared" si="51"/>
        <v/>
      </c>
      <c r="DL19" s="97" t="str">
        <f t="shared" si="94"/>
        <v>I</v>
      </c>
      <c r="DM19" s="97" t="str">
        <f t="shared" si="95"/>
        <v>D</v>
      </c>
      <c r="DN19" s="97" t="str">
        <f t="shared" si="96"/>
        <v>II</v>
      </c>
      <c r="DO19" s="97" t="str">
        <f t="shared" si="97"/>
        <v>II</v>
      </c>
      <c r="DP19" s="97" t="str">
        <f t="shared" si="98"/>
        <v>II</v>
      </c>
      <c r="DQ19" s="97" t="str">
        <f t="shared" si="99"/>
        <v>II</v>
      </c>
      <c r="DR19" s="97" t="str">
        <f t="shared" si="100"/>
        <v/>
      </c>
      <c r="DS19" s="98">
        <f t="shared" si="101"/>
        <v>0</v>
      </c>
      <c r="DT19" s="98">
        <f t="shared" si="102"/>
        <v>0</v>
      </c>
      <c r="DU19" s="98">
        <f t="shared" si="103"/>
        <v>0</v>
      </c>
      <c r="DV19" s="98">
        <f t="shared" si="104"/>
        <v>0</v>
      </c>
      <c r="DW19" s="98">
        <f t="shared" si="105"/>
        <v>0</v>
      </c>
      <c r="DX19" s="98" t="str">
        <f t="shared" si="106"/>
        <v/>
      </c>
      <c r="DY19" s="99" t="str">
        <f t="shared" si="107"/>
        <v>PASS</v>
      </c>
      <c r="DZ19" s="74">
        <f>IF('Marks Entry'!AY19="","",'Marks Entry'!AY19)</f>
        <v>9</v>
      </c>
      <c r="EA19" s="74">
        <f>IF('Marks Entry'!AZ19="","",'Marks Entry'!AZ19)</f>
        <v>9</v>
      </c>
      <c r="EB19" s="74">
        <f>IF('Marks Entry'!BA19="","",'Marks Entry'!BA19)</f>
        <v>9</v>
      </c>
      <c r="EC19" s="527">
        <f t="shared" si="52"/>
        <v>27</v>
      </c>
      <c r="ED19" s="74">
        <f>IF('Marks Entry'!BB19="","",'Marks Entry'!BB19)</f>
        <v>66</v>
      </c>
      <c r="EE19" s="528">
        <f t="shared" si="53"/>
        <v>93</v>
      </c>
      <c r="EF19" s="74">
        <f>IF('Marks Entry'!BC19="","",'Marks Entry'!BC19)</f>
        <v>91</v>
      </c>
      <c r="EG19" s="530">
        <f t="shared" si="54"/>
        <v>184</v>
      </c>
      <c r="EH19" s="368" t="str">
        <f t="shared" si="108"/>
        <v>A</v>
      </c>
      <c r="EI19" s="65">
        <f t="shared" si="109"/>
        <v>0</v>
      </c>
      <c r="EJ19" s="65">
        <f t="shared" si="110"/>
        <v>0</v>
      </c>
      <c r="EK19" s="66">
        <f t="shared" si="111"/>
        <v>200</v>
      </c>
      <c r="EL19" s="74">
        <f>IF('Marks Entry'!BD19="","",'Marks Entry'!BD19)</f>
        <v>8</v>
      </c>
      <c r="EM19" s="74">
        <f>IF('Marks Entry'!BE19="","",'Marks Entry'!BE19)</f>
        <v>8</v>
      </c>
      <c r="EN19" s="74">
        <f>IF('Marks Entry'!BF19="","",'Marks Entry'!BF19)</f>
        <v>8</v>
      </c>
      <c r="EO19" s="527">
        <f t="shared" si="55"/>
        <v>24</v>
      </c>
      <c r="EP19" s="74">
        <f>IF('Marks Entry'!BG19="","",'Marks Entry'!BG19)</f>
        <v>26</v>
      </c>
      <c r="EQ19" s="74">
        <f>IF('Marks Entry'!BH19="","",'Marks Entry'!BH19)</f>
        <v>14</v>
      </c>
      <c r="ER19" s="528">
        <f t="shared" si="56"/>
        <v>40</v>
      </c>
      <c r="ES19" s="529">
        <f t="shared" si="57"/>
        <v>64</v>
      </c>
      <c r="ET19" s="74">
        <f>IF('Marks Entry'!BI19="","",'Marks Entry'!BI19)</f>
        <v>59</v>
      </c>
      <c r="EU19" s="74">
        <f>IF('Marks Entry'!BJ19="","",'Marks Entry'!BJ19)</f>
        <v>27</v>
      </c>
      <c r="EV19" s="528">
        <f t="shared" si="58"/>
        <v>86</v>
      </c>
      <c r="EW19" s="530">
        <f t="shared" si="59"/>
        <v>150</v>
      </c>
      <c r="EX19" s="368" t="str">
        <f t="shared" si="112"/>
        <v>B</v>
      </c>
      <c r="EY19" s="65">
        <f t="shared" si="113"/>
        <v>0</v>
      </c>
      <c r="EZ19" s="65">
        <f t="shared" si="114"/>
        <v>0</v>
      </c>
      <c r="FA19" s="66">
        <f t="shared" si="115"/>
        <v>200</v>
      </c>
      <c r="FB19" s="74">
        <f>IF('Marks Entry'!BK19="","",'Marks Entry'!BK19)</f>
        <v>9</v>
      </c>
      <c r="FC19" s="74">
        <f>IF('Marks Entry'!BL19="","",'Marks Entry'!BL19)</f>
        <v>7</v>
      </c>
      <c r="FD19" s="74">
        <f>IF('Marks Entry'!BM19="","",'Marks Entry'!BM19)</f>
        <v>9</v>
      </c>
      <c r="FE19" s="74">
        <f>IF('Marks Entry'!BN19="","",'Marks Entry'!BN19)</f>
        <v>6</v>
      </c>
      <c r="FF19" s="74">
        <f>IF('Marks Entry'!BO19="","",'Marks Entry'!BO19)</f>
        <v>9</v>
      </c>
      <c r="FG19" s="74">
        <f>IF('Marks Entry'!BP19="","",'Marks Entry'!BP19)</f>
        <v>14</v>
      </c>
      <c r="FH19" s="527">
        <f t="shared" si="60"/>
        <v>54</v>
      </c>
      <c r="FI19" s="74">
        <f>IF('Marks Entry'!BQ19="","",'Marks Entry'!BQ19)</f>
        <v>21</v>
      </c>
      <c r="FJ19" s="74">
        <f>IF('Marks Entry'!BR19="","",'Marks Entry'!BR19)</f>
        <v>15</v>
      </c>
      <c r="FK19" s="528">
        <f t="shared" si="61"/>
        <v>36</v>
      </c>
      <c r="FL19" s="529">
        <f t="shared" si="62"/>
        <v>90</v>
      </c>
      <c r="FM19" s="74">
        <f>IF('Marks Entry'!BS19="","",'Marks Entry'!BS19)</f>
        <v>25</v>
      </c>
      <c r="FN19" s="74">
        <f>IF('Marks Entry'!BT19="","",'Marks Entry'!BT19)</f>
        <v>62</v>
      </c>
      <c r="FO19" s="528">
        <f t="shared" si="63"/>
        <v>87</v>
      </c>
      <c r="FP19" s="530">
        <f t="shared" si="64"/>
        <v>177</v>
      </c>
      <c r="FQ19" s="368" t="str">
        <f t="shared" si="116"/>
        <v>A</v>
      </c>
      <c r="FR19" s="65">
        <f t="shared" si="117"/>
        <v>0</v>
      </c>
      <c r="FS19" s="65">
        <f t="shared" si="118"/>
        <v>0</v>
      </c>
      <c r="FT19" s="66">
        <f t="shared" si="119"/>
        <v>200</v>
      </c>
      <c r="FU19" s="74">
        <f>IF('Marks Entry'!BU19="","",'Marks Entry'!BU19)</f>
        <v>20</v>
      </c>
      <c r="FV19" s="74">
        <f>IF('Marks Entry'!BV19="","",'Marks Entry'!BV19)</f>
        <v>40</v>
      </c>
      <c r="FW19" s="74">
        <f>IF('Marks Entry'!BW19="","",'Marks Entry'!BW19)</f>
        <v>20</v>
      </c>
      <c r="FX19" s="75">
        <f t="shared" si="65"/>
        <v>80</v>
      </c>
      <c r="FY19" s="368" t="str">
        <f t="shared" si="120"/>
        <v>B</v>
      </c>
      <c r="FZ19" s="65">
        <f t="shared" si="121"/>
        <v>0</v>
      </c>
      <c r="GA19" s="66">
        <f t="shared" si="122"/>
        <v>0</v>
      </c>
      <c r="GB19" s="66">
        <f t="shared" si="123"/>
        <v>100</v>
      </c>
      <c r="GC19" s="74">
        <f>IF('Marks Entry'!BX19="","",'Marks Entry'!BX19)</f>
        <v>20</v>
      </c>
      <c r="GD19" s="74">
        <f>IF('Marks Entry'!BY19="","",'Marks Entry'!BY19)</f>
        <v>36</v>
      </c>
      <c r="GE19" s="74">
        <f>IF('Marks Entry'!BZ19="","",'Marks Entry'!BZ19)</f>
        <v>10</v>
      </c>
      <c r="GF19" s="75">
        <f t="shared" si="124"/>
        <v>66</v>
      </c>
      <c r="GG19" s="368" t="str">
        <f t="shared" si="125"/>
        <v>B</v>
      </c>
      <c r="GH19" s="65">
        <f t="shared" si="126"/>
        <v>0</v>
      </c>
      <c r="GI19" s="66">
        <f t="shared" si="127"/>
        <v>0</v>
      </c>
      <c r="GJ19" s="66">
        <f t="shared" si="128"/>
        <v>100</v>
      </c>
      <c r="GK19" s="100" t="str">
        <f>IF(AND(F19="",B19=""),"",IF('Student DATA Entry'!M16="","",'Student DATA Entry'!M16))</f>
        <v/>
      </c>
      <c r="GL19" s="101" t="str">
        <f>IF(AND(B19="",F19=""),"",IF('Student DATA Entry'!N16="","",'Student DATA Entry'!N16))</f>
        <v/>
      </c>
      <c r="GM19" s="581" t="str">
        <f t="shared" si="129"/>
        <v/>
      </c>
      <c r="GN19" s="94" t="str">
        <f t="shared" si="130"/>
        <v>I</v>
      </c>
      <c r="GO19" s="94" t="str">
        <f t="shared" si="131"/>
        <v/>
      </c>
      <c r="GP19" s="102" t="str">
        <f t="shared" si="67"/>
        <v/>
      </c>
      <c r="GQ19" s="94" t="str">
        <f t="shared" si="132"/>
        <v>D</v>
      </c>
      <c r="GR19" s="103" t="str">
        <f t="shared" si="133"/>
        <v/>
      </c>
      <c r="GS19" s="102" t="str">
        <f t="shared" si="68"/>
        <v/>
      </c>
      <c r="GT19" s="104" t="str">
        <f t="shared" si="134"/>
        <v>II</v>
      </c>
      <c r="GU19" s="94" t="str">
        <f>IF('Marks Entry'!V19=1,GT19,"")</f>
        <v/>
      </c>
      <c r="GV19" s="94" t="str">
        <f>IF('Marks Entry'!V19=2,GT19,"")</f>
        <v>II</v>
      </c>
      <c r="GW19" s="94" t="str">
        <f>IF('Marks Entry'!V19=3,GT19,"")</f>
        <v/>
      </c>
      <c r="GX19" s="94" t="str">
        <f>IF('Marks Entry'!V19=4,GT19,"")</f>
        <v/>
      </c>
      <c r="GY19" s="94" t="str">
        <f>IF('Marks Entry'!V19=5,GT19,"")</f>
        <v/>
      </c>
      <c r="GZ19" s="94" t="str">
        <f t="shared" si="135"/>
        <v/>
      </c>
      <c r="HA19" s="105" t="str">
        <f t="shared" si="69"/>
        <v/>
      </c>
      <c r="HB19" s="94" t="str">
        <f t="shared" si="136"/>
        <v>II</v>
      </c>
      <c r="HC19" s="94" t="str">
        <f t="shared" si="137"/>
        <v/>
      </c>
      <c r="HD19" s="105" t="str">
        <f t="shared" si="70"/>
        <v/>
      </c>
      <c r="HE19" s="94" t="str">
        <f t="shared" si="138"/>
        <v>II</v>
      </c>
      <c r="HF19" s="94" t="str">
        <f t="shared" si="139"/>
        <v/>
      </c>
      <c r="HG19" s="105" t="str">
        <f t="shared" si="71"/>
        <v/>
      </c>
      <c r="HH19" s="94" t="str">
        <f t="shared" si="140"/>
        <v>II</v>
      </c>
      <c r="HI19" s="94" t="str">
        <f t="shared" si="141"/>
        <v/>
      </c>
      <c r="HJ19" s="105" t="str">
        <f t="shared" si="72"/>
        <v/>
      </c>
      <c r="HK19" s="94" t="str">
        <f t="shared" si="142"/>
        <v/>
      </c>
      <c r="HL19" s="94" t="str">
        <f t="shared" si="143"/>
        <v/>
      </c>
      <c r="HM19" s="105" t="str">
        <f t="shared" si="73"/>
        <v/>
      </c>
      <c r="HN19" s="367" t="str">
        <f t="shared" si="144"/>
        <v xml:space="preserve">      </v>
      </c>
      <c r="HO19" s="418" t="str">
        <f t="shared" si="145"/>
        <v xml:space="preserve">      </v>
      </c>
      <c r="HP19" s="367" t="str">
        <f t="shared" si="146"/>
        <v xml:space="preserve">      </v>
      </c>
      <c r="HQ19" s="107" t="str">
        <f t="shared" si="147"/>
        <v xml:space="preserve">      </v>
      </c>
      <c r="HR19" s="366" t="str">
        <f t="shared" si="148"/>
        <v xml:space="preserve"> अंग्रेजी     </v>
      </c>
      <c r="HS19" s="544" t="str">
        <f t="shared" si="74"/>
        <v>PASS</v>
      </c>
      <c r="HT19" s="542">
        <f t="shared" si="149"/>
        <v>721</v>
      </c>
      <c r="HU19" s="541">
        <f t="shared" si="160"/>
        <v>60.083333333333336</v>
      </c>
      <c r="HV19" s="540" t="str">
        <f t="shared" si="150"/>
        <v>1st</v>
      </c>
      <c r="HW19" s="537">
        <f t="shared" si="151"/>
        <v>60.083333333333336</v>
      </c>
      <c r="HX19" s="539">
        <f t="shared" si="152"/>
        <v>13.000000000000078</v>
      </c>
      <c r="HY19" s="553" t="str">
        <f>IFERROR(IF(OR(HS19="SUPPLEMENTARY",HS19="RE-EXAM"),'Supp. Result Entry'!AQ17,""),"")</f>
        <v/>
      </c>
      <c r="HZ19" s="538" t="str">
        <f t="shared" si="153"/>
        <v/>
      </c>
      <c r="IA19" s="415" t="str">
        <f t="shared" si="154"/>
        <v/>
      </c>
      <c r="IB19" s="415" t="str">
        <f>IF(AND(HZ19="",IA19=""),"",IF(OR(HS19="SUPPLEMENTARY",HS19="RE-EXAM"),'Supp. Result Entry'!AQ17,HS19))</f>
        <v/>
      </c>
      <c r="IC19" s="87"/>
      <c r="IS19" s="109" t="str">
        <f>IF('Supp. Result Entry'!T17="","",'Supp. Result Entry'!$T$4)</f>
        <v/>
      </c>
      <c r="IT19" s="110" t="str">
        <f>IF('Supp. Result Entry'!W17="","",'Supp. Result Entry'!$W$4)</f>
        <v/>
      </c>
      <c r="IU19" s="110" t="str">
        <f>IF('Supp. Result Entry'!Z17="","",'Supp. Result Entry'!$Z$4)</f>
        <v/>
      </c>
      <c r="IV19" s="110" t="str">
        <f>IF('Supp. Result Entry'!AC17="","",'Supp. Result Entry'!$AC$4)</f>
        <v/>
      </c>
      <c r="IW19" s="110" t="str">
        <f>IF('Supp. Result Entry'!AF17="","",'Supp. Result Entry'!$AF$4)</f>
        <v/>
      </c>
      <c r="IX19" s="110" t="str">
        <f>IF('Supp. Result Entry'!AI17="","",'Supp. Result Entry'!$AI$4)</f>
        <v/>
      </c>
      <c r="IY19" s="110" t="str">
        <f>IF('Supp. Result Entry'!AI17="","",'Supp. Result Entry'!$AL$4)</f>
        <v/>
      </c>
      <c r="IZ19" s="110" t="str">
        <f>IF('Supp. Result Entry'!U17="","",'Supp. Result Entry'!U17)</f>
        <v/>
      </c>
      <c r="JA19" s="110" t="str">
        <f>IF('Supp. Result Entry'!X17="","",'Supp. Result Entry'!X17)</f>
        <v/>
      </c>
      <c r="JB19" s="110" t="str">
        <f>IF('Supp. Result Entry'!AA17="","",'Supp. Result Entry'!AA17)</f>
        <v/>
      </c>
      <c r="JC19" s="110" t="str">
        <f>IF('Supp. Result Entry'!AD17="","",'Supp. Result Entry'!AD17)</f>
        <v/>
      </c>
      <c r="JD19" s="110" t="str">
        <f>IF('Supp. Result Entry'!AG17="","",'Supp. Result Entry'!AG17)</f>
        <v/>
      </c>
      <c r="JE19" s="110" t="str">
        <f>IF('Supp. Result Entry'!AJ17="","",'Supp. Result Entry'!AJ17)</f>
        <v/>
      </c>
      <c r="JF19" s="110" t="str">
        <f>IF('Supp. Result Entry'!AM17="","",'Supp. Result Entry'!AM17)</f>
        <v/>
      </c>
      <c r="JG19" s="110" t="str">
        <f>IF('Supp. Result Entry'!V17="","",'Supp. Result Entry'!V17)</f>
        <v/>
      </c>
      <c r="JH19" s="110" t="str">
        <f>IF('Supp. Result Entry'!Y17="","",'Supp. Result Entry'!Y17)</f>
        <v/>
      </c>
      <c r="JI19" s="110" t="str">
        <f>IF('Supp. Result Entry'!AB17="","",'Supp. Result Entry'!AB17)</f>
        <v/>
      </c>
      <c r="JJ19" s="110" t="str">
        <f>IF('Supp. Result Entry'!AE17="","",'Supp. Result Entry'!AE17)</f>
        <v/>
      </c>
      <c r="JK19" s="110" t="str">
        <f>IF('Supp. Result Entry'!AH17="","",'Supp. Result Entry'!AH17)</f>
        <v/>
      </c>
      <c r="JL19" s="110" t="str">
        <f>IF('Supp. Result Entry'!AK17="","",'Supp. Result Entry'!AK17)</f>
        <v/>
      </c>
      <c r="JM19" s="110" t="str">
        <f>IF('Supp. Result Entry'!AN17="","",'Supp. Result Entry'!AN17)</f>
        <v/>
      </c>
      <c r="JN19" s="110">
        <f>COUNTIF('Supp. Result Entry'!K17:Q17,"S")</f>
        <v>0</v>
      </c>
      <c r="JO19" s="110">
        <f t="shared" si="155"/>
        <v>0</v>
      </c>
      <c r="JP19" s="110">
        <f t="shared" si="156"/>
        <v>0</v>
      </c>
      <c r="JQ19" s="110" t="str">
        <f t="shared" si="75"/>
        <v/>
      </c>
      <c r="JR19" s="110" t="str">
        <f t="shared" si="76"/>
        <v/>
      </c>
      <c r="JS19" s="110" t="str">
        <f t="shared" si="77"/>
        <v/>
      </c>
      <c r="JT19" s="110" t="str">
        <f t="shared" si="78"/>
        <v/>
      </c>
      <c r="JU19" s="110" t="str">
        <f t="shared" si="79"/>
        <v/>
      </c>
      <c r="JV19" s="110" t="str">
        <f t="shared" si="80"/>
        <v/>
      </c>
      <c r="JW19" s="110" t="str">
        <f t="shared" si="81"/>
        <v/>
      </c>
      <c r="JX19" s="110" t="str">
        <f t="shared" si="157"/>
        <v/>
      </c>
      <c r="JY19" s="110" t="str">
        <f t="shared" si="158"/>
        <v/>
      </c>
      <c r="JZ19" s="110" t="str">
        <f t="shared" si="82"/>
        <v/>
      </c>
      <c r="KA19" s="108" t="str">
        <f t="shared" si="159"/>
        <v/>
      </c>
    </row>
    <row r="20" spans="1:287" s="108" customFormat="1" ht="21.95" customHeight="1">
      <c r="A20" s="89">
        <v>14</v>
      </c>
      <c r="B20" s="90">
        <f>IF('Marks Entry'!B20="","",'Marks Entry'!B20)</f>
        <v>914</v>
      </c>
      <c r="C20" s="94" t="str">
        <f>IF('Marks Entry'!D20="","",'Marks Entry'!D20)</f>
        <v>A</v>
      </c>
      <c r="D20" s="91" t="str">
        <f>IF('Marks Entry'!E20="","",'Marks Entry'!E20)</f>
        <v/>
      </c>
      <c r="E20" s="92" t="str">
        <f>IF('Marks Entry'!F20="","",'Marks Entry'!F20)</f>
        <v/>
      </c>
      <c r="F20" s="93" t="str">
        <f>IF('Marks Entry'!G20="","",'Marks Entry'!G20)</f>
        <v>ANIL</v>
      </c>
      <c r="G20" s="93" t="str">
        <f>IF('Marks Entry'!H20="","",'Marks Entry'!H20)</f>
        <v/>
      </c>
      <c r="H20" s="93" t="str">
        <f>IF('Marks Entry'!I20="","",'Marks Entry'!I20)</f>
        <v/>
      </c>
      <c r="I20" s="94" t="str">
        <f>IF('Marks Entry'!J20="","",'Marks Entry'!J20)</f>
        <v/>
      </c>
      <c r="J20" s="95" t="str">
        <f>IF('Marks Entry'!K20="","",'Marks Entry'!K20)</f>
        <v/>
      </c>
      <c r="K20" s="68">
        <f>IF('Marks Entry'!L20="","",'Marks Entry'!L20)</f>
        <v>8</v>
      </c>
      <c r="L20" s="68">
        <f>IF('Marks Entry'!M20="","",'Marks Entry'!M20)</f>
        <v>9</v>
      </c>
      <c r="M20" s="68">
        <f>IF('Marks Entry'!N20="","",'Marks Entry'!N20)</f>
        <v>7</v>
      </c>
      <c r="N20" s="514">
        <f t="shared" si="83"/>
        <v>24</v>
      </c>
      <c r="O20" s="68">
        <f>IF('Marks Entry'!O20="","",'Marks Entry'!O20)</f>
        <v>46</v>
      </c>
      <c r="P20" s="515">
        <f t="shared" si="84"/>
        <v>70</v>
      </c>
      <c r="Q20" s="68">
        <f>IF('Marks Entry'!P20="","",'Marks Entry'!P20)</f>
        <v>65</v>
      </c>
      <c r="R20" s="96">
        <f t="shared" si="85"/>
        <v>135</v>
      </c>
      <c r="S20" s="65">
        <f t="shared" si="86"/>
        <v>0</v>
      </c>
      <c r="T20" s="65">
        <f t="shared" si="87"/>
        <v>0</v>
      </c>
      <c r="U20" s="66">
        <f t="shared" si="88"/>
        <v>200</v>
      </c>
      <c r="V20" s="65" t="str">
        <f t="shared" si="89"/>
        <v/>
      </c>
      <c r="W20" s="65" t="str">
        <f t="shared" si="90"/>
        <v>P</v>
      </c>
      <c r="X20" s="65" t="str">
        <f t="shared" si="91"/>
        <v>I</v>
      </c>
      <c r="Y20" s="68">
        <f>IF('Marks Entry'!Q20="","",'Marks Entry'!Q20)</f>
        <v>8</v>
      </c>
      <c r="Z20" s="68">
        <f>IF('Marks Entry'!R20="","",'Marks Entry'!R20)</f>
        <v>9</v>
      </c>
      <c r="AA20" s="68">
        <f>IF('Marks Entry'!S20="","",'Marks Entry'!S20)</f>
        <v>8</v>
      </c>
      <c r="AB20" s="514">
        <f t="shared" si="2"/>
        <v>25</v>
      </c>
      <c r="AC20" s="68">
        <f>IF('Marks Entry'!T20="","",'Marks Entry'!T20)</f>
        <v>60</v>
      </c>
      <c r="AD20" s="515">
        <f t="shared" si="3"/>
        <v>85</v>
      </c>
      <c r="AE20" s="68">
        <f>IF('Marks Entry'!U20="","",'Marks Entry'!U20)</f>
        <v>85</v>
      </c>
      <c r="AF20" s="96">
        <f t="shared" si="4"/>
        <v>170</v>
      </c>
      <c r="AG20" s="65">
        <f t="shared" si="5"/>
        <v>0</v>
      </c>
      <c r="AH20" s="65">
        <f t="shared" si="6"/>
        <v>0</v>
      </c>
      <c r="AI20" s="66">
        <f t="shared" si="7"/>
        <v>200</v>
      </c>
      <c r="AJ20" s="65" t="str">
        <f t="shared" si="8"/>
        <v/>
      </c>
      <c r="AK20" s="65" t="str">
        <f t="shared" si="9"/>
        <v>P</v>
      </c>
      <c r="AL20" s="65" t="str">
        <f t="shared" si="10"/>
        <v>D</v>
      </c>
      <c r="AM20" s="524" t="str">
        <f>IF('Marks Entry'!V20="","",IF('Marks Entry'!V20=1,'School Profile'!$I$9,IF('Marks Entry'!V20=2,'School Profile'!$I$10,IF('Marks Entry'!V20=3,'School Profile'!$I$11,IF('Marks Entry'!V20=4,'School Profile'!$I$12,IF('Marks Entry'!V20=5,'School Profile'!$I$13,IF('Marks Entry'!V20=6,'School Profile'!$I$14,"")))))))</f>
        <v xml:space="preserve">सिंधी (74) </v>
      </c>
      <c r="AN20" s="68">
        <f>IF('Marks Entry'!W20="","",'Marks Entry'!W20)</f>
        <v>8</v>
      </c>
      <c r="AO20" s="68">
        <f>IF('Marks Entry'!X20="","",'Marks Entry'!X20)</f>
        <v>9</v>
      </c>
      <c r="AP20" s="68">
        <f>IF('Marks Entry'!Y20="","",'Marks Entry'!Y20)</f>
        <v>8</v>
      </c>
      <c r="AQ20" s="514">
        <f t="shared" si="11"/>
        <v>25</v>
      </c>
      <c r="AR20" s="68">
        <f>IF('Marks Entry'!Z20="","",'Marks Entry'!Z20)</f>
        <v>46</v>
      </c>
      <c r="AS20" s="515">
        <f t="shared" si="12"/>
        <v>71</v>
      </c>
      <c r="AT20" s="68">
        <f>IF('Marks Entry'!AA20="","",'Marks Entry'!AA20)</f>
        <v>45</v>
      </c>
      <c r="AU20" s="96">
        <f t="shared" si="13"/>
        <v>116</v>
      </c>
      <c r="AV20" s="65">
        <f t="shared" si="14"/>
        <v>0</v>
      </c>
      <c r="AW20" s="65">
        <f t="shared" si="15"/>
        <v>0</v>
      </c>
      <c r="AX20" s="66">
        <f t="shared" si="16"/>
        <v>200</v>
      </c>
      <c r="AY20" s="65" t="str">
        <f t="shared" si="17"/>
        <v/>
      </c>
      <c r="AZ20" s="65" t="str">
        <f t="shared" si="18"/>
        <v>P</v>
      </c>
      <c r="BA20" s="65" t="str">
        <f t="shared" si="19"/>
        <v>II</v>
      </c>
      <c r="BB20" s="68">
        <f>IF('Marks Entry'!AB20="","",'Marks Entry'!AB20)</f>
        <v>8</v>
      </c>
      <c r="BC20" s="68">
        <f>IF('Marks Entry'!AC20="","",'Marks Entry'!AC20)</f>
        <v>9</v>
      </c>
      <c r="BD20" s="68">
        <f>IF('Marks Entry'!AD20="","",'Marks Entry'!AD20)</f>
        <v>8</v>
      </c>
      <c r="BE20" s="514">
        <f t="shared" si="20"/>
        <v>25</v>
      </c>
      <c r="BF20" s="68">
        <f>IF('Marks Entry'!AE20="","",'Marks Entry'!AE20)</f>
        <v>20</v>
      </c>
      <c r="BG20" s="515">
        <f t="shared" si="21"/>
        <v>45</v>
      </c>
      <c r="BH20" s="68">
        <f>IF('Marks Entry'!AF20="","",'Marks Entry'!AF20)</f>
        <v>26</v>
      </c>
      <c r="BI20" s="96">
        <f t="shared" si="22"/>
        <v>71</v>
      </c>
      <c r="BJ20" s="65">
        <f t="shared" si="23"/>
        <v>0</v>
      </c>
      <c r="BK20" s="65">
        <f t="shared" si="92"/>
        <v>0</v>
      </c>
      <c r="BL20" s="66">
        <f t="shared" si="24"/>
        <v>200</v>
      </c>
      <c r="BM20" s="65" t="str">
        <f t="shared" si="25"/>
        <v/>
      </c>
      <c r="BN20" s="65" t="str">
        <f t="shared" si="26"/>
        <v>G2</v>
      </c>
      <c r="BO20" s="65" t="str">
        <f t="shared" si="27"/>
        <v>G2</v>
      </c>
      <c r="BP20" s="68">
        <f>IF('Marks Entry'!AG20="","",'Marks Entry'!AG20)</f>
        <v>8</v>
      </c>
      <c r="BQ20" s="68">
        <f>IF('Marks Entry'!AH20="","",'Marks Entry'!AH20)</f>
        <v>9</v>
      </c>
      <c r="BR20" s="68">
        <f>IF('Marks Entry'!AI20="","",'Marks Entry'!AI20)</f>
        <v>7</v>
      </c>
      <c r="BS20" s="514">
        <f t="shared" si="28"/>
        <v>24</v>
      </c>
      <c r="BT20" s="68">
        <f>IF('Marks Entry'!AJ20="","",'Marks Entry'!AJ20)</f>
        <v>20</v>
      </c>
      <c r="BU20" s="515">
        <f t="shared" si="29"/>
        <v>44</v>
      </c>
      <c r="BV20" s="68">
        <f>IF('Marks Entry'!AK20="","",'Marks Entry'!AK20)</f>
        <v>27</v>
      </c>
      <c r="BW20" s="96">
        <f t="shared" si="30"/>
        <v>71</v>
      </c>
      <c r="BX20" s="65">
        <f t="shared" si="31"/>
        <v>0</v>
      </c>
      <c r="BY20" s="65">
        <f t="shared" si="32"/>
        <v>0</v>
      </c>
      <c r="BZ20" s="66">
        <f t="shared" si="33"/>
        <v>200</v>
      </c>
      <c r="CA20" s="65" t="str">
        <f t="shared" si="34"/>
        <v/>
      </c>
      <c r="CB20" s="65" t="str">
        <f t="shared" si="35"/>
        <v>G2</v>
      </c>
      <c r="CC20" s="65" t="str">
        <f t="shared" si="36"/>
        <v>G2</v>
      </c>
      <c r="CD20" s="66">
        <f t="shared" si="93"/>
        <v>0</v>
      </c>
      <c r="CE20" s="68">
        <f>IF('Marks Entry'!AL20="","",'Marks Entry'!AL20)</f>
        <v>8</v>
      </c>
      <c r="CF20" s="68">
        <f>IF('Marks Entry'!AM20="","",'Marks Entry'!AM20)</f>
        <v>8</v>
      </c>
      <c r="CG20" s="68">
        <f>IF('Marks Entry'!AN20="","",'Marks Entry'!AN20)</f>
        <v>8</v>
      </c>
      <c r="CH20" s="514">
        <f t="shared" si="37"/>
        <v>24</v>
      </c>
      <c r="CI20" s="68">
        <f>IF('Marks Entry'!AO20="","",'Marks Entry'!AO20)</f>
        <v>46</v>
      </c>
      <c r="CJ20" s="515">
        <f t="shared" si="38"/>
        <v>70</v>
      </c>
      <c r="CK20" s="68">
        <f>IF('Marks Entry'!AP20="","",'Marks Entry'!AP20)</f>
        <v>45</v>
      </c>
      <c r="CL20" s="96">
        <f t="shared" si="39"/>
        <v>115</v>
      </c>
      <c r="CM20" s="65">
        <f t="shared" si="40"/>
        <v>0</v>
      </c>
      <c r="CN20" s="65">
        <f t="shared" si="41"/>
        <v>0</v>
      </c>
      <c r="CO20" s="66">
        <f t="shared" si="42"/>
        <v>200</v>
      </c>
      <c r="CP20" s="65" t="str">
        <f t="shared" si="43"/>
        <v/>
      </c>
      <c r="CQ20" s="65" t="str">
        <f t="shared" si="44"/>
        <v>P</v>
      </c>
      <c r="CR20" s="65" t="str">
        <f t="shared" si="45"/>
        <v>II</v>
      </c>
      <c r="CS20" s="616"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8" t="str">
        <f>IF('School Profile'!$D$20="NO","",IF('Marks Entry'!AR20="","",'Marks Entry'!AR20))</f>
        <v/>
      </c>
      <c r="CU20" s="68" t="str">
        <f>IF('School Profile'!$D$20="NO","",IF('Marks Entry'!AS20="","",'Marks Entry'!AS20))</f>
        <v/>
      </c>
      <c r="CV20" s="68" t="str">
        <f>IF('School Profile'!$D$20="NO","",IF('Marks Entry'!AT20="","",'Marks Entry'!AT20))</f>
        <v/>
      </c>
      <c r="CW20" s="514" t="str">
        <f>IF('School Profile'!$D$20="NO","",IF(AND(CT20="",CU20="",CV20=""),"",SUM(CT20:CV20)))</f>
        <v/>
      </c>
      <c r="CX20" s="68" t="str">
        <f>IF('School Profile'!$D$20="NO","",IF('Marks Entry'!AU20="","",'Marks Entry'!AU20))</f>
        <v/>
      </c>
      <c r="CY20" s="68" t="str">
        <f>IF('School Profile'!$D$20="NO","",IF('Marks Entry'!AV20="","",'Marks Entry'!AV20))</f>
        <v/>
      </c>
      <c r="CZ20" s="515" t="str">
        <f>IF('School Profile'!$D$20="NO","",IF(AND(CX20="",CY20=""),"",SUM(CX20,CY20)))</f>
        <v/>
      </c>
      <c r="DA20" s="69" t="str">
        <f>IF('School Profile'!$D$20="NO","",IF(AND(CW20="",CZ20=""),"",SUM(CW20+CZ20)))</f>
        <v/>
      </c>
      <c r="DB20" s="68" t="str">
        <f>IF('School Profile'!$D$20="NO","",IF('Marks Entry'!AW20="","",'Marks Entry'!AW20))</f>
        <v/>
      </c>
      <c r="DC20" s="68" t="str">
        <f>IF('School Profile'!$D$20="NO","",IF('Marks Entry'!AX20="","",'Marks Entry'!AX20))</f>
        <v/>
      </c>
      <c r="DD20" s="515" t="str">
        <f>IF('School Profile'!$D$20="NO","",IF(AND(DB20="",DC20=""),"",SUM(DB20,DC20)))</f>
        <v/>
      </c>
      <c r="DE20" s="96" t="str">
        <f>IF('School Profile'!$D$20="NO","",IF(AND(DA20="",DD20=""),"",SUM(DA20,DD20)))</f>
        <v/>
      </c>
      <c r="DF20" s="532">
        <f t="shared" si="46"/>
        <v>0</v>
      </c>
      <c r="DG20" s="65">
        <f t="shared" si="47"/>
        <v>0</v>
      </c>
      <c r="DH20" s="66" t="str">
        <f t="shared" si="48"/>
        <v/>
      </c>
      <c r="DI20" s="65" t="str">
        <f t="shared" si="49"/>
        <v/>
      </c>
      <c r="DJ20" s="65" t="str">
        <f t="shared" si="50"/>
        <v/>
      </c>
      <c r="DK20" s="65" t="str">
        <f t="shared" si="51"/>
        <v/>
      </c>
      <c r="DL20" s="97" t="str">
        <f t="shared" si="94"/>
        <v>I</v>
      </c>
      <c r="DM20" s="97" t="str">
        <f t="shared" si="95"/>
        <v>D</v>
      </c>
      <c r="DN20" s="97" t="str">
        <f t="shared" si="96"/>
        <v>II</v>
      </c>
      <c r="DO20" s="97" t="str">
        <f t="shared" si="97"/>
        <v>G2</v>
      </c>
      <c r="DP20" s="97" t="str">
        <f t="shared" si="98"/>
        <v>G2</v>
      </c>
      <c r="DQ20" s="97" t="str">
        <f t="shared" si="99"/>
        <v>II</v>
      </c>
      <c r="DR20" s="97" t="str">
        <f t="shared" si="100"/>
        <v/>
      </c>
      <c r="DS20" s="98">
        <f t="shared" si="101"/>
        <v>0</v>
      </c>
      <c r="DT20" s="98">
        <f t="shared" si="102"/>
        <v>0</v>
      </c>
      <c r="DU20" s="98">
        <f t="shared" si="103"/>
        <v>0</v>
      </c>
      <c r="DV20" s="98">
        <f t="shared" si="104"/>
        <v>2</v>
      </c>
      <c r="DW20" s="98">
        <f t="shared" si="105"/>
        <v>0</v>
      </c>
      <c r="DX20" s="98" t="str">
        <f t="shared" si="106"/>
        <v/>
      </c>
      <c r="DY20" s="99" t="str">
        <f t="shared" si="107"/>
        <v>BY GRACE PASS</v>
      </c>
      <c r="DZ20" s="74">
        <f>IF('Marks Entry'!AY20="","",'Marks Entry'!AY20)</f>
        <v>9</v>
      </c>
      <c r="EA20" s="74">
        <f>IF('Marks Entry'!AZ20="","",'Marks Entry'!AZ20)</f>
        <v>9</v>
      </c>
      <c r="EB20" s="74">
        <f>IF('Marks Entry'!BA20="","",'Marks Entry'!BA20)</f>
        <v>9</v>
      </c>
      <c r="EC20" s="527">
        <f t="shared" si="52"/>
        <v>27</v>
      </c>
      <c r="ED20" s="74">
        <f>IF('Marks Entry'!BB20="","",'Marks Entry'!BB20)</f>
        <v>66</v>
      </c>
      <c r="EE20" s="528">
        <f t="shared" si="53"/>
        <v>93</v>
      </c>
      <c r="EF20" s="74">
        <f>IF('Marks Entry'!BC20="","",'Marks Entry'!BC20)</f>
        <v>91</v>
      </c>
      <c r="EG20" s="530">
        <f t="shared" si="54"/>
        <v>184</v>
      </c>
      <c r="EH20" s="368" t="str">
        <f t="shared" si="108"/>
        <v>A</v>
      </c>
      <c r="EI20" s="65">
        <f t="shared" si="109"/>
        <v>0</v>
      </c>
      <c r="EJ20" s="65">
        <f t="shared" si="110"/>
        <v>0</v>
      </c>
      <c r="EK20" s="66">
        <f t="shared" si="111"/>
        <v>200</v>
      </c>
      <c r="EL20" s="74">
        <f>IF('Marks Entry'!BD20="","",'Marks Entry'!BD20)</f>
        <v>8</v>
      </c>
      <c r="EM20" s="74">
        <f>IF('Marks Entry'!BE20="","",'Marks Entry'!BE20)</f>
        <v>8</v>
      </c>
      <c r="EN20" s="74">
        <f>IF('Marks Entry'!BF20="","",'Marks Entry'!BF20)</f>
        <v>8</v>
      </c>
      <c r="EO20" s="527">
        <f t="shared" si="55"/>
        <v>24</v>
      </c>
      <c r="EP20" s="74">
        <f>IF('Marks Entry'!BG20="","",'Marks Entry'!BG20)</f>
        <v>48</v>
      </c>
      <c r="EQ20" s="74">
        <f>IF('Marks Entry'!BH20="","",'Marks Entry'!BH20)</f>
        <v>16</v>
      </c>
      <c r="ER20" s="528">
        <f t="shared" si="56"/>
        <v>64</v>
      </c>
      <c r="ES20" s="529">
        <f t="shared" si="57"/>
        <v>88</v>
      </c>
      <c r="ET20" s="74">
        <f>IF('Marks Entry'!BI20="","",'Marks Entry'!BI20)</f>
        <v>58</v>
      </c>
      <c r="EU20" s="74">
        <f>IF('Marks Entry'!BJ20="","",'Marks Entry'!BJ20)</f>
        <v>27</v>
      </c>
      <c r="EV20" s="528">
        <f t="shared" si="58"/>
        <v>85</v>
      </c>
      <c r="EW20" s="530">
        <f t="shared" si="59"/>
        <v>173</v>
      </c>
      <c r="EX20" s="368" t="str">
        <f t="shared" si="112"/>
        <v>A</v>
      </c>
      <c r="EY20" s="65">
        <f t="shared" si="113"/>
        <v>0</v>
      </c>
      <c r="EZ20" s="65">
        <f t="shared" si="114"/>
        <v>0</v>
      </c>
      <c r="FA20" s="66">
        <f t="shared" si="115"/>
        <v>200</v>
      </c>
      <c r="FB20" s="74">
        <f>IF('Marks Entry'!BK20="","",'Marks Entry'!BK20)</f>
        <v>9</v>
      </c>
      <c r="FC20" s="74">
        <f>IF('Marks Entry'!BL20="","",'Marks Entry'!BL20)</f>
        <v>7</v>
      </c>
      <c r="FD20" s="74">
        <f>IF('Marks Entry'!BM20="","",'Marks Entry'!BM20)</f>
        <v>9</v>
      </c>
      <c r="FE20" s="74">
        <f>IF('Marks Entry'!BN20="","",'Marks Entry'!BN20)</f>
        <v>6</v>
      </c>
      <c r="FF20" s="74">
        <f>IF('Marks Entry'!BO20="","",'Marks Entry'!BO20)</f>
        <v>9</v>
      </c>
      <c r="FG20" s="74">
        <f>IF('Marks Entry'!BP20="","",'Marks Entry'!BP20)</f>
        <v>14</v>
      </c>
      <c r="FH20" s="527">
        <f t="shared" si="60"/>
        <v>54</v>
      </c>
      <c r="FI20" s="74">
        <f>IF('Marks Entry'!BQ20="","",'Marks Entry'!BQ20)</f>
        <v>21</v>
      </c>
      <c r="FJ20" s="74">
        <f>IF('Marks Entry'!BR20="","",'Marks Entry'!BR20)</f>
        <v>12</v>
      </c>
      <c r="FK20" s="528">
        <f t="shared" si="61"/>
        <v>33</v>
      </c>
      <c r="FL20" s="529">
        <f t="shared" si="62"/>
        <v>87</v>
      </c>
      <c r="FM20" s="74">
        <f>IF('Marks Entry'!BS20="","",'Marks Entry'!BS20)</f>
        <v>26</v>
      </c>
      <c r="FN20" s="74">
        <f>IF('Marks Entry'!BT20="","",'Marks Entry'!BT20)</f>
        <v>61</v>
      </c>
      <c r="FO20" s="528">
        <f t="shared" si="63"/>
        <v>87</v>
      </c>
      <c r="FP20" s="530">
        <f t="shared" si="64"/>
        <v>174</v>
      </c>
      <c r="FQ20" s="368" t="str">
        <f t="shared" si="116"/>
        <v>A</v>
      </c>
      <c r="FR20" s="65">
        <f t="shared" si="117"/>
        <v>0</v>
      </c>
      <c r="FS20" s="65">
        <f t="shared" si="118"/>
        <v>0</v>
      </c>
      <c r="FT20" s="66">
        <f t="shared" si="119"/>
        <v>200</v>
      </c>
      <c r="FU20" s="74">
        <f>IF('Marks Entry'!BU20="","",'Marks Entry'!BU20)</f>
        <v>20</v>
      </c>
      <c r="FV20" s="74">
        <f>IF('Marks Entry'!BV20="","",'Marks Entry'!BV20)</f>
        <v>40</v>
      </c>
      <c r="FW20" s="74">
        <f>IF('Marks Entry'!BW20="","",'Marks Entry'!BW20)</f>
        <v>20</v>
      </c>
      <c r="FX20" s="75">
        <f t="shared" si="65"/>
        <v>80</v>
      </c>
      <c r="FY20" s="368" t="str">
        <f t="shared" si="120"/>
        <v>B</v>
      </c>
      <c r="FZ20" s="65">
        <f t="shared" si="121"/>
        <v>0</v>
      </c>
      <c r="GA20" s="66">
        <f t="shared" si="122"/>
        <v>0</v>
      </c>
      <c r="GB20" s="66">
        <f t="shared" si="123"/>
        <v>100</v>
      </c>
      <c r="GC20" s="74">
        <f>IF('Marks Entry'!BX20="","",'Marks Entry'!BX20)</f>
        <v>20</v>
      </c>
      <c r="GD20" s="74">
        <f>IF('Marks Entry'!BY20="","",'Marks Entry'!BY20)</f>
        <v>39</v>
      </c>
      <c r="GE20" s="74">
        <f>IF('Marks Entry'!BZ20="","",'Marks Entry'!BZ20)</f>
        <v>10</v>
      </c>
      <c r="GF20" s="75">
        <f t="shared" si="124"/>
        <v>69</v>
      </c>
      <c r="GG20" s="368" t="str">
        <f t="shared" si="125"/>
        <v>B</v>
      </c>
      <c r="GH20" s="65">
        <f t="shared" si="126"/>
        <v>0</v>
      </c>
      <c r="GI20" s="66">
        <f t="shared" si="127"/>
        <v>0</v>
      </c>
      <c r="GJ20" s="66">
        <f t="shared" si="128"/>
        <v>100</v>
      </c>
      <c r="GK20" s="100" t="str">
        <f>IF(AND(F20="",B20=""),"",IF('Student DATA Entry'!M17="","",'Student DATA Entry'!M17))</f>
        <v/>
      </c>
      <c r="GL20" s="101" t="str">
        <f>IF(AND(B20="",F20=""),"",IF('Student DATA Entry'!N17="","",'Student DATA Entry'!N17))</f>
        <v/>
      </c>
      <c r="GM20" s="581" t="str">
        <f t="shared" si="129"/>
        <v/>
      </c>
      <c r="GN20" s="94" t="str">
        <f t="shared" si="130"/>
        <v>I</v>
      </c>
      <c r="GO20" s="94" t="str">
        <f t="shared" si="131"/>
        <v/>
      </c>
      <c r="GP20" s="102" t="str">
        <f t="shared" si="67"/>
        <v/>
      </c>
      <c r="GQ20" s="94" t="str">
        <f t="shared" si="132"/>
        <v>D</v>
      </c>
      <c r="GR20" s="103" t="str">
        <f t="shared" si="133"/>
        <v/>
      </c>
      <c r="GS20" s="102" t="str">
        <f t="shared" si="68"/>
        <v/>
      </c>
      <c r="GT20" s="104" t="str">
        <f t="shared" si="134"/>
        <v>II</v>
      </c>
      <c r="GU20" s="94" t="str">
        <f>IF('Marks Entry'!V20=1,GT20,"")</f>
        <v/>
      </c>
      <c r="GV20" s="94" t="str">
        <f>IF('Marks Entry'!V20=2,GT20,"")</f>
        <v/>
      </c>
      <c r="GW20" s="94" t="str">
        <f>IF('Marks Entry'!V20=3,GT20,"")</f>
        <v/>
      </c>
      <c r="GX20" s="94" t="str">
        <f>IF('Marks Entry'!V20=4,GT20,"")</f>
        <v>II</v>
      </c>
      <c r="GY20" s="94" t="str">
        <f>IF('Marks Entry'!V20=5,GT20,"")</f>
        <v/>
      </c>
      <c r="GZ20" s="94" t="str">
        <f t="shared" si="135"/>
        <v/>
      </c>
      <c r="HA20" s="105" t="str">
        <f t="shared" si="69"/>
        <v/>
      </c>
      <c r="HB20" s="94" t="str">
        <f t="shared" si="136"/>
        <v>G</v>
      </c>
      <c r="HC20" s="94" t="str">
        <f t="shared" si="137"/>
        <v>,+</v>
      </c>
      <c r="HD20" s="105">
        <f t="shared" si="70"/>
        <v>1</v>
      </c>
      <c r="HE20" s="94" t="str">
        <f t="shared" si="138"/>
        <v>G</v>
      </c>
      <c r="HF20" s="94" t="str">
        <f t="shared" si="139"/>
        <v>,+</v>
      </c>
      <c r="HG20" s="105">
        <f t="shared" si="71"/>
        <v>1</v>
      </c>
      <c r="HH20" s="94" t="str">
        <f t="shared" si="140"/>
        <v>II</v>
      </c>
      <c r="HI20" s="94" t="str">
        <f t="shared" si="141"/>
        <v/>
      </c>
      <c r="HJ20" s="105" t="str">
        <f t="shared" si="72"/>
        <v/>
      </c>
      <c r="HK20" s="94" t="str">
        <f t="shared" si="142"/>
        <v/>
      </c>
      <c r="HL20" s="94" t="str">
        <f t="shared" si="143"/>
        <v/>
      </c>
      <c r="HM20" s="105" t="str">
        <f t="shared" si="73"/>
        <v/>
      </c>
      <c r="HN20" s="367" t="str">
        <f t="shared" si="144"/>
        <v xml:space="preserve">      </v>
      </c>
      <c r="HO20" s="418" t="str">
        <f t="shared" si="145"/>
        <v xml:space="preserve">      </v>
      </c>
      <c r="HP20" s="367" t="str">
        <f t="shared" si="146"/>
        <v xml:space="preserve">   गणित विज्ञान  </v>
      </c>
      <c r="HQ20" s="107" t="str">
        <f t="shared" si="147"/>
        <v xml:space="preserve">      </v>
      </c>
      <c r="HR20" s="366" t="str">
        <f t="shared" si="148"/>
        <v xml:space="preserve"> अंग्रेजी     </v>
      </c>
      <c r="HS20" s="544" t="str">
        <f t="shared" si="74"/>
        <v>BY GRACE PASS</v>
      </c>
      <c r="HT20" s="542">
        <f t="shared" si="149"/>
        <v>678</v>
      </c>
      <c r="HU20" s="541">
        <f t="shared" si="160"/>
        <v>56.5</v>
      </c>
      <c r="HV20" s="540" t="str">
        <f t="shared" si="150"/>
        <v>2nd</v>
      </c>
      <c r="HW20" s="537">
        <f t="shared" si="151"/>
        <v>56.5</v>
      </c>
      <c r="HX20" s="539">
        <f t="shared" si="152"/>
        <v>16.999999999999773</v>
      </c>
      <c r="HY20" s="553" t="str">
        <f>IFERROR(IF(OR(HS20="SUPPLEMENTARY",HS20="RE-EXAM"),'Supp. Result Entry'!AQ18,""),"")</f>
        <v/>
      </c>
      <c r="HZ20" s="538" t="str">
        <f t="shared" si="153"/>
        <v/>
      </c>
      <c r="IA20" s="415" t="str">
        <f t="shared" si="154"/>
        <v/>
      </c>
      <c r="IB20" s="415" t="str">
        <f>IF(AND(HZ20="",IA20=""),"",IF(OR(HS20="SUPPLEMENTARY",HS20="RE-EXAM"),'Supp. Result Entry'!AQ18,HS20))</f>
        <v/>
      </c>
      <c r="IC20" s="87"/>
      <c r="IS20" s="109" t="str">
        <f>IF('Supp. Result Entry'!T18="","",'Supp. Result Entry'!$T$4)</f>
        <v/>
      </c>
      <c r="IT20" s="110" t="str">
        <f>IF('Supp. Result Entry'!W18="","",'Supp. Result Entry'!$W$4)</f>
        <v/>
      </c>
      <c r="IU20" s="110" t="str">
        <f>IF('Supp. Result Entry'!Z18="","",'Supp. Result Entry'!$Z$4)</f>
        <v/>
      </c>
      <c r="IV20" s="110" t="str">
        <f>IF('Supp. Result Entry'!AC18="","",'Supp. Result Entry'!$AC$4)</f>
        <v/>
      </c>
      <c r="IW20" s="110" t="str">
        <f>IF('Supp. Result Entry'!AF18="","",'Supp. Result Entry'!$AF$4)</f>
        <v/>
      </c>
      <c r="IX20" s="110" t="str">
        <f>IF('Supp. Result Entry'!AI18="","",'Supp. Result Entry'!$AI$4)</f>
        <v/>
      </c>
      <c r="IY20" s="110" t="str">
        <f>IF('Supp. Result Entry'!AI18="","",'Supp. Result Entry'!$AL$4)</f>
        <v/>
      </c>
      <c r="IZ20" s="110" t="str">
        <f>IF('Supp. Result Entry'!U18="","",'Supp. Result Entry'!U18)</f>
        <v/>
      </c>
      <c r="JA20" s="110" t="str">
        <f>IF('Supp. Result Entry'!X18="","",'Supp. Result Entry'!X18)</f>
        <v/>
      </c>
      <c r="JB20" s="110" t="str">
        <f>IF('Supp. Result Entry'!AA18="","",'Supp. Result Entry'!AA18)</f>
        <v/>
      </c>
      <c r="JC20" s="110" t="str">
        <f>IF('Supp. Result Entry'!AD18="","",'Supp. Result Entry'!AD18)</f>
        <v/>
      </c>
      <c r="JD20" s="110" t="str">
        <f>IF('Supp. Result Entry'!AG18="","",'Supp. Result Entry'!AG18)</f>
        <v/>
      </c>
      <c r="JE20" s="110" t="str">
        <f>IF('Supp. Result Entry'!AJ18="","",'Supp. Result Entry'!AJ18)</f>
        <v/>
      </c>
      <c r="JF20" s="110" t="str">
        <f>IF('Supp. Result Entry'!AM18="","",'Supp. Result Entry'!AM18)</f>
        <v/>
      </c>
      <c r="JG20" s="110" t="str">
        <f>IF('Supp. Result Entry'!V18="","",'Supp. Result Entry'!V18)</f>
        <v/>
      </c>
      <c r="JH20" s="110" t="str">
        <f>IF('Supp. Result Entry'!Y18="","",'Supp. Result Entry'!Y18)</f>
        <v/>
      </c>
      <c r="JI20" s="110" t="str">
        <f>IF('Supp. Result Entry'!AB18="","",'Supp. Result Entry'!AB18)</f>
        <v/>
      </c>
      <c r="JJ20" s="110" t="str">
        <f>IF('Supp. Result Entry'!AE18="","",'Supp. Result Entry'!AE18)</f>
        <v/>
      </c>
      <c r="JK20" s="110" t="str">
        <f>IF('Supp. Result Entry'!AH18="","",'Supp. Result Entry'!AH18)</f>
        <v/>
      </c>
      <c r="JL20" s="110" t="str">
        <f>IF('Supp. Result Entry'!AK18="","",'Supp. Result Entry'!AK18)</f>
        <v/>
      </c>
      <c r="JM20" s="110" t="str">
        <f>IF('Supp. Result Entry'!AN18="","",'Supp. Result Entry'!AN18)</f>
        <v/>
      </c>
      <c r="JN20" s="110">
        <f>COUNTIF('Supp. Result Entry'!K18:Q18,"S")</f>
        <v>0</v>
      </c>
      <c r="JO20" s="110">
        <f t="shared" si="155"/>
        <v>0</v>
      </c>
      <c r="JP20" s="110">
        <f t="shared" si="156"/>
        <v>0</v>
      </c>
      <c r="JQ20" s="110" t="str">
        <f t="shared" si="75"/>
        <v/>
      </c>
      <c r="JR20" s="110" t="str">
        <f t="shared" si="76"/>
        <v/>
      </c>
      <c r="JS20" s="110" t="str">
        <f t="shared" si="77"/>
        <v/>
      </c>
      <c r="JT20" s="110" t="str">
        <f t="shared" si="78"/>
        <v/>
      </c>
      <c r="JU20" s="110" t="str">
        <f t="shared" si="79"/>
        <v/>
      </c>
      <c r="JV20" s="110" t="str">
        <f t="shared" si="80"/>
        <v/>
      </c>
      <c r="JW20" s="110" t="str">
        <f t="shared" si="81"/>
        <v/>
      </c>
      <c r="JX20" s="110" t="str">
        <f t="shared" si="157"/>
        <v/>
      </c>
      <c r="JY20" s="110" t="str">
        <f t="shared" si="158"/>
        <v/>
      </c>
      <c r="JZ20" s="110" t="str">
        <f t="shared" si="82"/>
        <v/>
      </c>
      <c r="KA20" s="108" t="str">
        <f t="shared" si="159"/>
        <v/>
      </c>
    </row>
    <row r="21" spans="1:287" s="108" customFormat="1" ht="21.95" customHeight="1">
      <c r="A21" s="89">
        <v>15</v>
      </c>
      <c r="B21" s="90">
        <f>IF('Marks Entry'!B21="","",'Marks Entry'!B21)</f>
        <v>915</v>
      </c>
      <c r="C21" s="94" t="str">
        <f>IF('Marks Entry'!D21="","",'Marks Entry'!D21)</f>
        <v>A</v>
      </c>
      <c r="D21" s="91" t="str">
        <f>IF('Marks Entry'!E21="","",'Marks Entry'!E21)</f>
        <v/>
      </c>
      <c r="E21" s="92" t="str">
        <f>IF('Marks Entry'!F21="","",'Marks Entry'!F21)</f>
        <v/>
      </c>
      <c r="F21" s="93" t="str">
        <f>IF('Marks Entry'!G21="","",'Marks Entry'!G21)</f>
        <v>RAHIM</v>
      </c>
      <c r="G21" s="93" t="str">
        <f>IF('Marks Entry'!H21="","",'Marks Entry'!H21)</f>
        <v/>
      </c>
      <c r="H21" s="93" t="str">
        <f>IF('Marks Entry'!I21="","",'Marks Entry'!I21)</f>
        <v/>
      </c>
      <c r="I21" s="94" t="str">
        <f>IF('Marks Entry'!J21="","",'Marks Entry'!J21)</f>
        <v/>
      </c>
      <c r="J21" s="95" t="str">
        <f>IF('Marks Entry'!K21="","",'Marks Entry'!K21)</f>
        <v/>
      </c>
      <c r="K21" s="68">
        <f>IF('Marks Entry'!L21="","",'Marks Entry'!L21)</f>
        <v>8</v>
      </c>
      <c r="L21" s="68">
        <f>IF('Marks Entry'!M21="","",'Marks Entry'!M21)</f>
        <v>9</v>
      </c>
      <c r="M21" s="68">
        <f>IF('Marks Entry'!N21="","",'Marks Entry'!N21)</f>
        <v>8</v>
      </c>
      <c r="N21" s="514">
        <f t="shared" si="83"/>
        <v>25</v>
      </c>
      <c r="O21" s="68">
        <f>IF('Marks Entry'!O21="","",'Marks Entry'!O21)</f>
        <v>46</v>
      </c>
      <c r="P21" s="515">
        <f t="shared" si="84"/>
        <v>71</v>
      </c>
      <c r="Q21" s="68">
        <f>IF('Marks Entry'!P21="","",'Marks Entry'!P21)</f>
        <v>25</v>
      </c>
      <c r="R21" s="96">
        <f t="shared" si="85"/>
        <v>96</v>
      </c>
      <c r="S21" s="65">
        <f t="shared" si="86"/>
        <v>0</v>
      </c>
      <c r="T21" s="65">
        <f t="shared" si="87"/>
        <v>0</v>
      </c>
      <c r="U21" s="66">
        <f t="shared" si="88"/>
        <v>200</v>
      </c>
      <c r="V21" s="65" t="str">
        <f t="shared" si="89"/>
        <v/>
      </c>
      <c r="W21" s="65" t="str">
        <f t="shared" si="90"/>
        <v>P</v>
      </c>
      <c r="X21" s="65" t="str">
        <f t="shared" si="91"/>
        <v>II</v>
      </c>
      <c r="Y21" s="68">
        <f>IF('Marks Entry'!Q21="","",'Marks Entry'!Q21)</f>
        <v>8</v>
      </c>
      <c r="Z21" s="68">
        <f>IF('Marks Entry'!R21="","",'Marks Entry'!R21)</f>
        <v>9</v>
      </c>
      <c r="AA21" s="68">
        <f>IF('Marks Entry'!S21="","",'Marks Entry'!S21)</f>
        <v>8</v>
      </c>
      <c r="AB21" s="514">
        <f t="shared" si="2"/>
        <v>25</v>
      </c>
      <c r="AC21" s="68">
        <f>IF('Marks Entry'!T21="","",'Marks Entry'!T21)</f>
        <v>60</v>
      </c>
      <c r="AD21" s="515">
        <f t="shared" si="3"/>
        <v>85</v>
      </c>
      <c r="AE21" s="68">
        <f>IF('Marks Entry'!U21="","",'Marks Entry'!U21)</f>
        <v>85</v>
      </c>
      <c r="AF21" s="96">
        <f t="shared" si="4"/>
        <v>170</v>
      </c>
      <c r="AG21" s="65">
        <f t="shared" si="5"/>
        <v>0</v>
      </c>
      <c r="AH21" s="65">
        <f t="shared" si="6"/>
        <v>0</v>
      </c>
      <c r="AI21" s="66">
        <f t="shared" si="7"/>
        <v>200</v>
      </c>
      <c r="AJ21" s="65" t="str">
        <f t="shared" si="8"/>
        <v/>
      </c>
      <c r="AK21" s="65" t="str">
        <f t="shared" si="9"/>
        <v>P</v>
      </c>
      <c r="AL21" s="65" t="str">
        <f t="shared" si="10"/>
        <v>D</v>
      </c>
      <c r="AM21" s="524" t="str">
        <f>IF('Marks Entry'!V21="","",IF('Marks Entry'!V21=1,'School Profile'!$I$9,IF('Marks Entry'!V21=2,'School Profile'!$I$10,IF('Marks Entry'!V21=3,'School Profile'!$I$11,IF('Marks Entry'!V21=4,'School Profile'!$I$12,IF('Marks Entry'!V21=5,'School Profile'!$I$13,IF('Marks Entry'!V21=6,'School Profile'!$I$14,"")))))))</f>
        <v xml:space="preserve">सिंधी (74) </v>
      </c>
      <c r="AN21" s="68">
        <f>IF('Marks Entry'!W21="","",'Marks Entry'!W21)</f>
        <v>8</v>
      </c>
      <c r="AO21" s="68">
        <f>IF('Marks Entry'!X21="","",'Marks Entry'!X21)</f>
        <v>9</v>
      </c>
      <c r="AP21" s="68">
        <f>IF('Marks Entry'!Y21="","",'Marks Entry'!Y21)</f>
        <v>8</v>
      </c>
      <c r="AQ21" s="514">
        <f t="shared" si="11"/>
        <v>25</v>
      </c>
      <c r="AR21" s="68">
        <f>IF('Marks Entry'!Z21="","",'Marks Entry'!Z21)</f>
        <v>46</v>
      </c>
      <c r="AS21" s="515">
        <f t="shared" si="12"/>
        <v>71</v>
      </c>
      <c r="AT21" s="68">
        <f>IF('Marks Entry'!AA21="","",'Marks Entry'!AA21)</f>
        <v>45</v>
      </c>
      <c r="AU21" s="96">
        <f t="shared" si="13"/>
        <v>116</v>
      </c>
      <c r="AV21" s="65">
        <f t="shared" si="14"/>
        <v>0</v>
      </c>
      <c r="AW21" s="65">
        <f t="shared" si="15"/>
        <v>0</v>
      </c>
      <c r="AX21" s="66">
        <f t="shared" si="16"/>
        <v>200</v>
      </c>
      <c r="AY21" s="65" t="str">
        <f t="shared" si="17"/>
        <v/>
      </c>
      <c r="AZ21" s="65" t="str">
        <f t="shared" si="18"/>
        <v>P</v>
      </c>
      <c r="BA21" s="65" t="str">
        <f t="shared" si="19"/>
        <v>II</v>
      </c>
      <c r="BB21" s="68">
        <f>IF('Marks Entry'!AB21="","",'Marks Entry'!AB21)</f>
        <v>8</v>
      </c>
      <c r="BC21" s="68">
        <f>IF('Marks Entry'!AC21="","",'Marks Entry'!AC21)</f>
        <v>9</v>
      </c>
      <c r="BD21" s="68">
        <f>IF('Marks Entry'!AD21="","",'Marks Entry'!AD21)</f>
        <v>8</v>
      </c>
      <c r="BE21" s="514">
        <f t="shared" si="20"/>
        <v>25</v>
      </c>
      <c r="BF21" s="68">
        <f>IF('Marks Entry'!AE21="","",'Marks Entry'!AE21)</f>
        <v>20</v>
      </c>
      <c r="BG21" s="515">
        <f t="shared" si="21"/>
        <v>45</v>
      </c>
      <c r="BH21" s="68">
        <f>IF('Marks Entry'!AF21="","",'Marks Entry'!AF21)</f>
        <v>30</v>
      </c>
      <c r="BI21" s="96">
        <f t="shared" si="22"/>
        <v>75</v>
      </c>
      <c r="BJ21" s="65">
        <f t="shared" si="23"/>
        <v>0</v>
      </c>
      <c r="BK21" s="65">
        <f t="shared" si="92"/>
        <v>0</v>
      </c>
      <c r="BL21" s="66">
        <f t="shared" si="24"/>
        <v>200</v>
      </c>
      <c r="BM21" s="65" t="str">
        <f t="shared" si="25"/>
        <v/>
      </c>
      <c r="BN21" s="65" t="str">
        <f t="shared" si="26"/>
        <v>P</v>
      </c>
      <c r="BO21" s="65" t="str">
        <f t="shared" si="27"/>
        <v>III</v>
      </c>
      <c r="BP21" s="68">
        <f>IF('Marks Entry'!AG21="","",'Marks Entry'!AG21)</f>
        <v>8</v>
      </c>
      <c r="BQ21" s="68">
        <f>IF('Marks Entry'!AH21="","",'Marks Entry'!AH21)</f>
        <v>9</v>
      </c>
      <c r="BR21" s="68">
        <f>IF('Marks Entry'!AI21="","",'Marks Entry'!AI21)</f>
        <v>7</v>
      </c>
      <c r="BS21" s="514">
        <f t="shared" si="28"/>
        <v>24</v>
      </c>
      <c r="BT21" s="68">
        <f>IF('Marks Entry'!AJ21="","",'Marks Entry'!AJ21)</f>
        <v>46</v>
      </c>
      <c r="BU21" s="515">
        <f t="shared" si="29"/>
        <v>70</v>
      </c>
      <c r="BV21" s="68">
        <f>IF('Marks Entry'!AK21="","",'Marks Entry'!AK21)</f>
        <v>45</v>
      </c>
      <c r="BW21" s="96">
        <f t="shared" si="30"/>
        <v>115</v>
      </c>
      <c r="BX21" s="65">
        <f t="shared" si="31"/>
        <v>0</v>
      </c>
      <c r="BY21" s="65">
        <f t="shared" si="32"/>
        <v>0</v>
      </c>
      <c r="BZ21" s="66">
        <f t="shared" si="33"/>
        <v>200</v>
      </c>
      <c r="CA21" s="65" t="str">
        <f t="shared" si="34"/>
        <v/>
      </c>
      <c r="CB21" s="65" t="str">
        <f t="shared" si="35"/>
        <v>P</v>
      </c>
      <c r="CC21" s="65" t="str">
        <f t="shared" si="36"/>
        <v>II</v>
      </c>
      <c r="CD21" s="66">
        <f t="shared" si="93"/>
        <v>0</v>
      </c>
      <c r="CE21" s="68">
        <f>IF('Marks Entry'!AL21="","",'Marks Entry'!AL21)</f>
        <v>8</v>
      </c>
      <c r="CF21" s="68">
        <f>IF('Marks Entry'!AM21="","",'Marks Entry'!AM21)</f>
        <v>8</v>
      </c>
      <c r="CG21" s="68">
        <f>IF('Marks Entry'!AN21="","",'Marks Entry'!AN21)</f>
        <v>8</v>
      </c>
      <c r="CH21" s="514">
        <f t="shared" si="37"/>
        <v>24</v>
      </c>
      <c r="CI21" s="68">
        <f>IF('Marks Entry'!AO21="","",'Marks Entry'!AO21)</f>
        <v>46</v>
      </c>
      <c r="CJ21" s="515">
        <f t="shared" si="38"/>
        <v>70</v>
      </c>
      <c r="CK21" s="68">
        <f>IF('Marks Entry'!AP21="","",'Marks Entry'!AP21)</f>
        <v>45</v>
      </c>
      <c r="CL21" s="96">
        <f t="shared" si="39"/>
        <v>115</v>
      </c>
      <c r="CM21" s="65">
        <f t="shared" si="40"/>
        <v>0</v>
      </c>
      <c r="CN21" s="65">
        <f t="shared" si="41"/>
        <v>0</v>
      </c>
      <c r="CO21" s="66">
        <f t="shared" si="42"/>
        <v>200</v>
      </c>
      <c r="CP21" s="65" t="str">
        <f t="shared" si="43"/>
        <v/>
      </c>
      <c r="CQ21" s="65" t="str">
        <f t="shared" si="44"/>
        <v>P</v>
      </c>
      <c r="CR21" s="65" t="str">
        <f t="shared" si="45"/>
        <v>II</v>
      </c>
      <c r="CS21" s="616"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8" t="str">
        <f>IF('School Profile'!$D$20="NO","",IF('Marks Entry'!AR21="","",'Marks Entry'!AR21))</f>
        <v/>
      </c>
      <c r="CU21" s="68" t="str">
        <f>IF('School Profile'!$D$20="NO","",IF('Marks Entry'!AS21="","",'Marks Entry'!AS21))</f>
        <v/>
      </c>
      <c r="CV21" s="68" t="str">
        <f>IF('School Profile'!$D$20="NO","",IF('Marks Entry'!AT21="","",'Marks Entry'!AT21))</f>
        <v/>
      </c>
      <c r="CW21" s="514" t="str">
        <f>IF('School Profile'!$D$20="NO","",IF(AND(CT21="",CU21="",CV21=""),"",SUM(CT21:CV21)))</f>
        <v/>
      </c>
      <c r="CX21" s="68" t="str">
        <f>IF('School Profile'!$D$20="NO","",IF('Marks Entry'!AU21="","",'Marks Entry'!AU21))</f>
        <v/>
      </c>
      <c r="CY21" s="68" t="str">
        <f>IF('School Profile'!$D$20="NO","",IF('Marks Entry'!AV21="","",'Marks Entry'!AV21))</f>
        <v/>
      </c>
      <c r="CZ21" s="515" t="str">
        <f>IF('School Profile'!$D$20="NO","",IF(AND(CX21="",CY21=""),"",SUM(CX21,CY21)))</f>
        <v/>
      </c>
      <c r="DA21" s="69" t="str">
        <f>IF('School Profile'!$D$20="NO","",IF(AND(CW21="",CZ21=""),"",SUM(CW21+CZ21)))</f>
        <v/>
      </c>
      <c r="DB21" s="68" t="str">
        <f>IF('School Profile'!$D$20="NO","",IF('Marks Entry'!AW21="","",'Marks Entry'!AW21))</f>
        <v/>
      </c>
      <c r="DC21" s="68" t="str">
        <f>IF('School Profile'!$D$20="NO","",IF('Marks Entry'!AX21="","",'Marks Entry'!AX21))</f>
        <v/>
      </c>
      <c r="DD21" s="515" t="str">
        <f>IF('School Profile'!$D$20="NO","",IF(AND(DB21="",DC21=""),"",SUM(DB21,DC21)))</f>
        <v/>
      </c>
      <c r="DE21" s="96" t="str">
        <f>IF('School Profile'!$D$20="NO","",IF(AND(DA21="",DD21=""),"",SUM(DA21,DD21)))</f>
        <v/>
      </c>
      <c r="DF21" s="532">
        <f t="shared" si="46"/>
        <v>0</v>
      </c>
      <c r="DG21" s="65">
        <f t="shared" si="47"/>
        <v>0</v>
      </c>
      <c r="DH21" s="66" t="str">
        <f t="shared" si="48"/>
        <v/>
      </c>
      <c r="DI21" s="65" t="str">
        <f t="shared" si="49"/>
        <v/>
      </c>
      <c r="DJ21" s="65" t="str">
        <f t="shared" si="50"/>
        <v/>
      </c>
      <c r="DK21" s="65" t="str">
        <f t="shared" si="51"/>
        <v/>
      </c>
      <c r="DL21" s="97" t="str">
        <f t="shared" si="94"/>
        <v>II</v>
      </c>
      <c r="DM21" s="97" t="str">
        <f t="shared" si="95"/>
        <v>D</v>
      </c>
      <c r="DN21" s="97" t="str">
        <f t="shared" si="96"/>
        <v>II</v>
      </c>
      <c r="DO21" s="97" t="str">
        <f t="shared" si="97"/>
        <v>III</v>
      </c>
      <c r="DP21" s="97" t="str">
        <f t="shared" si="98"/>
        <v>II</v>
      </c>
      <c r="DQ21" s="97" t="str">
        <f t="shared" si="99"/>
        <v>II</v>
      </c>
      <c r="DR21" s="97" t="str">
        <f t="shared" si="100"/>
        <v/>
      </c>
      <c r="DS21" s="98">
        <f t="shared" si="101"/>
        <v>0</v>
      </c>
      <c r="DT21" s="98">
        <f t="shared" si="102"/>
        <v>0</v>
      </c>
      <c r="DU21" s="98">
        <f t="shared" si="103"/>
        <v>0</v>
      </c>
      <c r="DV21" s="98">
        <f t="shared" si="104"/>
        <v>0</v>
      </c>
      <c r="DW21" s="98">
        <f t="shared" si="105"/>
        <v>0</v>
      </c>
      <c r="DX21" s="98" t="str">
        <f t="shared" si="106"/>
        <v/>
      </c>
      <c r="DY21" s="99" t="str">
        <f t="shared" si="107"/>
        <v>PASS</v>
      </c>
      <c r="DZ21" s="74">
        <f>IF('Marks Entry'!AY21="","",'Marks Entry'!AY21)</f>
        <v>9</v>
      </c>
      <c r="EA21" s="74">
        <f>IF('Marks Entry'!AZ21="","",'Marks Entry'!AZ21)</f>
        <v>9</v>
      </c>
      <c r="EB21" s="74">
        <f>IF('Marks Entry'!BA21="","",'Marks Entry'!BA21)</f>
        <v>9</v>
      </c>
      <c r="EC21" s="527">
        <f t="shared" si="52"/>
        <v>27</v>
      </c>
      <c r="ED21" s="74">
        <f>IF('Marks Entry'!BB21="","",'Marks Entry'!BB21)</f>
        <v>66</v>
      </c>
      <c r="EE21" s="528">
        <f t="shared" si="53"/>
        <v>93</v>
      </c>
      <c r="EF21" s="74">
        <f>IF('Marks Entry'!BC21="","",'Marks Entry'!BC21)</f>
        <v>91</v>
      </c>
      <c r="EG21" s="530">
        <f t="shared" si="54"/>
        <v>184</v>
      </c>
      <c r="EH21" s="368" t="str">
        <f t="shared" si="108"/>
        <v>A</v>
      </c>
      <c r="EI21" s="65">
        <f t="shared" si="109"/>
        <v>0</v>
      </c>
      <c r="EJ21" s="65">
        <f t="shared" si="110"/>
        <v>0</v>
      </c>
      <c r="EK21" s="66">
        <f t="shared" si="111"/>
        <v>200</v>
      </c>
      <c r="EL21" s="74">
        <f>IF('Marks Entry'!BD21="","",'Marks Entry'!BD21)</f>
        <v>8</v>
      </c>
      <c r="EM21" s="74">
        <f>IF('Marks Entry'!BE21="","",'Marks Entry'!BE21)</f>
        <v>8</v>
      </c>
      <c r="EN21" s="74">
        <f>IF('Marks Entry'!BF21="","",'Marks Entry'!BF21)</f>
        <v>8</v>
      </c>
      <c r="EO21" s="527">
        <f t="shared" si="55"/>
        <v>24</v>
      </c>
      <c r="EP21" s="74">
        <f>IF('Marks Entry'!BG21="","",'Marks Entry'!BG21)</f>
        <v>36</v>
      </c>
      <c r="EQ21" s="74">
        <f>IF('Marks Entry'!BH21="","",'Marks Entry'!BH21)</f>
        <v>20</v>
      </c>
      <c r="ER21" s="528">
        <f t="shared" si="56"/>
        <v>56</v>
      </c>
      <c r="ES21" s="529">
        <f t="shared" si="57"/>
        <v>80</v>
      </c>
      <c r="ET21" s="74">
        <f>IF('Marks Entry'!BI21="","",'Marks Entry'!BI21)</f>
        <v>57</v>
      </c>
      <c r="EU21" s="74">
        <f>IF('Marks Entry'!BJ21="","",'Marks Entry'!BJ21)</f>
        <v>27</v>
      </c>
      <c r="EV21" s="528">
        <f t="shared" si="58"/>
        <v>84</v>
      </c>
      <c r="EW21" s="530">
        <f t="shared" si="59"/>
        <v>164</v>
      </c>
      <c r="EX21" s="368" t="str">
        <f t="shared" si="112"/>
        <v>A</v>
      </c>
      <c r="EY21" s="65">
        <f t="shared" si="113"/>
        <v>0</v>
      </c>
      <c r="EZ21" s="65">
        <f t="shared" si="114"/>
        <v>0</v>
      </c>
      <c r="FA21" s="66">
        <f t="shared" si="115"/>
        <v>200</v>
      </c>
      <c r="FB21" s="74">
        <f>IF('Marks Entry'!BK21="","",'Marks Entry'!BK21)</f>
        <v>9</v>
      </c>
      <c r="FC21" s="74">
        <f>IF('Marks Entry'!BL21="","",'Marks Entry'!BL21)</f>
        <v>7</v>
      </c>
      <c r="FD21" s="74">
        <f>IF('Marks Entry'!BM21="","",'Marks Entry'!BM21)</f>
        <v>9</v>
      </c>
      <c r="FE21" s="74">
        <f>IF('Marks Entry'!BN21="","",'Marks Entry'!BN21)</f>
        <v>6</v>
      </c>
      <c r="FF21" s="74">
        <f>IF('Marks Entry'!BO21="","",'Marks Entry'!BO21)</f>
        <v>9</v>
      </c>
      <c r="FG21" s="74">
        <f>IF('Marks Entry'!BP21="","",'Marks Entry'!BP21)</f>
        <v>14</v>
      </c>
      <c r="FH21" s="527">
        <f t="shared" si="60"/>
        <v>54</v>
      </c>
      <c r="FI21" s="74">
        <f>IF('Marks Entry'!BQ21="","",'Marks Entry'!BQ21)</f>
        <v>21</v>
      </c>
      <c r="FJ21" s="74">
        <f>IF('Marks Entry'!BR21="","",'Marks Entry'!BR21)</f>
        <v>10</v>
      </c>
      <c r="FK21" s="528">
        <f t="shared" si="61"/>
        <v>31</v>
      </c>
      <c r="FL21" s="529">
        <f t="shared" si="62"/>
        <v>85</v>
      </c>
      <c r="FM21" s="74">
        <f>IF('Marks Entry'!BS21="","",'Marks Entry'!BS21)</f>
        <v>25</v>
      </c>
      <c r="FN21" s="74">
        <f>IF('Marks Entry'!BT21="","",'Marks Entry'!BT21)</f>
        <v>28</v>
      </c>
      <c r="FO21" s="528">
        <f t="shared" si="63"/>
        <v>53</v>
      </c>
      <c r="FP21" s="530">
        <f t="shared" si="64"/>
        <v>138</v>
      </c>
      <c r="FQ21" s="368" t="str">
        <f t="shared" si="116"/>
        <v>B</v>
      </c>
      <c r="FR21" s="65">
        <f t="shared" si="117"/>
        <v>0</v>
      </c>
      <c r="FS21" s="65">
        <f t="shared" si="118"/>
        <v>0</v>
      </c>
      <c r="FT21" s="66">
        <f t="shared" si="119"/>
        <v>200</v>
      </c>
      <c r="FU21" s="74">
        <f>IF('Marks Entry'!BU21="","",'Marks Entry'!BU21)</f>
        <v>20</v>
      </c>
      <c r="FV21" s="74">
        <f>IF('Marks Entry'!BV21="","",'Marks Entry'!BV21)</f>
        <v>40</v>
      </c>
      <c r="FW21" s="74">
        <f>IF('Marks Entry'!BW21="","",'Marks Entry'!BW21)</f>
        <v>20</v>
      </c>
      <c r="FX21" s="75">
        <f t="shared" si="65"/>
        <v>80</v>
      </c>
      <c r="FY21" s="368" t="str">
        <f t="shared" si="120"/>
        <v>B</v>
      </c>
      <c r="FZ21" s="65">
        <f t="shared" si="121"/>
        <v>0</v>
      </c>
      <c r="GA21" s="66">
        <f t="shared" si="122"/>
        <v>0</v>
      </c>
      <c r="GB21" s="66">
        <f t="shared" si="123"/>
        <v>100</v>
      </c>
      <c r="GC21" s="74">
        <f>IF('Marks Entry'!BX21="","",'Marks Entry'!BX21)</f>
        <v>20</v>
      </c>
      <c r="GD21" s="74">
        <f>IF('Marks Entry'!BY21="","",'Marks Entry'!BY21)</f>
        <v>38</v>
      </c>
      <c r="GE21" s="74">
        <f>IF('Marks Entry'!BZ21="","",'Marks Entry'!BZ21)</f>
        <v>10</v>
      </c>
      <c r="GF21" s="75">
        <f t="shared" si="124"/>
        <v>68</v>
      </c>
      <c r="GG21" s="368" t="str">
        <f t="shared" si="125"/>
        <v>B</v>
      </c>
      <c r="GH21" s="65">
        <f t="shared" si="126"/>
        <v>0</v>
      </c>
      <c r="GI21" s="66">
        <f t="shared" si="127"/>
        <v>0</v>
      </c>
      <c r="GJ21" s="66">
        <f t="shared" si="128"/>
        <v>100</v>
      </c>
      <c r="GK21" s="100" t="str">
        <f>IF(AND(F21="",B21=""),"",IF('Student DATA Entry'!M18="","",'Student DATA Entry'!M18))</f>
        <v/>
      </c>
      <c r="GL21" s="101" t="str">
        <f>IF(AND(B21="",F21=""),"",IF('Student DATA Entry'!N18="","",'Student DATA Entry'!N18))</f>
        <v/>
      </c>
      <c r="GM21" s="581" t="str">
        <f t="shared" si="129"/>
        <v/>
      </c>
      <c r="GN21" s="94" t="str">
        <f t="shared" si="130"/>
        <v>II</v>
      </c>
      <c r="GO21" s="94" t="str">
        <f t="shared" si="131"/>
        <v/>
      </c>
      <c r="GP21" s="102" t="str">
        <f t="shared" si="67"/>
        <v/>
      </c>
      <c r="GQ21" s="94" t="str">
        <f t="shared" si="132"/>
        <v>D</v>
      </c>
      <c r="GR21" s="103" t="str">
        <f t="shared" si="133"/>
        <v/>
      </c>
      <c r="GS21" s="102" t="str">
        <f t="shared" si="68"/>
        <v/>
      </c>
      <c r="GT21" s="104" t="str">
        <f t="shared" si="134"/>
        <v>II</v>
      </c>
      <c r="GU21" s="94" t="str">
        <f>IF('Marks Entry'!V21=1,GT21,"")</f>
        <v/>
      </c>
      <c r="GV21" s="94" t="str">
        <f>IF('Marks Entry'!V21=2,GT21,"")</f>
        <v/>
      </c>
      <c r="GW21" s="94" t="str">
        <f>IF('Marks Entry'!V21=3,GT21,"")</f>
        <v/>
      </c>
      <c r="GX21" s="94" t="str">
        <f>IF('Marks Entry'!V21=4,GT21,"")</f>
        <v>II</v>
      </c>
      <c r="GY21" s="94" t="str">
        <f>IF('Marks Entry'!V21=5,GT21,"")</f>
        <v/>
      </c>
      <c r="GZ21" s="94" t="str">
        <f t="shared" si="135"/>
        <v/>
      </c>
      <c r="HA21" s="105" t="str">
        <f t="shared" si="69"/>
        <v/>
      </c>
      <c r="HB21" s="94" t="str">
        <f t="shared" si="136"/>
        <v>III</v>
      </c>
      <c r="HC21" s="94" t="str">
        <f t="shared" si="137"/>
        <v/>
      </c>
      <c r="HD21" s="105" t="str">
        <f t="shared" si="70"/>
        <v/>
      </c>
      <c r="HE21" s="94" t="str">
        <f t="shared" si="138"/>
        <v>II</v>
      </c>
      <c r="HF21" s="94" t="str">
        <f t="shared" si="139"/>
        <v/>
      </c>
      <c r="HG21" s="105" t="str">
        <f t="shared" si="71"/>
        <v/>
      </c>
      <c r="HH21" s="94" t="str">
        <f t="shared" si="140"/>
        <v>II</v>
      </c>
      <c r="HI21" s="94" t="str">
        <f t="shared" si="141"/>
        <v/>
      </c>
      <c r="HJ21" s="105" t="str">
        <f t="shared" si="72"/>
        <v/>
      </c>
      <c r="HK21" s="94" t="str">
        <f t="shared" si="142"/>
        <v/>
      </c>
      <c r="HL21" s="94" t="str">
        <f t="shared" si="143"/>
        <v/>
      </c>
      <c r="HM21" s="105" t="str">
        <f t="shared" si="73"/>
        <v/>
      </c>
      <c r="HN21" s="367" t="str">
        <f t="shared" si="144"/>
        <v xml:space="preserve">      </v>
      </c>
      <c r="HO21" s="418" t="str">
        <f t="shared" si="145"/>
        <v xml:space="preserve">      </v>
      </c>
      <c r="HP21" s="367" t="str">
        <f t="shared" si="146"/>
        <v xml:space="preserve">      </v>
      </c>
      <c r="HQ21" s="107" t="str">
        <f t="shared" si="147"/>
        <v xml:space="preserve">      </v>
      </c>
      <c r="HR21" s="366" t="str">
        <f t="shared" si="148"/>
        <v xml:space="preserve"> अंग्रेजी     </v>
      </c>
      <c r="HS21" s="544" t="str">
        <f t="shared" si="74"/>
        <v>PASS</v>
      </c>
      <c r="HT21" s="542">
        <f t="shared" si="149"/>
        <v>687</v>
      </c>
      <c r="HU21" s="541">
        <f t="shared" si="160"/>
        <v>57.25</v>
      </c>
      <c r="HV21" s="540" t="str">
        <f t="shared" si="150"/>
        <v>2nd</v>
      </c>
      <c r="HW21" s="537">
        <f t="shared" si="151"/>
        <v>57.25</v>
      </c>
      <c r="HX21" s="539">
        <f t="shared" si="152"/>
        <v>16.000000000000075</v>
      </c>
      <c r="HY21" s="553" t="str">
        <f>IFERROR(IF(OR(HS21="SUPPLEMENTARY",HS21="RE-EXAM"),'Supp. Result Entry'!AQ19,""),"")</f>
        <v/>
      </c>
      <c r="HZ21" s="538" t="str">
        <f t="shared" si="153"/>
        <v/>
      </c>
      <c r="IA21" s="415" t="str">
        <f t="shared" si="154"/>
        <v/>
      </c>
      <c r="IB21" s="415" t="str">
        <f>IF(AND(HZ21="",IA21=""),"",IF(OR(HS21="SUPPLEMENTARY",HS21="RE-EXAM"),'Supp. Result Entry'!AQ19,HS21))</f>
        <v/>
      </c>
      <c r="IC21" s="87"/>
      <c r="IS21" s="109" t="str">
        <f>IF('Supp. Result Entry'!T19="","",'Supp. Result Entry'!$T$4)</f>
        <v/>
      </c>
      <c r="IT21" s="110" t="str">
        <f>IF('Supp. Result Entry'!W19="","",'Supp. Result Entry'!$W$4)</f>
        <v/>
      </c>
      <c r="IU21" s="110" t="str">
        <f>IF('Supp. Result Entry'!Z19="","",'Supp. Result Entry'!$Z$4)</f>
        <v/>
      </c>
      <c r="IV21" s="110" t="str">
        <f>IF('Supp. Result Entry'!AC19="","",'Supp. Result Entry'!$AC$4)</f>
        <v/>
      </c>
      <c r="IW21" s="110" t="str">
        <f>IF('Supp. Result Entry'!AF19="","",'Supp. Result Entry'!$AF$4)</f>
        <v/>
      </c>
      <c r="IX21" s="110" t="str">
        <f>IF('Supp. Result Entry'!AI19="","",'Supp. Result Entry'!$AI$4)</f>
        <v/>
      </c>
      <c r="IY21" s="110" t="str">
        <f>IF('Supp. Result Entry'!AI19="","",'Supp. Result Entry'!$AL$4)</f>
        <v/>
      </c>
      <c r="IZ21" s="110" t="str">
        <f>IF('Supp. Result Entry'!U19="","",'Supp. Result Entry'!U19)</f>
        <v/>
      </c>
      <c r="JA21" s="110" t="str">
        <f>IF('Supp. Result Entry'!X19="","",'Supp. Result Entry'!X19)</f>
        <v/>
      </c>
      <c r="JB21" s="110" t="str">
        <f>IF('Supp. Result Entry'!AA19="","",'Supp. Result Entry'!AA19)</f>
        <v/>
      </c>
      <c r="JC21" s="110" t="str">
        <f>IF('Supp. Result Entry'!AD19="","",'Supp. Result Entry'!AD19)</f>
        <v/>
      </c>
      <c r="JD21" s="110" t="str">
        <f>IF('Supp. Result Entry'!AG19="","",'Supp. Result Entry'!AG19)</f>
        <v/>
      </c>
      <c r="JE21" s="110" t="str">
        <f>IF('Supp. Result Entry'!AJ19="","",'Supp. Result Entry'!AJ19)</f>
        <v/>
      </c>
      <c r="JF21" s="110" t="str">
        <f>IF('Supp. Result Entry'!AM19="","",'Supp. Result Entry'!AM19)</f>
        <v/>
      </c>
      <c r="JG21" s="110" t="str">
        <f>IF('Supp. Result Entry'!V19="","",'Supp. Result Entry'!V19)</f>
        <v/>
      </c>
      <c r="JH21" s="110" t="str">
        <f>IF('Supp. Result Entry'!Y19="","",'Supp. Result Entry'!Y19)</f>
        <v/>
      </c>
      <c r="JI21" s="110" t="str">
        <f>IF('Supp. Result Entry'!AB19="","",'Supp. Result Entry'!AB19)</f>
        <v/>
      </c>
      <c r="JJ21" s="110" t="str">
        <f>IF('Supp. Result Entry'!AE19="","",'Supp. Result Entry'!AE19)</f>
        <v/>
      </c>
      <c r="JK21" s="110" t="str">
        <f>IF('Supp. Result Entry'!AH19="","",'Supp. Result Entry'!AH19)</f>
        <v/>
      </c>
      <c r="JL21" s="110" t="str">
        <f>IF('Supp. Result Entry'!AK19="","",'Supp. Result Entry'!AK19)</f>
        <v/>
      </c>
      <c r="JM21" s="110" t="str">
        <f>IF('Supp. Result Entry'!AN19="","",'Supp. Result Entry'!AN19)</f>
        <v/>
      </c>
      <c r="JN21" s="110">
        <f>COUNTIF('Supp. Result Entry'!K19:Q19,"S")</f>
        <v>0</v>
      </c>
      <c r="JO21" s="110">
        <f t="shared" si="155"/>
        <v>0</v>
      </c>
      <c r="JP21" s="110">
        <f t="shared" si="156"/>
        <v>0</v>
      </c>
      <c r="JQ21" s="110" t="str">
        <f t="shared" si="75"/>
        <v/>
      </c>
      <c r="JR21" s="110" t="str">
        <f t="shared" si="76"/>
        <v/>
      </c>
      <c r="JS21" s="110" t="str">
        <f t="shared" si="77"/>
        <v/>
      </c>
      <c r="JT21" s="110" t="str">
        <f t="shared" si="78"/>
        <v/>
      </c>
      <c r="JU21" s="110" t="str">
        <f t="shared" si="79"/>
        <v/>
      </c>
      <c r="JV21" s="110" t="str">
        <f t="shared" si="80"/>
        <v/>
      </c>
      <c r="JW21" s="110" t="str">
        <f t="shared" si="81"/>
        <v/>
      </c>
      <c r="JX21" s="110" t="str">
        <f t="shared" si="157"/>
        <v/>
      </c>
      <c r="JY21" s="110" t="str">
        <f t="shared" si="158"/>
        <v/>
      </c>
      <c r="JZ21" s="110" t="str">
        <f t="shared" si="82"/>
        <v/>
      </c>
      <c r="KA21" s="108" t="str">
        <f t="shared" si="159"/>
        <v/>
      </c>
    </row>
    <row r="22" spans="1:287" s="108" customFormat="1" ht="21.95" customHeight="1">
      <c r="A22" s="89">
        <v>16</v>
      </c>
      <c r="B22" s="90">
        <f>IF('Marks Entry'!B22="","",'Marks Entry'!B22)</f>
        <v>916</v>
      </c>
      <c r="C22" s="94" t="str">
        <f>IF('Marks Entry'!D22="","",'Marks Entry'!D22)</f>
        <v>A</v>
      </c>
      <c r="D22" s="91" t="str">
        <f>IF('Marks Entry'!E22="","",'Marks Entry'!E22)</f>
        <v/>
      </c>
      <c r="E22" s="92" t="str">
        <f>IF('Marks Entry'!F22="","",'Marks Entry'!F22)</f>
        <v/>
      </c>
      <c r="F22" s="93" t="str">
        <f>IF('Marks Entry'!G22="","",'Marks Entry'!G22)</f>
        <v>KARIM</v>
      </c>
      <c r="G22" s="93" t="str">
        <f>IF('Marks Entry'!H22="","",'Marks Entry'!H22)</f>
        <v/>
      </c>
      <c r="H22" s="93" t="str">
        <f>IF('Marks Entry'!I22="","",'Marks Entry'!I22)</f>
        <v/>
      </c>
      <c r="I22" s="94" t="str">
        <f>IF('Marks Entry'!J22="","",'Marks Entry'!J22)</f>
        <v/>
      </c>
      <c r="J22" s="95" t="str">
        <f>IF('Marks Entry'!K22="","",'Marks Entry'!K22)</f>
        <v/>
      </c>
      <c r="K22" s="68">
        <f>IF('Marks Entry'!L22="","",'Marks Entry'!L22)</f>
        <v>8</v>
      </c>
      <c r="L22" s="68">
        <f>IF('Marks Entry'!M22="","",'Marks Entry'!M22)</f>
        <v>9</v>
      </c>
      <c r="M22" s="68">
        <f>IF('Marks Entry'!N22="","",'Marks Entry'!N22)</f>
        <v>8</v>
      </c>
      <c r="N22" s="514">
        <f t="shared" si="83"/>
        <v>25</v>
      </c>
      <c r="O22" s="68">
        <f>IF('Marks Entry'!O22="","",'Marks Entry'!O22)</f>
        <v>46</v>
      </c>
      <c r="P22" s="515">
        <f t="shared" si="84"/>
        <v>71</v>
      </c>
      <c r="Q22" s="68">
        <f>IF('Marks Entry'!P22="","",'Marks Entry'!P22)</f>
        <v>65</v>
      </c>
      <c r="R22" s="96">
        <f t="shared" si="85"/>
        <v>136</v>
      </c>
      <c r="S22" s="65">
        <f t="shared" si="86"/>
        <v>0</v>
      </c>
      <c r="T22" s="65">
        <f t="shared" si="87"/>
        <v>0</v>
      </c>
      <c r="U22" s="66">
        <f t="shared" si="88"/>
        <v>200</v>
      </c>
      <c r="V22" s="65" t="str">
        <f t="shared" si="89"/>
        <v/>
      </c>
      <c r="W22" s="65" t="str">
        <f t="shared" si="90"/>
        <v>P</v>
      </c>
      <c r="X22" s="65" t="str">
        <f t="shared" si="91"/>
        <v>I</v>
      </c>
      <c r="Y22" s="68">
        <f>IF('Marks Entry'!Q22="","",'Marks Entry'!Q22)</f>
        <v>8</v>
      </c>
      <c r="Z22" s="68">
        <f>IF('Marks Entry'!R22="","",'Marks Entry'!R22)</f>
        <v>9</v>
      </c>
      <c r="AA22" s="68">
        <f>IF('Marks Entry'!S22="","",'Marks Entry'!S22)</f>
        <v>8</v>
      </c>
      <c r="AB22" s="514">
        <f t="shared" si="2"/>
        <v>25</v>
      </c>
      <c r="AC22" s="68">
        <f>IF('Marks Entry'!T22="","",'Marks Entry'!T22)</f>
        <v>60</v>
      </c>
      <c r="AD22" s="515">
        <f t="shared" si="3"/>
        <v>85</v>
      </c>
      <c r="AE22" s="68">
        <f>IF('Marks Entry'!U22="","",'Marks Entry'!U22)</f>
        <v>85</v>
      </c>
      <c r="AF22" s="96">
        <f t="shared" si="4"/>
        <v>170</v>
      </c>
      <c r="AG22" s="65">
        <f t="shared" si="5"/>
        <v>0</v>
      </c>
      <c r="AH22" s="65">
        <f t="shared" si="6"/>
        <v>0</v>
      </c>
      <c r="AI22" s="66">
        <f t="shared" si="7"/>
        <v>200</v>
      </c>
      <c r="AJ22" s="65" t="str">
        <f t="shared" si="8"/>
        <v/>
      </c>
      <c r="AK22" s="65" t="str">
        <f t="shared" si="9"/>
        <v>P</v>
      </c>
      <c r="AL22" s="65" t="str">
        <f t="shared" si="10"/>
        <v>D</v>
      </c>
      <c r="AM22" s="524" t="str">
        <f>IF('Marks Entry'!V22="","",IF('Marks Entry'!V22=1,'School Profile'!$I$9,IF('Marks Entry'!V22=2,'School Profile'!$I$10,IF('Marks Entry'!V22=3,'School Profile'!$I$11,IF('Marks Entry'!V22=4,'School Profile'!$I$12,IF('Marks Entry'!V22=5,'School Profile'!$I$13,IF('Marks Entry'!V22=6,'School Profile'!$I$14,"")))))))</f>
        <v>पंजाबी (75)</v>
      </c>
      <c r="AN22" s="68">
        <f>IF('Marks Entry'!W22="","",'Marks Entry'!W22)</f>
        <v>8</v>
      </c>
      <c r="AO22" s="68">
        <f>IF('Marks Entry'!X22="","",'Marks Entry'!X22)</f>
        <v>9</v>
      </c>
      <c r="AP22" s="68">
        <f>IF('Marks Entry'!Y22="","",'Marks Entry'!Y22)</f>
        <v>8</v>
      </c>
      <c r="AQ22" s="514">
        <f t="shared" si="11"/>
        <v>25</v>
      </c>
      <c r="AR22" s="68">
        <f>IF('Marks Entry'!Z22="","",'Marks Entry'!Z22)</f>
        <v>46</v>
      </c>
      <c r="AS22" s="515">
        <f t="shared" si="12"/>
        <v>71</v>
      </c>
      <c r="AT22" s="68">
        <f>IF('Marks Entry'!AA22="","",'Marks Entry'!AA22)</f>
        <v>45</v>
      </c>
      <c r="AU22" s="96">
        <f t="shared" si="13"/>
        <v>116</v>
      </c>
      <c r="AV22" s="65">
        <f t="shared" si="14"/>
        <v>0</v>
      </c>
      <c r="AW22" s="65">
        <f t="shared" si="15"/>
        <v>0</v>
      </c>
      <c r="AX22" s="66">
        <f t="shared" si="16"/>
        <v>200</v>
      </c>
      <c r="AY22" s="65" t="str">
        <f t="shared" si="17"/>
        <v/>
      </c>
      <c r="AZ22" s="65" t="str">
        <f t="shared" si="18"/>
        <v>P</v>
      </c>
      <c r="BA22" s="65" t="str">
        <f t="shared" si="19"/>
        <v>II</v>
      </c>
      <c r="BB22" s="68">
        <f>IF('Marks Entry'!AB22="","",'Marks Entry'!AB22)</f>
        <v>8</v>
      </c>
      <c r="BC22" s="68">
        <f>IF('Marks Entry'!AC22="","",'Marks Entry'!AC22)</f>
        <v>9</v>
      </c>
      <c r="BD22" s="68">
        <f>IF('Marks Entry'!AD22="","",'Marks Entry'!AD22)</f>
        <v>8</v>
      </c>
      <c r="BE22" s="514">
        <f t="shared" si="20"/>
        <v>25</v>
      </c>
      <c r="BF22" s="68">
        <f>IF('Marks Entry'!AE22="","",'Marks Entry'!AE22)</f>
        <v>46</v>
      </c>
      <c r="BG22" s="515">
        <f t="shared" si="21"/>
        <v>71</v>
      </c>
      <c r="BH22" s="68">
        <f>IF('Marks Entry'!AF22="","",'Marks Entry'!AF22)</f>
        <v>45</v>
      </c>
      <c r="BI22" s="96">
        <f t="shared" si="22"/>
        <v>116</v>
      </c>
      <c r="BJ22" s="65">
        <f t="shared" si="23"/>
        <v>0</v>
      </c>
      <c r="BK22" s="65">
        <f t="shared" si="92"/>
        <v>0</v>
      </c>
      <c r="BL22" s="66">
        <f t="shared" si="24"/>
        <v>200</v>
      </c>
      <c r="BM22" s="65" t="str">
        <f t="shared" si="25"/>
        <v/>
      </c>
      <c r="BN22" s="65" t="str">
        <f t="shared" si="26"/>
        <v>P</v>
      </c>
      <c r="BO22" s="65" t="str">
        <f t="shared" si="27"/>
        <v>II</v>
      </c>
      <c r="BP22" s="68">
        <f>IF('Marks Entry'!AG22="","",'Marks Entry'!AG22)</f>
        <v>8</v>
      </c>
      <c r="BQ22" s="68">
        <f>IF('Marks Entry'!AH22="","",'Marks Entry'!AH22)</f>
        <v>9</v>
      </c>
      <c r="BR22" s="68">
        <f>IF('Marks Entry'!AI22="","",'Marks Entry'!AI22)</f>
        <v>7</v>
      </c>
      <c r="BS22" s="514">
        <f t="shared" si="28"/>
        <v>24</v>
      </c>
      <c r="BT22" s="68">
        <f>IF('Marks Entry'!AJ22="","",'Marks Entry'!AJ22)</f>
        <v>46</v>
      </c>
      <c r="BU22" s="515">
        <f t="shared" si="29"/>
        <v>70</v>
      </c>
      <c r="BV22" s="68">
        <f>IF('Marks Entry'!AK22="","",'Marks Entry'!AK22)</f>
        <v>45</v>
      </c>
      <c r="BW22" s="96">
        <f t="shared" si="30"/>
        <v>115</v>
      </c>
      <c r="BX22" s="65">
        <f t="shared" si="31"/>
        <v>0</v>
      </c>
      <c r="BY22" s="65">
        <f t="shared" si="32"/>
        <v>0</v>
      </c>
      <c r="BZ22" s="66">
        <f t="shared" si="33"/>
        <v>200</v>
      </c>
      <c r="CA22" s="65" t="str">
        <f t="shared" si="34"/>
        <v/>
      </c>
      <c r="CB22" s="65" t="str">
        <f t="shared" si="35"/>
        <v>P</v>
      </c>
      <c r="CC22" s="65" t="str">
        <f t="shared" si="36"/>
        <v>II</v>
      </c>
      <c r="CD22" s="66">
        <f t="shared" si="93"/>
        <v>0</v>
      </c>
      <c r="CE22" s="68">
        <f>IF('Marks Entry'!AL22="","",'Marks Entry'!AL22)</f>
        <v>8</v>
      </c>
      <c r="CF22" s="68">
        <f>IF('Marks Entry'!AM22="","",'Marks Entry'!AM22)</f>
        <v>8</v>
      </c>
      <c r="CG22" s="68">
        <f>IF('Marks Entry'!AN22="","",'Marks Entry'!AN22)</f>
        <v>8</v>
      </c>
      <c r="CH22" s="514">
        <f t="shared" si="37"/>
        <v>24</v>
      </c>
      <c r="CI22" s="68">
        <f>IF('Marks Entry'!AO22="","",'Marks Entry'!AO22)</f>
        <v>46</v>
      </c>
      <c r="CJ22" s="515">
        <f t="shared" si="38"/>
        <v>70</v>
      </c>
      <c r="CK22" s="68">
        <f>IF('Marks Entry'!AP22="","",'Marks Entry'!AP22)</f>
        <v>45</v>
      </c>
      <c r="CL22" s="96">
        <f t="shared" si="39"/>
        <v>115</v>
      </c>
      <c r="CM22" s="65">
        <f t="shared" si="40"/>
        <v>0</v>
      </c>
      <c r="CN22" s="65">
        <f t="shared" si="41"/>
        <v>0</v>
      </c>
      <c r="CO22" s="66">
        <f t="shared" si="42"/>
        <v>200</v>
      </c>
      <c r="CP22" s="65" t="str">
        <f t="shared" si="43"/>
        <v/>
      </c>
      <c r="CQ22" s="65" t="str">
        <f t="shared" si="44"/>
        <v>P</v>
      </c>
      <c r="CR22" s="65" t="str">
        <f t="shared" si="45"/>
        <v>II</v>
      </c>
      <c r="CS22" s="616"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8" t="str">
        <f>IF('School Profile'!$D$20="NO","",IF('Marks Entry'!AR22="","",'Marks Entry'!AR22))</f>
        <v/>
      </c>
      <c r="CU22" s="68" t="str">
        <f>IF('School Profile'!$D$20="NO","",IF('Marks Entry'!AS22="","",'Marks Entry'!AS22))</f>
        <v/>
      </c>
      <c r="CV22" s="68" t="str">
        <f>IF('School Profile'!$D$20="NO","",IF('Marks Entry'!AT22="","",'Marks Entry'!AT22))</f>
        <v/>
      </c>
      <c r="CW22" s="514" t="str">
        <f>IF('School Profile'!$D$20="NO","",IF(AND(CT22="",CU22="",CV22=""),"",SUM(CT22:CV22)))</f>
        <v/>
      </c>
      <c r="CX22" s="68" t="str">
        <f>IF('School Profile'!$D$20="NO","",IF('Marks Entry'!AU22="","",'Marks Entry'!AU22))</f>
        <v/>
      </c>
      <c r="CY22" s="68" t="str">
        <f>IF('School Profile'!$D$20="NO","",IF('Marks Entry'!AV22="","",'Marks Entry'!AV22))</f>
        <v/>
      </c>
      <c r="CZ22" s="515" t="str">
        <f>IF('School Profile'!$D$20="NO","",IF(AND(CX22="",CY22=""),"",SUM(CX22,CY22)))</f>
        <v/>
      </c>
      <c r="DA22" s="69" t="str">
        <f>IF('School Profile'!$D$20="NO","",IF(AND(CW22="",CZ22=""),"",SUM(CW22+CZ22)))</f>
        <v/>
      </c>
      <c r="DB22" s="68" t="str">
        <f>IF('School Profile'!$D$20="NO","",IF('Marks Entry'!AW22="","",'Marks Entry'!AW22))</f>
        <v/>
      </c>
      <c r="DC22" s="68" t="str">
        <f>IF('School Profile'!$D$20="NO","",IF('Marks Entry'!AX22="","",'Marks Entry'!AX22))</f>
        <v/>
      </c>
      <c r="DD22" s="515" t="str">
        <f>IF('School Profile'!$D$20="NO","",IF(AND(DB22="",DC22=""),"",SUM(DB22,DC22)))</f>
        <v/>
      </c>
      <c r="DE22" s="96" t="str">
        <f>IF('School Profile'!$D$20="NO","",IF(AND(DA22="",DD22=""),"",SUM(DA22,DD22)))</f>
        <v/>
      </c>
      <c r="DF22" s="532">
        <f t="shared" si="46"/>
        <v>0</v>
      </c>
      <c r="DG22" s="65">
        <f t="shared" si="47"/>
        <v>0</v>
      </c>
      <c r="DH22" s="66" t="str">
        <f t="shared" si="48"/>
        <v/>
      </c>
      <c r="DI22" s="65" t="str">
        <f t="shared" si="49"/>
        <v/>
      </c>
      <c r="DJ22" s="65" t="str">
        <f t="shared" si="50"/>
        <v/>
      </c>
      <c r="DK22" s="65" t="str">
        <f t="shared" si="51"/>
        <v/>
      </c>
      <c r="DL22" s="97" t="str">
        <f t="shared" si="94"/>
        <v>I</v>
      </c>
      <c r="DM22" s="97" t="str">
        <f t="shared" si="95"/>
        <v>D</v>
      </c>
      <c r="DN22" s="97" t="str">
        <f t="shared" si="96"/>
        <v>II</v>
      </c>
      <c r="DO22" s="97" t="str">
        <f t="shared" si="97"/>
        <v>II</v>
      </c>
      <c r="DP22" s="97" t="str">
        <f t="shared" si="98"/>
        <v>II</v>
      </c>
      <c r="DQ22" s="97" t="str">
        <f t="shared" si="99"/>
        <v>II</v>
      </c>
      <c r="DR22" s="97" t="str">
        <f t="shared" si="100"/>
        <v/>
      </c>
      <c r="DS22" s="98">
        <f t="shared" si="101"/>
        <v>0</v>
      </c>
      <c r="DT22" s="98">
        <f t="shared" si="102"/>
        <v>0</v>
      </c>
      <c r="DU22" s="98">
        <f t="shared" si="103"/>
        <v>0</v>
      </c>
      <c r="DV22" s="98">
        <f t="shared" si="104"/>
        <v>0</v>
      </c>
      <c r="DW22" s="98">
        <f t="shared" si="105"/>
        <v>0</v>
      </c>
      <c r="DX22" s="98" t="str">
        <f t="shared" si="106"/>
        <v/>
      </c>
      <c r="DY22" s="99" t="str">
        <f t="shared" si="107"/>
        <v>PASS</v>
      </c>
      <c r="DZ22" s="74" t="str">
        <f>IF('Marks Entry'!AY22="","",'Marks Entry'!AY22)</f>
        <v/>
      </c>
      <c r="EA22" s="74" t="str">
        <f>IF('Marks Entry'!AZ22="","",'Marks Entry'!AZ22)</f>
        <v/>
      </c>
      <c r="EB22" s="74" t="str">
        <f>IF('Marks Entry'!BA22="","",'Marks Entry'!BA22)</f>
        <v/>
      </c>
      <c r="EC22" s="527" t="str">
        <f t="shared" si="52"/>
        <v/>
      </c>
      <c r="ED22" s="74" t="str">
        <f>IF('Marks Entry'!BB22="","",'Marks Entry'!BB22)</f>
        <v/>
      </c>
      <c r="EE22" s="528" t="str">
        <f t="shared" si="53"/>
        <v/>
      </c>
      <c r="EF22" s="74" t="str">
        <f>IF('Marks Entry'!BC22="","",'Marks Entry'!BC22)</f>
        <v/>
      </c>
      <c r="EG22" s="530" t="str">
        <f t="shared" si="54"/>
        <v/>
      </c>
      <c r="EH22" s="368" t="str">
        <f t="shared" si="108"/>
        <v/>
      </c>
      <c r="EI22" s="65">
        <f t="shared" si="109"/>
        <v>0</v>
      </c>
      <c r="EJ22" s="65">
        <f t="shared" si="110"/>
        <v>0</v>
      </c>
      <c r="EK22" s="66" t="str">
        <f t="shared" si="111"/>
        <v/>
      </c>
      <c r="EL22" s="74" t="str">
        <f>IF('Marks Entry'!BD22="","",'Marks Entry'!BD22)</f>
        <v/>
      </c>
      <c r="EM22" s="74" t="str">
        <f>IF('Marks Entry'!BE22="","",'Marks Entry'!BE22)</f>
        <v/>
      </c>
      <c r="EN22" s="74" t="str">
        <f>IF('Marks Entry'!BF22="","",'Marks Entry'!BF22)</f>
        <v/>
      </c>
      <c r="EO22" s="527" t="str">
        <f t="shared" si="55"/>
        <v/>
      </c>
      <c r="EP22" s="74" t="str">
        <f>IF('Marks Entry'!BG22="","",'Marks Entry'!BG22)</f>
        <v/>
      </c>
      <c r="EQ22" s="74" t="str">
        <f>IF('Marks Entry'!BH22="","",'Marks Entry'!BH22)</f>
        <v/>
      </c>
      <c r="ER22" s="528" t="str">
        <f t="shared" si="56"/>
        <v/>
      </c>
      <c r="ES22" s="529" t="str">
        <f t="shared" si="57"/>
        <v/>
      </c>
      <c r="ET22" s="74" t="str">
        <f>IF('Marks Entry'!BI22="","",'Marks Entry'!BI22)</f>
        <v/>
      </c>
      <c r="EU22" s="74" t="str">
        <f>IF('Marks Entry'!BJ22="","",'Marks Entry'!BJ22)</f>
        <v/>
      </c>
      <c r="EV22" s="528" t="str">
        <f t="shared" si="58"/>
        <v/>
      </c>
      <c r="EW22" s="530" t="str">
        <f t="shared" si="59"/>
        <v/>
      </c>
      <c r="EX22" s="368" t="str">
        <f t="shared" si="112"/>
        <v/>
      </c>
      <c r="EY22" s="65">
        <f t="shared" si="113"/>
        <v>0</v>
      </c>
      <c r="EZ22" s="65">
        <f t="shared" si="114"/>
        <v>0</v>
      </c>
      <c r="FA22" s="66" t="str">
        <f t="shared" si="115"/>
        <v/>
      </c>
      <c r="FB22" s="74" t="str">
        <f>IF('Marks Entry'!BK22="","",'Marks Entry'!BK22)</f>
        <v/>
      </c>
      <c r="FC22" s="74" t="str">
        <f>IF('Marks Entry'!BL22="","",'Marks Entry'!BL22)</f>
        <v/>
      </c>
      <c r="FD22" s="74" t="str">
        <f>IF('Marks Entry'!BM22="","",'Marks Entry'!BM22)</f>
        <v/>
      </c>
      <c r="FE22" s="74" t="str">
        <f>IF('Marks Entry'!BN22="","",'Marks Entry'!BN22)</f>
        <v/>
      </c>
      <c r="FF22" s="74" t="str">
        <f>IF('Marks Entry'!BO22="","",'Marks Entry'!BO22)</f>
        <v/>
      </c>
      <c r="FG22" s="74" t="str">
        <f>IF('Marks Entry'!BP22="","",'Marks Entry'!BP22)</f>
        <v/>
      </c>
      <c r="FH22" s="527" t="str">
        <f t="shared" si="60"/>
        <v/>
      </c>
      <c r="FI22" s="74" t="str">
        <f>IF('Marks Entry'!BQ22="","",'Marks Entry'!BQ22)</f>
        <v/>
      </c>
      <c r="FJ22" s="74" t="str">
        <f>IF('Marks Entry'!BR22="","",'Marks Entry'!BR22)</f>
        <v/>
      </c>
      <c r="FK22" s="528" t="str">
        <f t="shared" si="61"/>
        <v/>
      </c>
      <c r="FL22" s="529" t="str">
        <f t="shared" si="62"/>
        <v/>
      </c>
      <c r="FM22" s="74" t="str">
        <f>IF('Marks Entry'!BS22="","",'Marks Entry'!BS22)</f>
        <v/>
      </c>
      <c r="FN22" s="74" t="str">
        <f>IF('Marks Entry'!BT22="","",'Marks Entry'!BT22)</f>
        <v/>
      </c>
      <c r="FO22" s="528" t="str">
        <f t="shared" si="63"/>
        <v/>
      </c>
      <c r="FP22" s="530" t="str">
        <f t="shared" si="64"/>
        <v/>
      </c>
      <c r="FQ22" s="368" t="str">
        <f t="shared" si="116"/>
        <v/>
      </c>
      <c r="FR22" s="65">
        <f t="shared" si="117"/>
        <v>0</v>
      </c>
      <c r="FS22" s="65">
        <f t="shared" si="118"/>
        <v>0</v>
      </c>
      <c r="FT22" s="66" t="str">
        <f t="shared" si="119"/>
        <v/>
      </c>
      <c r="FU22" s="74" t="str">
        <f>IF('Marks Entry'!BU22="","",'Marks Entry'!BU22)</f>
        <v/>
      </c>
      <c r="FV22" s="74" t="str">
        <f>IF('Marks Entry'!BV22="","",'Marks Entry'!BV22)</f>
        <v/>
      </c>
      <c r="FW22" s="74" t="str">
        <f>IF('Marks Entry'!BW22="","",'Marks Entry'!BW22)</f>
        <v/>
      </c>
      <c r="FX22" s="75" t="str">
        <f t="shared" si="65"/>
        <v/>
      </c>
      <c r="FY22" s="368" t="str">
        <f t="shared" si="120"/>
        <v/>
      </c>
      <c r="FZ22" s="65">
        <f t="shared" si="121"/>
        <v>0</v>
      </c>
      <c r="GA22" s="66">
        <f t="shared" si="122"/>
        <v>0</v>
      </c>
      <c r="GB22" s="66" t="str">
        <f t="shared" si="123"/>
        <v/>
      </c>
      <c r="GC22" s="74" t="str">
        <f>IF('Marks Entry'!BX22="","",'Marks Entry'!BX22)</f>
        <v/>
      </c>
      <c r="GD22" s="74" t="str">
        <f>IF('Marks Entry'!BY22="","",'Marks Entry'!BY22)</f>
        <v/>
      </c>
      <c r="GE22" s="74" t="str">
        <f>IF('Marks Entry'!BZ22="","",'Marks Entry'!BZ22)</f>
        <v/>
      </c>
      <c r="GF22" s="75" t="str">
        <f t="shared" si="124"/>
        <v/>
      </c>
      <c r="GG22" s="368" t="str">
        <f t="shared" si="125"/>
        <v/>
      </c>
      <c r="GH22" s="65">
        <f t="shared" si="126"/>
        <v>0</v>
      </c>
      <c r="GI22" s="66">
        <f t="shared" si="127"/>
        <v>0</v>
      </c>
      <c r="GJ22" s="66" t="str">
        <f t="shared" si="128"/>
        <v/>
      </c>
      <c r="GK22" s="100" t="str">
        <f>IF(AND(F22="",B22=""),"",IF('Student DATA Entry'!M19="","",'Student DATA Entry'!M19))</f>
        <v/>
      </c>
      <c r="GL22" s="101" t="str">
        <f>IF(AND(B22="",F22=""),"",IF('Student DATA Entry'!N19="","",'Student DATA Entry'!N19))</f>
        <v/>
      </c>
      <c r="GM22" s="581" t="str">
        <f t="shared" si="129"/>
        <v/>
      </c>
      <c r="GN22" s="94" t="str">
        <f t="shared" si="130"/>
        <v>I</v>
      </c>
      <c r="GO22" s="94" t="str">
        <f t="shared" si="131"/>
        <v/>
      </c>
      <c r="GP22" s="102" t="str">
        <f t="shared" si="67"/>
        <v/>
      </c>
      <c r="GQ22" s="94" t="str">
        <f t="shared" si="132"/>
        <v>D</v>
      </c>
      <c r="GR22" s="103" t="str">
        <f t="shared" si="133"/>
        <v/>
      </c>
      <c r="GS22" s="102" t="str">
        <f t="shared" si="68"/>
        <v/>
      </c>
      <c r="GT22" s="104" t="str">
        <f t="shared" si="134"/>
        <v>II</v>
      </c>
      <c r="GU22" s="94" t="str">
        <f>IF('Marks Entry'!V22=1,GT22,"")</f>
        <v/>
      </c>
      <c r="GV22" s="94" t="str">
        <f>IF('Marks Entry'!V22=2,GT22,"")</f>
        <v/>
      </c>
      <c r="GW22" s="94" t="str">
        <f>IF('Marks Entry'!V22=3,GT22,"")</f>
        <v/>
      </c>
      <c r="GX22" s="94" t="str">
        <f>IF('Marks Entry'!V22=4,GT22,"")</f>
        <v/>
      </c>
      <c r="GY22" s="94" t="str">
        <f>IF('Marks Entry'!V22=5,GT22,"")</f>
        <v>II</v>
      </c>
      <c r="GZ22" s="94" t="str">
        <f t="shared" si="135"/>
        <v/>
      </c>
      <c r="HA22" s="105" t="str">
        <f t="shared" si="69"/>
        <v/>
      </c>
      <c r="HB22" s="94" t="str">
        <f t="shared" si="136"/>
        <v>II</v>
      </c>
      <c r="HC22" s="94" t="str">
        <f t="shared" si="137"/>
        <v/>
      </c>
      <c r="HD22" s="105" t="str">
        <f t="shared" si="70"/>
        <v/>
      </c>
      <c r="HE22" s="94" t="str">
        <f t="shared" si="138"/>
        <v>II</v>
      </c>
      <c r="HF22" s="94" t="str">
        <f t="shared" si="139"/>
        <v/>
      </c>
      <c r="HG22" s="105" t="str">
        <f t="shared" si="71"/>
        <v/>
      </c>
      <c r="HH22" s="94" t="str">
        <f t="shared" si="140"/>
        <v>II</v>
      </c>
      <c r="HI22" s="94" t="str">
        <f t="shared" si="141"/>
        <v/>
      </c>
      <c r="HJ22" s="105" t="str">
        <f t="shared" si="72"/>
        <v/>
      </c>
      <c r="HK22" s="94" t="str">
        <f t="shared" si="142"/>
        <v/>
      </c>
      <c r="HL22" s="94" t="str">
        <f t="shared" si="143"/>
        <v/>
      </c>
      <c r="HM22" s="105" t="str">
        <f t="shared" si="73"/>
        <v/>
      </c>
      <c r="HN22" s="367" t="str">
        <f t="shared" si="144"/>
        <v xml:space="preserve">      </v>
      </c>
      <c r="HO22" s="418" t="str">
        <f t="shared" si="145"/>
        <v xml:space="preserve">      </v>
      </c>
      <c r="HP22" s="367" t="str">
        <f t="shared" si="146"/>
        <v xml:space="preserve">      </v>
      </c>
      <c r="HQ22" s="107" t="str">
        <f t="shared" si="147"/>
        <v xml:space="preserve">      </v>
      </c>
      <c r="HR22" s="366" t="str">
        <f t="shared" si="148"/>
        <v xml:space="preserve"> अंग्रेजी     </v>
      </c>
      <c r="HS22" s="544" t="str">
        <f t="shared" si="74"/>
        <v>PASS</v>
      </c>
      <c r="HT22" s="542">
        <f t="shared" si="149"/>
        <v>768</v>
      </c>
      <c r="HU22" s="541">
        <f t="shared" si="160"/>
        <v>64</v>
      </c>
      <c r="HV22" s="540" t="str">
        <f t="shared" si="150"/>
        <v>1st</v>
      </c>
      <c r="HW22" s="537">
        <f t="shared" si="151"/>
        <v>64</v>
      </c>
      <c r="HX22" s="539">
        <f t="shared" si="152"/>
        <v>6.9999999999999263</v>
      </c>
      <c r="HY22" s="553" t="str">
        <f>IFERROR(IF(OR(HS22="SUPPLEMENTARY",HS22="RE-EXAM"),'Supp. Result Entry'!AQ20,""),"")</f>
        <v/>
      </c>
      <c r="HZ22" s="538" t="str">
        <f t="shared" si="153"/>
        <v/>
      </c>
      <c r="IA22" s="415" t="str">
        <f t="shared" si="154"/>
        <v/>
      </c>
      <c r="IB22" s="415" t="str">
        <f>IF(AND(HZ22="",IA22=""),"",IF(OR(HS22="SUPPLEMENTARY",HS22="RE-EXAM"),'Supp. Result Entry'!AQ20,HS22))</f>
        <v/>
      </c>
      <c r="IC22" s="87"/>
      <c r="IS22" s="109" t="str">
        <f>IF('Supp. Result Entry'!T20="","",'Supp. Result Entry'!$T$4)</f>
        <v/>
      </c>
      <c r="IT22" s="110" t="str">
        <f>IF('Supp. Result Entry'!W20="","",'Supp. Result Entry'!$W$4)</f>
        <v/>
      </c>
      <c r="IU22" s="110" t="str">
        <f>IF('Supp. Result Entry'!Z20="","",'Supp. Result Entry'!$Z$4)</f>
        <v/>
      </c>
      <c r="IV22" s="110" t="str">
        <f>IF('Supp. Result Entry'!AC20="","",'Supp. Result Entry'!$AC$4)</f>
        <v/>
      </c>
      <c r="IW22" s="110" t="str">
        <f>IF('Supp. Result Entry'!AF20="","",'Supp. Result Entry'!$AF$4)</f>
        <v/>
      </c>
      <c r="IX22" s="110" t="str">
        <f>IF('Supp. Result Entry'!AI20="","",'Supp. Result Entry'!$AI$4)</f>
        <v/>
      </c>
      <c r="IY22" s="110" t="str">
        <f>IF('Supp. Result Entry'!AI20="","",'Supp. Result Entry'!$AL$4)</f>
        <v/>
      </c>
      <c r="IZ22" s="110" t="str">
        <f>IF('Supp. Result Entry'!U20="","",'Supp. Result Entry'!U20)</f>
        <v/>
      </c>
      <c r="JA22" s="110" t="str">
        <f>IF('Supp. Result Entry'!X20="","",'Supp. Result Entry'!X20)</f>
        <v/>
      </c>
      <c r="JB22" s="110" t="str">
        <f>IF('Supp. Result Entry'!AA20="","",'Supp. Result Entry'!AA20)</f>
        <v/>
      </c>
      <c r="JC22" s="110" t="str">
        <f>IF('Supp. Result Entry'!AD20="","",'Supp. Result Entry'!AD20)</f>
        <v/>
      </c>
      <c r="JD22" s="110" t="str">
        <f>IF('Supp. Result Entry'!AG20="","",'Supp. Result Entry'!AG20)</f>
        <v/>
      </c>
      <c r="JE22" s="110" t="str">
        <f>IF('Supp. Result Entry'!AJ20="","",'Supp. Result Entry'!AJ20)</f>
        <v/>
      </c>
      <c r="JF22" s="110" t="str">
        <f>IF('Supp. Result Entry'!AM20="","",'Supp. Result Entry'!AM20)</f>
        <v/>
      </c>
      <c r="JG22" s="110" t="str">
        <f>IF('Supp. Result Entry'!V20="","",'Supp. Result Entry'!V20)</f>
        <v/>
      </c>
      <c r="JH22" s="110" t="str">
        <f>IF('Supp. Result Entry'!Y20="","",'Supp. Result Entry'!Y20)</f>
        <v/>
      </c>
      <c r="JI22" s="110" t="str">
        <f>IF('Supp. Result Entry'!AB20="","",'Supp. Result Entry'!AB20)</f>
        <v/>
      </c>
      <c r="JJ22" s="110" t="str">
        <f>IF('Supp. Result Entry'!AE20="","",'Supp. Result Entry'!AE20)</f>
        <v/>
      </c>
      <c r="JK22" s="110" t="str">
        <f>IF('Supp. Result Entry'!AH20="","",'Supp. Result Entry'!AH20)</f>
        <v/>
      </c>
      <c r="JL22" s="110" t="str">
        <f>IF('Supp. Result Entry'!AK20="","",'Supp. Result Entry'!AK20)</f>
        <v/>
      </c>
      <c r="JM22" s="110" t="str">
        <f>IF('Supp. Result Entry'!AN20="","",'Supp. Result Entry'!AN20)</f>
        <v/>
      </c>
      <c r="JN22" s="110">
        <f>COUNTIF('Supp. Result Entry'!K20:Q20,"S")</f>
        <v>0</v>
      </c>
      <c r="JO22" s="110">
        <f t="shared" si="155"/>
        <v>0</v>
      </c>
      <c r="JP22" s="110">
        <f t="shared" si="156"/>
        <v>0</v>
      </c>
      <c r="JQ22" s="110" t="str">
        <f t="shared" si="75"/>
        <v/>
      </c>
      <c r="JR22" s="110" t="str">
        <f t="shared" si="76"/>
        <v/>
      </c>
      <c r="JS22" s="110" t="str">
        <f t="shared" si="77"/>
        <v/>
      </c>
      <c r="JT22" s="110" t="str">
        <f t="shared" si="78"/>
        <v/>
      </c>
      <c r="JU22" s="110" t="str">
        <f t="shared" si="79"/>
        <v/>
      </c>
      <c r="JV22" s="110" t="str">
        <f t="shared" si="80"/>
        <v/>
      </c>
      <c r="JW22" s="110" t="str">
        <f t="shared" si="81"/>
        <v/>
      </c>
      <c r="JX22" s="110" t="str">
        <f t="shared" si="157"/>
        <v/>
      </c>
      <c r="JY22" s="110" t="str">
        <f t="shared" si="158"/>
        <v/>
      </c>
      <c r="JZ22" s="110" t="str">
        <f t="shared" si="82"/>
        <v/>
      </c>
      <c r="KA22" s="108" t="str">
        <f t="shared" si="159"/>
        <v/>
      </c>
    </row>
    <row r="23" spans="1:287" s="108" customFormat="1" ht="21.95" customHeight="1">
      <c r="A23" s="89">
        <v>17</v>
      </c>
      <c r="B23" s="90">
        <f>IF('Marks Entry'!B23="","",'Marks Entry'!B23)</f>
        <v>917</v>
      </c>
      <c r="C23" s="94" t="str">
        <f>IF('Marks Entry'!D23="","",'Marks Entry'!D23)</f>
        <v>A</v>
      </c>
      <c r="D23" s="91" t="str">
        <f>IF('Marks Entry'!E23="","",'Marks Entry'!E23)</f>
        <v/>
      </c>
      <c r="E23" s="92" t="str">
        <f>IF('Marks Entry'!F23="","",'Marks Entry'!F23)</f>
        <v/>
      </c>
      <c r="F23" s="93" t="str">
        <f>IF('Marks Entry'!G23="","",'Marks Entry'!G23)</f>
        <v>FATIMA</v>
      </c>
      <c r="G23" s="93" t="str">
        <f>IF('Marks Entry'!H23="","",'Marks Entry'!H23)</f>
        <v/>
      </c>
      <c r="H23" s="93" t="str">
        <f>IF('Marks Entry'!I23="","",'Marks Entry'!I23)</f>
        <v/>
      </c>
      <c r="I23" s="94" t="str">
        <f>IF('Marks Entry'!J23="","",'Marks Entry'!J23)</f>
        <v/>
      </c>
      <c r="J23" s="95" t="str">
        <f>IF('Marks Entry'!K23="","",'Marks Entry'!K23)</f>
        <v/>
      </c>
      <c r="K23" s="68">
        <f>IF('Marks Entry'!L23="","",'Marks Entry'!L23)</f>
        <v>8</v>
      </c>
      <c r="L23" s="68">
        <f>IF('Marks Entry'!M23="","",'Marks Entry'!M23)</f>
        <v>9</v>
      </c>
      <c r="M23" s="68">
        <f>IF('Marks Entry'!N23="","",'Marks Entry'!N23)</f>
        <v>8</v>
      </c>
      <c r="N23" s="514">
        <f t="shared" si="83"/>
        <v>25</v>
      </c>
      <c r="O23" s="68">
        <f>IF('Marks Entry'!O23="","",'Marks Entry'!O23)</f>
        <v>46</v>
      </c>
      <c r="P23" s="515">
        <f t="shared" si="84"/>
        <v>71</v>
      </c>
      <c r="Q23" s="68">
        <f>IF('Marks Entry'!P23="","",'Marks Entry'!P23)</f>
        <v>65</v>
      </c>
      <c r="R23" s="96">
        <f t="shared" si="85"/>
        <v>136</v>
      </c>
      <c r="S23" s="65">
        <f t="shared" si="86"/>
        <v>0</v>
      </c>
      <c r="T23" s="65">
        <f t="shared" si="87"/>
        <v>0</v>
      </c>
      <c r="U23" s="66">
        <f t="shared" si="88"/>
        <v>200</v>
      </c>
      <c r="V23" s="65" t="str">
        <f t="shared" si="89"/>
        <v/>
      </c>
      <c r="W23" s="65" t="str">
        <f t="shared" si="90"/>
        <v>P</v>
      </c>
      <c r="X23" s="65" t="str">
        <f t="shared" si="91"/>
        <v>I</v>
      </c>
      <c r="Y23" s="68">
        <f>IF('Marks Entry'!Q23="","",'Marks Entry'!Q23)</f>
        <v>8</v>
      </c>
      <c r="Z23" s="68">
        <f>IF('Marks Entry'!R23="","",'Marks Entry'!R23)</f>
        <v>9</v>
      </c>
      <c r="AA23" s="68">
        <f>IF('Marks Entry'!S23="","",'Marks Entry'!S23)</f>
        <v>8</v>
      </c>
      <c r="AB23" s="514">
        <f t="shared" si="2"/>
        <v>25</v>
      </c>
      <c r="AC23" s="68">
        <f>IF('Marks Entry'!T23="","",'Marks Entry'!T23)</f>
        <v>60</v>
      </c>
      <c r="AD23" s="515">
        <f t="shared" si="3"/>
        <v>85</v>
      </c>
      <c r="AE23" s="68">
        <f>IF('Marks Entry'!U23="","",'Marks Entry'!U23)</f>
        <v>85</v>
      </c>
      <c r="AF23" s="96">
        <f t="shared" si="4"/>
        <v>170</v>
      </c>
      <c r="AG23" s="65">
        <f t="shared" si="5"/>
        <v>0</v>
      </c>
      <c r="AH23" s="65">
        <f t="shared" si="6"/>
        <v>0</v>
      </c>
      <c r="AI23" s="66">
        <f t="shared" si="7"/>
        <v>200</v>
      </c>
      <c r="AJ23" s="65" t="str">
        <f t="shared" si="8"/>
        <v/>
      </c>
      <c r="AK23" s="65" t="str">
        <f t="shared" si="9"/>
        <v>P</v>
      </c>
      <c r="AL23" s="65" t="str">
        <f t="shared" si="10"/>
        <v>D</v>
      </c>
      <c r="AM23" s="524" t="str">
        <f>IF('Marks Entry'!V23="","",IF('Marks Entry'!V23=1,'School Profile'!$I$9,IF('Marks Entry'!V23=2,'School Profile'!$I$10,IF('Marks Entry'!V23=3,'School Profile'!$I$11,IF('Marks Entry'!V23=4,'School Profile'!$I$12,IF('Marks Entry'!V23=5,'School Profile'!$I$13,IF('Marks Entry'!V23=6,'School Profile'!$I$14,"")))))))</f>
        <v>पंजाबी (75)</v>
      </c>
      <c r="AN23" s="68">
        <f>IF('Marks Entry'!W23="","",'Marks Entry'!W23)</f>
        <v>8</v>
      </c>
      <c r="AO23" s="68">
        <f>IF('Marks Entry'!X23="","",'Marks Entry'!X23)</f>
        <v>9</v>
      </c>
      <c r="AP23" s="68">
        <f>IF('Marks Entry'!Y23="","",'Marks Entry'!Y23)</f>
        <v>9</v>
      </c>
      <c r="AQ23" s="514">
        <f t="shared" si="11"/>
        <v>26</v>
      </c>
      <c r="AR23" s="68">
        <f>IF('Marks Entry'!Z23="","",'Marks Entry'!Z23)</f>
        <v>46</v>
      </c>
      <c r="AS23" s="515">
        <f t="shared" si="12"/>
        <v>72</v>
      </c>
      <c r="AT23" s="68">
        <f>IF('Marks Entry'!AA23="","",'Marks Entry'!AA23)</f>
        <v>45</v>
      </c>
      <c r="AU23" s="96">
        <f t="shared" si="13"/>
        <v>117</v>
      </c>
      <c r="AV23" s="65">
        <f t="shared" si="14"/>
        <v>0</v>
      </c>
      <c r="AW23" s="65">
        <f t="shared" si="15"/>
        <v>0</v>
      </c>
      <c r="AX23" s="66">
        <f t="shared" si="16"/>
        <v>200</v>
      </c>
      <c r="AY23" s="65" t="str">
        <f t="shared" si="17"/>
        <v/>
      </c>
      <c r="AZ23" s="65" t="str">
        <f t="shared" si="18"/>
        <v>P</v>
      </c>
      <c r="BA23" s="65" t="str">
        <f t="shared" si="19"/>
        <v>II</v>
      </c>
      <c r="BB23" s="68">
        <f>IF('Marks Entry'!AB23="","",'Marks Entry'!AB23)</f>
        <v>8</v>
      </c>
      <c r="BC23" s="68">
        <f>IF('Marks Entry'!AC23="","",'Marks Entry'!AC23)</f>
        <v>9</v>
      </c>
      <c r="BD23" s="68">
        <f>IF('Marks Entry'!AD23="","",'Marks Entry'!AD23)</f>
        <v>8</v>
      </c>
      <c r="BE23" s="514">
        <f t="shared" si="20"/>
        <v>25</v>
      </c>
      <c r="BF23" s="68">
        <f>IF('Marks Entry'!AE23="","",'Marks Entry'!AE23)</f>
        <v>46</v>
      </c>
      <c r="BG23" s="515">
        <f t="shared" si="21"/>
        <v>71</v>
      </c>
      <c r="BH23" s="68">
        <f>IF('Marks Entry'!AF23="","",'Marks Entry'!AF23)</f>
        <v>45</v>
      </c>
      <c r="BI23" s="96">
        <f t="shared" si="22"/>
        <v>116</v>
      </c>
      <c r="BJ23" s="65">
        <f t="shared" si="23"/>
        <v>0</v>
      </c>
      <c r="BK23" s="65">
        <f t="shared" si="92"/>
        <v>0</v>
      </c>
      <c r="BL23" s="66">
        <f t="shared" si="24"/>
        <v>200</v>
      </c>
      <c r="BM23" s="65" t="str">
        <f t="shared" si="25"/>
        <v/>
      </c>
      <c r="BN23" s="65" t="str">
        <f t="shared" si="26"/>
        <v>P</v>
      </c>
      <c r="BO23" s="65" t="str">
        <f t="shared" si="27"/>
        <v>II</v>
      </c>
      <c r="BP23" s="68">
        <f>IF('Marks Entry'!AG23="","",'Marks Entry'!AG23)</f>
        <v>8</v>
      </c>
      <c r="BQ23" s="68">
        <f>IF('Marks Entry'!AH23="","",'Marks Entry'!AH23)</f>
        <v>9</v>
      </c>
      <c r="BR23" s="68">
        <f>IF('Marks Entry'!AI23="","",'Marks Entry'!AI23)</f>
        <v>7</v>
      </c>
      <c r="BS23" s="514">
        <f t="shared" si="28"/>
        <v>24</v>
      </c>
      <c r="BT23" s="68">
        <f>IF('Marks Entry'!AJ23="","",'Marks Entry'!AJ23)</f>
        <v>46</v>
      </c>
      <c r="BU23" s="515">
        <f t="shared" si="29"/>
        <v>70</v>
      </c>
      <c r="BV23" s="68">
        <f>IF('Marks Entry'!AK23="","",'Marks Entry'!AK23)</f>
        <v>45</v>
      </c>
      <c r="BW23" s="96">
        <f t="shared" si="30"/>
        <v>115</v>
      </c>
      <c r="BX23" s="65">
        <f t="shared" si="31"/>
        <v>0</v>
      </c>
      <c r="BY23" s="65">
        <f t="shared" si="32"/>
        <v>0</v>
      </c>
      <c r="BZ23" s="66">
        <f t="shared" si="33"/>
        <v>200</v>
      </c>
      <c r="CA23" s="65" t="str">
        <f t="shared" si="34"/>
        <v/>
      </c>
      <c r="CB23" s="65" t="str">
        <f t="shared" si="35"/>
        <v>P</v>
      </c>
      <c r="CC23" s="65" t="str">
        <f t="shared" si="36"/>
        <v>II</v>
      </c>
      <c r="CD23" s="66">
        <f t="shared" si="93"/>
        <v>0</v>
      </c>
      <c r="CE23" s="68">
        <f>IF('Marks Entry'!AL23="","",'Marks Entry'!AL23)</f>
        <v>8</v>
      </c>
      <c r="CF23" s="68">
        <f>IF('Marks Entry'!AM23="","",'Marks Entry'!AM23)</f>
        <v>8</v>
      </c>
      <c r="CG23" s="68">
        <f>IF('Marks Entry'!AN23="","",'Marks Entry'!AN23)</f>
        <v>8</v>
      </c>
      <c r="CH23" s="514">
        <f t="shared" si="37"/>
        <v>24</v>
      </c>
      <c r="CI23" s="68">
        <f>IF('Marks Entry'!AO23="","",'Marks Entry'!AO23)</f>
        <v>46</v>
      </c>
      <c r="CJ23" s="515">
        <f t="shared" si="38"/>
        <v>70</v>
      </c>
      <c r="CK23" s="68">
        <f>IF('Marks Entry'!AP23="","",'Marks Entry'!AP23)</f>
        <v>45</v>
      </c>
      <c r="CL23" s="96">
        <f t="shared" si="39"/>
        <v>115</v>
      </c>
      <c r="CM23" s="65">
        <f t="shared" si="40"/>
        <v>0</v>
      </c>
      <c r="CN23" s="65">
        <f t="shared" si="41"/>
        <v>0</v>
      </c>
      <c r="CO23" s="66">
        <f t="shared" si="42"/>
        <v>200</v>
      </c>
      <c r="CP23" s="65" t="str">
        <f t="shared" si="43"/>
        <v/>
      </c>
      <c r="CQ23" s="65" t="str">
        <f t="shared" si="44"/>
        <v>P</v>
      </c>
      <c r="CR23" s="65" t="str">
        <f t="shared" si="45"/>
        <v>II</v>
      </c>
      <c r="CS23" s="616"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8" t="str">
        <f>IF('School Profile'!$D$20="NO","",IF('Marks Entry'!AR23="","",'Marks Entry'!AR23))</f>
        <v/>
      </c>
      <c r="CU23" s="68" t="str">
        <f>IF('School Profile'!$D$20="NO","",IF('Marks Entry'!AS23="","",'Marks Entry'!AS23))</f>
        <v/>
      </c>
      <c r="CV23" s="68" t="str">
        <f>IF('School Profile'!$D$20="NO","",IF('Marks Entry'!AT23="","",'Marks Entry'!AT23))</f>
        <v/>
      </c>
      <c r="CW23" s="514" t="str">
        <f>IF('School Profile'!$D$20="NO","",IF(AND(CT23="",CU23="",CV23=""),"",SUM(CT23:CV23)))</f>
        <v/>
      </c>
      <c r="CX23" s="68" t="str">
        <f>IF('School Profile'!$D$20="NO","",IF('Marks Entry'!AU23="","",'Marks Entry'!AU23))</f>
        <v/>
      </c>
      <c r="CY23" s="68" t="str">
        <f>IF('School Profile'!$D$20="NO","",IF('Marks Entry'!AV23="","",'Marks Entry'!AV23))</f>
        <v/>
      </c>
      <c r="CZ23" s="515" t="str">
        <f>IF('School Profile'!$D$20="NO","",IF(AND(CX23="",CY23=""),"",SUM(CX23,CY23)))</f>
        <v/>
      </c>
      <c r="DA23" s="69" t="str">
        <f>IF('School Profile'!$D$20="NO","",IF(AND(CW23="",CZ23=""),"",SUM(CW23+CZ23)))</f>
        <v/>
      </c>
      <c r="DB23" s="68" t="str">
        <f>IF('School Profile'!$D$20="NO","",IF('Marks Entry'!AW23="","",'Marks Entry'!AW23))</f>
        <v/>
      </c>
      <c r="DC23" s="68" t="str">
        <f>IF('School Profile'!$D$20="NO","",IF('Marks Entry'!AX23="","",'Marks Entry'!AX23))</f>
        <v/>
      </c>
      <c r="DD23" s="515" t="str">
        <f>IF('School Profile'!$D$20="NO","",IF(AND(DB23="",DC23=""),"",SUM(DB23,DC23)))</f>
        <v/>
      </c>
      <c r="DE23" s="96" t="str">
        <f>IF('School Profile'!$D$20="NO","",IF(AND(DA23="",DD23=""),"",SUM(DA23,DD23)))</f>
        <v/>
      </c>
      <c r="DF23" s="532">
        <f t="shared" si="46"/>
        <v>0</v>
      </c>
      <c r="DG23" s="65">
        <f t="shared" si="47"/>
        <v>0</v>
      </c>
      <c r="DH23" s="66" t="str">
        <f t="shared" si="48"/>
        <v/>
      </c>
      <c r="DI23" s="65" t="str">
        <f t="shared" si="49"/>
        <v/>
      </c>
      <c r="DJ23" s="65" t="str">
        <f t="shared" si="50"/>
        <v/>
      </c>
      <c r="DK23" s="65" t="str">
        <f t="shared" si="51"/>
        <v/>
      </c>
      <c r="DL23" s="97" t="str">
        <f t="shared" si="94"/>
        <v>I</v>
      </c>
      <c r="DM23" s="97" t="str">
        <f t="shared" si="95"/>
        <v>D</v>
      </c>
      <c r="DN23" s="97" t="str">
        <f t="shared" si="96"/>
        <v>II</v>
      </c>
      <c r="DO23" s="97" t="str">
        <f t="shared" si="97"/>
        <v>II</v>
      </c>
      <c r="DP23" s="97" t="str">
        <f t="shared" si="98"/>
        <v>II</v>
      </c>
      <c r="DQ23" s="97" t="str">
        <f t="shared" si="99"/>
        <v>II</v>
      </c>
      <c r="DR23" s="97" t="str">
        <f t="shared" si="100"/>
        <v/>
      </c>
      <c r="DS23" s="98">
        <f t="shared" si="101"/>
        <v>0</v>
      </c>
      <c r="DT23" s="98">
        <f t="shared" si="102"/>
        <v>0</v>
      </c>
      <c r="DU23" s="98">
        <f t="shared" si="103"/>
        <v>0</v>
      </c>
      <c r="DV23" s="98">
        <f t="shared" si="104"/>
        <v>0</v>
      </c>
      <c r="DW23" s="98">
        <f t="shared" si="105"/>
        <v>0</v>
      </c>
      <c r="DX23" s="98" t="str">
        <f t="shared" si="106"/>
        <v/>
      </c>
      <c r="DY23" s="99" t="str">
        <f t="shared" si="107"/>
        <v>PASS</v>
      </c>
      <c r="DZ23" s="74" t="str">
        <f>IF('Marks Entry'!AY23="","",'Marks Entry'!AY23)</f>
        <v/>
      </c>
      <c r="EA23" s="74" t="str">
        <f>IF('Marks Entry'!AZ23="","",'Marks Entry'!AZ23)</f>
        <v/>
      </c>
      <c r="EB23" s="74" t="str">
        <f>IF('Marks Entry'!BA23="","",'Marks Entry'!BA23)</f>
        <v/>
      </c>
      <c r="EC23" s="527" t="str">
        <f t="shared" si="52"/>
        <v/>
      </c>
      <c r="ED23" s="74" t="str">
        <f>IF('Marks Entry'!BB23="","",'Marks Entry'!BB23)</f>
        <v/>
      </c>
      <c r="EE23" s="528" t="str">
        <f t="shared" si="53"/>
        <v/>
      </c>
      <c r="EF23" s="74" t="str">
        <f>IF('Marks Entry'!BC23="","",'Marks Entry'!BC23)</f>
        <v/>
      </c>
      <c r="EG23" s="530" t="str">
        <f t="shared" si="54"/>
        <v/>
      </c>
      <c r="EH23" s="368" t="str">
        <f t="shared" si="108"/>
        <v/>
      </c>
      <c r="EI23" s="65">
        <f t="shared" si="109"/>
        <v>0</v>
      </c>
      <c r="EJ23" s="65">
        <f t="shared" si="110"/>
        <v>0</v>
      </c>
      <c r="EK23" s="66" t="str">
        <f t="shared" si="111"/>
        <v/>
      </c>
      <c r="EL23" s="74" t="str">
        <f>IF('Marks Entry'!BD23="","",'Marks Entry'!BD23)</f>
        <v/>
      </c>
      <c r="EM23" s="74" t="str">
        <f>IF('Marks Entry'!BE23="","",'Marks Entry'!BE23)</f>
        <v/>
      </c>
      <c r="EN23" s="74" t="str">
        <f>IF('Marks Entry'!BF23="","",'Marks Entry'!BF23)</f>
        <v/>
      </c>
      <c r="EO23" s="527" t="str">
        <f t="shared" si="55"/>
        <v/>
      </c>
      <c r="EP23" s="74" t="str">
        <f>IF('Marks Entry'!BG23="","",'Marks Entry'!BG23)</f>
        <v/>
      </c>
      <c r="EQ23" s="74" t="str">
        <f>IF('Marks Entry'!BH23="","",'Marks Entry'!BH23)</f>
        <v/>
      </c>
      <c r="ER23" s="528" t="str">
        <f t="shared" si="56"/>
        <v/>
      </c>
      <c r="ES23" s="529" t="str">
        <f t="shared" si="57"/>
        <v/>
      </c>
      <c r="ET23" s="74" t="str">
        <f>IF('Marks Entry'!BI23="","",'Marks Entry'!BI23)</f>
        <v/>
      </c>
      <c r="EU23" s="74" t="str">
        <f>IF('Marks Entry'!BJ23="","",'Marks Entry'!BJ23)</f>
        <v/>
      </c>
      <c r="EV23" s="528" t="str">
        <f t="shared" si="58"/>
        <v/>
      </c>
      <c r="EW23" s="530" t="str">
        <f t="shared" si="59"/>
        <v/>
      </c>
      <c r="EX23" s="368" t="str">
        <f t="shared" si="112"/>
        <v/>
      </c>
      <c r="EY23" s="65">
        <f t="shared" si="113"/>
        <v>0</v>
      </c>
      <c r="EZ23" s="65">
        <f t="shared" si="114"/>
        <v>0</v>
      </c>
      <c r="FA23" s="66" t="str">
        <f t="shared" si="115"/>
        <v/>
      </c>
      <c r="FB23" s="74" t="str">
        <f>IF('Marks Entry'!BK23="","",'Marks Entry'!BK23)</f>
        <v/>
      </c>
      <c r="FC23" s="74" t="str">
        <f>IF('Marks Entry'!BL23="","",'Marks Entry'!BL23)</f>
        <v/>
      </c>
      <c r="FD23" s="74" t="str">
        <f>IF('Marks Entry'!BM23="","",'Marks Entry'!BM23)</f>
        <v/>
      </c>
      <c r="FE23" s="74" t="str">
        <f>IF('Marks Entry'!BN23="","",'Marks Entry'!BN23)</f>
        <v/>
      </c>
      <c r="FF23" s="74" t="str">
        <f>IF('Marks Entry'!BO23="","",'Marks Entry'!BO23)</f>
        <v/>
      </c>
      <c r="FG23" s="74" t="str">
        <f>IF('Marks Entry'!BP23="","",'Marks Entry'!BP23)</f>
        <v/>
      </c>
      <c r="FH23" s="527" t="str">
        <f t="shared" si="60"/>
        <v/>
      </c>
      <c r="FI23" s="74" t="str">
        <f>IF('Marks Entry'!BQ23="","",'Marks Entry'!BQ23)</f>
        <v/>
      </c>
      <c r="FJ23" s="74" t="str">
        <f>IF('Marks Entry'!BR23="","",'Marks Entry'!BR23)</f>
        <v/>
      </c>
      <c r="FK23" s="528" t="str">
        <f t="shared" si="61"/>
        <v/>
      </c>
      <c r="FL23" s="529" t="str">
        <f t="shared" si="62"/>
        <v/>
      </c>
      <c r="FM23" s="74" t="str">
        <f>IF('Marks Entry'!BS23="","",'Marks Entry'!BS23)</f>
        <v/>
      </c>
      <c r="FN23" s="74" t="str">
        <f>IF('Marks Entry'!BT23="","",'Marks Entry'!BT23)</f>
        <v/>
      </c>
      <c r="FO23" s="528" t="str">
        <f t="shared" si="63"/>
        <v/>
      </c>
      <c r="FP23" s="530" t="str">
        <f t="shared" si="64"/>
        <v/>
      </c>
      <c r="FQ23" s="368" t="str">
        <f t="shared" si="116"/>
        <v/>
      </c>
      <c r="FR23" s="65">
        <f t="shared" si="117"/>
        <v>0</v>
      </c>
      <c r="FS23" s="65">
        <f t="shared" si="118"/>
        <v>0</v>
      </c>
      <c r="FT23" s="66" t="str">
        <f t="shared" si="119"/>
        <v/>
      </c>
      <c r="FU23" s="74" t="str">
        <f>IF('Marks Entry'!BU23="","",'Marks Entry'!BU23)</f>
        <v/>
      </c>
      <c r="FV23" s="74" t="str">
        <f>IF('Marks Entry'!BV23="","",'Marks Entry'!BV23)</f>
        <v/>
      </c>
      <c r="FW23" s="74" t="str">
        <f>IF('Marks Entry'!BW23="","",'Marks Entry'!BW23)</f>
        <v/>
      </c>
      <c r="FX23" s="75" t="str">
        <f t="shared" si="65"/>
        <v/>
      </c>
      <c r="FY23" s="368" t="str">
        <f t="shared" si="120"/>
        <v/>
      </c>
      <c r="FZ23" s="65">
        <f t="shared" si="121"/>
        <v>0</v>
      </c>
      <c r="GA23" s="66">
        <f t="shared" si="122"/>
        <v>0</v>
      </c>
      <c r="GB23" s="66" t="str">
        <f t="shared" si="123"/>
        <v/>
      </c>
      <c r="GC23" s="74" t="str">
        <f>IF('Marks Entry'!BX23="","",'Marks Entry'!BX23)</f>
        <v/>
      </c>
      <c r="GD23" s="74" t="str">
        <f>IF('Marks Entry'!BY23="","",'Marks Entry'!BY23)</f>
        <v/>
      </c>
      <c r="GE23" s="74" t="str">
        <f>IF('Marks Entry'!BZ23="","",'Marks Entry'!BZ23)</f>
        <v/>
      </c>
      <c r="GF23" s="75" t="str">
        <f t="shared" si="124"/>
        <v/>
      </c>
      <c r="GG23" s="368" t="str">
        <f t="shared" si="125"/>
        <v/>
      </c>
      <c r="GH23" s="65">
        <f t="shared" si="126"/>
        <v>0</v>
      </c>
      <c r="GI23" s="66">
        <f t="shared" si="127"/>
        <v>0</v>
      </c>
      <c r="GJ23" s="66" t="str">
        <f t="shared" si="128"/>
        <v/>
      </c>
      <c r="GK23" s="100" t="str">
        <f>IF(AND(F23="",B23=""),"",IF('Student DATA Entry'!M20="","",'Student DATA Entry'!M20))</f>
        <v/>
      </c>
      <c r="GL23" s="101" t="str">
        <f>IF(AND(B23="",F23=""),"",IF('Student DATA Entry'!N20="","",'Student DATA Entry'!N20))</f>
        <v/>
      </c>
      <c r="GM23" s="581" t="str">
        <f t="shared" si="129"/>
        <v/>
      </c>
      <c r="GN23" s="94" t="str">
        <f t="shared" si="130"/>
        <v>I</v>
      </c>
      <c r="GO23" s="94" t="str">
        <f t="shared" si="131"/>
        <v/>
      </c>
      <c r="GP23" s="102" t="str">
        <f t="shared" si="67"/>
        <v/>
      </c>
      <c r="GQ23" s="94" t="str">
        <f t="shared" si="132"/>
        <v>D</v>
      </c>
      <c r="GR23" s="103" t="str">
        <f t="shared" si="133"/>
        <v/>
      </c>
      <c r="GS23" s="102" t="str">
        <f t="shared" si="68"/>
        <v/>
      </c>
      <c r="GT23" s="104" t="str">
        <f t="shared" si="134"/>
        <v>II</v>
      </c>
      <c r="GU23" s="94" t="str">
        <f>IF('Marks Entry'!V23=1,GT23,"")</f>
        <v/>
      </c>
      <c r="GV23" s="94" t="str">
        <f>IF('Marks Entry'!V23=2,GT23,"")</f>
        <v/>
      </c>
      <c r="GW23" s="94" t="str">
        <f>IF('Marks Entry'!V23=3,GT23,"")</f>
        <v/>
      </c>
      <c r="GX23" s="94" t="str">
        <f>IF('Marks Entry'!V23=4,GT23,"")</f>
        <v/>
      </c>
      <c r="GY23" s="94" t="str">
        <f>IF('Marks Entry'!V23=5,GT23,"")</f>
        <v>II</v>
      </c>
      <c r="GZ23" s="94" t="str">
        <f t="shared" si="135"/>
        <v/>
      </c>
      <c r="HA23" s="105" t="str">
        <f t="shared" si="69"/>
        <v/>
      </c>
      <c r="HB23" s="94" t="str">
        <f t="shared" si="136"/>
        <v>II</v>
      </c>
      <c r="HC23" s="94" t="str">
        <f t="shared" si="137"/>
        <v/>
      </c>
      <c r="HD23" s="105" t="str">
        <f t="shared" si="70"/>
        <v/>
      </c>
      <c r="HE23" s="94" t="str">
        <f t="shared" si="138"/>
        <v>II</v>
      </c>
      <c r="HF23" s="94" t="str">
        <f t="shared" si="139"/>
        <v/>
      </c>
      <c r="HG23" s="105" t="str">
        <f t="shared" si="71"/>
        <v/>
      </c>
      <c r="HH23" s="94" t="str">
        <f t="shared" si="140"/>
        <v>II</v>
      </c>
      <c r="HI23" s="94" t="str">
        <f t="shared" si="141"/>
        <v/>
      </c>
      <c r="HJ23" s="105" t="str">
        <f t="shared" si="72"/>
        <v/>
      </c>
      <c r="HK23" s="94" t="str">
        <f t="shared" si="142"/>
        <v/>
      </c>
      <c r="HL23" s="94" t="str">
        <f t="shared" si="143"/>
        <v/>
      </c>
      <c r="HM23" s="105" t="str">
        <f t="shared" si="73"/>
        <v/>
      </c>
      <c r="HN23" s="367" t="str">
        <f t="shared" si="144"/>
        <v xml:space="preserve">      </v>
      </c>
      <c r="HO23" s="418" t="str">
        <f t="shared" si="145"/>
        <v xml:space="preserve">      </v>
      </c>
      <c r="HP23" s="367" t="str">
        <f t="shared" si="146"/>
        <v xml:space="preserve">      </v>
      </c>
      <c r="HQ23" s="107" t="str">
        <f t="shared" si="147"/>
        <v xml:space="preserve">      </v>
      </c>
      <c r="HR23" s="366" t="str">
        <f t="shared" si="148"/>
        <v xml:space="preserve"> अंग्रेजी     </v>
      </c>
      <c r="HS23" s="544" t="str">
        <f t="shared" si="74"/>
        <v>PASS</v>
      </c>
      <c r="HT23" s="542">
        <f t="shared" si="149"/>
        <v>769</v>
      </c>
      <c r="HU23" s="541">
        <f t="shared" si="160"/>
        <v>64.083333333333329</v>
      </c>
      <c r="HV23" s="540" t="str">
        <f t="shared" si="150"/>
        <v>1st</v>
      </c>
      <c r="HW23" s="537">
        <f t="shared" si="151"/>
        <v>64.083333333333329</v>
      </c>
      <c r="HX23" s="539">
        <f t="shared" si="152"/>
        <v>5.9999999999999263</v>
      </c>
      <c r="HY23" s="553" t="str">
        <f>IFERROR(IF(OR(HS23="SUPPLEMENTARY",HS23="RE-EXAM"),'Supp. Result Entry'!AQ21,""),"")</f>
        <v/>
      </c>
      <c r="HZ23" s="538" t="str">
        <f t="shared" si="153"/>
        <v/>
      </c>
      <c r="IA23" s="415" t="str">
        <f t="shared" si="154"/>
        <v/>
      </c>
      <c r="IB23" s="415" t="str">
        <f>IF(AND(HZ23="",IA23=""),"",IF(OR(HS23="SUPPLEMENTARY",HS23="RE-EXAM"),'Supp. Result Entry'!AQ21,HS23))</f>
        <v/>
      </c>
      <c r="IC23" s="87"/>
      <c r="IS23" s="109" t="str">
        <f>IF('Supp. Result Entry'!T21="","",'Supp. Result Entry'!$T$4)</f>
        <v/>
      </c>
      <c r="IT23" s="110" t="str">
        <f>IF('Supp. Result Entry'!W21="","",'Supp. Result Entry'!$W$4)</f>
        <v/>
      </c>
      <c r="IU23" s="110" t="str">
        <f>IF('Supp. Result Entry'!Z21="","",'Supp. Result Entry'!$Z$4)</f>
        <v/>
      </c>
      <c r="IV23" s="110" t="str">
        <f>IF('Supp. Result Entry'!AC21="","",'Supp. Result Entry'!$AC$4)</f>
        <v/>
      </c>
      <c r="IW23" s="110" t="str">
        <f>IF('Supp. Result Entry'!AF21="","",'Supp. Result Entry'!$AF$4)</f>
        <v/>
      </c>
      <c r="IX23" s="110" t="str">
        <f>IF('Supp. Result Entry'!AI21="","",'Supp. Result Entry'!$AI$4)</f>
        <v/>
      </c>
      <c r="IY23" s="110" t="str">
        <f>IF('Supp. Result Entry'!AI21="","",'Supp. Result Entry'!$AL$4)</f>
        <v/>
      </c>
      <c r="IZ23" s="110" t="str">
        <f>IF('Supp. Result Entry'!U21="","",'Supp. Result Entry'!U21)</f>
        <v/>
      </c>
      <c r="JA23" s="110" t="str">
        <f>IF('Supp. Result Entry'!X21="","",'Supp. Result Entry'!X21)</f>
        <v/>
      </c>
      <c r="JB23" s="110" t="str">
        <f>IF('Supp. Result Entry'!AA21="","",'Supp. Result Entry'!AA21)</f>
        <v/>
      </c>
      <c r="JC23" s="110" t="str">
        <f>IF('Supp. Result Entry'!AD21="","",'Supp. Result Entry'!AD21)</f>
        <v/>
      </c>
      <c r="JD23" s="110" t="str">
        <f>IF('Supp. Result Entry'!AG21="","",'Supp. Result Entry'!AG21)</f>
        <v/>
      </c>
      <c r="JE23" s="110" t="str">
        <f>IF('Supp. Result Entry'!AJ21="","",'Supp. Result Entry'!AJ21)</f>
        <v/>
      </c>
      <c r="JF23" s="110" t="str">
        <f>IF('Supp. Result Entry'!AM21="","",'Supp. Result Entry'!AM21)</f>
        <v/>
      </c>
      <c r="JG23" s="110" t="str">
        <f>IF('Supp. Result Entry'!V21="","",'Supp. Result Entry'!V21)</f>
        <v/>
      </c>
      <c r="JH23" s="110" t="str">
        <f>IF('Supp. Result Entry'!Y21="","",'Supp. Result Entry'!Y21)</f>
        <v/>
      </c>
      <c r="JI23" s="110" t="str">
        <f>IF('Supp. Result Entry'!AB21="","",'Supp. Result Entry'!AB21)</f>
        <v/>
      </c>
      <c r="JJ23" s="110" t="str">
        <f>IF('Supp. Result Entry'!AE21="","",'Supp. Result Entry'!AE21)</f>
        <v/>
      </c>
      <c r="JK23" s="110" t="str">
        <f>IF('Supp. Result Entry'!AH21="","",'Supp. Result Entry'!AH21)</f>
        <v/>
      </c>
      <c r="JL23" s="110" t="str">
        <f>IF('Supp. Result Entry'!AK21="","",'Supp. Result Entry'!AK21)</f>
        <v/>
      </c>
      <c r="JM23" s="110" t="str">
        <f>IF('Supp. Result Entry'!AN21="","",'Supp. Result Entry'!AN21)</f>
        <v/>
      </c>
      <c r="JN23" s="110">
        <f>COUNTIF('Supp. Result Entry'!K21:Q21,"S")</f>
        <v>0</v>
      </c>
      <c r="JO23" s="110">
        <f t="shared" si="155"/>
        <v>0</v>
      </c>
      <c r="JP23" s="110">
        <f t="shared" si="156"/>
        <v>0</v>
      </c>
      <c r="JQ23" s="110" t="str">
        <f t="shared" si="75"/>
        <v/>
      </c>
      <c r="JR23" s="110" t="str">
        <f t="shared" si="76"/>
        <v/>
      </c>
      <c r="JS23" s="110" t="str">
        <f t="shared" si="77"/>
        <v/>
      </c>
      <c r="JT23" s="110" t="str">
        <f t="shared" si="78"/>
        <v/>
      </c>
      <c r="JU23" s="110" t="str">
        <f t="shared" si="79"/>
        <v/>
      </c>
      <c r="JV23" s="110" t="str">
        <f t="shared" si="80"/>
        <v/>
      </c>
      <c r="JW23" s="110" t="str">
        <f t="shared" si="81"/>
        <v/>
      </c>
      <c r="JX23" s="110" t="str">
        <f t="shared" si="157"/>
        <v/>
      </c>
      <c r="JY23" s="110" t="str">
        <f t="shared" si="158"/>
        <v/>
      </c>
      <c r="JZ23" s="110" t="str">
        <f t="shared" si="82"/>
        <v/>
      </c>
      <c r="KA23" s="108" t="str">
        <f t="shared" si="159"/>
        <v/>
      </c>
    </row>
    <row r="24" spans="1:287" s="108" customFormat="1" ht="21.95" customHeight="1">
      <c r="A24" s="89">
        <v>18</v>
      </c>
      <c r="B24" s="90">
        <f>IF('Marks Entry'!B24="","",'Marks Entry'!B24)</f>
        <v>918</v>
      </c>
      <c r="C24" s="94" t="str">
        <f>IF('Marks Entry'!D24="","",'Marks Entry'!D24)</f>
        <v>A</v>
      </c>
      <c r="D24" s="91" t="str">
        <f>IF('Marks Entry'!E24="","",'Marks Entry'!E24)</f>
        <v/>
      </c>
      <c r="E24" s="92" t="str">
        <f>IF('Marks Entry'!F24="","",'Marks Entry'!F24)</f>
        <v/>
      </c>
      <c r="F24" s="93" t="str">
        <f>IF('Marks Entry'!G24="","",'Marks Entry'!G24)</f>
        <v>LAXMI</v>
      </c>
      <c r="G24" s="93" t="str">
        <f>IF('Marks Entry'!H24="","",'Marks Entry'!H24)</f>
        <v/>
      </c>
      <c r="H24" s="93" t="str">
        <f>IF('Marks Entry'!I24="","",'Marks Entry'!I24)</f>
        <v/>
      </c>
      <c r="I24" s="94" t="str">
        <f>IF('Marks Entry'!J24="","",'Marks Entry'!J24)</f>
        <v/>
      </c>
      <c r="J24" s="95" t="str">
        <f>IF('Marks Entry'!K24="","",'Marks Entry'!K24)</f>
        <v/>
      </c>
      <c r="K24" s="68">
        <f>IF('Marks Entry'!L24="","",'Marks Entry'!L24)</f>
        <v>8</v>
      </c>
      <c r="L24" s="68">
        <f>IF('Marks Entry'!M24="","",'Marks Entry'!M24)</f>
        <v>9</v>
      </c>
      <c r="M24" s="68">
        <f>IF('Marks Entry'!N24="","",'Marks Entry'!N24)</f>
        <v>8</v>
      </c>
      <c r="N24" s="514">
        <f t="shared" si="83"/>
        <v>25</v>
      </c>
      <c r="O24" s="68">
        <f>IF('Marks Entry'!O24="","",'Marks Entry'!O24)</f>
        <v>46</v>
      </c>
      <c r="P24" s="515">
        <f t="shared" si="84"/>
        <v>71</v>
      </c>
      <c r="Q24" s="68">
        <f>IF('Marks Entry'!P24="","",'Marks Entry'!P24)</f>
        <v>65</v>
      </c>
      <c r="R24" s="96">
        <f t="shared" si="85"/>
        <v>136</v>
      </c>
      <c r="S24" s="65">
        <f t="shared" si="86"/>
        <v>0</v>
      </c>
      <c r="T24" s="65">
        <f t="shared" si="87"/>
        <v>0</v>
      </c>
      <c r="U24" s="66">
        <f t="shared" si="88"/>
        <v>200</v>
      </c>
      <c r="V24" s="65" t="str">
        <f t="shared" si="89"/>
        <v/>
      </c>
      <c r="W24" s="65" t="str">
        <f t="shared" si="90"/>
        <v>P</v>
      </c>
      <c r="X24" s="65" t="str">
        <f t="shared" si="91"/>
        <v>I</v>
      </c>
      <c r="Y24" s="68">
        <f>IF('Marks Entry'!Q24="","",'Marks Entry'!Q24)</f>
        <v>8</v>
      </c>
      <c r="Z24" s="68">
        <f>IF('Marks Entry'!R24="","",'Marks Entry'!R24)</f>
        <v>9</v>
      </c>
      <c r="AA24" s="68">
        <f>IF('Marks Entry'!S24="","",'Marks Entry'!S24)</f>
        <v>8</v>
      </c>
      <c r="AB24" s="514">
        <f t="shared" si="2"/>
        <v>25</v>
      </c>
      <c r="AC24" s="68">
        <f>IF('Marks Entry'!T24="","",'Marks Entry'!T24)</f>
        <v>60</v>
      </c>
      <c r="AD24" s="515">
        <f t="shared" si="3"/>
        <v>85</v>
      </c>
      <c r="AE24" s="68">
        <f>IF('Marks Entry'!U24="","",'Marks Entry'!U24)</f>
        <v>85</v>
      </c>
      <c r="AF24" s="96">
        <f t="shared" si="4"/>
        <v>170</v>
      </c>
      <c r="AG24" s="65">
        <f t="shared" si="5"/>
        <v>0</v>
      </c>
      <c r="AH24" s="65">
        <f t="shared" si="6"/>
        <v>0</v>
      </c>
      <c r="AI24" s="66">
        <f t="shared" si="7"/>
        <v>200</v>
      </c>
      <c r="AJ24" s="65" t="str">
        <f t="shared" si="8"/>
        <v/>
      </c>
      <c r="AK24" s="65" t="str">
        <f t="shared" si="9"/>
        <v>P</v>
      </c>
      <c r="AL24" s="65" t="str">
        <f t="shared" si="10"/>
        <v>D</v>
      </c>
      <c r="AM24" s="524" t="str">
        <f>IF('Marks Entry'!V24="","",IF('Marks Entry'!V24=1,'School Profile'!$I$9,IF('Marks Entry'!V24=2,'School Profile'!$I$10,IF('Marks Entry'!V24=3,'School Profile'!$I$11,IF('Marks Entry'!V24=4,'School Profile'!$I$12,IF('Marks Entry'!V24=5,'School Profile'!$I$13,IF('Marks Entry'!V24=6,'School Profile'!$I$14,"")))))))</f>
        <v xml:space="preserve">उर्दू (72) </v>
      </c>
      <c r="AN24" s="68">
        <f>IF('Marks Entry'!W24="","",'Marks Entry'!W24)</f>
        <v>8</v>
      </c>
      <c r="AO24" s="68">
        <f>IF('Marks Entry'!X24="","",'Marks Entry'!X24)</f>
        <v>9</v>
      </c>
      <c r="AP24" s="68">
        <f>IF('Marks Entry'!Y24="","",'Marks Entry'!Y24)</f>
        <v>9</v>
      </c>
      <c r="AQ24" s="514">
        <f t="shared" si="11"/>
        <v>26</v>
      </c>
      <c r="AR24" s="68">
        <f>IF('Marks Entry'!Z24="","",'Marks Entry'!Z24)</f>
        <v>46</v>
      </c>
      <c r="AS24" s="515">
        <f t="shared" si="12"/>
        <v>72</v>
      </c>
      <c r="AT24" s="68">
        <f>IF('Marks Entry'!AA24="","",'Marks Entry'!AA24)</f>
        <v>45</v>
      </c>
      <c r="AU24" s="96">
        <f t="shared" si="13"/>
        <v>117</v>
      </c>
      <c r="AV24" s="65">
        <f t="shared" si="14"/>
        <v>0</v>
      </c>
      <c r="AW24" s="65">
        <f t="shared" si="15"/>
        <v>0</v>
      </c>
      <c r="AX24" s="66">
        <f t="shared" si="16"/>
        <v>200</v>
      </c>
      <c r="AY24" s="65" t="str">
        <f t="shared" si="17"/>
        <v/>
      </c>
      <c r="AZ24" s="65" t="str">
        <f t="shared" si="18"/>
        <v>P</v>
      </c>
      <c r="BA24" s="65" t="str">
        <f t="shared" si="19"/>
        <v>II</v>
      </c>
      <c r="BB24" s="68">
        <f>IF('Marks Entry'!AB24="","",'Marks Entry'!AB24)</f>
        <v>8</v>
      </c>
      <c r="BC24" s="68">
        <f>IF('Marks Entry'!AC24="","",'Marks Entry'!AC24)</f>
        <v>9</v>
      </c>
      <c r="BD24" s="68">
        <f>IF('Marks Entry'!AD24="","",'Marks Entry'!AD24)</f>
        <v>7</v>
      </c>
      <c r="BE24" s="514">
        <f t="shared" si="20"/>
        <v>24</v>
      </c>
      <c r="BF24" s="68">
        <f>IF('Marks Entry'!AE24="","",'Marks Entry'!AE24)</f>
        <v>46</v>
      </c>
      <c r="BG24" s="515">
        <f t="shared" si="21"/>
        <v>70</v>
      </c>
      <c r="BH24" s="68">
        <f>IF('Marks Entry'!AF24="","",'Marks Entry'!AF24)</f>
        <v>45</v>
      </c>
      <c r="BI24" s="96">
        <f t="shared" si="22"/>
        <v>115</v>
      </c>
      <c r="BJ24" s="65">
        <f t="shared" si="23"/>
        <v>0</v>
      </c>
      <c r="BK24" s="65">
        <f t="shared" si="92"/>
        <v>0</v>
      </c>
      <c r="BL24" s="66">
        <f t="shared" si="24"/>
        <v>200</v>
      </c>
      <c r="BM24" s="65" t="str">
        <f t="shared" si="25"/>
        <v/>
      </c>
      <c r="BN24" s="65" t="str">
        <f t="shared" si="26"/>
        <v>P</v>
      </c>
      <c r="BO24" s="65" t="str">
        <f t="shared" si="27"/>
        <v>II</v>
      </c>
      <c r="BP24" s="68">
        <f>IF('Marks Entry'!AG24="","",'Marks Entry'!AG24)</f>
        <v>8</v>
      </c>
      <c r="BQ24" s="68">
        <f>IF('Marks Entry'!AH24="","",'Marks Entry'!AH24)</f>
        <v>9</v>
      </c>
      <c r="BR24" s="68">
        <f>IF('Marks Entry'!AI24="","",'Marks Entry'!AI24)</f>
        <v>7</v>
      </c>
      <c r="BS24" s="514">
        <f t="shared" si="28"/>
        <v>24</v>
      </c>
      <c r="BT24" s="68">
        <f>IF('Marks Entry'!AJ24="","",'Marks Entry'!AJ24)</f>
        <v>46</v>
      </c>
      <c r="BU24" s="515">
        <f t="shared" si="29"/>
        <v>70</v>
      </c>
      <c r="BV24" s="68">
        <f>IF('Marks Entry'!AK24="","",'Marks Entry'!AK24)</f>
        <v>45</v>
      </c>
      <c r="BW24" s="96">
        <f t="shared" si="30"/>
        <v>115</v>
      </c>
      <c r="BX24" s="65">
        <f t="shared" si="31"/>
        <v>0</v>
      </c>
      <c r="BY24" s="65">
        <f t="shared" si="32"/>
        <v>0</v>
      </c>
      <c r="BZ24" s="66">
        <f t="shared" si="33"/>
        <v>200</v>
      </c>
      <c r="CA24" s="65" t="str">
        <f t="shared" si="34"/>
        <v/>
      </c>
      <c r="CB24" s="65" t="str">
        <f t="shared" si="35"/>
        <v>P</v>
      </c>
      <c r="CC24" s="65" t="str">
        <f t="shared" si="36"/>
        <v>II</v>
      </c>
      <c r="CD24" s="66">
        <f t="shared" si="93"/>
        <v>0</v>
      </c>
      <c r="CE24" s="68">
        <f>IF('Marks Entry'!AL24="","",'Marks Entry'!AL24)</f>
        <v>8</v>
      </c>
      <c r="CF24" s="68">
        <f>IF('Marks Entry'!AM24="","",'Marks Entry'!AM24)</f>
        <v>8</v>
      </c>
      <c r="CG24" s="68">
        <f>IF('Marks Entry'!AN24="","",'Marks Entry'!AN24)</f>
        <v>8</v>
      </c>
      <c r="CH24" s="514">
        <f t="shared" si="37"/>
        <v>24</v>
      </c>
      <c r="CI24" s="68">
        <f>IF('Marks Entry'!AO24="","",'Marks Entry'!AO24)</f>
        <v>46</v>
      </c>
      <c r="CJ24" s="515">
        <f t="shared" si="38"/>
        <v>70</v>
      </c>
      <c r="CK24" s="68">
        <f>IF('Marks Entry'!AP24="","",'Marks Entry'!AP24)</f>
        <v>45</v>
      </c>
      <c r="CL24" s="96">
        <f t="shared" si="39"/>
        <v>115</v>
      </c>
      <c r="CM24" s="65">
        <f t="shared" si="40"/>
        <v>0</v>
      </c>
      <c r="CN24" s="65">
        <f t="shared" si="41"/>
        <v>0</v>
      </c>
      <c r="CO24" s="66">
        <f t="shared" si="42"/>
        <v>200</v>
      </c>
      <c r="CP24" s="65" t="str">
        <f t="shared" si="43"/>
        <v/>
      </c>
      <c r="CQ24" s="65" t="str">
        <f t="shared" si="44"/>
        <v>P</v>
      </c>
      <c r="CR24" s="65" t="str">
        <f t="shared" si="45"/>
        <v>II</v>
      </c>
      <c r="CS24" s="616"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8" t="str">
        <f>IF('School Profile'!$D$20="NO","",IF('Marks Entry'!AR24="","",'Marks Entry'!AR24))</f>
        <v/>
      </c>
      <c r="CU24" s="68" t="str">
        <f>IF('School Profile'!$D$20="NO","",IF('Marks Entry'!AS24="","",'Marks Entry'!AS24))</f>
        <v/>
      </c>
      <c r="CV24" s="68" t="str">
        <f>IF('School Profile'!$D$20="NO","",IF('Marks Entry'!AT24="","",'Marks Entry'!AT24))</f>
        <v/>
      </c>
      <c r="CW24" s="514" t="str">
        <f>IF('School Profile'!$D$20="NO","",IF(AND(CT24="",CU24="",CV24=""),"",SUM(CT24:CV24)))</f>
        <v/>
      </c>
      <c r="CX24" s="68" t="str">
        <f>IF('School Profile'!$D$20="NO","",IF('Marks Entry'!AU24="","",'Marks Entry'!AU24))</f>
        <v/>
      </c>
      <c r="CY24" s="68" t="str">
        <f>IF('School Profile'!$D$20="NO","",IF('Marks Entry'!AV24="","",'Marks Entry'!AV24))</f>
        <v/>
      </c>
      <c r="CZ24" s="515" t="str">
        <f>IF('School Profile'!$D$20="NO","",IF(AND(CX24="",CY24=""),"",SUM(CX24,CY24)))</f>
        <v/>
      </c>
      <c r="DA24" s="69" t="str">
        <f>IF('School Profile'!$D$20="NO","",IF(AND(CW24="",CZ24=""),"",SUM(CW24+CZ24)))</f>
        <v/>
      </c>
      <c r="DB24" s="68" t="str">
        <f>IF('School Profile'!$D$20="NO","",IF('Marks Entry'!AW24="","",'Marks Entry'!AW24))</f>
        <v/>
      </c>
      <c r="DC24" s="68" t="str">
        <f>IF('School Profile'!$D$20="NO","",IF('Marks Entry'!AX24="","",'Marks Entry'!AX24))</f>
        <v/>
      </c>
      <c r="DD24" s="515" t="str">
        <f>IF('School Profile'!$D$20="NO","",IF(AND(DB24="",DC24=""),"",SUM(DB24,DC24)))</f>
        <v/>
      </c>
      <c r="DE24" s="96" t="str">
        <f>IF('School Profile'!$D$20="NO","",IF(AND(DA24="",DD24=""),"",SUM(DA24,DD24)))</f>
        <v/>
      </c>
      <c r="DF24" s="532">
        <f t="shared" si="46"/>
        <v>0</v>
      </c>
      <c r="DG24" s="65">
        <f t="shared" si="47"/>
        <v>0</v>
      </c>
      <c r="DH24" s="66" t="str">
        <f t="shared" si="48"/>
        <v/>
      </c>
      <c r="DI24" s="65" t="str">
        <f t="shared" si="49"/>
        <v/>
      </c>
      <c r="DJ24" s="65" t="str">
        <f t="shared" si="50"/>
        <v/>
      </c>
      <c r="DK24" s="65" t="str">
        <f t="shared" si="51"/>
        <v/>
      </c>
      <c r="DL24" s="97" t="str">
        <f t="shared" si="94"/>
        <v>I</v>
      </c>
      <c r="DM24" s="97" t="str">
        <f t="shared" si="95"/>
        <v>D</v>
      </c>
      <c r="DN24" s="97" t="str">
        <f t="shared" si="96"/>
        <v>II</v>
      </c>
      <c r="DO24" s="97" t="str">
        <f t="shared" si="97"/>
        <v>II</v>
      </c>
      <c r="DP24" s="97" t="str">
        <f t="shared" si="98"/>
        <v>II</v>
      </c>
      <c r="DQ24" s="97" t="str">
        <f t="shared" si="99"/>
        <v>II</v>
      </c>
      <c r="DR24" s="97" t="str">
        <f t="shared" si="100"/>
        <v/>
      </c>
      <c r="DS24" s="98">
        <f t="shared" si="101"/>
        <v>0</v>
      </c>
      <c r="DT24" s="98">
        <f t="shared" si="102"/>
        <v>0</v>
      </c>
      <c r="DU24" s="98">
        <f t="shared" si="103"/>
        <v>0</v>
      </c>
      <c r="DV24" s="98">
        <f t="shared" si="104"/>
        <v>0</v>
      </c>
      <c r="DW24" s="98">
        <f t="shared" si="105"/>
        <v>0</v>
      </c>
      <c r="DX24" s="98" t="str">
        <f t="shared" si="106"/>
        <v/>
      </c>
      <c r="DY24" s="99" t="str">
        <f t="shared" si="107"/>
        <v>PASS</v>
      </c>
      <c r="DZ24" s="74" t="str">
        <f>IF('Marks Entry'!AY24="","",'Marks Entry'!AY24)</f>
        <v/>
      </c>
      <c r="EA24" s="74" t="str">
        <f>IF('Marks Entry'!AZ24="","",'Marks Entry'!AZ24)</f>
        <v/>
      </c>
      <c r="EB24" s="74" t="str">
        <f>IF('Marks Entry'!BA24="","",'Marks Entry'!BA24)</f>
        <v/>
      </c>
      <c r="EC24" s="527" t="str">
        <f t="shared" si="52"/>
        <v/>
      </c>
      <c r="ED24" s="74" t="str">
        <f>IF('Marks Entry'!BB24="","",'Marks Entry'!BB24)</f>
        <v/>
      </c>
      <c r="EE24" s="528" t="str">
        <f t="shared" si="53"/>
        <v/>
      </c>
      <c r="EF24" s="74" t="str">
        <f>IF('Marks Entry'!BC24="","",'Marks Entry'!BC24)</f>
        <v/>
      </c>
      <c r="EG24" s="530" t="str">
        <f t="shared" si="54"/>
        <v/>
      </c>
      <c r="EH24" s="368" t="str">
        <f t="shared" si="108"/>
        <v/>
      </c>
      <c r="EI24" s="65">
        <f t="shared" si="109"/>
        <v>0</v>
      </c>
      <c r="EJ24" s="65">
        <f t="shared" si="110"/>
        <v>0</v>
      </c>
      <c r="EK24" s="66" t="str">
        <f t="shared" si="111"/>
        <v/>
      </c>
      <c r="EL24" s="74" t="str">
        <f>IF('Marks Entry'!BD24="","",'Marks Entry'!BD24)</f>
        <v/>
      </c>
      <c r="EM24" s="74" t="str">
        <f>IF('Marks Entry'!BE24="","",'Marks Entry'!BE24)</f>
        <v/>
      </c>
      <c r="EN24" s="74" t="str">
        <f>IF('Marks Entry'!BF24="","",'Marks Entry'!BF24)</f>
        <v/>
      </c>
      <c r="EO24" s="527" t="str">
        <f t="shared" si="55"/>
        <v/>
      </c>
      <c r="EP24" s="74" t="str">
        <f>IF('Marks Entry'!BG24="","",'Marks Entry'!BG24)</f>
        <v/>
      </c>
      <c r="EQ24" s="74" t="str">
        <f>IF('Marks Entry'!BH24="","",'Marks Entry'!BH24)</f>
        <v/>
      </c>
      <c r="ER24" s="528" t="str">
        <f t="shared" si="56"/>
        <v/>
      </c>
      <c r="ES24" s="529" t="str">
        <f t="shared" si="57"/>
        <v/>
      </c>
      <c r="ET24" s="74" t="str">
        <f>IF('Marks Entry'!BI24="","",'Marks Entry'!BI24)</f>
        <v/>
      </c>
      <c r="EU24" s="74" t="str">
        <f>IF('Marks Entry'!BJ24="","",'Marks Entry'!BJ24)</f>
        <v/>
      </c>
      <c r="EV24" s="528" t="str">
        <f t="shared" si="58"/>
        <v/>
      </c>
      <c r="EW24" s="530" t="str">
        <f t="shared" si="59"/>
        <v/>
      </c>
      <c r="EX24" s="368" t="str">
        <f t="shared" si="112"/>
        <v/>
      </c>
      <c r="EY24" s="65">
        <f t="shared" si="113"/>
        <v>0</v>
      </c>
      <c r="EZ24" s="65">
        <f t="shared" si="114"/>
        <v>0</v>
      </c>
      <c r="FA24" s="66" t="str">
        <f t="shared" si="115"/>
        <v/>
      </c>
      <c r="FB24" s="74" t="str">
        <f>IF('Marks Entry'!BK24="","",'Marks Entry'!BK24)</f>
        <v/>
      </c>
      <c r="FC24" s="74" t="str">
        <f>IF('Marks Entry'!BL24="","",'Marks Entry'!BL24)</f>
        <v/>
      </c>
      <c r="FD24" s="74" t="str">
        <f>IF('Marks Entry'!BM24="","",'Marks Entry'!BM24)</f>
        <v/>
      </c>
      <c r="FE24" s="74" t="str">
        <f>IF('Marks Entry'!BN24="","",'Marks Entry'!BN24)</f>
        <v/>
      </c>
      <c r="FF24" s="74" t="str">
        <f>IF('Marks Entry'!BO24="","",'Marks Entry'!BO24)</f>
        <v/>
      </c>
      <c r="FG24" s="74" t="str">
        <f>IF('Marks Entry'!BP24="","",'Marks Entry'!BP24)</f>
        <v/>
      </c>
      <c r="FH24" s="527" t="str">
        <f t="shared" si="60"/>
        <v/>
      </c>
      <c r="FI24" s="74" t="str">
        <f>IF('Marks Entry'!BQ24="","",'Marks Entry'!BQ24)</f>
        <v/>
      </c>
      <c r="FJ24" s="74" t="str">
        <f>IF('Marks Entry'!BR24="","",'Marks Entry'!BR24)</f>
        <v/>
      </c>
      <c r="FK24" s="528" t="str">
        <f t="shared" si="61"/>
        <v/>
      </c>
      <c r="FL24" s="529" t="str">
        <f t="shared" si="62"/>
        <v/>
      </c>
      <c r="FM24" s="74" t="str">
        <f>IF('Marks Entry'!BS24="","",'Marks Entry'!BS24)</f>
        <v/>
      </c>
      <c r="FN24" s="74" t="str">
        <f>IF('Marks Entry'!BT24="","",'Marks Entry'!BT24)</f>
        <v/>
      </c>
      <c r="FO24" s="528" t="str">
        <f t="shared" si="63"/>
        <v/>
      </c>
      <c r="FP24" s="530" t="str">
        <f t="shared" si="64"/>
        <v/>
      </c>
      <c r="FQ24" s="368" t="str">
        <f t="shared" si="116"/>
        <v/>
      </c>
      <c r="FR24" s="65">
        <f t="shared" si="117"/>
        <v>0</v>
      </c>
      <c r="FS24" s="65">
        <f t="shared" si="118"/>
        <v>0</v>
      </c>
      <c r="FT24" s="66" t="str">
        <f t="shared" si="119"/>
        <v/>
      </c>
      <c r="FU24" s="74" t="str">
        <f>IF('Marks Entry'!BU24="","",'Marks Entry'!BU24)</f>
        <v/>
      </c>
      <c r="FV24" s="74" t="str">
        <f>IF('Marks Entry'!BV24="","",'Marks Entry'!BV24)</f>
        <v/>
      </c>
      <c r="FW24" s="74" t="str">
        <f>IF('Marks Entry'!BW24="","",'Marks Entry'!BW24)</f>
        <v/>
      </c>
      <c r="FX24" s="75" t="str">
        <f t="shared" si="65"/>
        <v/>
      </c>
      <c r="FY24" s="368" t="str">
        <f t="shared" si="120"/>
        <v/>
      </c>
      <c r="FZ24" s="65">
        <f t="shared" si="121"/>
        <v>0</v>
      </c>
      <c r="GA24" s="66">
        <f t="shared" si="122"/>
        <v>0</v>
      </c>
      <c r="GB24" s="66" t="str">
        <f t="shared" si="123"/>
        <v/>
      </c>
      <c r="GC24" s="74" t="str">
        <f>IF('Marks Entry'!BX24="","",'Marks Entry'!BX24)</f>
        <v/>
      </c>
      <c r="GD24" s="74" t="str">
        <f>IF('Marks Entry'!BY24="","",'Marks Entry'!BY24)</f>
        <v/>
      </c>
      <c r="GE24" s="74" t="str">
        <f>IF('Marks Entry'!BZ24="","",'Marks Entry'!BZ24)</f>
        <v/>
      </c>
      <c r="GF24" s="75" t="str">
        <f t="shared" si="124"/>
        <v/>
      </c>
      <c r="GG24" s="368" t="str">
        <f t="shared" si="125"/>
        <v/>
      </c>
      <c r="GH24" s="65">
        <f t="shared" si="126"/>
        <v>0</v>
      </c>
      <c r="GI24" s="66">
        <f t="shared" si="127"/>
        <v>0</v>
      </c>
      <c r="GJ24" s="66" t="str">
        <f t="shared" si="128"/>
        <v/>
      </c>
      <c r="GK24" s="100" t="str">
        <f>IF(AND(F24="",B24=""),"",IF('Student DATA Entry'!M21="","",'Student DATA Entry'!M21))</f>
        <v/>
      </c>
      <c r="GL24" s="101" t="str">
        <f>IF(AND(B24="",F24=""),"",IF('Student DATA Entry'!N21="","",'Student DATA Entry'!N21))</f>
        <v/>
      </c>
      <c r="GM24" s="581" t="str">
        <f t="shared" si="129"/>
        <v/>
      </c>
      <c r="GN24" s="94" t="str">
        <f t="shared" si="130"/>
        <v>I</v>
      </c>
      <c r="GO24" s="94" t="str">
        <f t="shared" si="131"/>
        <v/>
      </c>
      <c r="GP24" s="102" t="str">
        <f t="shared" si="67"/>
        <v/>
      </c>
      <c r="GQ24" s="94" t="str">
        <f t="shared" si="132"/>
        <v>D</v>
      </c>
      <c r="GR24" s="103" t="str">
        <f t="shared" si="133"/>
        <v/>
      </c>
      <c r="GS24" s="102" t="str">
        <f t="shared" si="68"/>
        <v/>
      </c>
      <c r="GT24" s="104" t="str">
        <f t="shared" si="134"/>
        <v>II</v>
      </c>
      <c r="GU24" s="94" t="str">
        <f>IF('Marks Entry'!V24=1,GT24,"")</f>
        <v/>
      </c>
      <c r="GV24" s="94" t="str">
        <f>IF('Marks Entry'!V24=2,GT24,"")</f>
        <v>II</v>
      </c>
      <c r="GW24" s="94" t="str">
        <f>IF('Marks Entry'!V24=3,GT24,"")</f>
        <v/>
      </c>
      <c r="GX24" s="94" t="str">
        <f>IF('Marks Entry'!V24=4,GT24,"")</f>
        <v/>
      </c>
      <c r="GY24" s="94" t="str">
        <f>IF('Marks Entry'!V24=5,GT24,"")</f>
        <v/>
      </c>
      <c r="GZ24" s="94" t="str">
        <f t="shared" si="135"/>
        <v/>
      </c>
      <c r="HA24" s="105" t="str">
        <f t="shared" si="69"/>
        <v/>
      </c>
      <c r="HB24" s="94" t="str">
        <f t="shared" si="136"/>
        <v>II</v>
      </c>
      <c r="HC24" s="94" t="str">
        <f t="shared" si="137"/>
        <v/>
      </c>
      <c r="HD24" s="105" t="str">
        <f t="shared" si="70"/>
        <v/>
      </c>
      <c r="HE24" s="94" t="str">
        <f t="shared" si="138"/>
        <v>II</v>
      </c>
      <c r="HF24" s="94" t="str">
        <f t="shared" si="139"/>
        <v/>
      </c>
      <c r="HG24" s="105" t="str">
        <f t="shared" si="71"/>
        <v/>
      </c>
      <c r="HH24" s="94" t="str">
        <f t="shared" si="140"/>
        <v>II</v>
      </c>
      <c r="HI24" s="94" t="str">
        <f t="shared" si="141"/>
        <v/>
      </c>
      <c r="HJ24" s="105" t="str">
        <f t="shared" si="72"/>
        <v/>
      </c>
      <c r="HK24" s="94" t="str">
        <f t="shared" si="142"/>
        <v/>
      </c>
      <c r="HL24" s="94" t="str">
        <f t="shared" si="143"/>
        <v/>
      </c>
      <c r="HM24" s="105" t="str">
        <f t="shared" si="73"/>
        <v/>
      </c>
      <c r="HN24" s="367" t="str">
        <f t="shared" si="144"/>
        <v xml:space="preserve">      </v>
      </c>
      <c r="HO24" s="418" t="str">
        <f t="shared" si="145"/>
        <v xml:space="preserve">      </v>
      </c>
      <c r="HP24" s="367" t="str">
        <f t="shared" si="146"/>
        <v xml:space="preserve">      </v>
      </c>
      <c r="HQ24" s="107" t="str">
        <f t="shared" si="147"/>
        <v xml:space="preserve">      </v>
      </c>
      <c r="HR24" s="366" t="str">
        <f t="shared" si="148"/>
        <v xml:space="preserve"> अंग्रेजी     </v>
      </c>
      <c r="HS24" s="544" t="str">
        <f t="shared" si="74"/>
        <v>PASS</v>
      </c>
      <c r="HT24" s="542">
        <f t="shared" si="149"/>
        <v>768</v>
      </c>
      <c r="HU24" s="541">
        <f t="shared" si="160"/>
        <v>64</v>
      </c>
      <c r="HV24" s="540" t="str">
        <f t="shared" si="150"/>
        <v>1st</v>
      </c>
      <c r="HW24" s="537">
        <f t="shared" si="151"/>
        <v>64</v>
      </c>
      <c r="HX24" s="539">
        <f t="shared" si="152"/>
        <v>6.9999999999999263</v>
      </c>
      <c r="HY24" s="553" t="str">
        <f>IFERROR(IF(OR(HS24="SUPPLEMENTARY",HS24="RE-EXAM"),'Supp. Result Entry'!AQ22,""),"")</f>
        <v/>
      </c>
      <c r="HZ24" s="538" t="str">
        <f t="shared" si="153"/>
        <v/>
      </c>
      <c r="IA24" s="415" t="str">
        <f t="shared" si="154"/>
        <v/>
      </c>
      <c r="IB24" s="415" t="str">
        <f>IF(AND(HZ24="",IA24=""),"",IF(OR(HS24="SUPPLEMENTARY",HS24="RE-EXAM"),'Supp. Result Entry'!AQ22,HS24))</f>
        <v/>
      </c>
      <c r="IC24" s="87"/>
      <c r="IS24" s="109" t="str">
        <f>IF('Supp. Result Entry'!T22="","",'Supp. Result Entry'!$T$4)</f>
        <v/>
      </c>
      <c r="IT24" s="110" t="str">
        <f>IF('Supp. Result Entry'!W22="","",'Supp. Result Entry'!$W$4)</f>
        <v/>
      </c>
      <c r="IU24" s="110" t="str">
        <f>IF('Supp. Result Entry'!Z22="","",'Supp. Result Entry'!$Z$4)</f>
        <v/>
      </c>
      <c r="IV24" s="110" t="str">
        <f>IF('Supp. Result Entry'!AC22="","",'Supp. Result Entry'!$AC$4)</f>
        <v/>
      </c>
      <c r="IW24" s="110" t="str">
        <f>IF('Supp. Result Entry'!AF22="","",'Supp. Result Entry'!$AF$4)</f>
        <v/>
      </c>
      <c r="IX24" s="110" t="str">
        <f>IF('Supp. Result Entry'!AI22="","",'Supp. Result Entry'!$AI$4)</f>
        <v/>
      </c>
      <c r="IY24" s="110" t="str">
        <f>IF('Supp. Result Entry'!AI22="","",'Supp. Result Entry'!$AL$4)</f>
        <v/>
      </c>
      <c r="IZ24" s="110" t="str">
        <f>IF('Supp. Result Entry'!U22="","",'Supp. Result Entry'!U22)</f>
        <v/>
      </c>
      <c r="JA24" s="110" t="str">
        <f>IF('Supp. Result Entry'!X22="","",'Supp. Result Entry'!X22)</f>
        <v/>
      </c>
      <c r="JB24" s="110" t="str">
        <f>IF('Supp. Result Entry'!AA22="","",'Supp. Result Entry'!AA22)</f>
        <v/>
      </c>
      <c r="JC24" s="110" t="str">
        <f>IF('Supp. Result Entry'!AD22="","",'Supp. Result Entry'!AD22)</f>
        <v/>
      </c>
      <c r="JD24" s="110" t="str">
        <f>IF('Supp. Result Entry'!AG22="","",'Supp. Result Entry'!AG22)</f>
        <v/>
      </c>
      <c r="JE24" s="110" t="str">
        <f>IF('Supp. Result Entry'!AJ22="","",'Supp. Result Entry'!AJ22)</f>
        <v/>
      </c>
      <c r="JF24" s="110" t="str">
        <f>IF('Supp. Result Entry'!AM22="","",'Supp. Result Entry'!AM22)</f>
        <v/>
      </c>
      <c r="JG24" s="110" t="str">
        <f>IF('Supp. Result Entry'!V22="","",'Supp. Result Entry'!V22)</f>
        <v/>
      </c>
      <c r="JH24" s="110" t="str">
        <f>IF('Supp. Result Entry'!Y22="","",'Supp. Result Entry'!Y22)</f>
        <v/>
      </c>
      <c r="JI24" s="110" t="str">
        <f>IF('Supp. Result Entry'!AB22="","",'Supp. Result Entry'!AB22)</f>
        <v/>
      </c>
      <c r="JJ24" s="110" t="str">
        <f>IF('Supp. Result Entry'!AE22="","",'Supp. Result Entry'!AE22)</f>
        <v/>
      </c>
      <c r="JK24" s="110" t="str">
        <f>IF('Supp. Result Entry'!AH22="","",'Supp. Result Entry'!AH22)</f>
        <v/>
      </c>
      <c r="JL24" s="110" t="str">
        <f>IF('Supp. Result Entry'!AK22="","",'Supp. Result Entry'!AK22)</f>
        <v/>
      </c>
      <c r="JM24" s="110" t="str">
        <f>IF('Supp. Result Entry'!AN22="","",'Supp. Result Entry'!AN22)</f>
        <v/>
      </c>
      <c r="JN24" s="110">
        <f>COUNTIF('Supp. Result Entry'!K22:Q22,"S")</f>
        <v>0</v>
      </c>
      <c r="JO24" s="110">
        <f t="shared" si="155"/>
        <v>0</v>
      </c>
      <c r="JP24" s="110">
        <f t="shared" si="156"/>
        <v>0</v>
      </c>
      <c r="JQ24" s="110" t="str">
        <f t="shared" si="75"/>
        <v/>
      </c>
      <c r="JR24" s="110" t="str">
        <f t="shared" si="76"/>
        <v/>
      </c>
      <c r="JS24" s="110" t="str">
        <f t="shared" si="77"/>
        <v/>
      </c>
      <c r="JT24" s="110" t="str">
        <f t="shared" si="78"/>
        <v/>
      </c>
      <c r="JU24" s="110" t="str">
        <f t="shared" si="79"/>
        <v/>
      </c>
      <c r="JV24" s="110" t="str">
        <f t="shared" si="80"/>
        <v/>
      </c>
      <c r="JW24" s="110" t="str">
        <f t="shared" si="81"/>
        <v/>
      </c>
      <c r="JX24" s="110" t="str">
        <f t="shared" si="157"/>
        <v/>
      </c>
      <c r="JY24" s="110" t="str">
        <f t="shared" si="158"/>
        <v/>
      </c>
      <c r="JZ24" s="110" t="str">
        <f t="shared" si="82"/>
        <v/>
      </c>
      <c r="KA24" s="108" t="str">
        <f t="shared" si="159"/>
        <v/>
      </c>
    </row>
    <row r="25" spans="1:287" s="108" customFormat="1" ht="21.95" customHeight="1">
      <c r="A25" s="89">
        <v>19</v>
      </c>
      <c r="B25" s="90">
        <f>IF('Marks Entry'!B25="","",'Marks Entry'!B25)</f>
        <v>919</v>
      </c>
      <c r="C25" s="94" t="str">
        <f>IF('Marks Entry'!D25="","",'Marks Entry'!D25)</f>
        <v>A</v>
      </c>
      <c r="D25" s="91" t="str">
        <f>IF('Marks Entry'!E25="","",'Marks Entry'!E25)</f>
        <v/>
      </c>
      <c r="E25" s="92" t="str">
        <f>IF('Marks Entry'!F25="","",'Marks Entry'!F25)</f>
        <v/>
      </c>
      <c r="F25" s="93" t="str">
        <f>IF('Marks Entry'!G25="","",'Marks Entry'!G25)</f>
        <v>RAZA</v>
      </c>
      <c r="G25" s="93" t="str">
        <f>IF('Marks Entry'!H25="","",'Marks Entry'!H25)</f>
        <v/>
      </c>
      <c r="H25" s="93" t="str">
        <f>IF('Marks Entry'!I25="","",'Marks Entry'!I25)</f>
        <v/>
      </c>
      <c r="I25" s="94" t="str">
        <f>IF('Marks Entry'!J25="","",'Marks Entry'!J25)</f>
        <v/>
      </c>
      <c r="J25" s="95" t="str">
        <f>IF('Marks Entry'!K25="","",'Marks Entry'!K25)</f>
        <v/>
      </c>
      <c r="K25" s="68">
        <f>IF('Marks Entry'!L25="","",'Marks Entry'!L25)</f>
        <v>8</v>
      </c>
      <c r="L25" s="68">
        <f>IF('Marks Entry'!M25="","",'Marks Entry'!M25)</f>
        <v>9</v>
      </c>
      <c r="M25" s="68">
        <f>IF('Marks Entry'!N25="","",'Marks Entry'!N25)</f>
        <v>8</v>
      </c>
      <c r="N25" s="514">
        <f t="shared" si="83"/>
        <v>25</v>
      </c>
      <c r="O25" s="68">
        <f>IF('Marks Entry'!O25="","",'Marks Entry'!O25)</f>
        <v>46</v>
      </c>
      <c r="P25" s="515">
        <f t="shared" si="84"/>
        <v>71</v>
      </c>
      <c r="Q25" s="68">
        <f>IF('Marks Entry'!P25="","",'Marks Entry'!P25)</f>
        <v>65</v>
      </c>
      <c r="R25" s="96">
        <f t="shared" si="85"/>
        <v>136</v>
      </c>
      <c r="S25" s="65">
        <f t="shared" si="86"/>
        <v>0</v>
      </c>
      <c r="T25" s="65">
        <f t="shared" si="87"/>
        <v>0</v>
      </c>
      <c r="U25" s="66">
        <f t="shared" si="88"/>
        <v>200</v>
      </c>
      <c r="V25" s="65" t="str">
        <f t="shared" si="89"/>
        <v/>
      </c>
      <c r="W25" s="65" t="str">
        <f t="shared" si="90"/>
        <v>P</v>
      </c>
      <c r="X25" s="65" t="str">
        <f t="shared" si="91"/>
        <v>I</v>
      </c>
      <c r="Y25" s="68">
        <f>IF('Marks Entry'!Q25="","",'Marks Entry'!Q25)</f>
        <v>8</v>
      </c>
      <c r="Z25" s="68">
        <f>IF('Marks Entry'!R25="","",'Marks Entry'!R25)</f>
        <v>9</v>
      </c>
      <c r="AA25" s="68">
        <f>IF('Marks Entry'!S25="","",'Marks Entry'!S25)</f>
        <v>8</v>
      </c>
      <c r="AB25" s="514">
        <f t="shared" si="2"/>
        <v>25</v>
      </c>
      <c r="AC25" s="68">
        <f>IF('Marks Entry'!T25="","",'Marks Entry'!T25)</f>
        <v>60</v>
      </c>
      <c r="AD25" s="515">
        <f t="shared" si="3"/>
        <v>85</v>
      </c>
      <c r="AE25" s="68">
        <f>IF('Marks Entry'!U25="","",'Marks Entry'!U25)</f>
        <v>85</v>
      </c>
      <c r="AF25" s="96">
        <f t="shared" si="4"/>
        <v>170</v>
      </c>
      <c r="AG25" s="65">
        <f t="shared" si="5"/>
        <v>0</v>
      </c>
      <c r="AH25" s="65">
        <f t="shared" si="6"/>
        <v>0</v>
      </c>
      <c r="AI25" s="66">
        <f t="shared" si="7"/>
        <v>200</v>
      </c>
      <c r="AJ25" s="65" t="str">
        <f t="shared" si="8"/>
        <v/>
      </c>
      <c r="AK25" s="65" t="str">
        <f t="shared" si="9"/>
        <v>P</v>
      </c>
      <c r="AL25" s="65" t="str">
        <f t="shared" si="10"/>
        <v>D</v>
      </c>
      <c r="AM25" s="524" t="str">
        <f>IF('Marks Entry'!V25="","",IF('Marks Entry'!V25=1,'School Profile'!$I$9,IF('Marks Entry'!V25=2,'School Profile'!$I$10,IF('Marks Entry'!V25=3,'School Profile'!$I$11,IF('Marks Entry'!V25=4,'School Profile'!$I$12,IF('Marks Entry'!V25=5,'School Profile'!$I$13,IF('Marks Entry'!V25=6,'School Profile'!$I$14,"")))))))</f>
        <v xml:space="preserve">उर्दू (72) </v>
      </c>
      <c r="AN25" s="68">
        <f>IF('Marks Entry'!W25="","",'Marks Entry'!W25)</f>
        <v>8</v>
      </c>
      <c r="AO25" s="68">
        <f>IF('Marks Entry'!X25="","",'Marks Entry'!X25)</f>
        <v>9</v>
      </c>
      <c r="AP25" s="68">
        <f>IF('Marks Entry'!Y25="","",'Marks Entry'!Y25)</f>
        <v>9</v>
      </c>
      <c r="AQ25" s="514">
        <f t="shared" si="11"/>
        <v>26</v>
      </c>
      <c r="AR25" s="68">
        <f>IF('Marks Entry'!Z25="","",'Marks Entry'!Z25)</f>
        <v>46</v>
      </c>
      <c r="AS25" s="515">
        <f t="shared" si="12"/>
        <v>72</v>
      </c>
      <c r="AT25" s="68">
        <f>IF('Marks Entry'!AA25="","",'Marks Entry'!AA25)</f>
        <v>45</v>
      </c>
      <c r="AU25" s="96">
        <f t="shared" si="13"/>
        <v>117</v>
      </c>
      <c r="AV25" s="65">
        <f t="shared" si="14"/>
        <v>0</v>
      </c>
      <c r="AW25" s="65">
        <f t="shared" si="15"/>
        <v>0</v>
      </c>
      <c r="AX25" s="66">
        <f t="shared" si="16"/>
        <v>200</v>
      </c>
      <c r="AY25" s="65" t="str">
        <f t="shared" si="17"/>
        <v/>
      </c>
      <c r="AZ25" s="65" t="str">
        <f t="shared" si="18"/>
        <v>P</v>
      </c>
      <c r="BA25" s="65" t="str">
        <f t="shared" si="19"/>
        <v>II</v>
      </c>
      <c r="BB25" s="68">
        <f>IF('Marks Entry'!AB25="","",'Marks Entry'!AB25)</f>
        <v>8</v>
      </c>
      <c r="BC25" s="68">
        <f>IF('Marks Entry'!AC25="","",'Marks Entry'!AC25)</f>
        <v>9</v>
      </c>
      <c r="BD25" s="68">
        <f>IF('Marks Entry'!AD25="","",'Marks Entry'!AD25)</f>
        <v>7</v>
      </c>
      <c r="BE25" s="514">
        <f t="shared" si="20"/>
        <v>24</v>
      </c>
      <c r="BF25" s="68">
        <f>IF('Marks Entry'!AE25="","",'Marks Entry'!AE25)</f>
        <v>46</v>
      </c>
      <c r="BG25" s="515">
        <f t="shared" si="21"/>
        <v>70</v>
      </c>
      <c r="BH25" s="68">
        <f>IF('Marks Entry'!AF25="","",'Marks Entry'!AF25)</f>
        <v>45</v>
      </c>
      <c r="BI25" s="96">
        <f t="shared" si="22"/>
        <v>115</v>
      </c>
      <c r="BJ25" s="65">
        <f t="shared" si="23"/>
        <v>0</v>
      </c>
      <c r="BK25" s="65">
        <f t="shared" si="92"/>
        <v>0</v>
      </c>
      <c r="BL25" s="66">
        <f t="shared" si="24"/>
        <v>200</v>
      </c>
      <c r="BM25" s="65" t="str">
        <f t="shared" si="25"/>
        <v/>
      </c>
      <c r="BN25" s="65" t="str">
        <f t="shared" si="26"/>
        <v>P</v>
      </c>
      <c r="BO25" s="65" t="str">
        <f t="shared" si="27"/>
        <v>II</v>
      </c>
      <c r="BP25" s="68">
        <f>IF('Marks Entry'!AG25="","",'Marks Entry'!AG25)</f>
        <v>8</v>
      </c>
      <c r="BQ25" s="68">
        <f>IF('Marks Entry'!AH25="","",'Marks Entry'!AH25)</f>
        <v>9</v>
      </c>
      <c r="BR25" s="68">
        <f>IF('Marks Entry'!AI25="","",'Marks Entry'!AI25)</f>
        <v>7</v>
      </c>
      <c r="BS25" s="514">
        <f t="shared" si="28"/>
        <v>24</v>
      </c>
      <c r="BT25" s="68">
        <f>IF('Marks Entry'!AJ25="","",'Marks Entry'!AJ25)</f>
        <v>46</v>
      </c>
      <c r="BU25" s="515">
        <f t="shared" si="29"/>
        <v>70</v>
      </c>
      <c r="BV25" s="68">
        <f>IF('Marks Entry'!AK25="","",'Marks Entry'!AK25)</f>
        <v>45</v>
      </c>
      <c r="BW25" s="96">
        <f t="shared" si="30"/>
        <v>115</v>
      </c>
      <c r="BX25" s="65">
        <f t="shared" si="31"/>
        <v>0</v>
      </c>
      <c r="BY25" s="65">
        <f t="shared" si="32"/>
        <v>0</v>
      </c>
      <c r="BZ25" s="66">
        <f t="shared" si="33"/>
        <v>200</v>
      </c>
      <c r="CA25" s="65" t="str">
        <f t="shared" si="34"/>
        <v/>
      </c>
      <c r="CB25" s="65" t="str">
        <f t="shared" si="35"/>
        <v>P</v>
      </c>
      <c r="CC25" s="65" t="str">
        <f t="shared" si="36"/>
        <v>II</v>
      </c>
      <c r="CD25" s="66">
        <f t="shared" si="93"/>
        <v>0</v>
      </c>
      <c r="CE25" s="68">
        <f>IF('Marks Entry'!AL25="","",'Marks Entry'!AL25)</f>
        <v>8</v>
      </c>
      <c r="CF25" s="68">
        <f>IF('Marks Entry'!AM25="","",'Marks Entry'!AM25)</f>
        <v>8</v>
      </c>
      <c r="CG25" s="68">
        <f>IF('Marks Entry'!AN25="","",'Marks Entry'!AN25)</f>
        <v>8</v>
      </c>
      <c r="CH25" s="514">
        <f t="shared" si="37"/>
        <v>24</v>
      </c>
      <c r="CI25" s="68">
        <f>IF('Marks Entry'!AO25="","",'Marks Entry'!AO25)</f>
        <v>46</v>
      </c>
      <c r="CJ25" s="515">
        <f t="shared" si="38"/>
        <v>70</v>
      </c>
      <c r="CK25" s="68">
        <f>IF('Marks Entry'!AP25="","",'Marks Entry'!AP25)</f>
        <v>45</v>
      </c>
      <c r="CL25" s="96">
        <f t="shared" si="39"/>
        <v>115</v>
      </c>
      <c r="CM25" s="65">
        <f t="shared" si="40"/>
        <v>0</v>
      </c>
      <c r="CN25" s="65">
        <f t="shared" si="41"/>
        <v>0</v>
      </c>
      <c r="CO25" s="66">
        <f t="shared" si="42"/>
        <v>200</v>
      </c>
      <c r="CP25" s="65" t="str">
        <f t="shared" si="43"/>
        <v/>
      </c>
      <c r="CQ25" s="65" t="str">
        <f t="shared" si="44"/>
        <v>P</v>
      </c>
      <c r="CR25" s="65" t="str">
        <f t="shared" si="45"/>
        <v>II</v>
      </c>
      <c r="CS25" s="616"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8" t="str">
        <f>IF('School Profile'!$D$20="NO","",IF('Marks Entry'!AR25="","",'Marks Entry'!AR25))</f>
        <v/>
      </c>
      <c r="CU25" s="68" t="str">
        <f>IF('School Profile'!$D$20="NO","",IF('Marks Entry'!AS25="","",'Marks Entry'!AS25))</f>
        <v/>
      </c>
      <c r="CV25" s="68" t="str">
        <f>IF('School Profile'!$D$20="NO","",IF('Marks Entry'!AT25="","",'Marks Entry'!AT25))</f>
        <v/>
      </c>
      <c r="CW25" s="514" t="str">
        <f>IF('School Profile'!$D$20="NO","",IF(AND(CT25="",CU25="",CV25=""),"",SUM(CT25:CV25)))</f>
        <v/>
      </c>
      <c r="CX25" s="68" t="str">
        <f>IF('School Profile'!$D$20="NO","",IF('Marks Entry'!AU25="","",'Marks Entry'!AU25))</f>
        <v/>
      </c>
      <c r="CY25" s="68" t="str">
        <f>IF('School Profile'!$D$20="NO","",IF('Marks Entry'!AV25="","",'Marks Entry'!AV25))</f>
        <v/>
      </c>
      <c r="CZ25" s="515" t="str">
        <f>IF('School Profile'!$D$20="NO","",IF(AND(CX25="",CY25=""),"",SUM(CX25,CY25)))</f>
        <v/>
      </c>
      <c r="DA25" s="69" t="str">
        <f>IF('School Profile'!$D$20="NO","",IF(AND(CW25="",CZ25=""),"",SUM(CW25+CZ25)))</f>
        <v/>
      </c>
      <c r="DB25" s="68" t="str">
        <f>IF('School Profile'!$D$20="NO","",IF('Marks Entry'!AW25="","",'Marks Entry'!AW25))</f>
        <v/>
      </c>
      <c r="DC25" s="68" t="str">
        <f>IF('School Profile'!$D$20="NO","",IF('Marks Entry'!AX25="","",'Marks Entry'!AX25))</f>
        <v/>
      </c>
      <c r="DD25" s="515" t="str">
        <f>IF('School Profile'!$D$20="NO","",IF(AND(DB25="",DC25=""),"",SUM(DB25,DC25)))</f>
        <v/>
      </c>
      <c r="DE25" s="96" t="str">
        <f>IF('School Profile'!$D$20="NO","",IF(AND(DA25="",DD25=""),"",SUM(DA25,DD25)))</f>
        <v/>
      </c>
      <c r="DF25" s="532">
        <f t="shared" si="46"/>
        <v>0</v>
      </c>
      <c r="DG25" s="65">
        <f t="shared" si="47"/>
        <v>0</v>
      </c>
      <c r="DH25" s="66" t="str">
        <f t="shared" si="48"/>
        <v/>
      </c>
      <c r="DI25" s="65" t="str">
        <f t="shared" si="49"/>
        <v/>
      </c>
      <c r="DJ25" s="65" t="str">
        <f t="shared" si="50"/>
        <v/>
      </c>
      <c r="DK25" s="65" t="str">
        <f t="shared" si="51"/>
        <v/>
      </c>
      <c r="DL25" s="97" t="str">
        <f t="shared" si="94"/>
        <v>I</v>
      </c>
      <c r="DM25" s="97" t="str">
        <f t="shared" si="95"/>
        <v>D</v>
      </c>
      <c r="DN25" s="97" t="str">
        <f t="shared" si="96"/>
        <v>II</v>
      </c>
      <c r="DO25" s="97" t="str">
        <f t="shared" si="97"/>
        <v>II</v>
      </c>
      <c r="DP25" s="97" t="str">
        <f t="shared" si="98"/>
        <v>II</v>
      </c>
      <c r="DQ25" s="97" t="str">
        <f t="shared" si="99"/>
        <v>II</v>
      </c>
      <c r="DR25" s="97" t="str">
        <f t="shared" si="100"/>
        <v/>
      </c>
      <c r="DS25" s="98">
        <f t="shared" si="101"/>
        <v>0</v>
      </c>
      <c r="DT25" s="98">
        <f t="shared" si="102"/>
        <v>0</v>
      </c>
      <c r="DU25" s="98">
        <f t="shared" si="103"/>
        <v>0</v>
      </c>
      <c r="DV25" s="98">
        <f t="shared" si="104"/>
        <v>0</v>
      </c>
      <c r="DW25" s="98">
        <f t="shared" si="105"/>
        <v>0</v>
      </c>
      <c r="DX25" s="98" t="str">
        <f t="shared" si="106"/>
        <v/>
      </c>
      <c r="DY25" s="99" t="str">
        <f t="shared" si="107"/>
        <v>PASS</v>
      </c>
      <c r="DZ25" s="74" t="str">
        <f>IF('Marks Entry'!AY25="","",'Marks Entry'!AY25)</f>
        <v/>
      </c>
      <c r="EA25" s="74" t="str">
        <f>IF('Marks Entry'!AZ25="","",'Marks Entry'!AZ25)</f>
        <v/>
      </c>
      <c r="EB25" s="74" t="str">
        <f>IF('Marks Entry'!BA25="","",'Marks Entry'!BA25)</f>
        <v/>
      </c>
      <c r="EC25" s="527" t="str">
        <f t="shared" si="52"/>
        <v/>
      </c>
      <c r="ED25" s="74" t="str">
        <f>IF('Marks Entry'!BB25="","",'Marks Entry'!BB25)</f>
        <v/>
      </c>
      <c r="EE25" s="528" t="str">
        <f t="shared" si="53"/>
        <v/>
      </c>
      <c r="EF25" s="74" t="str">
        <f>IF('Marks Entry'!BC25="","",'Marks Entry'!BC25)</f>
        <v/>
      </c>
      <c r="EG25" s="530" t="str">
        <f t="shared" si="54"/>
        <v/>
      </c>
      <c r="EH25" s="368" t="str">
        <f t="shared" si="108"/>
        <v/>
      </c>
      <c r="EI25" s="65">
        <f t="shared" si="109"/>
        <v>0</v>
      </c>
      <c r="EJ25" s="65">
        <f t="shared" si="110"/>
        <v>0</v>
      </c>
      <c r="EK25" s="66" t="str">
        <f t="shared" si="111"/>
        <v/>
      </c>
      <c r="EL25" s="74" t="str">
        <f>IF('Marks Entry'!BD25="","",'Marks Entry'!BD25)</f>
        <v/>
      </c>
      <c r="EM25" s="74" t="str">
        <f>IF('Marks Entry'!BE25="","",'Marks Entry'!BE25)</f>
        <v/>
      </c>
      <c r="EN25" s="74" t="str">
        <f>IF('Marks Entry'!BF25="","",'Marks Entry'!BF25)</f>
        <v/>
      </c>
      <c r="EO25" s="527" t="str">
        <f t="shared" si="55"/>
        <v/>
      </c>
      <c r="EP25" s="74" t="str">
        <f>IF('Marks Entry'!BG25="","",'Marks Entry'!BG25)</f>
        <v/>
      </c>
      <c r="EQ25" s="74" t="str">
        <f>IF('Marks Entry'!BH25="","",'Marks Entry'!BH25)</f>
        <v/>
      </c>
      <c r="ER25" s="528" t="str">
        <f t="shared" si="56"/>
        <v/>
      </c>
      <c r="ES25" s="529" t="str">
        <f t="shared" si="57"/>
        <v/>
      </c>
      <c r="ET25" s="74" t="str">
        <f>IF('Marks Entry'!BI25="","",'Marks Entry'!BI25)</f>
        <v/>
      </c>
      <c r="EU25" s="74" t="str">
        <f>IF('Marks Entry'!BJ25="","",'Marks Entry'!BJ25)</f>
        <v/>
      </c>
      <c r="EV25" s="528" t="str">
        <f t="shared" si="58"/>
        <v/>
      </c>
      <c r="EW25" s="530" t="str">
        <f t="shared" si="59"/>
        <v/>
      </c>
      <c r="EX25" s="368" t="str">
        <f t="shared" si="112"/>
        <v/>
      </c>
      <c r="EY25" s="65">
        <f t="shared" si="113"/>
        <v>0</v>
      </c>
      <c r="EZ25" s="65">
        <f t="shared" si="114"/>
        <v>0</v>
      </c>
      <c r="FA25" s="66" t="str">
        <f t="shared" si="115"/>
        <v/>
      </c>
      <c r="FB25" s="74" t="str">
        <f>IF('Marks Entry'!BK25="","",'Marks Entry'!BK25)</f>
        <v/>
      </c>
      <c r="FC25" s="74" t="str">
        <f>IF('Marks Entry'!BL25="","",'Marks Entry'!BL25)</f>
        <v/>
      </c>
      <c r="FD25" s="74" t="str">
        <f>IF('Marks Entry'!BM25="","",'Marks Entry'!BM25)</f>
        <v/>
      </c>
      <c r="FE25" s="74" t="str">
        <f>IF('Marks Entry'!BN25="","",'Marks Entry'!BN25)</f>
        <v/>
      </c>
      <c r="FF25" s="74" t="str">
        <f>IF('Marks Entry'!BO25="","",'Marks Entry'!BO25)</f>
        <v/>
      </c>
      <c r="FG25" s="74" t="str">
        <f>IF('Marks Entry'!BP25="","",'Marks Entry'!BP25)</f>
        <v/>
      </c>
      <c r="FH25" s="527" t="str">
        <f t="shared" si="60"/>
        <v/>
      </c>
      <c r="FI25" s="74" t="str">
        <f>IF('Marks Entry'!BQ25="","",'Marks Entry'!BQ25)</f>
        <v/>
      </c>
      <c r="FJ25" s="74" t="str">
        <f>IF('Marks Entry'!BR25="","",'Marks Entry'!BR25)</f>
        <v/>
      </c>
      <c r="FK25" s="528" t="str">
        <f t="shared" si="61"/>
        <v/>
      </c>
      <c r="FL25" s="529" t="str">
        <f t="shared" si="62"/>
        <v/>
      </c>
      <c r="FM25" s="74" t="str">
        <f>IF('Marks Entry'!BS25="","",'Marks Entry'!BS25)</f>
        <v/>
      </c>
      <c r="FN25" s="74" t="str">
        <f>IF('Marks Entry'!BT25="","",'Marks Entry'!BT25)</f>
        <v/>
      </c>
      <c r="FO25" s="528" t="str">
        <f t="shared" si="63"/>
        <v/>
      </c>
      <c r="FP25" s="530" t="str">
        <f t="shared" si="64"/>
        <v/>
      </c>
      <c r="FQ25" s="368" t="str">
        <f t="shared" si="116"/>
        <v/>
      </c>
      <c r="FR25" s="65">
        <f t="shared" si="117"/>
        <v>0</v>
      </c>
      <c r="FS25" s="65">
        <f t="shared" si="118"/>
        <v>0</v>
      </c>
      <c r="FT25" s="66" t="str">
        <f t="shared" si="119"/>
        <v/>
      </c>
      <c r="FU25" s="74" t="str">
        <f>IF('Marks Entry'!BU25="","",'Marks Entry'!BU25)</f>
        <v/>
      </c>
      <c r="FV25" s="74" t="str">
        <f>IF('Marks Entry'!BV25="","",'Marks Entry'!BV25)</f>
        <v/>
      </c>
      <c r="FW25" s="74" t="str">
        <f>IF('Marks Entry'!BW25="","",'Marks Entry'!BW25)</f>
        <v/>
      </c>
      <c r="FX25" s="75" t="str">
        <f t="shared" si="65"/>
        <v/>
      </c>
      <c r="FY25" s="368" t="str">
        <f t="shared" si="120"/>
        <v/>
      </c>
      <c r="FZ25" s="65">
        <f t="shared" si="121"/>
        <v>0</v>
      </c>
      <c r="GA25" s="66">
        <f t="shared" si="122"/>
        <v>0</v>
      </c>
      <c r="GB25" s="66" t="str">
        <f t="shared" si="123"/>
        <v/>
      </c>
      <c r="GC25" s="74" t="str">
        <f>IF('Marks Entry'!BX25="","",'Marks Entry'!BX25)</f>
        <v/>
      </c>
      <c r="GD25" s="74" t="str">
        <f>IF('Marks Entry'!BY25="","",'Marks Entry'!BY25)</f>
        <v/>
      </c>
      <c r="GE25" s="74" t="str">
        <f>IF('Marks Entry'!BZ25="","",'Marks Entry'!BZ25)</f>
        <v/>
      </c>
      <c r="GF25" s="75" t="str">
        <f t="shared" si="124"/>
        <v/>
      </c>
      <c r="GG25" s="368" t="str">
        <f t="shared" si="125"/>
        <v/>
      </c>
      <c r="GH25" s="65">
        <f t="shared" si="126"/>
        <v>0</v>
      </c>
      <c r="GI25" s="66">
        <f t="shared" si="127"/>
        <v>0</v>
      </c>
      <c r="GJ25" s="66" t="str">
        <f t="shared" si="128"/>
        <v/>
      </c>
      <c r="GK25" s="100" t="str">
        <f>IF(AND(F25="",B25=""),"",IF('Student DATA Entry'!M22="","",'Student DATA Entry'!M22))</f>
        <v/>
      </c>
      <c r="GL25" s="101" t="str">
        <f>IF(AND(B25="",F25=""),"",IF('Student DATA Entry'!N22="","",'Student DATA Entry'!N22))</f>
        <v/>
      </c>
      <c r="GM25" s="581" t="str">
        <f t="shared" si="129"/>
        <v/>
      </c>
      <c r="GN25" s="94" t="str">
        <f t="shared" si="130"/>
        <v>I</v>
      </c>
      <c r="GO25" s="94" t="str">
        <f t="shared" si="131"/>
        <v/>
      </c>
      <c r="GP25" s="102" t="str">
        <f t="shared" si="67"/>
        <v/>
      </c>
      <c r="GQ25" s="94" t="str">
        <f t="shared" si="132"/>
        <v>D</v>
      </c>
      <c r="GR25" s="103" t="str">
        <f t="shared" si="133"/>
        <v/>
      </c>
      <c r="GS25" s="102" t="str">
        <f t="shared" si="68"/>
        <v/>
      </c>
      <c r="GT25" s="104" t="str">
        <f t="shared" si="134"/>
        <v>II</v>
      </c>
      <c r="GU25" s="94" t="str">
        <f>IF('Marks Entry'!V25=1,GT25,"")</f>
        <v/>
      </c>
      <c r="GV25" s="94" t="str">
        <f>IF('Marks Entry'!V25=2,GT25,"")</f>
        <v>II</v>
      </c>
      <c r="GW25" s="94" t="str">
        <f>IF('Marks Entry'!V25=3,GT25,"")</f>
        <v/>
      </c>
      <c r="GX25" s="94" t="str">
        <f>IF('Marks Entry'!V25=4,GT25,"")</f>
        <v/>
      </c>
      <c r="GY25" s="94" t="str">
        <f>IF('Marks Entry'!V25=5,GT25,"")</f>
        <v/>
      </c>
      <c r="GZ25" s="94" t="str">
        <f t="shared" si="135"/>
        <v/>
      </c>
      <c r="HA25" s="105" t="str">
        <f t="shared" si="69"/>
        <v/>
      </c>
      <c r="HB25" s="94" t="str">
        <f t="shared" si="136"/>
        <v>II</v>
      </c>
      <c r="HC25" s="94" t="str">
        <f t="shared" si="137"/>
        <v/>
      </c>
      <c r="HD25" s="105" t="str">
        <f t="shared" si="70"/>
        <v/>
      </c>
      <c r="HE25" s="94" t="str">
        <f t="shared" si="138"/>
        <v>II</v>
      </c>
      <c r="HF25" s="94" t="str">
        <f t="shared" si="139"/>
        <v/>
      </c>
      <c r="HG25" s="105" t="str">
        <f t="shared" si="71"/>
        <v/>
      </c>
      <c r="HH25" s="94" t="str">
        <f t="shared" si="140"/>
        <v>II</v>
      </c>
      <c r="HI25" s="94" t="str">
        <f t="shared" si="141"/>
        <v/>
      </c>
      <c r="HJ25" s="105" t="str">
        <f t="shared" si="72"/>
        <v/>
      </c>
      <c r="HK25" s="94" t="str">
        <f t="shared" si="142"/>
        <v/>
      </c>
      <c r="HL25" s="94" t="str">
        <f t="shared" si="143"/>
        <v/>
      </c>
      <c r="HM25" s="105" t="str">
        <f t="shared" si="73"/>
        <v/>
      </c>
      <c r="HN25" s="367" t="str">
        <f t="shared" si="144"/>
        <v xml:space="preserve">      </v>
      </c>
      <c r="HO25" s="418" t="str">
        <f t="shared" si="145"/>
        <v xml:space="preserve">      </v>
      </c>
      <c r="HP25" s="367" t="str">
        <f t="shared" si="146"/>
        <v xml:space="preserve">      </v>
      </c>
      <c r="HQ25" s="107" t="str">
        <f t="shared" si="147"/>
        <v xml:space="preserve">      </v>
      </c>
      <c r="HR25" s="366" t="str">
        <f t="shared" si="148"/>
        <v xml:space="preserve"> अंग्रेजी     </v>
      </c>
      <c r="HS25" s="544" t="str">
        <f t="shared" si="74"/>
        <v>PASS</v>
      </c>
      <c r="HT25" s="542">
        <f t="shared" si="149"/>
        <v>768</v>
      </c>
      <c r="HU25" s="541">
        <f t="shared" si="160"/>
        <v>64</v>
      </c>
      <c r="HV25" s="540" t="str">
        <f t="shared" si="150"/>
        <v>1st</v>
      </c>
      <c r="HW25" s="537">
        <f t="shared" si="151"/>
        <v>64</v>
      </c>
      <c r="HX25" s="539">
        <f t="shared" si="152"/>
        <v>6.9999999999999263</v>
      </c>
      <c r="HY25" s="553" t="str">
        <f>IFERROR(IF(OR(HS25="SUPPLEMENTARY",HS25="RE-EXAM"),'Supp. Result Entry'!AQ23,""),"")</f>
        <v/>
      </c>
      <c r="HZ25" s="538" t="str">
        <f t="shared" si="153"/>
        <v/>
      </c>
      <c r="IA25" s="415" t="str">
        <f t="shared" si="154"/>
        <v/>
      </c>
      <c r="IB25" s="415" t="str">
        <f>IF(AND(HZ25="",IA25=""),"",IF(OR(HS25="SUPPLEMENTARY",HS25="RE-EXAM"),'Supp. Result Entry'!AQ23,HS25))</f>
        <v/>
      </c>
      <c r="IC25" s="87"/>
      <c r="IS25" s="109" t="str">
        <f>IF('Supp. Result Entry'!T23="","",'Supp. Result Entry'!$T$4)</f>
        <v/>
      </c>
      <c r="IT25" s="110" t="str">
        <f>IF('Supp. Result Entry'!W23="","",'Supp. Result Entry'!$W$4)</f>
        <v/>
      </c>
      <c r="IU25" s="110" t="str">
        <f>IF('Supp. Result Entry'!Z23="","",'Supp. Result Entry'!$Z$4)</f>
        <v/>
      </c>
      <c r="IV25" s="110" t="str">
        <f>IF('Supp. Result Entry'!AC23="","",'Supp. Result Entry'!$AC$4)</f>
        <v/>
      </c>
      <c r="IW25" s="110" t="str">
        <f>IF('Supp. Result Entry'!AF23="","",'Supp. Result Entry'!$AF$4)</f>
        <v/>
      </c>
      <c r="IX25" s="110" t="str">
        <f>IF('Supp. Result Entry'!AI23="","",'Supp. Result Entry'!$AI$4)</f>
        <v/>
      </c>
      <c r="IY25" s="110" t="str">
        <f>IF('Supp. Result Entry'!AI23="","",'Supp. Result Entry'!$AL$4)</f>
        <v/>
      </c>
      <c r="IZ25" s="110" t="str">
        <f>IF('Supp. Result Entry'!U23="","",'Supp. Result Entry'!U23)</f>
        <v/>
      </c>
      <c r="JA25" s="110" t="str">
        <f>IF('Supp. Result Entry'!X23="","",'Supp. Result Entry'!X23)</f>
        <v/>
      </c>
      <c r="JB25" s="110" t="str">
        <f>IF('Supp. Result Entry'!AA23="","",'Supp. Result Entry'!AA23)</f>
        <v/>
      </c>
      <c r="JC25" s="110" t="str">
        <f>IF('Supp. Result Entry'!AD23="","",'Supp. Result Entry'!AD23)</f>
        <v/>
      </c>
      <c r="JD25" s="110" t="str">
        <f>IF('Supp. Result Entry'!AG23="","",'Supp. Result Entry'!AG23)</f>
        <v/>
      </c>
      <c r="JE25" s="110" t="str">
        <f>IF('Supp. Result Entry'!AJ23="","",'Supp. Result Entry'!AJ23)</f>
        <v/>
      </c>
      <c r="JF25" s="110" t="str">
        <f>IF('Supp. Result Entry'!AM23="","",'Supp. Result Entry'!AM23)</f>
        <v/>
      </c>
      <c r="JG25" s="110" t="str">
        <f>IF('Supp. Result Entry'!V23="","",'Supp. Result Entry'!V23)</f>
        <v/>
      </c>
      <c r="JH25" s="110" t="str">
        <f>IF('Supp. Result Entry'!Y23="","",'Supp. Result Entry'!Y23)</f>
        <v/>
      </c>
      <c r="JI25" s="110" t="str">
        <f>IF('Supp. Result Entry'!AB23="","",'Supp. Result Entry'!AB23)</f>
        <v/>
      </c>
      <c r="JJ25" s="110" t="str">
        <f>IF('Supp. Result Entry'!AE23="","",'Supp. Result Entry'!AE23)</f>
        <v/>
      </c>
      <c r="JK25" s="110" t="str">
        <f>IF('Supp. Result Entry'!AH23="","",'Supp. Result Entry'!AH23)</f>
        <v/>
      </c>
      <c r="JL25" s="110" t="str">
        <f>IF('Supp. Result Entry'!AK23="","",'Supp. Result Entry'!AK23)</f>
        <v/>
      </c>
      <c r="JM25" s="110" t="str">
        <f>IF('Supp. Result Entry'!AN23="","",'Supp. Result Entry'!AN23)</f>
        <v/>
      </c>
      <c r="JN25" s="110">
        <f>COUNTIF('Supp. Result Entry'!K23:Q23,"S")</f>
        <v>0</v>
      </c>
      <c r="JO25" s="110">
        <f t="shared" si="155"/>
        <v>0</v>
      </c>
      <c r="JP25" s="110">
        <f t="shared" si="156"/>
        <v>0</v>
      </c>
      <c r="JQ25" s="110" t="str">
        <f t="shared" si="75"/>
        <v/>
      </c>
      <c r="JR25" s="110" t="str">
        <f t="shared" si="76"/>
        <v/>
      </c>
      <c r="JS25" s="110" t="str">
        <f t="shared" si="77"/>
        <v/>
      </c>
      <c r="JT25" s="110" t="str">
        <f t="shared" si="78"/>
        <v/>
      </c>
      <c r="JU25" s="110" t="str">
        <f t="shared" si="79"/>
        <v/>
      </c>
      <c r="JV25" s="110" t="str">
        <f t="shared" si="80"/>
        <v/>
      </c>
      <c r="JW25" s="110" t="str">
        <f t="shared" si="81"/>
        <v/>
      </c>
      <c r="JX25" s="110" t="str">
        <f t="shared" si="157"/>
        <v/>
      </c>
      <c r="JY25" s="110" t="str">
        <f t="shared" si="158"/>
        <v/>
      </c>
      <c r="JZ25" s="110" t="str">
        <f t="shared" si="82"/>
        <v/>
      </c>
      <c r="KA25" s="108" t="str">
        <f t="shared" si="159"/>
        <v/>
      </c>
    </row>
    <row r="26" spans="1:287" s="108" customFormat="1" ht="21.95" customHeight="1">
      <c r="A26" s="89">
        <v>20</v>
      </c>
      <c r="B26" s="90">
        <f>IF('Marks Entry'!B26="","",'Marks Entry'!B26)</f>
        <v>920</v>
      </c>
      <c r="C26" s="94" t="str">
        <f>IF('Marks Entry'!D26="","",'Marks Entry'!D26)</f>
        <v>A</v>
      </c>
      <c r="D26" s="91" t="str">
        <f>IF('Marks Entry'!E26="","",'Marks Entry'!E26)</f>
        <v/>
      </c>
      <c r="E26" s="92" t="str">
        <f>IF('Marks Entry'!F26="","",'Marks Entry'!F26)</f>
        <v/>
      </c>
      <c r="F26" s="93" t="str">
        <f>IF('Marks Entry'!G26="","",'Marks Entry'!G26)</f>
        <v>ROZA</v>
      </c>
      <c r="G26" s="93" t="str">
        <f>IF('Marks Entry'!H26="","",'Marks Entry'!H26)</f>
        <v/>
      </c>
      <c r="H26" s="93" t="str">
        <f>IF('Marks Entry'!I26="","",'Marks Entry'!I26)</f>
        <v/>
      </c>
      <c r="I26" s="94" t="str">
        <f>IF('Marks Entry'!J26="","",'Marks Entry'!J26)</f>
        <v/>
      </c>
      <c r="J26" s="95" t="str">
        <f>IF('Marks Entry'!K26="","",'Marks Entry'!K26)</f>
        <v/>
      </c>
      <c r="K26" s="68">
        <f>IF('Marks Entry'!L26="","",'Marks Entry'!L26)</f>
        <v>8</v>
      </c>
      <c r="L26" s="68">
        <f>IF('Marks Entry'!M26="","",'Marks Entry'!M26)</f>
        <v>9</v>
      </c>
      <c r="M26" s="68">
        <f>IF('Marks Entry'!N26="","",'Marks Entry'!N26)</f>
        <v>8</v>
      </c>
      <c r="N26" s="514">
        <f t="shared" si="83"/>
        <v>25</v>
      </c>
      <c r="O26" s="68">
        <f>IF('Marks Entry'!O26="","",'Marks Entry'!O26)</f>
        <v>46</v>
      </c>
      <c r="P26" s="515">
        <f t="shared" si="84"/>
        <v>71</v>
      </c>
      <c r="Q26" s="68">
        <f>IF('Marks Entry'!P26="","",'Marks Entry'!P26)</f>
        <v>65</v>
      </c>
      <c r="R26" s="96">
        <f t="shared" si="85"/>
        <v>136</v>
      </c>
      <c r="S26" s="65">
        <f t="shared" si="86"/>
        <v>0</v>
      </c>
      <c r="T26" s="65">
        <f t="shared" si="87"/>
        <v>0</v>
      </c>
      <c r="U26" s="66">
        <f t="shared" si="88"/>
        <v>200</v>
      </c>
      <c r="V26" s="65" t="str">
        <f t="shared" si="89"/>
        <v/>
      </c>
      <c r="W26" s="65" t="str">
        <f t="shared" si="90"/>
        <v>P</v>
      </c>
      <c r="X26" s="65" t="str">
        <f t="shared" si="91"/>
        <v>I</v>
      </c>
      <c r="Y26" s="68">
        <f>IF('Marks Entry'!Q26="","",'Marks Entry'!Q26)</f>
        <v>8</v>
      </c>
      <c r="Z26" s="68">
        <f>IF('Marks Entry'!R26="","",'Marks Entry'!R26)</f>
        <v>9</v>
      </c>
      <c r="AA26" s="68">
        <f>IF('Marks Entry'!S26="","",'Marks Entry'!S26)</f>
        <v>8</v>
      </c>
      <c r="AB26" s="514">
        <f t="shared" si="2"/>
        <v>25</v>
      </c>
      <c r="AC26" s="68">
        <f>IF('Marks Entry'!T26="","",'Marks Entry'!T26)</f>
        <v>60</v>
      </c>
      <c r="AD26" s="515">
        <f t="shared" si="3"/>
        <v>85</v>
      </c>
      <c r="AE26" s="68">
        <f>IF('Marks Entry'!U26="","",'Marks Entry'!U26)</f>
        <v>85</v>
      </c>
      <c r="AF26" s="96">
        <f t="shared" si="4"/>
        <v>170</v>
      </c>
      <c r="AG26" s="65">
        <f t="shared" si="5"/>
        <v>0</v>
      </c>
      <c r="AH26" s="65">
        <f t="shared" si="6"/>
        <v>0</v>
      </c>
      <c r="AI26" s="66">
        <f t="shared" si="7"/>
        <v>200</v>
      </c>
      <c r="AJ26" s="65" t="str">
        <f t="shared" si="8"/>
        <v/>
      </c>
      <c r="AK26" s="65" t="str">
        <f t="shared" si="9"/>
        <v>P</v>
      </c>
      <c r="AL26" s="65" t="str">
        <f t="shared" si="10"/>
        <v>D</v>
      </c>
      <c r="AM26" s="524" t="str">
        <f>IF('Marks Entry'!V26="","",IF('Marks Entry'!V26=1,'School Profile'!$I$9,IF('Marks Entry'!V26=2,'School Profile'!$I$10,IF('Marks Entry'!V26=3,'School Profile'!$I$11,IF('Marks Entry'!V26=4,'School Profile'!$I$12,IF('Marks Entry'!V26=5,'School Profile'!$I$13,IF('Marks Entry'!V26=6,'School Profile'!$I$14,"")))))))</f>
        <v xml:space="preserve">सिंधी (74) </v>
      </c>
      <c r="AN26" s="68">
        <f>IF('Marks Entry'!W26="","",'Marks Entry'!W26)</f>
        <v>8</v>
      </c>
      <c r="AO26" s="68">
        <f>IF('Marks Entry'!X26="","",'Marks Entry'!X26)</f>
        <v>9</v>
      </c>
      <c r="AP26" s="68">
        <f>IF('Marks Entry'!Y26="","",'Marks Entry'!Y26)</f>
        <v>9</v>
      </c>
      <c r="AQ26" s="514">
        <f t="shared" si="11"/>
        <v>26</v>
      </c>
      <c r="AR26" s="68">
        <f>IF('Marks Entry'!Z26="","",'Marks Entry'!Z26)</f>
        <v>46</v>
      </c>
      <c r="AS26" s="515">
        <f t="shared" si="12"/>
        <v>72</v>
      </c>
      <c r="AT26" s="68">
        <f>IF('Marks Entry'!AA26="","",'Marks Entry'!AA26)</f>
        <v>45</v>
      </c>
      <c r="AU26" s="96">
        <f t="shared" si="13"/>
        <v>117</v>
      </c>
      <c r="AV26" s="65">
        <f t="shared" si="14"/>
        <v>0</v>
      </c>
      <c r="AW26" s="65">
        <f t="shared" si="15"/>
        <v>0</v>
      </c>
      <c r="AX26" s="66">
        <f t="shared" si="16"/>
        <v>200</v>
      </c>
      <c r="AY26" s="65" t="str">
        <f t="shared" si="17"/>
        <v/>
      </c>
      <c r="AZ26" s="65" t="str">
        <f t="shared" si="18"/>
        <v>P</v>
      </c>
      <c r="BA26" s="65" t="str">
        <f t="shared" si="19"/>
        <v>II</v>
      </c>
      <c r="BB26" s="68">
        <f>IF('Marks Entry'!AB26="","",'Marks Entry'!AB26)</f>
        <v>8</v>
      </c>
      <c r="BC26" s="68">
        <f>IF('Marks Entry'!AC26="","",'Marks Entry'!AC26)</f>
        <v>9</v>
      </c>
      <c r="BD26" s="68">
        <f>IF('Marks Entry'!AD26="","",'Marks Entry'!AD26)</f>
        <v>7</v>
      </c>
      <c r="BE26" s="514">
        <f t="shared" si="20"/>
        <v>24</v>
      </c>
      <c r="BF26" s="68">
        <f>IF('Marks Entry'!AE26="","",'Marks Entry'!AE26)</f>
        <v>46</v>
      </c>
      <c r="BG26" s="515">
        <f t="shared" si="21"/>
        <v>70</v>
      </c>
      <c r="BH26" s="68">
        <f>IF('Marks Entry'!AF26="","",'Marks Entry'!AF26)</f>
        <v>45</v>
      </c>
      <c r="BI26" s="96">
        <f t="shared" si="22"/>
        <v>115</v>
      </c>
      <c r="BJ26" s="65">
        <f t="shared" si="23"/>
        <v>0</v>
      </c>
      <c r="BK26" s="65">
        <f t="shared" si="92"/>
        <v>0</v>
      </c>
      <c r="BL26" s="66">
        <f t="shared" si="24"/>
        <v>200</v>
      </c>
      <c r="BM26" s="65" t="str">
        <f t="shared" si="25"/>
        <v/>
      </c>
      <c r="BN26" s="65" t="str">
        <f t="shared" si="26"/>
        <v>P</v>
      </c>
      <c r="BO26" s="65" t="str">
        <f t="shared" si="27"/>
        <v>II</v>
      </c>
      <c r="BP26" s="68">
        <f>IF('Marks Entry'!AG26="","",'Marks Entry'!AG26)</f>
        <v>8</v>
      </c>
      <c r="BQ26" s="68">
        <f>IF('Marks Entry'!AH26="","",'Marks Entry'!AH26)</f>
        <v>9</v>
      </c>
      <c r="BR26" s="68">
        <f>IF('Marks Entry'!AI26="","",'Marks Entry'!AI26)</f>
        <v>7</v>
      </c>
      <c r="BS26" s="514">
        <f t="shared" si="28"/>
        <v>24</v>
      </c>
      <c r="BT26" s="68">
        <f>IF('Marks Entry'!AJ26="","",'Marks Entry'!AJ26)</f>
        <v>46</v>
      </c>
      <c r="BU26" s="515">
        <f t="shared" si="29"/>
        <v>70</v>
      </c>
      <c r="BV26" s="68">
        <f>IF('Marks Entry'!AK26="","",'Marks Entry'!AK26)</f>
        <v>45</v>
      </c>
      <c r="BW26" s="96">
        <f t="shared" si="30"/>
        <v>115</v>
      </c>
      <c r="BX26" s="65">
        <f t="shared" si="31"/>
        <v>0</v>
      </c>
      <c r="BY26" s="65">
        <f t="shared" si="32"/>
        <v>0</v>
      </c>
      <c r="BZ26" s="66">
        <f t="shared" si="33"/>
        <v>200</v>
      </c>
      <c r="CA26" s="65" t="str">
        <f t="shared" si="34"/>
        <v/>
      </c>
      <c r="CB26" s="65" t="str">
        <f t="shared" si="35"/>
        <v>P</v>
      </c>
      <c r="CC26" s="65" t="str">
        <f t="shared" si="36"/>
        <v>II</v>
      </c>
      <c r="CD26" s="66">
        <f t="shared" si="93"/>
        <v>0</v>
      </c>
      <c r="CE26" s="68">
        <f>IF('Marks Entry'!AL26="","",'Marks Entry'!AL26)</f>
        <v>8</v>
      </c>
      <c r="CF26" s="68">
        <f>IF('Marks Entry'!AM26="","",'Marks Entry'!AM26)</f>
        <v>8</v>
      </c>
      <c r="CG26" s="68">
        <f>IF('Marks Entry'!AN26="","",'Marks Entry'!AN26)</f>
        <v>8</v>
      </c>
      <c r="CH26" s="514">
        <f t="shared" si="37"/>
        <v>24</v>
      </c>
      <c r="CI26" s="68">
        <f>IF('Marks Entry'!AO26="","",'Marks Entry'!AO26)</f>
        <v>46</v>
      </c>
      <c r="CJ26" s="515">
        <f t="shared" si="38"/>
        <v>70</v>
      </c>
      <c r="CK26" s="68">
        <f>IF('Marks Entry'!AP26="","",'Marks Entry'!AP26)</f>
        <v>45</v>
      </c>
      <c r="CL26" s="96">
        <f t="shared" si="39"/>
        <v>115</v>
      </c>
      <c r="CM26" s="65">
        <f t="shared" si="40"/>
        <v>0</v>
      </c>
      <c r="CN26" s="65">
        <f t="shared" si="41"/>
        <v>0</v>
      </c>
      <c r="CO26" s="66">
        <f t="shared" si="42"/>
        <v>200</v>
      </c>
      <c r="CP26" s="65" t="str">
        <f t="shared" si="43"/>
        <v/>
      </c>
      <c r="CQ26" s="65" t="str">
        <f t="shared" si="44"/>
        <v>P</v>
      </c>
      <c r="CR26" s="65" t="str">
        <f t="shared" si="45"/>
        <v>II</v>
      </c>
      <c r="CS26" s="616"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8" t="str">
        <f>IF('School Profile'!$D$20="NO","",IF('Marks Entry'!AR26="","",'Marks Entry'!AR26))</f>
        <v/>
      </c>
      <c r="CU26" s="68" t="str">
        <f>IF('School Profile'!$D$20="NO","",IF('Marks Entry'!AS26="","",'Marks Entry'!AS26))</f>
        <v/>
      </c>
      <c r="CV26" s="68" t="str">
        <f>IF('School Profile'!$D$20="NO","",IF('Marks Entry'!AT26="","",'Marks Entry'!AT26))</f>
        <v/>
      </c>
      <c r="CW26" s="514" t="str">
        <f>IF('School Profile'!$D$20="NO","",IF(AND(CT26="",CU26="",CV26=""),"",SUM(CT26:CV26)))</f>
        <v/>
      </c>
      <c r="CX26" s="68" t="str">
        <f>IF('School Profile'!$D$20="NO","",IF('Marks Entry'!AU26="","",'Marks Entry'!AU26))</f>
        <v/>
      </c>
      <c r="CY26" s="68" t="str">
        <f>IF('School Profile'!$D$20="NO","",IF('Marks Entry'!AV26="","",'Marks Entry'!AV26))</f>
        <v/>
      </c>
      <c r="CZ26" s="515" t="str">
        <f>IF('School Profile'!$D$20="NO","",IF(AND(CX26="",CY26=""),"",SUM(CX26,CY26)))</f>
        <v/>
      </c>
      <c r="DA26" s="69" t="str">
        <f>IF('School Profile'!$D$20="NO","",IF(AND(CW26="",CZ26=""),"",SUM(CW26+CZ26)))</f>
        <v/>
      </c>
      <c r="DB26" s="68" t="str">
        <f>IF('School Profile'!$D$20="NO","",IF('Marks Entry'!AW26="","",'Marks Entry'!AW26))</f>
        <v/>
      </c>
      <c r="DC26" s="68" t="str">
        <f>IF('School Profile'!$D$20="NO","",IF('Marks Entry'!AX26="","",'Marks Entry'!AX26))</f>
        <v/>
      </c>
      <c r="DD26" s="515" t="str">
        <f>IF('School Profile'!$D$20="NO","",IF(AND(DB26="",DC26=""),"",SUM(DB26,DC26)))</f>
        <v/>
      </c>
      <c r="DE26" s="96" t="str">
        <f>IF('School Profile'!$D$20="NO","",IF(AND(DA26="",DD26=""),"",SUM(DA26,DD26)))</f>
        <v/>
      </c>
      <c r="DF26" s="532">
        <f t="shared" si="46"/>
        <v>0</v>
      </c>
      <c r="DG26" s="65">
        <f t="shared" si="47"/>
        <v>0</v>
      </c>
      <c r="DH26" s="66" t="str">
        <f t="shared" si="48"/>
        <v/>
      </c>
      <c r="DI26" s="65" t="str">
        <f t="shared" si="49"/>
        <v/>
      </c>
      <c r="DJ26" s="65" t="str">
        <f t="shared" si="50"/>
        <v/>
      </c>
      <c r="DK26" s="65" t="str">
        <f t="shared" si="51"/>
        <v/>
      </c>
      <c r="DL26" s="97" t="str">
        <f t="shared" si="94"/>
        <v>I</v>
      </c>
      <c r="DM26" s="97" t="str">
        <f t="shared" si="95"/>
        <v>D</v>
      </c>
      <c r="DN26" s="97" t="str">
        <f t="shared" si="96"/>
        <v>II</v>
      </c>
      <c r="DO26" s="97" t="str">
        <f t="shared" si="97"/>
        <v>II</v>
      </c>
      <c r="DP26" s="97" t="str">
        <f t="shared" si="98"/>
        <v>II</v>
      </c>
      <c r="DQ26" s="97" t="str">
        <f t="shared" si="99"/>
        <v>II</v>
      </c>
      <c r="DR26" s="97" t="str">
        <f t="shared" si="100"/>
        <v/>
      </c>
      <c r="DS26" s="98">
        <f t="shared" si="101"/>
        <v>0</v>
      </c>
      <c r="DT26" s="98">
        <f t="shared" si="102"/>
        <v>0</v>
      </c>
      <c r="DU26" s="98">
        <f t="shared" si="103"/>
        <v>0</v>
      </c>
      <c r="DV26" s="98">
        <f t="shared" si="104"/>
        <v>0</v>
      </c>
      <c r="DW26" s="98">
        <f t="shared" si="105"/>
        <v>0</v>
      </c>
      <c r="DX26" s="98" t="str">
        <f t="shared" si="106"/>
        <v/>
      </c>
      <c r="DY26" s="99" t="str">
        <f t="shared" si="107"/>
        <v>PASS</v>
      </c>
      <c r="DZ26" s="74" t="str">
        <f>IF('Marks Entry'!AY26="","",'Marks Entry'!AY26)</f>
        <v/>
      </c>
      <c r="EA26" s="74" t="str">
        <f>IF('Marks Entry'!AZ26="","",'Marks Entry'!AZ26)</f>
        <v/>
      </c>
      <c r="EB26" s="74" t="str">
        <f>IF('Marks Entry'!BA26="","",'Marks Entry'!BA26)</f>
        <v/>
      </c>
      <c r="EC26" s="527" t="str">
        <f t="shared" si="52"/>
        <v/>
      </c>
      <c r="ED26" s="74" t="str">
        <f>IF('Marks Entry'!BB26="","",'Marks Entry'!BB26)</f>
        <v/>
      </c>
      <c r="EE26" s="528" t="str">
        <f t="shared" si="53"/>
        <v/>
      </c>
      <c r="EF26" s="74" t="str">
        <f>IF('Marks Entry'!BC26="","",'Marks Entry'!BC26)</f>
        <v/>
      </c>
      <c r="EG26" s="530" t="str">
        <f t="shared" si="54"/>
        <v/>
      </c>
      <c r="EH26" s="368" t="str">
        <f t="shared" si="108"/>
        <v/>
      </c>
      <c r="EI26" s="65">
        <f t="shared" si="109"/>
        <v>0</v>
      </c>
      <c r="EJ26" s="65">
        <f t="shared" si="110"/>
        <v>0</v>
      </c>
      <c r="EK26" s="66" t="str">
        <f t="shared" si="111"/>
        <v/>
      </c>
      <c r="EL26" s="74" t="str">
        <f>IF('Marks Entry'!BD26="","",'Marks Entry'!BD26)</f>
        <v/>
      </c>
      <c r="EM26" s="74" t="str">
        <f>IF('Marks Entry'!BE26="","",'Marks Entry'!BE26)</f>
        <v/>
      </c>
      <c r="EN26" s="74" t="str">
        <f>IF('Marks Entry'!BF26="","",'Marks Entry'!BF26)</f>
        <v/>
      </c>
      <c r="EO26" s="527" t="str">
        <f t="shared" si="55"/>
        <v/>
      </c>
      <c r="EP26" s="74" t="str">
        <f>IF('Marks Entry'!BG26="","",'Marks Entry'!BG26)</f>
        <v/>
      </c>
      <c r="EQ26" s="74" t="str">
        <f>IF('Marks Entry'!BH26="","",'Marks Entry'!BH26)</f>
        <v/>
      </c>
      <c r="ER26" s="528" t="str">
        <f t="shared" si="56"/>
        <v/>
      </c>
      <c r="ES26" s="529" t="str">
        <f t="shared" si="57"/>
        <v/>
      </c>
      <c r="ET26" s="74" t="str">
        <f>IF('Marks Entry'!BI26="","",'Marks Entry'!BI26)</f>
        <v/>
      </c>
      <c r="EU26" s="74" t="str">
        <f>IF('Marks Entry'!BJ26="","",'Marks Entry'!BJ26)</f>
        <v/>
      </c>
      <c r="EV26" s="528" t="str">
        <f t="shared" si="58"/>
        <v/>
      </c>
      <c r="EW26" s="530" t="str">
        <f t="shared" si="59"/>
        <v/>
      </c>
      <c r="EX26" s="368" t="str">
        <f t="shared" si="112"/>
        <v/>
      </c>
      <c r="EY26" s="65">
        <f t="shared" si="113"/>
        <v>0</v>
      </c>
      <c r="EZ26" s="65">
        <f t="shared" si="114"/>
        <v>0</v>
      </c>
      <c r="FA26" s="66" t="str">
        <f t="shared" si="115"/>
        <v/>
      </c>
      <c r="FB26" s="74" t="str">
        <f>IF('Marks Entry'!BK26="","",'Marks Entry'!BK26)</f>
        <v/>
      </c>
      <c r="FC26" s="74" t="str">
        <f>IF('Marks Entry'!BL26="","",'Marks Entry'!BL26)</f>
        <v/>
      </c>
      <c r="FD26" s="74" t="str">
        <f>IF('Marks Entry'!BM26="","",'Marks Entry'!BM26)</f>
        <v/>
      </c>
      <c r="FE26" s="74" t="str">
        <f>IF('Marks Entry'!BN26="","",'Marks Entry'!BN26)</f>
        <v/>
      </c>
      <c r="FF26" s="74" t="str">
        <f>IF('Marks Entry'!BO26="","",'Marks Entry'!BO26)</f>
        <v/>
      </c>
      <c r="FG26" s="74" t="str">
        <f>IF('Marks Entry'!BP26="","",'Marks Entry'!BP26)</f>
        <v/>
      </c>
      <c r="FH26" s="527" t="str">
        <f t="shared" si="60"/>
        <v/>
      </c>
      <c r="FI26" s="74" t="str">
        <f>IF('Marks Entry'!BQ26="","",'Marks Entry'!BQ26)</f>
        <v/>
      </c>
      <c r="FJ26" s="74" t="str">
        <f>IF('Marks Entry'!BR26="","",'Marks Entry'!BR26)</f>
        <v/>
      </c>
      <c r="FK26" s="528" t="str">
        <f t="shared" si="61"/>
        <v/>
      </c>
      <c r="FL26" s="529" t="str">
        <f t="shared" si="62"/>
        <v/>
      </c>
      <c r="FM26" s="74" t="str">
        <f>IF('Marks Entry'!BS26="","",'Marks Entry'!BS26)</f>
        <v/>
      </c>
      <c r="FN26" s="74" t="str">
        <f>IF('Marks Entry'!BT26="","",'Marks Entry'!BT26)</f>
        <v/>
      </c>
      <c r="FO26" s="528" t="str">
        <f t="shared" si="63"/>
        <v/>
      </c>
      <c r="FP26" s="530" t="str">
        <f t="shared" si="64"/>
        <v/>
      </c>
      <c r="FQ26" s="368" t="str">
        <f t="shared" si="116"/>
        <v/>
      </c>
      <c r="FR26" s="65">
        <f t="shared" si="117"/>
        <v>0</v>
      </c>
      <c r="FS26" s="65">
        <f t="shared" si="118"/>
        <v>0</v>
      </c>
      <c r="FT26" s="66" t="str">
        <f t="shared" si="119"/>
        <v/>
      </c>
      <c r="FU26" s="74" t="str">
        <f>IF('Marks Entry'!BU26="","",'Marks Entry'!BU26)</f>
        <v/>
      </c>
      <c r="FV26" s="74" t="str">
        <f>IF('Marks Entry'!BV26="","",'Marks Entry'!BV26)</f>
        <v/>
      </c>
      <c r="FW26" s="74" t="str">
        <f>IF('Marks Entry'!BW26="","",'Marks Entry'!BW26)</f>
        <v/>
      </c>
      <c r="FX26" s="75" t="str">
        <f t="shared" si="65"/>
        <v/>
      </c>
      <c r="FY26" s="368" t="str">
        <f t="shared" si="120"/>
        <v/>
      </c>
      <c r="FZ26" s="65">
        <f t="shared" si="121"/>
        <v>0</v>
      </c>
      <c r="GA26" s="66">
        <f t="shared" si="122"/>
        <v>0</v>
      </c>
      <c r="GB26" s="66" t="str">
        <f t="shared" si="123"/>
        <v/>
      </c>
      <c r="GC26" s="74" t="str">
        <f>IF('Marks Entry'!BX26="","",'Marks Entry'!BX26)</f>
        <v/>
      </c>
      <c r="GD26" s="74" t="str">
        <f>IF('Marks Entry'!BY26="","",'Marks Entry'!BY26)</f>
        <v/>
      </c>
      <c r="GE26" s="74" t="str">
        <f>IF('Marks Entry'!BZ26="","",'Marks Entry'!BZ26)</f>
        <v/>
      </c>
      <c r="GF26" s="75" t="str">
        <f t="shared" si="124"/>
        <v/>
      </c>
      <c r="GG26" s="368" t="str">
        <f t="shared" si="125"/>
        <v/>
      </c>
      <c r="GH26" s="65">
        <f t="shared" si="126"/>
        <v>0</v>
      </c>
      <c r="GI26" s="66">
        <f t="shared" si="127"/>
        <v>0</v>
      </c>
      <c r="GJ26" s="66" t="str">
        <f t="shared" si="128"/>
        <v/>
      </c>
      <c r="GK26" s="100" t="str">
        <f>IF(AND(F26="",B26=""),"",IF('Student DATA Entry'!M23="","",'Student DATA Entry'!M23))</f>
        <v/>
      </c>
      <c r="GL26" s="101" t="str">
        <f>IF(AND(B26="",F26=""),"",IF('Student DATA Entry'!N23="","",'Student DATA Entry'!N23))</f>
        <v/>
      </c>
      <c r="GM26" s="581" t="str">
        <f t="shared" si="129"/>
        <v/>
      </c>
      <c r="GN26" s="94" t="str">
        <f t="shared" si="130"/>
        <v>I</v>
      </c>
      <c r="GO26" s="94" t="str">
        <f t="shared" si="131"/>
        <v/>
      </c>
      <c r="GP26" s="102" t="str">
        <f t="shared" si="67"/>
        <v/>
      </c>
      <c r="GQ26" s="94" t="str">
        <f t="shared" si="132"/>
        <v>D</v>
      </c>
      <c r="GR26" s="103" t="str">
        <f t="shared" si="133"/>
        <v/>
      </c>
      <c r="GS26" s="102" t="str">
        <f t="shared" si="68"/>
        <v/>
      </c>
      <c r="GT26" s="104" t="str">
        <f t="shared" si="134"/>
        <v>II</v>
      </c>
      <c r="GU26" s="94" t="str">
        <f>IF('Marks Entry'!V26=1,GT26,"")</f>
        <v/>
      </c>
      <c r="GV26" s="94" t="str">
        <f>IF('Marks Entry'!V26=2,GT26,"")</f>
        <v/>
      </c>
      <c r="GW26" s="94" t="str">
        <f>IF('Marks Entry'!V26=3,GT26,"")</f>
        <v/>
      </c>
      <c r="GX26" s="94" t="str">
        <f>IF('Marks Entry'!V26=4,GT26,"")</f>
        <v>II</v>
      </c>
      <c r="GY26" s="94" t="str">
        <f>IF('Marks Entry'!V26=5,GT26,"")</f>
        <v/>
      </c>
      <c r="GZ26" s="94" t="str">
        <f t="shared" si="135"/>
        <v/>
      </c>
      <c r="HA26" s="105" t="str">
        <f t="shared" si="69"/>
        <v/>
      </c>
      <c r="HB26" s="94" t="str">
        <f t="shared" si="136"/>
        <v>II</v>
      </c>
      <c r="HC26" s="94" t="str">
        <f t="shared" si="137"/>
        <v/>
      </c>
      <c r="HD26" s="105" t="str">
        <f t="shared" si="70"/>
        <v/>
      </c>
      <c r="HE26" s="94" t="str">
        <f t="shared" si="138"/>
        <v>II</v>
      </c>
      <c r="HF26" s="94" t="str">
        <f t="shared" si="139"/>
        <v/>
      </c>
      <c r="HG26" s="105" t="str">
        <f t="shared" si="71"/>
        <v/>
      </c>
      <c r="HH26" s="94" t="str">
        <f t="shared" si="140"/>
        <v>II</v>
      </c>
      <c r="HI26" s="94" t="str">
        <f t="shared" si="141"/>
        <v/>
      </c>
      <c r="HJ26" s="105" t="str">
        <f t="shared" si="72"/>
        <v/>
      </c>
      <c r="HK26" s="94" t="str">
        <f t="shared" si="142"/>
        <v/>
      </c>
      <c r="HL26" s="94" t="str">
        <f t="shared" si="143"/>
        <v/>
      </c>
      <c r="HM26" s="105" t="str">
        <f t="shared" si="73"/>
        <v/>
      </c>
      <c r="HN26" s="367" t="str">
        <f t="shared" si="144"/>
        <v xml:space="preserve">      </v>
      </c>
      <c r="HO26" s="418" t="str">
        <f t="shared" si="145"/>
        <v xml:space="preserve">      </v>
      </c>
      <c r="HP26" s="367" t="str">
        <f t="shared" si="146"/>
        <v xml:space="preserve">      </v>
      </c>
      <c r="HQ26" s="107" t="str">
        <f t="shared" si="147"/>
        <v xml:space="preserve">      </v>
      </c>
      <c r="HR26" s="366" t="str">
        <f t="shared" si="148"/>
        <v xml:space="preserve"> अंग्रेजी     </v>
      </c>
      <c r="HS26" s="544" t="str">
        <f t="shared" si="74"/>
        <v>PASS</v>
      </c>
      <c r="HT26" s="542">
        <f t="shared" si="149"/>
        <v>768</v>
      </c>
      <c r="HU26" s="541">
        <f t="shared" si="160"/>
        <v>64</v>
      </c>
      <c r="HV26" s="540" t="str">
        <f t="shared" si="150"/>
        <v>1st</v>
      </c>
      <c r="HW26" s="537">
        <f t="shared" si="151"/>
        <v>64</v>
      </c>
      <c r="HX26" s="539">
        <f t="shared" si="152"/>
        <v>6.9999999999999263</v>
      </c>
      <c r="HY26" s="553" t="str">
        <f>IFERROR(IF(OR(HS26="SUPPLEMENTARY",HS26="RE-EXAM"),'Supp. Result Entry'!AQ24,""),"")</f>
        <v/>
      </c>
      <c r="HZ26" s="538" t="str">
        <f t="shared" si="153"/>
        <v/>
      </c>
      <c r="IA26" s="415" t="str">
        <f t="shared" si="154"/>
        <v/>
      </c>
      <c r="IB26" s="415" t="str">
        <f>IF(AND(HZ26="",IA26=""),"",IF(OR(HS26="SUPPLEMENTARY",HS26="RE-EXAM"),'Supp. Result Entry'!AQ24,HS26))</f>
        <v/>
      </c>
      <c r="IC26" s="87"/>
      <c r="IS26" s="109" t="str">
        <f>IF('Supp. Result Entry'!T24="","",'Supp. Result Entry'!$T$4)</f>
        <v/>
      </c>
      <c r="IT26" s="110" t="str">
        <f>IF('Supp. Result Entry'!W24="","",'Supp. Result Entry'!$W$4)</f>
        <v/>
      </c>
      <c r="IU26" s="110" t="str">
        <f>IF('Supp. Result Entry'!Z24="","",'Supp. Result Entry'!$Z$4)</f>
        <v/>
      </c>
      <c r="IV26" s="110" t="str">
        <f>IF('Supp. Result Entry'!AC24="","",'Supp. Result Entry'!$AC$4)</f>
        <v/>
      </c>
      <c r="IW26" s="110" t="str">
        <f>IF('Supp. Result Entry'!AF24="","",'Supp. Result Entry'!$AF$4)</f>
        <v/>
      </c>
      <c r="IX26" s="110" t="str">
        <f>IF('Supp. Result Entry'!AI24="","",'Supp. Result Entry'!$AI$4)</f>
        <v/>
      </c>
      <c r="IY26" s="110" t="str">
        <f>IF('Supp. Result Entry'!AI24="","",'Supp. Result Entry'!$AL$4)</f>
        <v/>
      </c>
      <c r="IZ26" s="110" t="str">
        <f>IF('Supp. Result Entry'!U24="","",'Supp. Result Entry'!U24)</f>
        <v/>
      </c>
      <c r="JA26" s="110" t="str">
        <f>IF('Supp. Result Entry'!X24="","",'Supp. Result Entry'!X24)</f>
        <v/>
      </c>
      <c r="JB26" s="110" t="str">
        <f>IF('Supp. Result Entry'!AA24="","",'Supp. Result Entry'!AA24)</f>
        <v/>
      </c>
      <c r="JC26" s="110" t="str">
        <f>IF('Supp. Result Entry'!AD24="","",'Supp. Result Entry'!AD24)</f>
        <v/>
      </c>
      <c r="JD26" s="110" t="str">
        <f>IF('Supp. Result Entry'!AG24="","",'Supp. Result Entry'!AG24)</f>
        <v/>
      </c>
      <c r="JE26" s="110" t="str">
        <f>IF('Supp. Result Entry'!AJ24="","",'Supp. Result Entry'!AJ24)</f>
        <v/>
      </c>
      <c r="JF26" s="110" t="str">
        <f>IF('Supp. Result Entry'!AM24="","",'Supp. Result Entry'!AM24)</f>
        <v/>
      </c>
      <c r="JG26" s="110" t="str">
        <f>IF('Supp. Result Entry'!V24="","",'Supp. Result Entry'!V24)</f>
        <v/>
      </c>
      <c r="JH26" s="110" t="str">
        <f>IF('Supp. Result Entry'!Y24="","",'Supp. Result Entry'!Y24)</f>
        <v/>
      </c>
      <c r="JI26" s="110" t="str">
        <f>IF('Supp. Result Entry'!AB24="","",'Supp. Result Entry'!AB24)</f>
        <v/>
      </c>
      <c r="JJ26" s="110" t="str">
        <f>IF('Supp. Result Entry'!AE24="","",'Supp. Result Entry'!AE24)</f>
        <v/>
      </c>
      <c r="JK26" s="110" t="str">
        <f>IF('Supp. Result Entry'!AH24="","",'Supp. Result Entry'!AH24)</f>
        <v/>
      </c>
      <c r="JL26" s="110" t="str">
        <f>IF('Supp. Result Entry'!AK24="","",'Supp. Result Entry'!AK24)</f>
        <v/>
      </c>
      <c r="JM26" s="110" t="str">
        <f>IF('Supp. Result Entry'!AN24="","",'Supp. Result Entry'!AN24)</f>
        <v/>
      </c>
      <c r="JN26" s="110">
        <f>COUNTIF('Supp. Result Entry'!K24:Q24,"S")</f>
        <v>0</v>
      </c>
      <c r="JO26" s="110">
        <f t="shared" si="155"/>
        <v>0</v>
      </c>
      <c r="JP26" s="110">
        <f t="shared" si="156"/>
        <v>0</v>
      </c>
      <c r="JQ26" s="110" t="str">
        <f t="shared" si="75"/>
        <v/>
      </c>
      <c r="JR26" s="110" t="str">
        <f t="shared" si="76"/>
        <v/>
      </c>
      <c r="JS26" s="110" t="str">
        <f t="shared" si="77"/>
        <v/>
      </c>
      <c r="JT26" s="110" t="str">
        <f t="shared" si="78"/>
        <v/>
      </c>
      <c r="JU26" s="110" t="str">
        <f t="shared" si="79"/>
        <v/>
      </c>
      <c r="JV26" s="110" t="str">
        <f t="shared" si="80"/>
        <v/>
      </c>
      <c r="JW26" s="110" t="str">
        <f t="shared" si="81"/>
        <v/>
      </c>
      <c r="JX26" s="110" t="str">
        <f t="shared" si="157"/>
        <v/>
      </c>
      <c r="JY26" s="110" t="str">
        <f t="shared" si="158"/>
        <v/>
      </c>
      <c r="JZ26" s="110" t="str">
        <f t="shared" si="82"/>
        <v/>
      </c>
      <c r="KA26" s="108" t="str">
        <f t="shared" si="159"/>
        <v/>
      </c>
    </row>
    <row r="27" spans="1:287" s="108" customFormat="1" ht="21.95" customHeight="1">
      <c r="A27" s="89">
        <v>21</v>
      </c>
      <c r="B27" s="90">
        <f>IF('Marks Entry'!B27="","",'Marks Entry'!B27)</f>
        <v>921</v>
      </c>
      <c r="C27" s="94" t="str">
        <f>IF('Marks Entry'!D27="","",'Marks Entry'!D27)</f>
        <v>A</v>
      </c>
      <c r="D27" s="91" t="str">
        <f>IF('Marks Entry'!E27="","",'Marks Entry'!E27)</f>
        <v/>
      </c>
      <c r="E27" s="92" t="str">
        <f>IF('Marks Entry'!F27="","",'Marks Entry'!F27)</f>
        <v/>
      </c>
      <c r="F27" s="93" t="str">
        <f>IF('Marks Entry'!G27="","",'Marks Entry'!G27)</f>
        <v>VILIAM</v>
      </c>
      <c r="G27" s="93" t="str">
        <f>IF('Marks Entry'!H27="","",'Marks Entry'!H27)</f>
        <v/>
      </c>
      <c r="H27" s="93" t="str">
        <f>IF('Marks Entry'!I27="","",'Marks Entry'!I27)</f>
        <v/>
      </c>
      <c r="I27" s="94" t="str">
        <f>IF('Marks Entry'!J27="","",'Marks Entry'!J27)</f>
        <v/>
      </c>
      <c r="J27" s="95" t="str">
        <f>IF('Marks Entry'!K27="","",'Marks Entry'!K27)</f>
        <v/>
      </c>
      <c r="K27" s="68">
        <f>IF('Marks Entry'!L27="","",'Marks Entry'!L27)</f>
        <v>8</v>
      </c>
      <c r="L27" s="68">
        <f>IF('Marks Entry'!M27="","",'Marks Entry'!M27)</f>
        <v>9</v>
      </c>
      <c r="M27" s="68">
        <f>IF('Marks Entry'!N27="","",'Marks Entry'!N27)</f>
        <v>8</v>
      </c>
      <c r="N27" s="514">
        <f t="shared" si="83"/>
        <v>25</v>
      </c>
      <c r="O27" s="68">
        <f>IF('Marks Entry'!O27="","",'Marks Entry'!O27)</f>
        <v>46</v>
      </c>
      <c r="P27" s="515">
        <f t="shared" si="84"/>
        <v>71</v>
      </c>
      <c r="Q27" s="68">
        <f>IF('Marks Entry'!P27="","",'Marks Entry'!P27)</f>
        <v>65</v>
      </c>
      <c r="R27" s="96">
        <f t="shared" si="85"/>
        <v>136</v>
      </c>
      <c r="S27" s="65">
        <f t="shared" si="86"/>
        <v>0</v>
      </c>
      <c r="T27" s="65">
        <f t="shared" si="87"/>
        <v>0</v>
      </c>
      <c r="U27" s="66">
        <f t="shared" si="88"/>
        <v>200</v>
      </c>
      <c r="V27" s="65" t="str">
        <f t="shared" si="89"/>
        <v/>
      </c>
      <c r="W27" s="65" t="str">
        <f t="shared" si="90"/>
        <v>P</v>
      </c>
      <c r="X27" s="65" t="str">
        <f t="shared" si="91"/>
        <v>I</v>
      </c>
      <c r="Y27" s="68">
        <f>IF('Marks Entry'!Q27="","",'Marks Entry'!Q27)</f>
        <v>8</v>
      </c>
      <c r="Z27" s="68">
        <f>IF('Marks Entry'!R27="","",'Marks Entry'!R27)</f>
        <v>9</v>
      </c>
      <c r="AA27" s="68">
        <f>IF('Marks Entry'!S27="","",'Marks Entry'!S27)</f>
        <v>8</v>
      </c>
      <c r="AB27" s="514">
        <f t="shared" si="2"/>
        <v>25</v>
      </c>
      <c r="AC27" s="68">
        <f>IF('Marks Entry'!T27="","",'Marks Entry'!T27)</f>
        <v>60</v>
      </c>
      <c r="AD27" s="515">
        <f t="shared" si="3"/>
        <v>85</v>
      </c>
      <c r="AE27" s="68">
        <f>IF('Marks Entry'!U27="","",'Marks Entry'!U27)</f>
        <v>85</v>
      </c>
      <c r="AF27" s="96">
        <f t="shared" si="4"/>
        <v>170</v>
      </c>
      <c r="AG27" s="65">
        <f t="shared" si="5"/>
        <v>0</v>
      </c>
      <c r="AH27" s="65">
        <f t="shared" si="6"/>
        <v>0</v>
      </c>
      <c r="AI27" s="66">
        <f t="shared" si="7"/>
        <v>200</v>
      </c>
      <c r="AJ27" s="65" t="str">
        <f t="shared" si="8"/>
        <v/>
      </c>
      <c r="AK27" s="65" t="str">
        <f t="shared" si="9"/>
        <v>P</v>
      </c>
      <c r="AL27" s="65" t="str">
        <f t="shared" si="10"/>
        <v>D</v>
      </c>
      <c r="AM27" s="524" t="str">
        <f>IF('Marks Entry'!V27="","",IF('Marks Entry'!V27=1,'School Profile'!$I$9,IF('Marks Entry'!V27=2,'School Profile'!$I$10,IF('Marks Entry'!V27=3,'School Profile'!$I$11,IF('Marks Entry'!V27=4,'School Profile'!$I$12,IF('Marks Entry'!V27=5,'School Profile'!$I$13,IF('Marks Entry'!V27=6,'School Profile'!$I$14,"")))))))</f>
        <v xml:space="preserve">उर्दू (72) </v>
      </c>
      <c r="AN27" s="68">
        <f>IF('Marks Entry'!W27="","",'Marks Entry'!W27)</f>
        <v>8</v>
      </c>
      <c r="AO27" s="68">
        <f>IF('Marks Entry'!X27="","",'Marks Entry'!X27)</f>
        <v>9</v>
      </c>
      <c r="AP27" s="68">
        <f>IF('Marks Entry'!Y27="","",'Marks Entry'!Y27)</f>
        <v>9</v>
      </c>
      <c r="AQ27" s="514">
        <f t="shared" si="11"/>
        <v>26</v>
      </c>
      <c r="AR27" s="68">
        <f>IF('Marks Entry'!Z27="","",'Marks Entry'!Z27)</f>
        <v>46</v>
      </c>
      <c r="AS27" s="515">
        <f t="shared" si="12"/>
        <v>72</v>
      </c>
      <c r="AT27" s="68">
        <f>IF('Marks Entry'!AA27="","",'Marks Entry'!AA27)</f>
        <v>45</v>
      </c>
      <c r="AU27" s="96">
        <f t="shared" si="13"/>
        <v>117</v>
      </c>
      <c r="AV27" s="65">
        <f t="shared" si="14"/>
        <v>0</v>
      </c>
      <c r="AW27" s="65">
        <f t="shared" si="15"/>
        <v>0</v>
      </c>
      <c r="AX27" s="66">
        <f t="shared" si="16"/>
        <v>200</v>
      </c>
      <c r="AY27" s="65" t="str">
        <f t="shared" si="17"/>
        <v/>
      </c>
      <c r="AZ27" s="65" t="str">
        <f t="shared" si="18"/>
        <v>P</v>
      </c>
      <c r="BA27" s="65" t="str">
        <f t="shared" si="19"/>
        <v>II</v>
      </c>
      <c r="BB27" s="68">
        <f>IF('Marks Entry'!AB27="","",'Marks Entry'!AB27)</f>
        <v>8</v>
      </c>
      <c r="BC27" s="68">
        <f>IF('Marks Entry'!AC27="","",'Marks Entry'!AC27)</f>
        <v>9</v>
      </c>
      <c r="BD27" s="68">
        <f>IF('Marks Entry'!AD27="","",'Marks Entry'!AD27)</f>
        <v>7</v>
      </c>
      <c r="BE27" s="514">
        <f t="shared" si="20"/>
        <v>24</v>
      </c>
      <c r="BF27" s="68">
        <f>IF('Marks Entry'!AE27="","",'Marks Entry'!AE27)</f>
        <v>46</v>
      </c>
      <c r="BG27" s="515">
        <f t="shared" si="21"/>
        <v>70</v>
      </c>
      <c r="BH27" s="68">
        <f>IF('Marks Entry'!AF27="","",'Marks Entry'!AF27)</f>
        <v>45</v>
      </c>
      <c r="BI27" s="96">
        <f t="shared" si="22"/>
        <v>115</v>
      </c>
      <c r="BJ27" s="65">
        <f t="shared" si="23"/>
        <v>0</v>
      </c>
      <c r="BK27" s="65">
        <f t="shared" si="92"/>
        <v>0</v>
      </c>
      <c r="BL27" s="66">
        <f t="shared" si="24"/>
        <v>200</v>
      </c>
      <c r="BM27" s="65" t="str">
        <f t="shared" si="25"/>
        <v/>
      </c>
      <c r="BN27" s="65" t="str">
        <f t="shared" si="26"/>
        <v>P</v>
      </c>
      <c r="BO27" s="65" t="str">
        <f t="shared" si="27"/>
        <v>II</v>
      </c>
      <c r="BP27" s="68">
        <f>IF('Marks Entry'!AG27="","",'Marks Entry'!AG27)</f>
        <v>8</v>
      </c>
      <c r="BQ27" s="68">
        <f>IF('Marks Entry'!AH27="","",'Marks Entry'!AH27)</f>
        <v>9</v>
      </c>
      <c r="BR27" s="68">
        <f>IF('Marks Entry'!AI27="","",'Marks Entry'!AI27)</f>
        <v>7</v>
      </c>
      <c r="BS27" s="514">
        <f t="shared" si="28"/>
        <v>24</v>
      </c>
      <c r="BT27" s="68">
        <f>IF('Marks Entry'!AJ27="","",'Marks Entry'!AJ27)</f>
        <v>46</v>
      </c>
      <c r="BU27" s="515">
        <f t="shared" si="29"/>
        <v>70</v>
      </c>
      <c r="BV27" s="68">
        <f>IF('Marks Entry'!AK27="","",'Marks Entry'!AK27)</f>
        <v>45</v>
      </c>
      <c r="BW27" s="96">
        <f t="shared" si="30"/>
        <v>115</v>
      </c>
      <c r="BX27" s="65">
        <f t="shared" si="31"/>
        <v>0</v>
      </c>
      <c r="BY27" s="65">
        <f t="shared" si="32"/>
        <v>0</v>
      </c>
      <c r="BZ27" s="66">
        <f t="shared" si="33"/>
        <v>200</v>
      </c>
      <c r="CA27" s="65" t="str">
        <f t="shared" si="34"/>
        <v/>
      </c>
      <c r="CB27" s="65" t="str">
        <f t="shared" si="35"/>
        <v>P</v>
      </c>
      <c r="CC27" s="65" t="str">
        <f t="shared" si="36"/>
        <v>II</v>
      </c>
      <c r="CD27" s="66">
        <f t="shared" si="93"/>
        <v>0</v>
      </c>
      <c r="CE27" s="68">
        <f>IF('Marks Entry'!AL27="","",'Marks Entry'!AL27)</f>
        <v>8</v>
      </c>
      <c r="CF27" s="68">
        <f>IF('Marks Entry'!AM27="","",'Marks Entry'!AM27)</f>
        <v>8</v>
      </c>
      <c r="CG27" s="68">
        <f>IF('Marks Entry'!AN27="","",'Marks Entry'!AN27)</f>
        <v>8</v>
      </c>
      <c r="CH27" s="514">
        <f t="shared" si="37"/>
        <v>24</v>
      </c>
      <c r="CI27" s="68">
        <f>IF('Marks Entry'!AO27="","",'Marks Entry'!AO27)</f>
        <v>46</v>
      </c>
      <c r="CJ27" s="515">
        <f t="shared" si="38"/>
        <v>70</v>
      </c>
      <c r="CK27" s="68">
        <f>IF('Marks Entry'!AP27="","",'Marks Entry'!AP27)</f>
        <v>45</v>
      </c>
      <c r="CL27" s="96">
        <f t="shared" si="39"/>
        <v>115</v>
      </c>
      <c r="CM27" s="65">
        <f t="shared" si="40"/>
        <v>0</v>
      </c>
      <c r="CN27" s="65">
        <f t="shared" si="41"/>
        <v>0</v>
      </c>
      <c r="CO27" s="66">
        <f t="shared" si="42"/>
        <v>200</v>
      </c>
      <c r="CP27" s="65" t="str">
        <f t="shared" si="43"/>
        <v/>
      </c>
      <c r="CQ27" s="65" t="str">
        <f t="shared" si="44"/>
        <v>P</v>
      </c>
      <c r="CR27" s="65" t="str">
        <f t="shared" si="45"/>
        <v>II</v>
      </c>
      <c r="CS27" s="616"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8" t="str">
        <f>IF('School Profile'!$D$20="NO","",IF('Marks Entry'!AR27="","",'Marks Entry'!AR27))</f>
        <v/>
      </c>
      <c r="CU27" s="68" t="str">
        <f>IF('School Profile'!$D$20="NO","",IF('Marks Entry'!AS27="","",'Marks Entry'!AS27))</f>
        <v/>
      </c>
      <c r="CV27" s="68" t="str">
        <f>IF('School Profile'!$D$20="NO","",IF('Marks Entry'!AT27="","",'Marks Entry'!AT27))</f>
        <v/>
      </c>
      <c r="CW27" s="514" t="str">
        <f>IF('School Profile'!$D$20="NO","",IF(AND(CT27="",CU27="",CV27=""),"",SUM(CT27:CV27)))</f>
        <v/>
      </c>
      <c r="CX27" s="68" t="str">
        <f>IF('School Profile'!$D$20="NO","",IF('Marks Entry'!AU27="","",'Marks Entry'!AU27))</f>
        <v/>
      </c>
      <c r="CY27" s="68" t="str">
        <f>IF('School Profile'!$D$20="NO","",IF('Marks Entry'!AV27="","",'Marks Entry'!AV27))</f>
        <v/>
      </c>
      <c r="CZ27" s="515" t="str">
        <f>IF('School Profile'!$D$20="NO","",IF(AND(CX27="",CY27=""),"",SUM(CX27,CY27)))</f>
        <v/>
      </c>
      <c r="DA27" s="69" t="str">
        <f>IF('School Profile'!$D$20="NO","",IF(AND(CW27="",CZ27=""),"",SUM(CW27+CZ27)))</f>
        <v/>
      </c>
      <c r="DB27" s="68" t="str">
        <f>IF('School Profile'!$D$20="NO","",IF('Marks Entry'!AW27="","",'Marks Entry'!AW27))</f>
        <v/>
      </c>
      <c r="DC27" s="68" t="str">
        <f>IF('School Profile'!$D$20="NO","",IF('Marks Entry'!AX27="","",'Marks Entry'!AX27))</f>
        <v/>
      </c>
      <c r="DD27" s="515" t="str">
        <f>IF('School Profile'!$D$20="NO","",IF(AND(DB27="",DC27=""),"",SUM(DB27,DC27)))</f>
        <v/>
      </c>
      <c r="DE27" s="96" t="str">
        <f>IF('School Profile'!$D$20="NO","",IF(AND(DA27="",DD27=""),"",SUM(DA27,DD27)))</f>
        <v/>
      </c>
      <c r="DF27" s="532">
        <f t="shared" si="46"/>
        <v>0</v>
      </c>
      <c r="DG27" s="65">
        <f t="shared" si="47"/>
        <v>0</v>
      </c>
      <c r="DH27" s="66" t="str">
        <f t="shared" si="48"/>
        <v/>
      </c>
      <c r="DI27" s="65" t="str">
        <f t="shared" si="49"/>
        <v/>
      </c>
      <c r="DJ27" s="65" t="str">
        <f t="shared" si="50"/>
        <v/>
      </c>
      <c r="DK27" s="65" t="str">
        <f t="shared" si="51"/>
        <v/>
      </c>
      <c r="DL27" s="97" t="str">
        <f t="shared" si="94"/>
        <v>I</v>
      </c>
      <c r="DM27" s="97" t="str">
        <f t="shared" si="95"/>
        <v>D</v>
      </c>
      <c r="DN27" s="97" t="str">
        <f t="shared" si="96"/>
        <v>II</v>
      </c>
      <c r="DO27" s="97" t="str">
        <f t="shared" si="97"/>
        <v>II</v>
      </c>
      <c r="DP27" s="97" t="str">
        <f t="shared" si="98"/>
        <v>II</v>
      </c>
      <c r="DQ27" s="97" t="str">
        <f t="shared" si="99"/>
        <v>II</v>
      </c>
      <c r="DR27" s="97" t="str">
        <f t="shared" si="100"/>
        <v/>
      </c>
      <c r="DS27" s="98">
        <f t="shared" si="101"/>
        <v>0</v>
      </c>
      <c r="DT27" s="98">
        <f t="shared" si="102"/>
        <v>0</v>
      </c>
      <c r="DU27" s="98">
        <f t="shared" si="103"/>
        <v>0</v>
      </c>
      <c r="DV27" s="98">
        <f t="shared" si="104"/>
        <v>0</v>
      </c>
      <c r="DW27" s="98">
        <f t="shared" si="105"/>
        <v>0</v>
      </c>
      <c r="DX27" s="98" t="str">
        <f t="shared" si="106"/>
        <v/>
      </c>
      <c r="DY27" s="99" t="str">
        <f t="shared" si="107"/>
        <v>PASS</v>
      </c>
      <c r="DZ27" s="74" t="str">
        <f>IF('Marks Entry'!AY27="","",'Marks Entry'!AY27)</f>
        <v/>
      </c>
      <c r="EA27" s="74" t="str">
        <f>IF('Marks Entry'!AZ27="","",'Marks Entry'!AZ27)</f>
        <v/>
      </c>
      <c r="EB27" s="74" t="str">
        <f>IF('Marks Entry'!BA27="","",'Marks Entry'!BA27)</f>
        <v/>
      </c>
      <c r="EC27" s="527" t="str">
        <f t="shared" si="52"/>
        <v/>
      </c>
      <c r="ED27" s="74" t="str">
        <f>IF('Marks Entry'!BB27="","",'Marks Entry'!BB27)</f>
        <v/>
      </c>
      <c r="EE27" s="528" t="str">
        <f t="shared" si="53"/>
        <v/>
      </c>
      <c r="EF27" s="74" t="str">
        <f>IF('Marks Entry'!BC27="","",'Marks Entry'!BC27)</f>
        <v/>
      </c>
      <c r="EG27" s="530" t="str">
        <f t="shared" si="54"/>
        <v/>
      </c>
      <c r="EH27" s="368" t="str">
        <f t="shared" si="108"/>
        <v/>
      </c>
      <c r="EI27" s="65">
        <f t="shared" si="109"/>
        <v>0</v>
      </c>
      <c r="EJ27" s="65">
        <f t="shared" si="110"/>
        <v>0</v>
      </c>
      <c r="EK27" s="66" t="str">
        <f t="shared" si="111"/>
        <v/>
      </c>
      <c r="EL27" s="74" t="str">
        <f>IF('Marks Entry'!BD27="","",'Marks Entry'!BD27)</f>
        <v/>
      </c>
      <c r="EM27" s="74" t="str">
        <f>IF('Marks Entry'!BE27="","",'Marks Entry'!BE27)</f>
        <v/>
      </c>
      <c r="EN27" s="74" t="str">
        <f>IF('Marks Entry'!BF27="","",'Marks Entry'!BF27)</f>
        <v/>
      </c>
      <c r="EO27" s="527" t="str">
        <f t="shared" si="55"/>
        <v/>
      </c>
      <c r="EP27" s="74" t="str">
        <f>IF('Marks Entry'!BG27="","",'Marks Entry'!BG27)</f>
        <v/>
      </c>
      <c r="EQ27" s="74" t="str">
        <f>IF('Marks Entry'!BH27="","",'Marks Entry'!BH27)</f>
        <v/>
      </c>
      <c r="ER27" s="528" t="str">
        <f t="shared" si="56"/>
        <v/>
      </c>
      <c r="ES27" s="529" t="str">
        <f t="shared" si="57"/>
        <v/>
      </c>
      <c r="ET27" s="74" t="str">
        <f>IF('Marks Entry'!BI27="","",'Marks Entry'!BI27)</f>
        <v/>
      </c>
      <c r="EU27" s="74" t="str">
        <f>IF('Marks Entry'!BJ27="","",'Marks Entry'!BJ27)</f>
        <v/>
      </c>
      <c r="EV27" s="528" t="str">
        <f t="shared" si="58"/>
        <v/>
      </c>
      <c r="EW27" s="530" t="str">
        <f t="shared" si="59"/>
        <v/>
      </c>
      <c r="EX27" s="368" t="str">
        <f t="shared" si="112"/>
        <v/>
      </c>
      <c r="EY27" s="65">
        <f t="shared" si="113"/>
        <v>0</v>
      </c>
      <c r="EZ27" s="65">
        <f t="shared" si="114"/>
        <v>0</v>
      </c>
      <c r="FA27" s="66" t="str">
        <f t="shared" si="115"/>
        <v/>
      </c>
      <c r="FB27" s="74" t="str">
        <f>IF('Marks Entry'!BK27="","",'Marks Entry'!BK27)</f>
        <v/>
      </c>
      <c r="FC27" s="74" t="str">
        <f>IF('Marks Entry'!BL27="","",'Marks Entry'!BL27)</f>
        <v/>
      </c>
      <c r="FD27" s="74" t="str">
        <f>IF('Marks Entry'!BM27="","",'Marks Entry'!BM27)</f>
        <v/>
      </c>
      <c r="FE27" s="74" t="str">
        <f>IF('Marks Entry'!BN27="","",'Marks Entry'!BN27)</f>
        <v/>
      </c>
      <c r="FF27" s="74" t="str">
        <f>IF('Marks Entry'!BO27="","",'Marks Entry'!BO27)</f>
        <v/>
      </c>
      <c r="FG27" s="74" t="str">
        <f>IF('Marks Entry'!BP27="","",'Marks Entry'!BP27)</f>
        <v/>
      </c>
      <c r="FH27" s="527" t="str">
        <f t="shared" si="60"/>
        <v/>
      </c>
      <c r="FI27" s="74" t="str">
        <f>IF('Marks Entry'!BQ27="","",'Marks Entry'!BQ27)</f>
        <v/>
      </c>
      <c r="FJ27" s="74" t="str">
        <f>IF('Marks Entry'!BR27="","",'Marks Entry'!BR27)</f>
        <v/>
      </c>
      <c r="FK27" s="528" t="str">
        <f t="shared" si="61"/>
        <v/>
      </c>
      <c r="FL27" s="529" t="str">
        <f t="shared" si="62"/>
        <v/>
      </c>
      <c r="FM27" s="74" t="str">
        <f>IF('Marks Entry'!BS27="","",'Marks Entry'!BS27)</f>
        <v/>
      </c>
      <c r="FN27" s="74" t="str">
        <f>IF('Marks Entry'!BT27="","",'Marks Entry'!BT27)</f>
        <v/>
      </c>
      <c r="FO27" s="528" t="str">
        <f t="shared" si="63"/>
        <v/>
      </c>
      <c r="FP27" s="530" t="str">
        <f t="shared" si="64"/>
        <v/>
      </c>
      <c r="FQ27" s="368" t="str">
        <f t="shared" si="116"/>
        <v/>
      </c>
      <c r="FR27" s="65">
        <f t="shared" si="117"/>
        <v>0</v>
      </c>
      <c r="FS27" s="65">
        <f t="shared" si="118"/>
        <v>0</v>
      </c>
      <c r="FT27" s="66" t="str">
        <f t="shared" si="119"/>
        <v/>
      </c>
      <c r="FU27" s="74" t="str">
        <f>IF('Marks Entry'!BU27="","",'Marks Entry'!BU27)</f>
        <v/>
      </c>
      <c r="FV27" s="74" t="str">
        <f>IF('Marks Entry'!BV27="","",'Marks Entry'!BV27)</f>
        <v/>
      </c>
      <c r="FW27" s="74" t="str">
        <f>IF('Marks Entry'!BW27="","",'Marks Entry'!BW27)</f>
        <v/>
      </c>
      <c r="FX27" s="75" t="str">
        <f t="shared" si="65"/>
        <v/>
      </c>
      <c r="FY27" s="368" t="str">
        <f t="shared" si="120"/>
        <v/>
      </c>
      <c r="FZ27" s="65">
        <f t="shared" si="121"/>
        <v>0</v>
      </c>
      <c r="GA27" s="66">
        <f t="shared" si="122"/>
        <v>0</v>
      </c>
      <c r="GB27" s="66" t="str">
        <f t="shared" si="123"/>
        <v/>
      </c>
      <c r="GC27" s="74" t="str">
        <f>IF('Marks Entry'!BX27="","",'Marks Entry'!BX27)</f>
        <v/>
      </c>
      <c r="GD27" s="74" t="str">
        <f>IF('Marks Entry'!BY27="","",'Marks Entry'!BY27)</f>
        <v/>
      </c>
      <c r="GE27" s="74" t="str">
        <f>IF('Marks Entry'!BZ27="","",'Marks Entry'!BZ27)</f>
        <v/>
      </c>
      <c r="GF27" s="75" t="str">
        <f t="shared" si="124"/>
        <v/>
      </c>
      <c r="GG27" s="368" t="str">
        <f t="shared" si="125"/>
        <v/>
      </c>
      <c r="GH27" s="65">
        <f t="shared" si="126"/>
        <v>0</v>
      </c>
      <c r="GI27" s="66">
        <f t="shared" si="127"/>
        <v>0</v>
      </c>
      <c r="GJ27" s="66" t="str">
        <f t="shared" si="128"/>
        <v/>
      </c>
      <c r="GK27" s="100" t="str">
        <f>IF(AND(F27="",B27=""),"",IF('Student DATA Entry'!M24="","",'Student DATA Entry'!M24))</f>
        <v/>
      </c>
      <c r="GL27" s="101" t="str">
        <f>IF(AND(B27="",F27=""),"",IF('Student DATA Entry'!N24="","",'Student DATA Entry'!N24))</f>
        <v/>
      </c>
      <c r="GM27" s="581" t="str">
        <f t="shared" si="129"/>
        <v/>
      </c>
      <c r="GN27" s="94" t="str">
        <f t="shared" si="130"/>
        <v>I</v>
      </c>
      <c r="GO27" s="94" t="str">
        <f t="shared" si="131"/>
        <v/>
      </c>
      <c r="GP27" s="102" t="str">
        <f t="shared" si="67"/>
        <v/>
      </c>
      <c r="GQ27" s="94" t="str">
        <f t="shared" si="132"/>
        <v>D</v>
      </c>
      <c r="GR27" s="103" t="str">
        <f t="shared" si="133"/>
        <v/>
      </c>
      <c r="GS27" s="102" t="str">
        <f t="shared" si="68"/>
        <v/>
      </c>
      <c r="GT27" s="104" t="str">
        <f t="shared" si="134"/>
        <v>II</v>
      </c>
      <c r="GU27" s="94" t="str">
        <f>IF('Marks Entry'!V27=1,GT27,"")</f>
        <v/>
      </c>
      <c r="GV27" s="94" t="str">
        <f>IF('Marks Entry'!V27=2,GT27,"")</f>
        <v>II</v>
      </c>
      <c r="GW27" s="94" t="str">
        <f>IF('Marks Entry'!V27=3,GT27,"")</f>
        <v/>
      </c>
      <c r="GX27" s="94" t="str">
        <f>IF('Marks Entry'!V27=4,GT27,"")</f>
        <v/>
      </c>
      <c r="GY27" s="94" t="str">
        <f>IF('Marks Entry'!V27=5,GT27,"")</f>
        <v/>
      </c>
      <c r="GZ27" s="94" t="str">
        <f t="shared" si="135"/>
        <v/>
      </c>
      <c r="HA27" s="105" t="str">
        <f t="shared" si="69"/>
        <v/>
      </c>
      <c r="HB27" s="94" t="str">
        <f t="shared" si="136"/>
        <v>II</v>
      </c>
      <c r="HC27" s="94" t="str">
        <f t="shared" si="137"/>
        <v/>
      </c>
      <c r="HD27" s="105" t="str">
        <f t="shared" si="70"/>
        <v/>
      </c>
      <c r="HE27" s="94" t="str">
        <f t="shared" si="138"/>
        <v>II</v>
      </c>
      <c r="HF27" s="94" t="str">
        <f t="shared" si="139"/>
        <v/>
      </c>
      <c r="HG27" s="105" t="str">
        <f t="shared" si="71"/>
        <v/>
      </c>
      <c r="HH27" s="94" t="str">
        <f t="shared" si="140"/>
        <v>II</v>
      </c>
      <c r="HI27" s="94" t="str">
        <f t="shared" si="141"/>
        <v/>
      </c>
      <c r="HJ27" s="105" t="str">
        <f t="shared" si="72"/>
        <v/>
      </c>
      <c r="HK27" s="94" t="str">
        <f t="shared" si="142"/>
        <v/>
      </c>
      <c r="HL27" s="94" t="str">
        <f t="shared" si="143"/>
        <v/>
      </c>
      <c r="HM27" s="105" t="str">
        <f t="shared" si="73"/>
        <v/>
      </c>
      <c r="HN27" s="367" t="str">
        <f t="shared" si="144"/>
        <v xml:space="preserve">      </v>
      </c>
      <c r="HO27" s="418" t="str">
        <f t="shared" si="145"/>
        <v xml:space="preserve">      </v>
      </c>
      <c r="HP27" s="367" t="str">
        <f t="shared" si="146"/>
        <v xml:space="preserve">      </v>
      </c>
      <c r="HQ27" s="107" t="str">
        <f t="shared" si="147"/>
        <v xml:space="preserve">      </v>
      </c>
      <c r="HR27" s="366" t="str">
        <f t="shared" si="148"/>
        <v xml:space="preserve"> अंग्रेजी     </v>
      </c>
      <c r="HS27" s="544" t="str">
        <f t="shared" si="74"/>
        <v>PASS</v>
      </c>
      <c r="HT27" s="542">
        <f t="shared" si="149"/>
        <v>768</v>
      </c>
      <c r="HU27" s="541">
        <f t="shared" si="160"/>
        <v>64</v>
      </c>
      <c r="HV27" s="540" t="str">
        <f t="shared" si="150"/>
        <v>1st</v>
      </c>
      <c r="HW27" s="537">
        <f t="shared" si="151"/>
        <v>64</v>
      </c>
      <c r="HX27" s="539">
        <f t="shared" si="152"/>
        <v>6.9999999999999263</v>
      </c>
      <c r="HY27" s="553" t="str">
        <f>IFERROR(IF(OR(HS27="SUPPLEMENTARY",HS27="RE-EXAM"),'Supp. Result Entry'!AQ25,""),"")</f>
        <v/>
      </c>
      <c r="HZ27" s="538" t="str">
        <f t="shared" si="153"/>
        <v/>
      </c>
      <c r="IA27" s="415" t="str">
        <f t="shared" si="154"/>
        <v/>
      </c>
      <c r="IB27" s="415" t="str">
        <f>IF(AND(HZ27="",IA27=""),"",IF(OR(HS27="SUPPLEMENTARY",HS27="RE-EXAM"),'Supp. Result Entry'!AQ25,HS27))</f>
        <v/>
      </c>
      <c r="IC27" s="87"/>
      <c r="IS27" s="109" t="str">
        <f>IF('Supp. Result Entry'!T25="","",'Supp. Result Entry'!$T$4)</f>
        <v/>
      </c>
      <c r="IT27" s="110" t="str">
        <f>IF('Supp. Result Entry'!W25="","",'Supp. Result Entry'!$W$4)</f>
        <v/>
      </c>
      <c r="IU27" s="110" t="str">
        <f>IF('Supp. Result Entry'!Z25="","",'Supp. Result Entry'!$Z$4)</f>
        <v/>
      </c>
      <c r="IV27" s="110" t="str">
        <f>IF('Supp. Result Entry'!AC25="","",'Supp. Result Entry'!$AC$4)</f>
        <v/>
      </c>
      <c r="IW27" s="110" t="str">
        <f>IF('Supp. Result Entry'!AF25="","",'Supp. Result Entry'!$AF$4)</f>
        <v/>
      </c>
      <c r="IX27" s="110" t="str">
        <f>IF('Supp. Result Entry'!AI25="","",'Supp. Result Entry'!$AI$4)</f>
        <v/>
      </c>
      <c r="IY27" s="110" t="str">
        <f>IF('Supp. Result Entry'!AI25="","",'Supp. Result Entry'!$AL$4)</f>
        <v/>
      </c>
      <c r="IZ27" s="110" t="str">
        <f>IF('Supp. Result Entry'!U25="","",'Supp. Result Entry'!U25)</f>
        <v/>
      </c>
      <c r="JA27" s="110" t="str">
        <f>IF('Supp. Result Entry'!X25="","",'Supp. Result Entry'!X25)</f>
        <v/>
      </c>
      <c r="JB27" s="110" t="str">
        <f>IF('Supp. Result Entry'!AA25="","",'Supp. Result Entry'!AA25)</f>
        <v/>
      </c>
      <c r="JC27" s="110" t="str">
        <f>IF('Supp. Result Entry'!AD25="","",'Supp. Result Entry'!AD25)</f>
        <v/>
      </c>
      <c r="JD27" s="110" t="str">
        <f>IF('Supp. Result Entry'!AG25="","",'Supp. Result Entry'!AG25)</f>
        <v/>
      </c>
      <c r="JE27" s="110" t="str">
        <f>IF('Supp. Result Entry'!AJ25="","",'Supp. Result Entry'!AJ25)</f>
        <v/>
      </c>
      <c r="JF27" s="110" t="str">
        <f>IF('Supp. Result Entry'!AM25="","",'Supp. Result Entry'!AM25)</f>
        <v/>
      </c>
      <c r="JG27" s="110" t="str">
        <f>IF('Supp. Result Entry'!V25="","",'Supp. Result Entry'!V25)</f>
        <v/>
      </c>
      <c r="JH27" s="110" t="str">
        <f>IF('Supp. Result Entry'!Y25="","",'Supp. Result Entry'!Y25)</f>
        <v/>
      </c>
      <c r="JI27" s="110" t="str">
        <f>IF('Supp. Result Entry'!AB25="","",'Supp. Result Entry'!AB25)</f>
        <v/>
      </c>
      <c r="JJ27" s="110" t="str">
        <f>IF('Supp. Result Entry'!AE25="","",'Supp. Result Entry'!AE25)</f>
        <v/>
      </c>
      <c r="JK27" s="110" t="str">
        <f>IF('Supp. Result Entry'!AH25="","",'Supp. Result Entry'!AH25)</f>
        <v/>
      </c>
      <c r="JL27" s="110" t="str">
        <f>IF('Supp. Result Entry'!AK25="","",'Supp. Result Entry'!AK25)</f>
        <v/>
      </c>
      <c r="JM27" s="110" t="str">
        <f>IF('Supp. Result Entry'!AN25="","",'Supp. Result Entry'!AN25)</f>
        <v/>
      </c>
      <c r="JN27" s="110">
        <f>COUNTIF('Supp. Result Entry'!K25:Q25,"S")</f>
        <v>0</v>
      </c>
      <c r="JO27" s="110">
        <f t="shared" si="155"/>
        <v>0</v>
      </c>
      <c r="JP27" s="110">
        <f t="shared" si="156"/>
        <v>0</v>
      </c>
      <c r="JQ27" s="110" t="str">
        <f t="shared" si="75"/>
        <v/>
      </c>
      <c r="JR27" s="110" t="str">
        <f t="shared" si="76"/>
        <v/>
      </c>
      <c r="JS27" s="110" t="str">
        <f t="shared" si="77"/>
        <v/>
      </c>
      <c r="JT27" s="110" t="str">
        <f t="shared" si="78"/>
        <v/>
      </c>
      <c r="JU27" s="110" t="str">
        <f t="shared" si="79"/>
        <v/>
      </c>
      <c r="JV27" s="110" t="str">
        <f t="shared" si="80"/>
        <v/>
      </c>
      <c r="JW27" s="110" t="str">
        <f t="shared" si="81"/>
        <v/>
      </c>
      <c r="JX27" s="110" t="str">
        <f t="shared" si="157"/>
        <v/>
      </c>
      <c r="JY27" s="110" t="str">
        <f t="shared" si="158"/>
        <v/>
      </c>
      <c r="JZ27" s="110" t="str">
        <f t="shared" si="82"/>
        <v/>
      </c>
      <c r="KA27" s="108" t="str">
        <f t="shared" si="159"/>
        <v/>
      </c>
    </row>
    <row r="28" spans="1:287" s="108" customFormat="1" ht="21.95" customHeight="1">
      <c r="A28" s="89">
        <v>22</v>
      </c>
      <c r="B28" s="90">
        <f>IF('Marks Entry'!B28="","",'Marks Entry'!B28)</f>
        <v>922</v>
      </c>
      <c r="C28" s="94" t="str">
        <f>IF('Marks Entry'!D28="","",'Marks Entry'!D28)</f>
        <v>A</v>
      </c>
      <c r="D28" s="91" t="str">
        <f>IF('Marks Entry'!E28="","",'Marks Entry'!E28)</f>
        <v/>
      </c>
      <c r="E28" s="92" t="str">
        <f>IF('Marks Entry'!F28="","",'Marks Entry'!F28)</f>
        <v/>
      </c>
      <c r="F28" s="93" t="str">
        <f>IF('Marks Entry'!G28="","",'Marks Entry'!G28)</f>
        <v>ROZER</v>
      </c>
      <c r="G28" s="93" t="str">
        <f>IF('Marks Entry'!H28="","",'Marks Entry'!H28)</f>
        <v/>
      </c>
      <c r="H28" s="93" t="str">
        <f>IF('Marks Entry'!I28="","",'Marks Entry'!I28)</f>
        <v/>
      </c>
      <c r="I28" s="94" t="str">
        <f>IF('Marks Entry'!J28="","",'Marks Entry'!J28)</f>
        <v/>
      </c>
      <c r="J28" s="95" t="str">
        <f>IF('Marks Entry'!K28="","",'Marks Entry'!K28)</f>
        <v/>
      </c>
      <c r="K28" s="68">
        <f>IF('Marks Entry'!L28="","",'Marks Entry'!L28)</f>
        <v>8</v>
      </c>
      <c r="L28" s="68">
        <f>IF('Marks Entry'!M28="","",'Marks Entry'!M28)</f>
        <v>9</v>
      </c>
      <c r="M28" s="68">
        <f>IF('Marks Entry'!N28="","",'Marks Entry'!N28)</f>
        <v>8</v>
      </c>
      <c r="N28" s="514">
        <f t="shared" si="83"/>
        <v>25</v>
      </c>
      <c r="O28" s="68">
        <f>IF('Marks Entry'!O28="","",'Marks Entry'!O28)</f>
        <v>46</v>
      </c>
      <c r="P28" s="515">
        <f t="shared" si="84"/>
        <v>71</v>
      </c>
      <c r="Q28" s="68">
        <f>IF('Marks Entry'!P28="","",'Marks Entry'!P28)</f>
        <v>65</v>
      </c>
      <c r="R28" s="96">
        <f t="shared" si="85"/>
        <v>136</v>
      </c>
      <c r="S28" s="65">
        <f t="shared" si="86"/>
        <v>0</v>
      </c>
      <c r="T28" s="65">
        <f t="shared" si="87"/>
        <v>0</v>
      </c>
      <c r="U28" s="66">
        <f t="shared" si="88"/>
        <v>200</v>
      </c>
      <c r="V28" s="65" t="str">
        <f t="shared" si="89"/>
        <v/>
      </c>
      <c r="W28" s="65" t="str">
        <f t="shared" si="90"/>
        <v>P</v>
      </c>
      <c r="X28" s="65" t="str">
        <f t="shared" si="91"/>
        <v>I</v>
      </c>
      <c r="Y28" s="68">
        <f>IF('Marks Entry'!Q28="","",'Marks Entry'!Q28)</f>
        <v>8</v>
      </c>
      <c r="Z28" s="68">
        <f>IF('Marks Entry'!R28="","",'Marks Entry'!R28)</f>
        <v>9</v>
      </c>
      <c r="AA28" s="68">
        <f>IF('Marks Entry'!S28="","",'Marks Entry'!S28)</f>
        <v>8</v>
      </c>
      <c r="AB28" s="514">
        <f t="shared" si="2"/>
        <v>25</v>
      </c>
      <c r="AC28" s="68">
        <f>IF('Marks Entry'!T28="","",'Marks Entry'!T28)</f>
        <v>60</v>
      </c>
      <c r="AD28" s="515">
        <f t="shared" si="3"/>
        <v>85</v>
      </c>
      <c r="AE28" s="68">
        <f>IF('Marks Entry'!U28="","",'Marks Entry'!U28)</f>
        <v>85</v>
      </c>
      <c r="AF28" s="96">
        <f t="shared" si="4"/>
        <v>170</v>
      </c>
      <c r="AG28" s="65">
        <f t="shared" si="5"/>
        <v>0</v>
      </c>
      <c r="AH28" s="65">
        <f t="shared" si="6"/>
        <v>0</v>
      </c>
      <c r="AI28" s="66">
        <f t="shared" si="7"/>
        <v>200</v>
      </c>
      <c r="AJ28" s="65" t="str">
        <f t="shared" si="8"/>
        <v/>
      </c>
      <c r="AK28" s="65" t="str">
        <f t="shared" si="9"/>
        <v>P</v>
      </c>
      <c r="AL28" s="65" t="str">
        <f t="shared" si="10"/>
        <v>D</v>
      </c>
      <c r="AM28" s="524" t="str">
        <f>IF('Marks Entry'!V28="","",IF('Marks Entry'!V28=1,'School Profile'!$I$9,IF('Marks Entry'!V28=2,'School Profile'!$I$10,IF('Marks Entry'!V28=3,'School Profile'!$I$11,IF('Marks Entry'!V28=4,'School Profile'!$I$12,IF('Marks Entry'!V28=5,'School Profile'!$I$13,IF('Marks Entry'!V28=6,'School Profile'!$I$14,"")))))))</f>
        <v xml:space="preserve">उर्दू (72) </v>
      </c>
      <c r="AN28" s="68">
        <f>IF('Marks Entry'!W28="","",'Marks Entry'!W28)</f>
        <v>8</v>
      </c>
      <c r="AO28" s="68">
        <f>IF('Marks Entry'!X28="","",'Marks Entry'!X28)</f>
        <v>9</v>
      </c>
      <c r="AP28" s="68">
        <f>IF('Marks Entry'!Y28="","",'Marks Entry'!Y28)</f>
        <v>10</v>
      </c>
      <c r="AQ28" s="514">
        <f t="shared" si="11"/>
        <v>27</v>
      </c>
      <c r="AR28" s="68">
        <f>IF('Marks Entry'!Z28="","",'Marks Entry'!Z28)</f>
        <v>46</v>
      </c>
      <c r="AS28" s="515">
        <f t="shared" si="12"/>
        <v>73</v>
      </c>
      <c r="AT28" s="68">
        <f>IF('Marks Entry'!AA28="","",'Marks Entry'!AA28)</f>
        <v>45</v>
      </c>
      <c r="AU28" s="96">
        <f t="shared" si="13"/>
        <v>118</v>
      </c>
      <c r="AV28" s="65">
        <f t="shared" si="14"/>
        <v>0</v>
      </c>
      <c r="AW28" s="65">
        <f t="shared" si="15"/>
        <v>0</v>
      </c>
      <c r="AX28" s="66">
        <f t="shared" si="16"/>
        <v>200</v>
      </c>
      <c r="AY28" s="65" t="str">
        <f t="shared" si="17"/>
        <v/>
      </c>
      <c r="AZ28" s="65" t="str">
        <f t="shared" si="18"/>
        <v>P</v>
      </c>
      <c r="BA28" s="65" t="str">
        <f t="shared" si="19"/>
        <v>II</v>
      </c>
      <c r="BB28" s="68">
        <f>IF('Marks Entry'!AB28="","",'Marks Entry'!AB28)</f>
        <v>8</v>
      </c>
      <c r="BC28" s="68">
        <f>IF('Marks Entry'!AC28="","",'Marks Entry'!AC28)</f>
        <v>9</v>
      </c>
      <c r="BD28" s="68">
        <f>IF('Marks Entry'!AD28="","",'Marks Entry'!AD28)</f>
        <v>9</v>
      </c>
      <c r="BE28" s="514">
        <f t="shared" si="20"/>
        <v>26</v>
      </c>
      <c r="BF28" s="68">
        <f>IF('Marks Entry'!AE28="","",'Marks Entry'!AE28)</f>
        <v>46</v>
      </c>
      <c r="BG28" s="515">
        <f t="shared" si="21"/>
        <v>72</v>
      </c>
      <c r="BH28" s="68">
        <f>IF('Marks Entry'!AF28="","",'Marks Entry'!AF28)</f>
        <v>45</v>
      </c>
      <c r="BI28" s="96">
        <f t="shared" si="22"/>
        <v>117</v>
      </c>
      <c r="BJ28" s="65">
        <f t="shared" si="23"/>
        <v>0</v>
      </c>
      <c r="BK28" s="65">
        <f t="shared" si="92"/>
        <v>0</v>
      </c>
      <c r="BL28" s="66">
        <f t="shared" si="24"/>
        <v>200</v>
      </c>
      <c r="BM28" s="65" t="str">
        <f t="shared" si="25"/>
        <v/>
      </c>
      <c r="BN28" s="65" t="str">
        <f t="shared" si="26"/>
        <v>P</v>
      </c>
      <c r="BO28" s="65" t="str">
        <f t="shared" si="27"/>
        <v>II</v>
      </c>
      <c r="BP28" s="68">
        <f>IF('Marks Entry'!AG28="","",'Marks Entry'!AG28)</f>
        <v>8</v>
      </c>
      <c r="BQ28" s="68">
        <f>IF('Marks Entry'!AH28="","",'Marks Entry'!AH28)</f>
        <v>9</v>
      </c>
      <c r="BR28" s="68">
        <f>IF('Marks Entry'!AI28="","",'Marks Entry'!AI28)</f>
        <v>7</v>
      </c>
      <c r="BS28" s="514">
        <f t="shared" si="28"/>
        <v>24</v>
      </c>
      <c r="BT28" s="68">
        <f>IF('Marks Entry'!AJ28="","",'Marks Entry'!AJ28)</f>
        <v>46</v>
      </c>
      <c r="BU28" s="515">
        <f t="shared" si="29"/>
        <v>70</v>
      </c>
      <c r="BV28" s="68">
        <f>IF('Marks Entry'!AK28="","",'Marks Entry'!AK28)</f>
        <v>45</v>
      </c>
      <c r="BW28" s="96">
        <f t="shared" si="30"/>
        <v>115</v>
      </c>
      <c r="BX28" s="65">
        <f t="shared" si="31"/>
        <v>0</v>
      </c>
      <c r="BY28" s="65">
        <f t="shared" si="32"/>
        <v>0</v>
      </c>
      <c r="BZ28" s="66">
        <f t="shared" si="33"/>
        <v>200</v>
      </c>
      <c r="CA28" s="65" t="str">
        <f t="shared" si="34"/>
        <v/>
      </c>
      <c r="CB28" s="65" t="str">
        <f t="shared" si="35"/>
        <v>P</v>
      </c>
      <c r="CC28" s="65" t="str">
        <f t="shared" si="36"/>
        <v>II</v>
      </c>
      <c r="CD28" s="66">
        <f t="shared" si="93"/>
        <v>0</v>
      </c>
      <c r="CE28" s="68">
        <f>IF('Marks Entry'!AL28="","",'Marks Entry'!AL28)</f>
        <v>8</v>
      </c>
      <c r="CF28" s="68">
        <f>IF('Marks Entry'!AM28="","",'Marks Entry'!AM28)</f>
        <v>8</v>
      </c>
      <c r="CG28" s="68">
        <f>IF('Marks Entry'!AN28="","",'Marks Entry'!AN28)</f>
        <v>8</v>
      </c>
      <c r="CH28" s="514">
        <f t="shared" si="37"/>
        <v>24</v>
      </c>
      <c r="CI28" s="68">
        <f>IF('Marks Entry'!AO28="","",'Marks Entry'!AO28)</f>
        <v>46</v>
      </c>
      <c r="CJ28" s="515">
        <f t="shared" si="38"/>
        <v>70</v>
      </c>
      <c r="CK28" s="68">
        <f>IF('Marks Entry'!AP28="","",'Marks Entry'!AP28)</f>
        <v>45</v>
      </c>
      <c r="CL28" s="96">
        <f t="shared" si="39"/>
        <v>115</v>
      </c>
      <c r="CM28" s="65">
        <f t="shared" si="40"/>
        <v>0</v>
      </c>
      <c r="CN28" s="65">
        <f t="shared" si="41"/>
        <v>0</v>
      </c>
      <c r="CO28" s="66">
        <f t="shared" si="42"/>
        <v>200</v>
      </c>
      <c r="CP28" s="65" t="str">
        <f t="shared" si="43"/>
        <v/>
      </c>
      <c r="CQ28" s="65" t="str">
        <f t="shared" si="44"/>
        <v>P</v>
      </c>
      <c r="CR28" s="65" t="str">
        <f t="shared" si="45"/>
        <v>II</v>
      </c>
      <c r="CS28" s="616"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8" t="str">
        <f>IF('School Profile'!$D$20="NO","",IF('Marks Entry'!AR28="","",'Marks Entry'!AR28))</f>
        <v/>
      </c>
      <c r="CU28" s="68" t="str">
        <f>IF('School Profile'!$D$20="NO","",IF('Marks Entry'!AS28="","",'Marks Entry'!AS28))</f>
        <v/>
      </c>
      <c r="CV28" s="68" t="str">
        <f>IF('School Profile'!$D$20="NO","",IF('Marks Entry'!AT28="","",'Marks Entry'!AT28))</f>
        <v/>
      </c>
      <c r="CW28" s="514" t="str">
        <f>IF('School Profile'!$D$20="NO","",IF(AND(CT28="",CU28="",CV28=""),"",SUM(CT28:CV28)))</f>
        <v/>
      </c>
      <c r="CX28" s="68" t="str">
        <f>IF('School Profile'!$D$20="NO","",IF('Marks Entry'!AU28="","",'Marks Entry'!AU28))</f>
        <v/>
      </c>
      <c r="CY28" s="68" t="str">
        <f>IF('School Profile'!$D$20="NO","",IF('Marks Entry'!AV28="","",'Marks Entry'!AV28))</f>
        <v/>
      </c>
      <c r="CZ28" s="515" t="str">
        <f>IF('School Profile'!$D$20="NO","",IF(AND(CX28="",CY28=""),"",SUM(CX28,CY28)))</f>
        <v/>
      </c>
      <c r="DA28" s="69" t="str">
        <f>IF('School Profile'!$D$20="NO","",IF(AND(CW28="",CZ28=""),"",SUM(CW28+CZ28)))</f>
        <v/>
      </c>
      <c r="DB28" s="68" t="str">
        <f>IF('School Profile'!$D$20="NO","",IF('Marks Entry'!AW28="","",'Marks Entry'!AW28))</f>
        <v/>
      </c>
      <c r="DC28" s="68" t="str">
        <f>IF('School Profile'!$D$20="NO","",IF('Marks Entry'!AX28="","",'Marks Entry'!AX28))</f>
        <v/>
      </c>
      <c r="DD28" s="515" t="str">
        <f>IF('School Profile'!$D$20="NO","",IF(AND(DB28="",DC28=""),"",SUM(DB28,DC28)))</f>
        <v/>
      </c>
      <c r="DE28" s="96" t="str">
        <f>IF('School Profile'!$D$20="NO","",IF(AND(DA28="",DD28=""),"",SUM(DA28,DD28)))</f>
        <v/>
      </c>
      <c r="DF28" s="532">
        <f t="shared" si="46"/>
        <v>0</v>
      </c>
      <c r="DG28" s="65">
        <f t="shared" si="47"/>
        <v>0</v>
      </c>
      <c r="DH28" s="66" t="str">
        <f t="shared" si="48"/>
        <v/>
      </c>
      <c r="DI28" s="65" t="str">
        <f t="shared" si="49"/>
        <v/>
      </c>
      <c r="DJ28" s="65" t="str">
        <f t="shared" si="50"/>
        <v/>
      </c>
      <c r="DK28" s="65" t="str">
        <f t="shared" si="51"/>
        <v/>
      </c>
      <c r="DL28" s="97" t="str">
        <f t="shared" si="94"/>
        <v>I</v>
      </c>
      <c r="DM28" s="97" t="str">
        <f t="shared" si="95"/>
        <v>D</v>
      </c>
      <c r="DN28" s="97" t="str">
        <f t="shared" si="96"/>
        <v>II</v>
      </c>
      <c r="DO28" s="97" t="str">
        <f t="shared" si="97"/>
        <v>II</v>
      </c>
      <c r="DP28" s="97" t="str">
        <f t="shared" si="98"/>
        <v>II</v>
      </c>
      <c r="DQ28" s="97" t="str">
        <f t="shared" si="99"/>
        <v>II</v>
      </c>
      <c r="DR28" s="97" t="str">
        <f t="shared" si="100"/>
        <v/>
      </c>
      <c r="DS28" s="98">
        <f t="shared" si="101"/>
        <v>0</v>
      </c>
      <c r="DT28" s="98">
        <f t="shared" si="102"/>
        <v>0</v>
      </c>
      <c r="DU28" s="98">
        <f t="shared" si="103"/>
        <v>0</v>
      </c>
      <c r="DV28" s="98">
        <f t="shared" si="104"/>
        <v>0</v>
      </c>
      <c r="DW28" s="98">
        <f t="shared" si="105"/>
        <v>0</v>
      </c>
      <c r="DX28" s="98" t="str">
        <f t="shared" si="106"/>
        <v/>
      </c>
      <c r="DY28" s="99" t="str">
        <f t="shared" si="107"/>
        <v>PASS</v>
      </c>
      <c r="DZ28" s="74" t="str">
        <f>IF('Marks Entry'!AY28="","",'Marks Entry'!AY28)</f>
        <v/>
      </c>
      <c r="EA28" s="74" t="str">
        <f>IF('Marks Entry'!AZ28="","",'Marks Entry'!AZ28)</f>
        <v/>
      </c>
      <c r="EB28" s="74" t="str">
        <f>IF('Marks Entry'!BA28="","",'Marks Entry'!BA28)</f>
        <v/>
      </c>
      <c r="EC28" s="527" t="str">
        <f t="shared" si="52"/>
        <v/>
      </c>
      <c r="ED28" s="74" t="str">
        <f>IF('Marks Entry'!BB28="","",'Marks Entry'!BB28)</f>
        <v/>
      </c>
      <c r="EE28" s="528" t="str">
        <f t="shared" si="53"/>
        <v/>
      </c>
      <c r="EF28" s="74" t="str">
        <f>IF('Marks Entry'!BC28="","",'Marks Entry'!BC28)</f>
        <v/>
      </c>
      <c r="EG28" s="530" t="str">
        <f t="shared" si="54"/>
        <v/>
      </c>
      <c r="EH28" s="368" t="str">
        <f t="shared" si="108"/>
        <v/>
      </c>
      <c r="EI28" s="65">
        <f t="shared" si="109"/>
        <v>0</v>
      </c>
      <c r="EJ28" s="65">
        <f t="shared" si="110"/>
        <v>0</v>
      </c>
      <c r="EK28" s="66" t="str">
        <f t="shared" si="111"/>
        <v/>
      </c>
      <c r="EL28" s="74" t="str">
        <f>IF('Marks Entry'!BD28="","",'Marks Entry'!BD28)</f>
        <v/>
      </c>
      <c r="EM28" s="74" t="str">
        <f>IF('Marks Entry'!BE28="","",'Marks Entry'!BE28)</f>
        <v/>
      </c>
      <c r="EN28" s="74" t="str">
        <f>IF('Marks Entry'!BF28="","",'Marks Entry'!BF28)</f>
        <v/>
      </c>
      <c r="EO28" s="527" t="str">
        <f t="shared" si="55"/>
        <v/>
      </c>
      <c r="EP28" s="74" t="str">
        <f>IF('Marks Entry'!BG28="","",'Marks Entry'!BG28)</f>
        <v/>
      </c>
      <c r="EQ28" s="74" t="str">
        <f>IF('Marks Entry'!BH28="","",'Marks Entry'!BH28)</f>
        <v/>
      </c>
      <c r="ER28" s="528" t="str">
        <f t="shared" si="56"/>
        <v/>
      </c>
      <c r="ES28" s="529" t="str">
        <f t="shared" si="57"/>
        <v/>
      </c>
      <c r="ET28" s="74" t="str">
        <f>IF('Marks Entry'!BI28="","",'Marks Entry'!BI28)</f>
        <v/>
      </c>
      <c r="EU28" s="74" t="str">
        <f>IF('Marks Entry'!BJ28="","",'Marks Entry'!BJ28)</f>
        <v/>
      </c>
      <c r="EV28" s="528" t="str">
        <f t="shared" si="58"/>
        <v/>
      </c>
      <c r="EW28" s="530" t="str">
        <f t="shared" si="59"/>
        <v/>
      </c>
      <c r="EX28" s="368" t="str">
        <f t="shared" si="112"/>
        <v/>
      </c>
      <c r="EY28" s="65">
        <f t="shared" si="113"/>
        <v>0</v>
      </c>
      <c r="EZ28" s="65">
        <f t="shared" si="114"/>
        <v>0</v>
      </c>
      <c r="FA28" s="66" t="str">
        <f t="shared" si="115"/>
        <v/>
      </c>
      <c r="FB28" s="74" t="str">
        <f>IF('Marks Entry'!BK28="","",'Marks Entry'!BK28)</f>
        <v/>
      </c>
      <c r="FC28" s="74" t="str">
        <f>IF('Marks Entry'!BL28="","",'Marks Entry'!BL28)</f>
        <v/>
      </c>
      <c r="FD28" s="74" t="str">
        <f>IF('Marks Entry'!BM28="","",'Marks Entry'!BM28)</f>
        <v/>
      </c>
      <c r="FE28" s="74" t="str">
        <f>IF('Marks Entry'!BN28="","",'Marks Entry'!BN28)</f>
        <v/>
      </c>
      <c r="FF28" s="74" t="str">
        <f>IF('Marks Entry'!BO28="","",'Marks Entry'!BO28)</f>
        <v/>
      </c>
      <c r="FG28" s="74" t="str">
        <f>IF('Marks Entry'!BP28="","",'Marks Entry'!BP28)</f>
        <v/>
      </c>
      <c r="FH28" s="527" t="str">
        <f t="shared" si="60"/>
        <v/>
      </c>
      <c r="FI28" s="74" t="str">
        <f>IF('Marks Entry'!BQ28="","",'Marks Entry'!BQ28)</f>
        <v/>
      </c>
      <c r="FJ28" s="74" t="str">
        <f>IF('Marks Entry'!BR28="","",'Marks Entry'!BR28)</f>
        <v/>
      </c>
      <c r="FK28" s="528" t="str">
        <f t="shared" si="61"/>
        <v/>
      </c>
      <c r="FL28" s="529" t="str">
        <f t="shared" si="62"/>
        <v/>
      </c>
      <c r="FM28" s="74" t="str">
        <f>IF('Marks Entry'!BS28="","",'Marks Entry'!BS28)</f>
        <v/>
      </c>
      <c r="FN28" s="74" t="str">
        <f>IF('Marks Entry'!BT28="","",'Marks Entry'!BT28)</f>
        <v/>
      </c>
      <c r="FO28" s="528" t="str">
        <f t="shared" si="63"/>
        <v/>
      </c>
      <c r="FP28" s="530" t="str">
        <f t="shared" si="64"/>
        <v/>
      </c>
      <c r="FQ28" s="368" t="str">
        <f t="shared" si="116"/>
        <v/>
      </c>
      <c r="FR28" s="65">
        <f t="shared" si="117"/>
        <v>0</v>
      </c>
      <c r="FS28" s="65">
        <f t="shared" si="118"/>
        <v>0</v>
      </c>
      <c r="FT28" s="66" t="str">
        <f t="shared" si="119"/>
        <v/>
      </c>
      <c r="FU28" s="74" t="str">
        <f>IF('Marks Entry'!BU28="","",'Marks Entry'!BU28)</f>
        <v/>
      </c>
      <c r="FV28" s="74" t="str">
        <f>IF('Marks Entry'!BV28="","",'Marks Entry'!BV28)</f>
        <v/>
      </c>
      <c r="FW28" s="74" t="str">
        <f>IF('Marks Entry'!BW28="","",'Marks Entry'!BW28)</f>
        <v/>
      </c>
      <c r="FX28" s="75" t="str">
        <f t="shared" si="65"/>
        <v/>
      </c>
      <c r="FY28" s="368" t="str">
        <f t="shared" si="120"/>
        <v/>
      </c>
      <c r="FZ28" s="65">
        <f t="shared" si="121"/>
        <v>0</v>
      </c>
      <c r="GA28" s="66">
        <f t="shared" si="122"/>
        <v>0</v>
      </c>
      <c r="GB28" s="66" t="str">
        <f t="shared" si="123"/>
        <v/>
      </c>
      <c r="GC28" s="74" t="str">
        <f>IF('Marks Entry'!BX28="","",'Marks Entry'!BX28)</f>
        <v/>
      </c>
      <c r="GD28" s="74" t="str">
        <f>IF('Marks Entry'!BY28="","",'Marks Entry'!BY28)</f>
        <v/>
      </c>
      <c r="GE28" s="74" t="str">
        <f>IF('Marks Entry'!BZ28="","",'Marks Entry'!BZ28)</f>
        <v/>
      </c>
      <c r="GF28" s="75" t="str">
        <f t="shared" si="124"/>
        <v/>
      </c>
      <c r="GG28" s="368" t="str">
        <f t="shared" si="125"/>
        <v/>
      </c>
      <c r="GH28" s="65">
        <f t="shared" si="126"/>
        <v>0</v>
      </c>
      <c r="GI28" s="66">
        <f t="shared" si="127"/>
        <v>0</v>
      </c>
      <c r="GJ28" s="66" t="str">
        <f t="shared" si="128"/>
        <v/>
      </c>
      <c r="GK28" s="100" t="str">
        <f>IF(AND(F28="",B28=""),"",IF('Student DATA Entry'!M25="","",'Student DATA Entry'!M25))</f>
        <v/>
      </c>
      <c r="GL28" s="101" t="str">
        <f>IF(AND(B28="",F28=""),"",IF('Student DATA Entry'!N25="","",'Student DATA Entry'!N25))</f>
        <v/>
      </c>
      <c r="GM28" s="581" t="str">
        <f t="shared" si="129"/>
        <v/>
      </c>
      <c r="GN28" s="94" t="str">
        <f t="shared" si="130"/>
        <v>I</v>
      </c>
      <c r="GO28" s="94" t="str">
        <f t="shared" si="131"/>
        <v/>
      </c>
      <c r="GP28" s="102" t="str">
        <f t="shared" si="67"/>
        <v/>
      </c>
      <c r="GQ28" s="94" t="str">
        <f t="shared" si="132"/>
        <v>D</v>
      </c>
      <c r="GR28" s="103" t="str">
        <f t="shared" si="133"/>
        <v/>
      </c>
      <c r="GS28" s="102" t="str">
        <f t="shared" si="68"/>
        <v/>
      </c>
      <c r="GT28" s="104" t="str">
        <f t="shared" si="134"/>
        <v>II</v>
      </c>
      <c r="GU28" s="94" t="str">
        <f>IF('Marks Entry'!V28=1,GT28,"")</f>
        <v/>
      </c>
      <c r="GV28" s="94" t="str">
        <f>IF('Marks Entry'!V28=2,GT28,"")</f>
        <v>II</v>
      </c>
      <c r="GW28" s="94" t="str">
        <f>IF('Marks Entry'!V28=3,GT28,"")</f>
        <v/>
      </c>
      <c r="GX28" s="94" t="str">
        <f>IF('Marks Entry'!V28=4,GT28,"")</f>
        <v/>
      </c>
      <c r="GY28" s="94" t="str">
        <f>IF('Marks Entry'!V28=5,GT28,"")</f>
        <v/>
      </c>
      <c r="GZ28" s="94" t="str">
        <f t="shared" si="135"/>
        <v/>
      </c>
      <c r="HA28" s="105" t="str">
        <f t="shared" si="69"/>
        <v/>
      </c>
      <c r="HB28" s="94" t="str">
        <f t="shared" si="136"/>
        <v>II</v>
      </c>
      <c r="HC28" s="94" t="str">
        <f t="shared" si="137"/>
        <v/>
      </c>
      <c r="HD28" s="105" t="str">
        <f t="shared" si="70"/>
        <v/>
      </c>
      <c r="HE28" s="94" t="str">
        <f t="shared" si="138"/>
        <v>II</v>
      </c>
      <c r="HF28" s="94" t="str">
        <f t="shared" si="139"/>
        <v/>
      </c>
      <c r="HG28" s="105" t="str">
        <f t="shared" si="71"/>
        <v/>
      </c>
      <c r="HH28" s="94" t="str">
        <f t="shared" si="140"/>
        <v>II</v>
      </c>
      <c r="HI28" s="94" t="str">
        <f t="shared" si="141"/>
        <v/>
      </c>
      <c r="HJ28" s="105" t="str">
        <f t="shared" si="72"/>
        <v/>
      </c>
      <c r="HK28" s="94" t="str">
        <f t="shared" si="142"/>
        <v/>
      </c>
      <c r="HL28" s="94" t="str">
        <f t="shared" si="143"/>
        <v/>
      </c>
      <c r="HM28" s="105" t="str">
        <f t="shared" si="73"/>
        <v/>
      </c>
      <c r="HN28" s="367" t="str">
        <f t="shared" si="144"/>
        <v xml:space="preserve">      </v>
      </c>
      <c r="HO28" s="418" t="str">
        <f t="shared" si="145"/>
        <v xml:space="preserve">      </v>
      </c>
      <c r="HP28" s="367" t="str">
        <f t="shared" si="146"/>
        <v xml:space="preserve">      </v>
      </c>
      <c r="HQ28" s="107" t="str">
        <f t="shared" si="147"/>
        <v xml:space="preserve">      </v>
      </c>
      <c r="HR28" s="366" t="str">
        <f t="shared" si="148"/>
        <v xml:space="preserve"> अंग्रेजी     </v>
      </c>
      <c r="HS28" s="544" t="str">
        <f t="shared" si="74"/>
        <v>PASS</v>
      </c>
      <c r="HT28" s="542">
        <f t="shared" si="149"/>
        <v>771</v>
      </c>
      <c r="HU28" s="541">
        <f t="shared" si="160"/>
        <v>64.25</v>
      </c>
      <c r="HV28" s="540" t="str">
        <f t="shared" si="150"/>
        <v>1st</v>
      </c>
      <c r="HW28" s="537">
        <f t="shared" si="151"/>
        <v>64.25</v>
      </c>
      <c r="HX28" s="539">
        <f t="shared" si="152"/>
        <v>4.9999999999999263</v>
      </c>
      <c r="HY28" s="553" t="str">
        <f>IFERROR(IF(OR(HS28="SUPPLEMENTARY",HS28="RE-EXAM"),'Supp. Result Entry'!AQ26,""),"")</f>
        <v/>
      </c>
      <c r="HZ28" s="538" t="str">
        <f t="shared" si="153"/>
        <v/>
      </c>
      <c r="IA28" s="415" t="str">
        <f t="shared" si="154"/>
        <v/>
      </c>
      <c r="IB28" s="415" t="str">
        <f>IF(AND(HZ28="",IA28=""),"",IF(OR(HS28="SUPPLEMENTARY",HS28="RE-EXAM"),'Supp. Result Entry'!AQ26,HS28))</f>
        <v/>
      </c>
      <c r="IC28" s="87"/>
      <c r="IS28" s="109" t="str">
        <f>IF('Supp. Result Entry'!T26="","",'Supp. Result Entry'!$T$4)</f>
        <v/>
      </c>
      <c r="IT28" s="110" t="str">
        <f>IF('Supp. Result Entry'!W26="","",'Supp. Result Entry'!$W$4)</f>
        <v/>
      </c>
      <c r="IU28" s="110" t="str">
        <f>IF('Supp. Result Entry'!Z26="","",'Supp. Result Entry'!$Z$4)</f>
        <v/>
      </c>
      <c r="IV28" s="110" t="str">
        <f>IF('Supp. Result Entry'!AC26="","",'Supp. Result Entry'!$AC$4)</f>
        <v/>
      </c>
      <c r="IW28" s="110" t="str">
        <f>IF('Supp. Result Entry'!AF26="","",'Supp. Result Entry'!$AF$4)</f>
        <v/>
      </c>
      <c r="IX28" s="110" t="str">
        <f>IF('Supp. Result Entry'!AI26="","",'Supp. Result Entry'!$AI$4)</f>
        <v/>
      </c>
      <c r="IY28" s="110" t="str">
        <f>IF('Supp. Result Entry'!AI26="","",'Supp. Result Entry'!$AL$4)</f>
        <v/>
      </c>
      <c r="IZ28" s="110" t="str">
        <f>IF('Supp. Result Entry'!U26="","",'Supp. Result Entry'!U26)</f>
        <v/>
      </c>
      <c r="JA28" s="110" t="str">
        <f>IF('Supp. Result Entry'!X26="","",'Supp. Result Entry'!X26)</f>
        <v/>
      </c>
      <c r="JB28" s="110" t="str">
        <f>IF('Supp. Result Entry'!AA26="","",'Supp. Result Entry'!AA26)</f>
        <v/>
      </c>
      <c r="JC28" s="110" t="str">
        <f>IF('Supp. Result Entry'!AD26="","",'Supp. Result Entry'!AD26)</f>
        <v/>
      </c>
      <c r="JD28" s="110" t="str">
        <f>IF('Supp. Result Entry'!AG26="","",'Supp. Result Entry'!AG26)</f>
        <v/>
      </c>
      <c r="JE28" s="110" t="str">
        <f>IF('Supp. Result Entry'!AJ26="","",'Supp. Result Entry'!AJ26)</f>
        <v/>
      </c>
      <c r="JF28" s="110" t="str">
        <f>IF('Supp. Result Entry'!AM26="","",'Supp. Result Entry'!AM26)</f>
        <v/>
      </c>
      <c r="JG28" s="110" t="str">
        <f>IF('Supp. Result Entry'!V26="","",'Supp. Result Entry'!V26)</f>
        <v/>
      </c>
      <c r="JH28" s="110" t="str">
        <f>IF('Supp. Result Entry'!Y26="","",'Supp. Result Entry'!Y26)</f>
        <v/>
      </c>
      <c r="JI28" s="110" t="str">
        <f>IF('Supp. Result Entry'!AB26="","",'Supp. Result Entry'!AB26)</f>
        <v/>
      </c>
      <c r="JJ28" s="110" t="str">
        <f>IF('Supp. Result Entry'!AE26="","",'Supp. Result Entry'!AE26)</f>
        <v/>
      </c>
      <c r="JK28" s="110" t="str">
        <f>IF('Supp. Result Entry'!AH26="","",'Supp. Result Entry'!AH26)</f>
        <v/>
      </c>
      <c r="JL28" s="110" t="str">
        <f>IF('Supp. Result Entry'!AK26="","",'Supp. Result Entry'!AK26)</f>
        <v/>
      </c>
      <c r="JM28" s="110" t="str">
        <f>IF('Supp. Result Entry'!AN26="","",'Supp. Result Entry'!AN26)</f>
        <v/>
      </c>
      <c r="JN28" s="110">
        <f>COUNTIF('Supp. Result Entry'!K26:Q26,"S")</f>
        <v>0</v>
      </c>
      <c r="JO28" s="110">
        <f t="shared" si="155"/>
        <v>0</v>
      </c>
      <c r="JP28" s="110">
        <f t="shared" si="156"/>
        <v>0</v>
      </c>
      <c r="JQ28" s="110" t="str">
        <f t="shared" si="75"/>
        <v/>
      </c>
      <c r="JR28" s="110" t="str">
        <f t="shared" si="76"/>
        <v/>
      </c>
      <c r="JS28" s="110" t="str">
        <f t="shared" si="77"/>
        <v/>
      </c>
      <c r="JT28" s="110" t="str">
        <f t="shared" si="78"/>
        <v/>
      </c>
      <c r="JU28" s="110" t="str">
        <f t="shared" si="79"/>
        <v/>
      </c>
      <c r="JV28" s="110" t="str">
        <f t="shared" si="80"/>
        <v/>
      </c>
      <c r="JW28" s="110" t="str">
        <f t="shared" si="81"/>
        <v/>
      </c>
      <c r="JX28" s="110" t="str">
        <f t="shared" si="157"/>
        <v/>
      </c>
      <c r="JY28" s="110" t="str">
        <f t="shared" si="158"/>
        <v/>
      </c>
      <c r="JZ28" s="110" t="str">
        <f t="shared" si="82"/>
        <v/>
      </c>
      <c r="KA28" s="108" t="str">
        <f t="shared" si="159"/>
        <v/>
      </c>
    </row>
    <row r="29" spans="1:287" s="108" customFormat="1" ht="21.95" customHeight="1">
      <c r="A29" s="89">
        <v>23</v>
      </c>
      <c r="B29" s="90">
        <f>IF('Marks Entry'!B29="","",'Marks Entry'!B29)</f>
        <v>923</v>
      </c>
      <c r="C29" s="94" t="str">
        <f>IF('Marks Entry'!D29="","",'Marks Entry'!D29)</f>
        <v>A</v>
      </c>
      <c r="D29" s="91" t="str">
        <f>IF('Marks Entry'!E29="","",'Marks Entry'!E29)</f>
        <v/>
      </c>
      <c r="E29" s="92" t="str">
        <f>IF('Marks Entry'!F29="","",'Marks Entry'!F29)</f>
        <v/>
      </c>
      <c r="F29" s="93" t="str">
        <f>IF('Marks Entry'!G29="","",'Marks Entry'!G29)</f>
        <v>DINESH</v>
      </c>
      <c r="G29" s="93" t="str">
        <f>IF('Marks Entry'!H29="","",'Marks Entry'!H29)</f>
        <v/>
      </c>
      <c r="H29" s="93" t="str">
        <f>IF('Marks Entry'!I29="","",'Marks Entry'!I29)</f>
        <v/>
      </c>
      <c r="I29" s="94" t="str">
        <f>IF('Marks Entry'!J29="","",'Marks Entry'!J29)</f>
        <v/>
      </c>
      <c r="J29" s="95" t="str">
        <f>IF('Marks Entry'!K29="","",'Marks Entry'!K29)</f>
        <v/>
      </c>
      <c r="K29" s="68">
        <f>IF('Marks Entry'!L29="","",'Marks Entry'!L29)</f>
        <v>8</v>
      </c>
      <c r="L29" s="68">
        <f>IF('Marks Entry'!M29="","",'Marks Entry'!M29)</f>
        <v>9</v>
      </c>
      <c r="M29" s="68">
        <f>IF('Marks Entry'!N29="","",'Marks Entry'!N29)</f>
        <v>8</v>
      </c>
      <c r="N29" s="514">
        <f t="shared" si="83"/>
        <v>25</v>
      </c>
      <c r="O29" s="68">
        <f>IF('Marks Entry'!O29="","",'Marks Entry'!O29)</f>
        <v>46</v>
      </c>
      <c r="P29" s="515">
        <f t="shared" si="84"/>
        <v>71</v>
      </c>
      <c r="Q29" s="68">
        <f>IF('Marks Entry'!P29="","",'Marks Entry'!P29)</f>
        <v>65</v>
      </c>
      <c r="R29" s="96">
        <f t="shared" si="85"/>
        <v>136</v>
      </c>
      <c r="S29" s="65">
        <f t="shared" si="86"/>
        <v>0</v>
      </c>
      <c r="T29" s="65">
        <f t="shared" si="87"/>
        <v>0</v>
      </c>
      <c r="U29" s="66">
        <f t="shared" si="88"/>
        <v>200</v>
      </c>
      <c r="V29" s="65" t="str">
        <f t="shared" si="89"/>
        <v/>
      </c>
      <c r="W29" s="65" t="str">
        <f t="shared" si="90"/>
        <v>P</v>
      </c>
      <c r="X29" s="65" t="str">
        <f t="shared" si="91"/>
        <v>I</v>
      </c>
      <c r="Y29" s="68">
        <f>IF('Marks Entry'!Q29="","",'Marks Entry'!Q29)</f>
        <v>8</v>
      </c>
      <c r="Z29" s="68">
        <f>IF('Marks Entry'!R29="","",'Marks Entry'!R29)</f>
        <v>9</v>
      </c>
      <c r="AA29" s="68">
        <f>IF('Marks Entry'!S29="","",'Marks Entry'!S29)</f>
        <v>8</v>
      </c>
      <c r="AB29" s="514">
        <f t="shared" si="2"/>
        <v>25</v>
      </c>
      <c r="AC29" s="68">
        <f>IF('Marks Entry'!T29="","",'Marks Entry'!T29)</f>
        <v>60</v>
      </c>
      <c r="AD29" s="515">
        <f t="shared" si="3"/>
        <v>85</v>
      </c>
      <c r="AE29" s="68">
        <f>IF('Marks Entry'!U29="","",'Marks Entry'!U29)</f>
        <v>85</v>
      </c>
      <c r="AF29" s="96">
        <f t="shared" si="4"/>
        <v>170</v>
      </c>
      <c r="AG29" s="65">
        <f t="shared" si="5"/>
        <v>0</v>
      </c>
      <c r="AH29" s="65">
        <f t="shared" si="6"/>
        <v>0</v>
      </c>
      <c r="AI29" s="66">
        <f t="shared" si="7"/>
        <v>200</v>
      </c>
      <c r="AJ29" s="65" t="str">
        <f t="shared" si="8"/>
        <v/>
      </c>
      <c r="AK29" s="65" t="str">
        <f t="shared" si="9"/>
        <v>P</v>
      </c>
      <c r="AL29" s="65" t="str">
        <f t="shared" si="10"/>
        <v>D</v>
      </c>
      <c r="AM29" s="524" t="str">
        <f>IF('Marks Entry'!V29="","",IF('Marks Entry'!V29=1,'School Profile'!$I$9,IF('Marks Entry'!V29=2,'School Profile'!$I$10,IF('Marks Entry'!V29=3,'School Profile'!$I$11,IF('Marks Entry'!V29=4,'School Profile'!$I$12,IF('Marks Entry'!V29=5,'School Profile'!$I$13,IF('Marks Entry'!V29=6,'School Profile'!$I$14,"")))))))</f>
        <v>गुजराती (73)</v>
      </c>
      <c r="AN29" s="68">
        <f>IF('Marks Entry'!W29="","",'Marks Entry'!W29)</f>
        <v>8</v>
      </c>
      <c r="AO29" s="68">
        <f>IF('Marks Entry'!X29="","",'Marks Entry'!X29)</f>
        <v>9</v>
      </c>
      <c r="AP29" s="68">
        <f>IF('Marks Entry'!Y29="","",'Marks Entry'!Y29)</f>
        <v>8</v>
      </c>
      <c r="AQ29" s="514">
        <f t="shared" si="11"/>
        <v>25</v>
      </c>
      <c r="AR29" s="68">
        <f>IF('Marks Entry'!Z29="","",'Marks Entry'!Z29)</f>
        <v>46</v>
      </c>
      <c r="AS29" s="515">
        <f t="shared" si="12"/>
        <v>71</v>
      </c>
      <c r="AT29" s="68">
        <f>IF('Marks Entry'!AA29="","",'Marks Entry'!AA29)</f>
        <v>45</v>
      </c>
      <c r="AU29" s="96">
        <f t="shared" si="13"/>
        <v>116</v>
      </c>
      <c r="AV29" s="65">
        <f t="shared" si="14"/>
        <v>0</v>
      </c>
      <c r="AW29" s="65">
        <f t="shared" si="15"/>
        <v>0</v>
      </c>
      <c r="AX29" s="66">
        <f t="shared" si="16"/>
        <v>200</v>
      </c>
      <c r="AY29" s="65" t="str">
        <f t="shared" si="17"/>
        <v/>
      </c>
      <c r="AZ29" s="65" t="str">
        <f t="shared" si="18"/>
        <v>P</v>
      </c>
      <c r="BA29" s="65" t="str">
        <f t="shared" si="19"/>
        <v>II</v>
      </c>
      <c r="BB29" s="68">
        <f>IF('Marks Entry'!AB29="","",'Marks Entry'!AB29)</f>
        <v>8</v>
      </c>
      <c r="BC29" s="68">
        <f>IF('Marks Entry'!AC29="","",'Marks Entry'!AC29)</f>
        <v>9</v>
      </c>
      <c r="BD29" s="68">
        <f>IF('Marks Entry'!AD29="","",'Marks Entry'!AD29)</f>
        <v>9</v>
      </c>
      <c r="BE29" s="514">
        <f t="shared" si="20"/>
        <v>26</v>
      </c>
      <c r="BF29" s="68">
        <f>IF('Marks Entry'!AE29="","",'Marks Entry'!AE29)</f>
        <v>46</v>
      </c>
      <c r="BG29" s="515">
        <f t="shared" si="21"/>
        <v>72</v>
      </c>
      <c r="BH29" s="68">
        <f>IF('Marks Entry'!AF29="","",'Marks Entry'!AF29)</f>
        <v>45</v>
      </c>
      <c r="BI29" s="96">
        <f t="shared" si="22"/>
        <v>117</v>
      </c>
      <c r="BJ29" s="65">
        <f t="shared" si="23"/>
        <v>0</v>
      </c>
      <c r="BK29" s="65">
        <f t="shared" si="92"/>
        <v>0</v>
      </c>
      <c r="BL29" s="66">
        <f t="shared" si="24"/>
        <v>200</v>
      </c>
      <c r="BM29" s="65" t="str">
        <f t="shared" si="25"/>
        <v/>
      </c>
      <c r="BN29" s="65" t="str">
        <f t="shared" si="26"/>
        <v>P</v>
      </c>
      <c r="BO29" s="65" t="str">
        <f t="shared" si="27"/>
        <v>II</v>
      </c>
      <c r="BP29" s="68">
        <f>IF('Marks Entry'!AG29="","",'Marks Entry'!AG29)</f>
        <v>8</v>
      </c>
      <c r="BQ29" s="68">
        <f>IF('Marks Entry'!AH29="","",'Marks Entry'!AH29)</f>
        <v>9</v>
      </c>
      <c r="BR29" s="68">
        <f>IF('Marks Entry'!AI29="","",'Marks Entry'!AI29)</f>
        <v>7</v>
      </c>
      <c r="BS29" s="514">
        <f t="shared" si="28"/>
        <v>24</v>
      </c>
      <c r="BT29" s="68">
        <f>IF('Marks Entry'!AJ29="","",'Marks Entry'!AJ29)</f>
        <v>46</v>
      </c>
      <c r="BU29" s="515">
        <f t="shared" si="29"/>
        <v>70</v>
      </c>
      <c r="BV29" s="68">
        <f>IF('Marks Entry'!AK29="","",'Marks Entry'!AK29)</f>
        <v>45</v>
      </c>
      <c r="BW29" s="96">
        <f t="shared" si="30"/>
        <v>115</v>
      </c>
      <c r="BX29" s="65">
        <f t="shared" si="31"/>
        <v>0</v>
      </c>
      <c r="BY29" s="65">
        <f t="shared" si="32"/>
        <v>0</v>
      </c>
      <c r="BZ29" s="66">
        <f t="shared" si="33"/>
        <v>200</v>
      </c>
      <c r="CA29" s="65" t="str">
        <f t="shared" si="34"/>
        <v/>
      </c>
      <c r="CB29" s="65" t="str">
        <f t="shared" si="35"/>
        <v>P</v>
      </c>
      <c r="CC29" s="65" t="str">
        <f t="shared" si="36"/>
        <v>II</v>
      </c>
      <c r="CD29" s="66">
        <f t="shared" si="93"/>
        <v>0</v>
      </c>
      <c r="CE29" s="68">
        <f>IF('Marks Entry'!AL29="","",'Marks Entry'!AL29)</f>
        <v>8</v>
      </c>
      <c r="CF29" s="68">
        <f>IF('Marks Entry'!AM29="","",'Marks Entry'!AM29)</f>
        <v>8</v>
      </c>
      <c r="CG29" s="68">
        <f>IF('Marks Entry'!AN29="","",'Marks Entry'!AN29)</f>
        <v>8</v>
      </c>
      <c r="CH29" s="514">
        <f t="shared" si="37"/>
        <v>24</v>
      </c>
      <c r="CI29" s="68">
        <f>IF('Marks Entry'!AO29="","",'Marks Entry'!AO29)</f>
        <v>46</v>
      </c>
      <c r="CJ29" s="515">
        <f t="shared" si="38"/>
        <v>70</v>
      </c>
      <c r="CK29" s="68">
        <f>IF('Marks Entry'!AP29="","",'Marks Entry'!AP29)</f>
        <v>45</v>
      </c>
      <c r="CL29" s="96">
        <f t="shared" si="39"/>
        <v>115</v>
      </c>
      <c r="CM29" s="65">
        <f t="shared" si="40"/>
        <v>0</v>
      </c>
      <c r="CN29" s="65">
        <f t="shared" si="41"/>
        <v>0</v>
      </c>
      <c r="CO29" s="66">
        <f t="shared" si="42"/>
        <v>200</v>
      </c>
      <c r="CP29" s="65" t="str">
        <f t="shared" si="43"/>
        <v/>
      </c>
      <c r="CQ29" s="65" t="str">
        <f t="shared" si="44"/>
        <v>P</v>
      </c>
      <c r="CR29" s="65" t="str">
        <f t="shared" si="45"/>
        <v>II</v>
      </c>
      <c r="CS29" s="616"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8" t="str">
        <f>IF('School Profile'!$D$20="NO","",IF('Marks Entry'!AR29="","",'Marks Entry'!AR29))</f>
        <v/>
      </c>
      <c r="CU29" s="68" t="str">
        <f>IF('School Profile'!$D$20="NO","",IF('Marks Entry'!AS29="","",'Marks Entry'!AS29))</f>
        <v/>
      </c>
      <c r="CV29" s="68" t="str">
        <f>IF('School Profile'!$D$20="NO","",IF('Marks Entry'!AT29="","",'Marks Entry'!AT29))</f>
        <v/>
      </c>
      <c r="CW29" s="514" t="str">
        <f>IF('School Profile'!$D$20="NO","",IF(AND(CT29="",CU29="",CV29=""),"",SUM(CT29:CV29)))</f>
        <v/>
      </c>
      <c r="CX29" s="68" t="str">
        <f>IF('School Profile'!$D$20="NO","",IF('Marks Entry'!AU29="","",'Marks Entry'!AU29))</f>
        <v/>
      </c>
      <c r="CY29" s="68" t="str">
        <f>IF('School Profile'!$D$20="NO","",IF('Marks Entry'!AV29="","",'Marks Entry'!AV29))</f>
        <v/>
      </c>
      <c r="CZ29" s="515" t="str">
        <f>IF('School Profile'!$D$20="NO","",IF(AND(CX29="",CY29=""),"",SUM(CX29,CY29)))</f>
        <v/>
      </c>
      <c r="DA29" s="69" t="str">
        <f>IF('School Profile'!$D$20="NO","",IF(AND(CW29="",CZ29=""),"",SUM(CW29+CZ29)))</f>
        <v/>
      </c>
      <c r="DB29" s="68" t="str">
        <f>IF('School Profile'!$D$20="NO","",IF('Marks Entry'!AW29="","",'Marks Entry'!AW29))</f>
        <v/>
      </c>
      <c r="DC29" s="68" t="str">
        <f>IF('School Profile'!$D$20="NO","",IF('Marks Entry'!AX29="","",'Marks Entry'!AX29))</f>
        <v/>
      </c>
      <c r="DD29" s="515" t="str">
        <f>IF('School Profile'!$D$20="NO","",IF(AND(DB29="",DC29=""),"",SUM(DB29,DC29)))</f>
        <v/>
      </c>
      <c r="DE29" s="96" t="str">
        <f>IF('School Profile'!$D$20="NO","",IF(AND(DA29="",DD29=""),"",SUM(DA29,DD29)))</f>
        <v/>
      </c>
      <c r="DF29" s="532">
        <f t="shared" si="46"/>
        <v>0</v>
      </c>
      <c r="DG29" s="65">
        <f t="shared" si="47"/>
        <v>0</v>
      </c>
      <c r="DH29" s="66" t="str">
        <f t="shared" si="48"/>
        <v/>
      </c>
      <c r="DI29" s="65" t="str">
        <f t="shared" si="49"/>
        <v/>
      </c>
      <c r="DJ29" s="65" t="str">
        <f t="shared" si="50"/>
        <v/>
      </c>
      <c r="DK29" s="65" t="str">
        <f t="shared" si="51"/>
        <v/>
      </c>
      <c r="DL29" s="97" t="str">
        <f t="shared" si="94"/>
        <v>I</v>
      </c>
      <c r="DM29" s="97" t="str">
        <f t="shared" si="95"/>
        <v>D</v>
      </c>
      <c r="DN29" s="97" t="str">
        <f t="shared" si="96"/>
        <v>II</v>
      </c>
      <c r="DO29" s="97" t="str">
        <f t="shared" si="97"/>
        <v>II</v>
      </c>
      <c r="DP29" s="97" t="str">
        <f t="shared" si="98"/>
        <v>II</v>
      </c>
      <c r="DQ29" s="97" t="str">
        <f t="shared" si="99"/>
        <v>II</v>
      </c>
      <c r="DR29" s="97" t="str">
        <f t="shared" si="100"/>
        <v/>
      </c>
      <c r="DS29" s="98">
        <f t="shared" si="101"/>
        <v>0</v>
      </c>
      <c r="DT29" s="98">
        <f t="shared" si="102"/>
        <v>0</v>
      </c>
      <c r="DU29" s="98">
        <f t="shared" si="103"/>
        <v>0</v>
      </c>
      <c r="DV29" s="98">
        <f t="shared" si="104"/>
        <v>0</v>
      </c>
      <c r="DW29" s="98">
        <f t="shared" si="105"/>
        <v>0</v>
      </c>
      <c r="DX29" s="98" t="str">
        <f t="shared" si="106"/>
        <v/>
      </c>
      <c r="DY29" s="99" t="str">
        <f t="shared" si="107"/>
        <v>PASS</v>
      </c>
      <c r="DZ29" s="74" t="str">
        <f>IF('Marks Entry'!AY29="","",'Marks Entry'!AY29)</f>
        <v/>
      </c>
      <c r="EA29" s="74" t="str">
        <f>IF('Marks Entry'!AZ29="","",'Marks Entry'!AZ29)</f>
        <v/>
      </c>
      <c r="EB29" s="74" t="str">
        <f>IF('Marks Entry'!BA29="","",'Marks Entry'!BA29)</f>
        <v/>
      </c>
      <c r="EC29" s="527" t="str">
        <f t="shared" si="52"/>
        <v/>
      </c>
      <c r="ED29" s="74" t="str">
        <f>IF('Marks Entry'!BB29="","",'Marks Entry'!BB29)</f>
        <v/>
      </c>
      <c r="EE29" s="528" t="str">
        <f t="shared" si="53"/>
        <v/>
      </c>
      <c r="EF29" s="74" t="str">
        <f>IF('Marks Entry'!BC29="","",'Marks Entry'!BC29)</f>
        <v/>
      </c>
      <c r="EG29" s="530" t="str">
        <f t="shared" si="54"/>
        <v/>
      </c>
      <c r="EH29" s="368" t="str">
        <f t="shared" si="108"/>
        <v/>
      </c>
      <c r="EI29" s="65">
        <f t="shared" si="109"/>
        <v>0</v>
      </c>
      <c r="EJ29" s="65">
        <f t="shared" si="110"/>
        <v>0</v>
      </c>
      <c r="EK29" s="66" t="str">
        <f t="shared" si="111"/>
        <v/>
      </c>
      <c r="EL29" s="74" t="str">
        <f>IF('Marks Entry'!BD29="","",'Marks Entry'!BD29)</f>
        <v/>
      </c>
      <c r="EM29" s="74" t="str">
        <f>IF('Marks Entry'!BE29="","",'Marks Entry'!BE29)</f>
        <v/>
      </c>
      <c r="EN29" s="74" t="str">
        <f>IF('Marks Entry'!BF29="","",'Marks Entry'!BF29)</f>
        <v/>
      </c>
      <c r="EO29" s="527" t="str">
        <f t="shared" si="55"/>
        <v/>
      </c>
      <c r="EP29" s="74" t="str">
        <f>IF('Marks Entry'!BG29="","",'Marks Entry'!BG29)</f>
        <v/>
      </c>
      <c r="EQ29" s="74" t="str">
        <f>IF('Marks Entry'!BH29="","",'Marks Entry'!BH29)</f>
        <v/>
      </c>
      <c r="ER29" s="528" t="str">
        <f t="shared" si="56"/>
        <v/>
      </c>
      <c r="ES29" s="529" t="str">
        <f t="shared" si="57"/>
        <v/>
      </c>
      <c r="ET29" s="74" t="str">
        <f>IF('Marks Entry'!BI29="","",'Marks Entry'!BI29)</f>
        <v/>
      </c>
      <c r="EU29" s="74" t="str">
        <f>IF('Marks Entry'!BJ29="","",'Marks Entry'!BJ29)</f>
        <v/>
      </c>
      <c r="EV29" s="528" t="str">
        <f t="shared" si="58"/>
        <v/>
      </c>
      <c r="EW29" s="530" t="str">
        <f t="shared" si="59"/>
        <v/>
      </c>
      <c r="EX29" s="368" t="str">
        <f t="shared" si="112"/>
        <v/>
      </c>
      <c r="EY29" s="65">
        <f t="shared" si="113"/>
        <v>0</v>
      </c>
      <c r="EZ29" s="65">
        <f t="shared" si="114"/>
        <v>0</v>
      </c>
      <c r="FA29" s="66" t="str">
        <f t="shared" si="115"/>
        <v/>
      </c>
      <c r="FB29" s="74" t="str">
        <f>IF('Marks Entry'!BK29="","",'Marks Entry'!BK29)</f>
        <v/>
      </c>
      <c r="FC29" s="74" t="str">
        <f>IF('Marks Entry'!BL29="","",'Marks Entry'!BL29)</f>
        <v/>
      </c>
      <c r="FD29" s="74" t="str">
        <f>IF('Marks Entry'!BM29="","",'Marks Entry'!BM29)</f>
        <v/>
      </c>
      <c r="FE29" s="74" t="str">
        <f>IF('Marks Entry'!BN29="","",'Marks Entry'!BN29)</f>
        <v/>
      </c>
      <c r="FF29" s="74" t="str">
        <f>IF('Marks Entry'!BO29="","",'Marks Entry'!BO29)</f>
        <v/>
      </c>
      <c r="FG29" s="74" t="str">
        <f>IF('Marks Entry'!BP29="","",'Marks Entry'!BP29)</f>
        <v/>
      </c>
      <c r="FH29" s="527" t="str">
        <f t="shared" si="60"/>
        <v/>
      </c>
      <c r="FI29" s="74" t="str">
        <f>IF('Marks Entry'!BQ29="","",'Marks Entry'!BQ29)</f>
        <v/>
      </c>
      <c r="FJ29" s="74" t="str">
        <f>IF('Marks Entry'!BR29="","",'Marks Entry'!BR29)</f>
        <v/>
      </c>
      <c r="FK29" s="528" t="str">
        <f t="shared" si="61"/>
        <v/>
      </c>
      <c r="FL29" s="529" t="str">
        <f t="shared" si="62"/>
        <v/>
      </c>
      <c r="FM29" s="74" t="str">
        <f>IF('Marks Entry'!BS29="","",'Marks Entry'!BS29)</f>
        <v/>
      </c>
      <c r="FN29" s="74" t="str">
        <f>IF('Marks Entry'!BT29="","",'Marks Entry'!BT29)</f>
        <v/>
      </c>
      <c r="FO29" s="528" t="str">
        <f t="shared" si="63"/>
        <v/>
      </c>
      <c r="FP29" s="530" t="str">
        <f t="shared" si="64"/>
        <v/>
      </c>
      <c r="FQ29" s="368" t="str">
        <f t="shared" si="116"/>
        <v/>
      </c>
      <c r="FR29" s="65">
        <f t="shared" si="117"/>
        <v>0</v>
      </c>
      <c r="FS29" s="65">
        <f t="shared" si="118"/>
        <v>0</v>
      </c>
      <c r="FT29" s="66" t="str">
        <f t="shared" si="119"/>
        <v/>
      </c>
      <c r="FU29" s="74" t="str">
        <f>IF('Marks Entry'!BU29="","",'Marks Entry'!BU29)</f>
        <v/>
      </c>
      <c r="FV29" s="74" t="str">
        <f>IF('Marks Entry'!BV29="","",'Marks Entry'!BV29)</f>
        <v/>
      </c>
      <c r="FW29" s="74" t="str">
        <f>IF('Marks Entry'!BW29="","",'Marks Entry'!BW29)</f>
        <v/>
      </c>
      <c r="FX29" s="75" t="str">
        <f t="shared" si="65"/>
        <v/>
      </c>
      <c r="FY29" s="368" t="str">
        <f t="shared" si="120"/>
        <v/>
      </c>
      <c r="FZ29" s="65">
        <f t="shared" si="121"/>
        <v>0</v>
      </c>
      <c r="GA29" s="66">
        <f t="shared" si="122"/>
        <v>0</v>
      </c>
      <c r="GB29" s="66" t="str">
        <f t="shared" si="123"/>
        <v/>
      </c>
      <c r="GC29" s="74" t="str">
        <f>IF('Marks Entry'!BX29="","",'Marks Entry'!BX29)</f>
        <v/>
      </c>
      <c r="GD29" s="74" t="str">
        <f>IF('Marks Entry'!BY29="","",'Marks Entry'!BY29)</f>
        <v/>
      </c>
      <c r="GE29" s="74" t="str">
        <f>IF('Marks Entry'!BZ29="","",'Marks Entry'!BZ29)</f>
        <v/>
      </c>
      <c r="GF29" s="75" t="str">
        <f t="shared" si="124"/>
        <v/>
      </c>
      <c r="GG29" s="368" t="str">
        <f t="shared" si="125"/>
        <v/>
      </c>
      <c r="GH29" s="65">
        <f t="shared" si="126"/>
        <v>0</v>
      </c>
      <c r="GI29" s="66">
        <f t="shared" si="127"/>
        <v>0</v>
      </c>
      <c r="GJ29" s="66" t="str">
        <f t="shared" si="128"/>
        <v/>
      </c>
      <c r="GK29" s="100" t="str">
        <f>IF(AND(F29="",B29=""),"",IF('Student DATA Entry'!M26="","",'Student DATA Entry'!M26))</f>
        <v/>
      </c>
      <c r="GL29" s="101" t="str">
        <f>IF(AND(B29="",F29=""),"",IF('Student DATA Entry'!N26="","",'Student DATA Entry'!N26))</f>
        <v/>
      </c>
      <c r="GM29" s="581" t="str">
        <f t="shared" si="129"/>
        <v/>
      </c>
      <c r="GN29" s="94" t="str">
        <f t="shared" si="130"/>
        <v>I</v>
      </c>
      <c r="GO29" s="94" t="str">
        <f t="shared" si="131"/>
        <v/>
      </c>
      <c r="GP29" s="102" t="str">
        <f t="shared" si="67"/>
        <v/>
      </c>
      <c r="GQ29" s="94" t="str">
        <f t="shared" si="132"/>
        <v>D</v>
      </c>
      <c r="GR29" s="103" t="str">
        <f t="shared" si="133"/>
        <v/>
      </c>
      <c r="GS29" s="102" t="str">
        <f t="shared" si="68"/>
        <v/>
      </c>
      <c r="GT29" s="104" t="str">
        <f t="shared" si="134"/>
        <v>II</v>
      </c>
      <c r="GU29" s="94" t="str">
        <f>IF('Marks Entry'!V29=1,GT29,"")</f>
        <v/>
      </c>
      <c r="GV29" s="94" t="str">
        <f>IF('Marks Entry'!V29=2,GT29,"")</f>
        <v/>
      </c>
      <c r="GW29" s="94" t="str">
        <f>IF('Marks Entry'!V29=3,GT29,"")</f>
        <v>II</v>
      </c>
      <c r="GX29" s="94" t="str">
        <f>IF('Marks Entry'!V29=4,GT29,"")</f>
        <v/>
      </c>
      <c r="GY29" s="94" t="str">
        <f>IF('Marks Entry'!V29=5,GT29,"")</f>
        <v/>
      </c>
      <c r="GZ29" s="94" t="str">
        <f t="shared" si="135"/>
        <v/>
      </c>
      <c r="HA29" s="105" t="str">
        <f t="shared" si="69"/>
        <v/>
      </c>
      <c r="HB29" s="94" t="str">
        <f t="shared" si="136"/>
        <v>II</v>
      </c>
      <c r="HC29" s="94" t="str">
        <f t="shared" si="137"/>
        <v/>
      </c>
      <c r="HD29" s="105" t="str">
        <f t="shared" si="70"/>
        <v/>
      </c>
      <c r="HE29" s="94" t="str">
        <f t="shared" si="138"/>
        <v>II</v>
      </c>
      <c r="HF29" s="94" t="str">
        <f t="shared" si="139"/>
        <v/>
      </c>
      <c r="HG29" s="105" t="str">
        <f t="shared" si="71"/>
        <v/>
      </c>
      <c r="HH29" s="94" t="str">
        <f t="shared" si="140"/>
        <v>II</v>
      </c>
      <c r="HI29" s="94" t="str">
        <f t="shared" si="141"/>
        <v/>
      </c>
      <c r="HJ29" s="105" t="str">
        <f t="shared" si="72"/>
        <v/>
      </c>
      <c r="HK29" s="94" t="str">
        <f t="shared" si="142"/>
        <v/>
      </c>
      <c r="HL29" s="94" t="str">
        <f t="shared" si="143"/>
        <v/>
      </c>
      <c r="HM29" s="105" t="str">
        <f t="shared" si="73"/>
        <v/>
      </c>
      <c r="HN29" s="367" t="str">
        <f t="shared" si="144"/>
        <v xml:space="preserve">      </v>
      </c>
      <c r="HO29" s="418" t="str">
        <f t="shared" si="145"/>
        <v xml:space="preserve">      </v>
      </c>
      <c r="HP29" s="367" t="str">
        <f t="shared" si="146"/>
        <v xml:space="preserve">      </v>
      </c>
      <c r="HQ29" s="107" t="str">
        <f t="shared" si="147"/>
        <v xml:space="preserve">      </v>
      </c>
      <c r="HR29" s="366" t="str">
        <f t="shared" si="148"/>
        <v xml:space="preserve"> अंग्रेजी     </v>
      </c>
      <c r="HS29" s="544" t="str">
        <f t="shared" si="74"/>
        <v>PASS</v>
      </c>
      <c r="HT29" s="542">
        <f t="shared" si="149"/>
        <v>769</v>
      </c>
      <c r="HU29" s="541">
        <f t="shared" si="160"/>
        <v>64.083333333333329</v>
      </c>
      <c r="HV29" s="540" t="str">
        <f t="shared" si="150"/>
        <v>1st</v>
      </c>
      <c r="HW29" s="537">
        <f t="shared" si="151"/>
        <v>64.083333333333329</v>
      </c>
      <c r="HX29" s="539">
        <f t="shared" si="152"/>
        <v>5.9999999999999263</v>
      </c>
      <c r="HY29" s="553" t="str">
        <f>IFERROR(IF(OR(HS29="SUPPLEMENTARY",HS29="RE-EXAM"),'Supp. Result Entry'!AQ27,""),"")</f>
        <v/>
      </c>
      <c r="HZ29" s="538" t="str">
        <f t="shared" si="153"/>
        <v/>
      </c>
      <c r="IA29" s="415" t="str">
        <f t="shared" si="154"/>
        <v/>
      </c>
      <c r="IB29" s="415" t="str">
        <f>IF(AND(HZ29="",IA29=""),"",IF(OR(HS29="SUPPLEMENTARY",HS29="RE-EXAM"),'Supp. Result Entry'!AQ27,HS29))</f>
        <v/>
      </c>
      <c r="IC29" s="87"/>
      <c r="IS29" s="109" t="str">
        <f>IF('Supp. Result Entry'!T27="","",'Supp. Result Entry'!$T$4)</f>
        <v/>
      </c>
      <c r="IT29" s="110" t="str">
        <f>IF('Supp. Result Entry'!W27="","",'Supp. Result Entry'!$W$4)</f>
        <v/>
      </c>
      <c r="IU29" s="110" t="str">
        <f>IF('Supp. Result Entry'!Z27="","",'Supp. Result Entry'!$Z$4)</f>
        <v/>
      </c>
      <c r="IV29" s="110" t="str">
        <f>IF('Supp. Result Entry'!AC27="","",'Supp. Result Entry'!$AC$4)</f>
        <v/>
      </c>
      <c r="IW29" s="110" t="str">
        <f>IF('Supp. Result Entry'!AF27="","",'Supp. Result Entry'!$AF$4)</f>
        <v/>
      </c>
      <c r="IX29" s="110" t="str">
        <f>IF('Supp. Result Entry'!AI27="","",'Supp. Result Entry'!$AI$4)</f>
        <v/>
      </c>
      <c r="IY29" s="110" t="str">
        <f>IF('Supp. Result Entry'!AI27="","",'Supp. Result Entry'!$AL$4)</f>
        <v/>
      </c>
      <c r="IZ29" s="110" t="str">
        <f>IF('Supp. Result Entry'!U27="","",'Supp. Result Entry'!U27)</f>
        <v/>
      </c>
      <c r="JA29" s="110" t="str">
        <f>IF('Supp. Result Entry'!X27="","",'Supp. Result Entry'!X27)</f>
        <v/>
      </c>
      <c r="JB29" s="110" t="str">
        <f>IF('Supp. Result Entry'!AA27="","",'Supp. Result Entry'!AA27)</f>
        <v/>
      </c>
      <c r="JC29" s="110" t="str">
        <f>IF('Supp. Result Entry'!AD27="","",'Supp. Result Entry'!AD27)</f>
        <v/>
      </c>
      <c r="JD29" s="110" t="str">
        <f>IF('Supp. Result Entry'!AG27="","",'Supp. Result Entry'!AG27)</f>
        <v/>
      </c>
      <c r="JE29" s="110" t="str">
        <f>IF('Supp. Result Entry'!AJ27="","",'Supp. Result Entry'!AJ27)</f>
        <v/>
      </c>
      <c r="JF29" s="110" t="str">
        <f>IF('Supp. Result Entry'!AM27="","",'Supp. Result Entry'!AM27)</f>
        <v/>
      </c>
      <c r="JG29" s="110" t="str">
        <f>IF('Supp. Result Entry'!V27="","",'Supp. Result Entry'!V27)</f>
        <v/>
      </c>
      <c r="JH29" s="110" t="str">
        <f>IF('Supp. Result Entry'!Y27="","",'Supp. Result Entry'!Y27)</f>
        <v/>
      </c>
      <c r="JI29" s="110" t="str">
        <f>IF('Supp. Result Entry'!AB27="","",'Supp. Result Entry'!AB27)</f>
        <v/>
      </c>
      <c r="JJ29" s="110" t="str">
        <f>IF('Supp. Result Entry'!AE27="","",'Supp. Result Entry'!AE27)</f>
        <v/>
      </c>
      <c r="JK29" s="110" t="str">
        <f>IF('Supp. Result Entry'!AH27="","",'Supp. Result Entry'!AH27)</f>
        <v/>
      </c>
      <c r="JL29" s="110" t="str">
        <f>IF('Supp. Result Entry'!AK27="","",'Supp. Result Entry'!AK27)</f>
        <v/>
      </c>
      <c r="JM29" s="110" t="str">
        <f>IF('Supp. Result Entry'!AN27="","",'Supp. Result Entry'!AN27)</f>
        <v/>
      </c>
      <c r="JN29" s="110">
        <f>COUNTIF('Supp. Result Entry'!K27:Q27,"S")</f>
        <v>0</v>
      </c>
      <c r="JO29" s="110">
        <f t="shared" si="155"/>
        <v>0</v>
      </c>
      <c r="JP29" s="110">
        <f t="shared" si="156"/>
        <v>0</v>
      </c>
      <c r="JQ29" s="110" t="str">
        <f t="shared" si="75"/>
        <v/>
      </c>
      <c r="JR29" s="110" t="str">
        <f t="shared" si="76"/>
        <v/>
      </c>
      <c r="JS29" s="110" t="str">
        <f t="shared" si="77"/>
        <v/>
      </c>
      <c r="JT29" s="110" t="str">
        <f t="shared" si="78"/>
        <v/>
      </c>
      <c r="JU29" s="110" t="str">
        <f t="shared" si="79"/>
        <v/>
      </c>
      <c r="JV29" s="110" t="str">
        <f t="shared" si="80"/>
        <v/>
      </c>
      <c r="JW29" s="110" t="str">
        <f t="shared" si="81"/>
        <v/>
      </c>
      <c r="JX29" s="110" t="str">
        <f t="shared" si="157"/>
        <v/>
      </c>
      <c r="JY29" s="110" t="str">
        <f t="shared" si="158"/>
        <v/>
      </c>
      <c r="JZ29" s="110" t="str">
        <f t="shared" si="82"/>
        <v/>
      </c>
      <c r="KA29" s="108" t="str">
        <f t="shared" si="159"/>
        <v/>
      </c>
    </row>
    <row r="30" spans="1:287" s="108" customFormat="1" ht="21.95" customHeight="1">
      <c r="A30" s="89">
        <v>24</v>
      </c>
      <c r="B30" s="90">
        <f>IF('Marks Entry'!B30="","",'Marks Entry'!B30)</f>
        <v>924</v>
      </c>
      <c r="C30" s="94" t="str">
        <f>IF('Marks Entry'!D30="","",'Marks Entry'!D30)</f>
        <v>A</v>
      </c>
      <c r="D30" s="91" t="str">
        <f>IF('Marks Entry'!E30="","",'Marks Entry'!E30)</f>
        <v/>
      </c>
      <c r="E30" s="92" t="str">
        <f>IF('Marks Entry'!F30="","",'Marks Entry'!F30)</f>
        <v/>
      </c>
      <c r="F30" s="93" t="str">
        <f>IF('Marks Entry'!G30="","",'Marks Entry'!G30)</f>
        <v>MAHESH</v>
      </c>
      <c r="G30" s="93" t="str">
        <f>IF('Marks Entry'!H30="","",'Marks Entry'!H30)</f>
        <v/>
      </c>
      <c r="H30" s="93" t="str">
        <f>IF('Marks Entry'!I30="","",'Marks Entry'!I30)</f>
        <v/>
      </c>
      <c r="I30" s="94" t="str">
        <f>IF('Marks Entry'!J30="","",'Marks Entry'!J30)</f>
        <v/>
      </c>
      <c r="J30" s="95" t="str">
        <f>IF('Marks Entry'!K30="","",'Marks Entry'!K30)</f>
        <v/>
      </c>
      <c r="K30" s="68">
        <f>IF('Marks Entry'!L30="","",'Marks Entry'!L30)</f>
        <v>8</v>
      </c>
      <c r="L30" s="68">
        <f>IF('Marks Entry'!M30="","",'Marks Entry'!M30)</f>
        <v>9</v>
      </c>
      <c r="M30" s="68">
        <f>IF('Marks Entry'!N30="","",'Marks Entry'!N30)</f>
        <v>8</v>
      </c>
      <c r="N30" s="514">
        <f t="shared" si="83"/>
        <v>25</v>
      </c>
      <c r="O30" s="68">
        <f>IF('Marks Entry'!O30="","",'Marks Entry'!O30)</f>
        <v>46</v>
      </c>
      <c r="P30" s="515">
        <f t="shared" si="84"/>
        <v>71</v>
      </c>
      <c r="Q30" s="68">
        <f>IF('Marks Entry'!P30="","",'Marks Entry'!P30)</f>
        <v>65</v>
      </c>
      <c r="R30" s="96">
        <f t="shared" si="85"/>
        <v>136</v>
      </c>
      <c r="S30" s="65">
        <f t="shared" si="86"/>
        <v>0</v>
      </c>
      <c r="T30" s="65">
        <f t="shared" si="87"/>
        <v>0</v>
      </c>
      <c r="U30" s="66">
        <f t="shared" si="88"/>
        <v>200</v>
      </c>
      <c r="V30" s="65" t="str">
        <f t="shared" si="89"/>
        <v/>
      </c>
      <c r="W30" s="65" t="str">
        <f t="shared" si="90"/>
        <v>P</v>
      </c>
      <c r="X30" s="65" t="str">
        <f t="shared" si="91"/>
        <v>I</v>
      </c>
      <c r="Y30" s="68">
        <f>IF('Marks Entry'!Q30="","",'Marks Entry'!Q30)</f>
        <v>8</v>
      </c>
      <c r="Z30" s="68">
        <f>IF('Marks Entry'!R30="","",'Marks Entry'!R30)</f>
        <v>9</v>
      </c>
      <c r="AA30" s="68">
        <f>IF('Marks Entry'!S30="","",'Marks Entry'!S30)</f>
        <v>7</v>
      </c>
      <c r="AB30" s="514">
        <f t="shared" si="2"/>
        <v>24</v>
      </c>
      <c r="AC30" s="68">
        <f>IF('Marks Entry'!T30="","",'Marks Entry'!T30)</f>
        <v>60</v>
      </c>
      <c r="AD30" s="515">
        <f t="shared" si="3"/>
        <v>84</v>
      </c>
      <c r="AE30" s="68">
        <f>IF('Marks Entry'!U30="","",'Marks Entry'!U30)</f>
        <v>85</v>
      </c>
      <c r="AF30" s="96">
        <f t="shared" si="4"/>
        <v>169</v>
      </c>
      <c r="AG30" s="65">
        <f t="shared" si="5"/>
        <v>0</v>
      </c>
      <c r="AH30" s="65">
        <f t="shared" si="6"/>
        <v>0</v>
      </c>
      <c r="AI30" s="66">
        <f t="shared" si="7"/>
        <v>200</v>
      </c>
      <c r="AJ30" s="65" t="str">
        <f t="shared" si="8"/>
        <v/>
      </c>
      <c r="AK30" s="65" t="str">
        <f t="shared" si="9"/>
        <v>P</v>
      </c>
      <c r="AL30" s="65" t="str">
        <f t="shared" si="10"/>
        <v>D</v>
      </c>
      <c r="AM30" s="524" t="str">
        <f>IF('Marks Entry'!V30="","",IF('Marks Entry'!V30=1,'School Profile'!$I$9,IF('Marks Entry'!V30=2,'School Profile'!$I$10,IF('Marks Entry'!V30=3,'School Profile'!$I$11,IF('Marks Entry'!V30=4,'School Profile'!$I$12,IF('Marks Entry'!V30=5,'School Profile'!$I$13,IF('Marks Entry'!V30=6,'School Profile'!$I$14,"")))))))</f>
        <v>संस्कृत (71)</v>
      </c>
      <c r="AN30" s="68">
        <f>IF('Marks Entry'!W30="","",'Marks Entry'!W30)</f>
        <v>8</v>
      </c>
      <c r="AO30" s="68">
        <f>IF('Marks Entry'!X30="","",'Marks Entry'!X30)</f>
        <v>9</v>
      </c>
      <c r="AP30" s="68">
        <f>IF('Marks Entry'!Y30="","",'Marks Entry'!Y30)</f>
        <v>9</v>
      </c>
      <c r="AQ30" s="514">
        <f t="shared" si="11"/>
        <v>26</v>
      </c>
      <c r="AR30" s="68">
        <f>IF('Marks Entry'!Z30="","",'Marks Entry'!Z30)</f>
        <v>46</v>
      </c>
      <c r="AS30" s="515">
        <f t="shared" si="12"/>
        <v>72</v>
      </c>
      <c r="AT30" s="68">
        <f>IF('Marks Entry'!AA30="","",'Marks Entry'!AA30)</f>
        <v>45</v>
      </c>
      <c r="AU30" s="96">
        <f t="shared" si="13"/>
        <v>117</v>
      </c>
      <c r="AV30" s="65">
        <f t="shared" si="14"/>
        <v>0</v>
      </c>
      <c r="AW30" s="65">
        <f t="shared" si="15"/>
        <v>0</v>
      </c>
      <c r="AX30" s="66">
        <f t="shared" si="16"/>
        <v>200</v>
      </c>
      <c r="AY30" s="65" t="str">
        <f t="shared" si="17"/>
        <v/>
      </c>
      <c r="AZ30" s="65" t="str">
        <f t="shared" si="18"/>
        <v>P</v>
      </c>
      <c r="BA30" s="65" t="str">
        <f t="shared" si="19"/>
        <v>II</v>
      </c>
      <c r="BB30" s="68">
        <f>IF('Marks Entry'!AB30="","",'Marks Entry'!AB30)</f>
        <v>8</v>
      </c>
      <c r="BC30" s="68">
        <f>IF('Marks Entry'!AC30="","",'Marks Entry'!AC30)</f>
        <v>9</v>
      </c>
      <c r="BD30" s="68">
        <f>IF('Marks Entry'!AD30="","",'Marks Entry'!AD30)</f>
        <v>8</v>
      </c>
      <c r="BE30" s="514">
        <f t="shared" si="20"/>
        <v>25</v>
      </c>
      <c r="BF30" s="68">
        <f>IF('Marks Entry'!AE30="","",'Marks Entry'!AE30)</f>
        <v>46</v>
      </c>
      <c r="BG30" s="515">
        <f t="shared" si="21"/>
        <v>71</v>
      </c>
      <c r="BH30" s="68">
        <f>IF('Marks Entry'!AF30="","",'Marks Entry'!AF30)</f>
        <v>45</v>
      </c>
      <c r="BI30" s="96">
        <f t="shared" si="22"/>
        <v>116</v>
      </c>
      <c r="BJ30" s="65">
        <f t="shared" si="23"/>
        <v>0</v>
      </c>
      <c r="BK30" s="65">
        <f t="shared" si="92"/>
        <v>0</v>
      </c>
      <c r="BL30" s="66">
        <f t="shared" si="24"/>
        <v>200</v>
      </c>
      <c r="BM30" s="65" t="str">
        <f t="shared" si="25"/>
        <v/>
      </c>
      <c r="BN30" s="65" t="str">
        <f t="shared" si="26"/>
        <v>P</v>
      </c>
      <c r="BO30" s="65" t="str">
        <f t="shared" si="27"/>
        <v>II</v>
      </c>
      <c r="BP30" s="68">
        <f>IF('Marks Entry'!AG30="","",'Marks Entry'!AG30)</f>
        <v>8</v>
      </c>
      <c r="BQ30" s="68">
        <f>IF('Marks Entry'!AH30="","",'Marks Entry'!AH30)</f>
        <v>9</v>
      </c>
      <c r="BR30" s="68">
        <f>IF('Marks Entry'!AI30="","",'Marks Entry'!AI30)</f>
        <v>7</v>
      </c>
      <c r="BS30" s="514">
        <f t="shared" si="28"/>
        <v>24</v>
      </c>
      <c r="BT30" s="68">
        <f>IF('Marks Entry'!AJ30="","",'Marks Entry'!AJ30)</f>
        <v>46</v>
      </c>
      <c r="BU30" s="515">
        <f t="shared" si="29"/>
        <v>70</v>
      </c>
      <c r="BV30" s="68">
        <f>IF('Marks Entry'!AK30="","",'Marks Entry'!AK30)</f>
        <v>45</v>
      </c>
      <c r="BW30" s="96">
        <f t="shared" si="30"/>
        <v>115</v>
      </c>
      <c r="BX30" s="65">
        <f t="shared" si="31"/>
        <v>0</v>
      </c>
      <c r="BY30" s="65">
        <f t="shared" si="32"/>
        <v>0</v>
      </c>
      <c r="BZ30" s="66">
        <f t="shared" si="33"/>
        <v>200</v>
      </c>
      <c r="CA30" s="65" t="str">
        <f t="shared" si="34"/>
        <v/>
      </c>
      <c r="CB30" s="65" t="str">
        <f t="shared" si="35"/>
        <v>P</v>
      </c>
      <c r="CC30" s="65" t="str">
        <f t="shared" si="36"/>
        <v>II</v>
      </c>
      <c r="CD30" s="66">
        <f t="shared" si="93"/>
        <v>0</v>
      </c>
      <c r="CE30" s="68">
        <f>IF('Marks Entry'!AL30="","",'Marks Entry'!AL30)</f>
        <v>8</v>
      </c>
      <c r="CF30" s="68">
        <f>IF('Marks Entry'!AM30="","",'Marks Entry'!AM30)</f>
        <v>8</v>
      </c>
      <c r="CG30" s="68">
        <f>IF('Marks Entry'!AN30="","",'Marks Entry'!AN30)</f>
        <v>8</v>
      </c>
      <c r="CH30" s="514">
        <f t="shared" si="37"/>
        <v>24</v>
      </c>
      <c r="CI30" s="68">
        <f>IF('Marks Entry'!AO30="","",'Marks Entry'!AO30)</f>
        <v>46</v>
      </c>
      <c r="CJ30" s="515">
        <f t="shared" si="38"/>
        <v>70</v>
      </c>
      <c r="CK30" s="68">
        <f>IF('Marks Entry'!AP30="","",'Marks Entry'!AP30)</f>
        <v>45</v>
      </c>
      <c r="CL30" s="96">
        <f t="shared" si="39"/>
        <v>115</v>
      </c>
      <c r="CM30" s="65">
        <f t="shared" si="40"/>
        <v>0</v>
      </c>
      <c r="CN30" s="65">
        <f t="shared" si="41"/>
        <v>0</v>
      </c>
      <c r="CO30" s="66">
        <f t="shared" si="42"/>
        <v>200</v>
      </c>
      <c r="CP30" s="65" t="str">
        <f t="shared" si="43"/>
        <v/>
      </c>
      <c r="CQ30" s="65" t="str">
        <f t="shared" si="44"/>
        <v>P</v>
      </c>
      <c r="CR30" s="65" t="str">
        <f t="shared" si="45"/>
        <v>II</v>
      </c>
      <c r="CS30" s="616"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8" t="str">
        <f>IF('School Profile'!$D$20="NO","",IF('Marks Entry'!AR30="","",'Marks Entry'!AR30))</f>
        <v/>
      </c>
      <c r="CU30" s="68" t="str">
        <f>IF('School Profile'!$D$20="NO","",IF('Marks Entry'!AS30="","",'Marks Entry'!AS30))</f>
        <v/>
      </c>
      <c r="CV30" s="68" t="str">
        <f>IF('School Profile'!$D$20="NO","",IF('Marks Entry'!AT30="","",'Marks Entry'!AT30))</f>
        <v/>
      </c>
      <c r="CW30" s="514" t="str">
        <f>IF('School Profile'!$D$20="NO","",IF(AND(CT30="",CU30="",CV30=""),"",SUM(CT30:CV30)))</f>
        <v/>
      </c>
      <c r="CX30" s="68" t="str">
        <f>IF('School Profile'!$D$20="NO","",IF('Marks Entry'!AU30="","",'Marks Entry'!AU30))</f>
        <v/>
      </c>
      <c r="CY30" s="68" t="str">
        <f>IF('School Profile'!$D$20="NO","",IF('Marks Entry'!AV30="","",'Marks Entry'!AV30))</f>
        <v/>
      </c>
      <c r="CZ30" s="515" t="str">
        <f>IF('School Profile'!$D$20="NO","",IF(AND(CX30="",CY30=""),"",SUM(CX30,CY30)))</f>
        <v/>
      </c>
      <c r="DA30" s="69" t="str">
        <f>IF('School Profile'!$D$20="NO","",IF(AND(CW30="",CZ30=""),"",SUM(CW30+CZ30)))</f>
        <v/>
      </c>
      <c r="DB30" s="68" t="str">
        <f>IF('School Profile'!$D$20="NO","",IF('Marks Entry'!AW30="","",'Marks Entry'!AW30))</f>
        <v/>
      </c>
      <c r="DC30" s="68" t="str">
        <f>IF('School Profile'!$D$20="NO","",IF('Marks Entry'!AX30="","",'Marks Entry'!AX30))</f>
        <v/>
      </c>
      <c r="DD30" s="515" t="str">
        <f>IF('School Profile'!$D$20="NO","",IF(AND(DB30="",DC30=""),"",SUM(DB30,DC30)))</f>
        <v/>
      </c>
      <c r="DE30" s="96" t="str">
        <f>IF('School Profile'!$D$20="NO","",IF(AND(DA30="",DD30=""),"",SUM(DA30,DD30)))</f>
        <v/>
      </c>
      <c r="DF30" s="532">
        <f t="shared" si="46"/>
        <v>0</v>
      </c>
      <c r="DG30" s="65">
        <f t="shared" si="47"/>
        <v>0</v>
      </c>
      <c r="DH30" s="66" t="str">
        <f t="shared" si="48"/>
        <v/>
      </c>
      <c r="DI30" s="65" t="str">
        <f t="shared" si="49"/>
        <v/>
      </c>
      <c r="DJ30" s="65" t="str">
        <f t="shared" si="50"/>
        <v/>
      </c>
      <c r="DK30" s="65" t="str">
        <f t="shared" si="51"/>
        <v/>
      </c>
      <c r="DL30" s="97" t="str">
        <f t="shared" si="94"/>
        <v>I</v>
      </c>
      <c r="DM30" s="97" t="str">
        <f t="shared" si="95"/>
        <v>D</v>
      </c>
      <c r="DN30" s="97" t="str">
        <f t="shared" si="96"/>
        <v>II</v>
      </c>
      <c r="DO30" s="97" t="str">
        <f t="shared" si="97"/>
        <v>II</v>
      </c>
      <c r="DP30" s="97" t="str">
        <f t="shared" si="98"/>
        <v>II</v>
      </c>
      <c r="DQ30" s="97" t="str">
        <f t="shared" si="99"/>
        <v>II</v>
      </c>
      <c r="DR30" s="97" t="str">
        <f t="shared" si="100"/>
        <v/>
      </c>
      <c r="DS30" s="98">
        <f t="shared" si="101"/>
        <v>0</v>
      </c>
      <c r="DT30" s="98">
        <f t="shared" si="102"/>
        <v>0</v>
      </c>
      <c r="DU30" s="98">
        <f t="shared" si="103"/>
        <v>0</v>
      </c>
      <c r="DV30" s="98">
        <f t="shared" si="104"/>
        <v>0</v>
      </c>
      <c r="DW30" s="98">
        <f t="shared" si="105"/>
        <v>0</v>
      </c>
      <c r="DX30" s="98" t="str">
        <f t="shared" si="106"/>
        <v/>
      </c>
      <c r="DY30" s="99" t="str">
        <f t="shared" si="107"/>
        <v>PASS</v>
      </c>
      <c r="DZ30" s="74" t="str">
        <f>IF('Marks Entry'!AY30="","",'Marks Entry'!AY30)</f>
        <v/>
      </c>
      <c r="EA30" s="74" t="str">
        <f>IF('Marks Entry'!AZ30="","",'Marks Entry'!AZ30)</f>
        <v/>
      </c>
      <c r="EB30" s="74" t="str">
        <f>IF('Marks Entry'!BA30="","",'Marks Entry'!BA30)</f>
        <v/>
      </c>
      <c r="EC30" s="527" t="str">
        <f t="shared" si="52"/>
        <v/>
      </c>
      <c r="ED30" s="74" t="str">
        <f>IF('Marks Entry'!BB30="","",'Marks Entry'!BB30)</f>
        <v/>
      </c>
      <c r="EE30" s="528" t="str">
        <f t="shared" si="53"/>
        <v/>
      </c>
      <c r="EF30" s="74" t="str">
        <f>IF('Marks Entry'!BC30="","",'Marks Entry'!BC30)</f>
        <v/>
      </c>
      <c r="EG30" s="530" t="str">
        <f t="shared" si="54"/>
        <v/>
      </c>
      <c r="EH30" s="368" t="str">
        <f t="shared" si="108"/>
        <v/>
      </c>
      <c r="EI30" s="65">
        <f t="shared" si="109"/>
        <v>0</v>
      </c>
      <c r="EJ30" s="65">
        <f t="shared" si="110"/>
        <v>0</v>
      </c>
      <c r="EK30" s="66" t="str">
        <f t="shared" si="111"/>
        <v/>
      </c>
      <c r="EL30" s="74" t="str">
        <f>IF('Marks Entry'!BD30="","",'Marks Entry'!BD30)</f>
        <v/>
      </c>
      <c r="EM30" s="74" t="str">
        <f>IF('Marks Entry'!BE30="","",'Marks Entry'!BE30)</f>
        <v/>
      </c>
      <c r="EN30" s="74" t="str">
        <f>IF('Marks Entry'!BF30="","",'Marks Entry'!BF30)</f>
        <v/>
      </c>
      <c r="EO30" s="527" t="str">
        <f t="shared" si="55"/>
        <v/>
      </c>
      <c r="EP30" s="74" t="str">
        <f>IF('Marks Entry'!BG30="","",'Marks Entry'!BG30)</f>
        <v/>
      </c>
      <c r="EQ30" s="74" t="str">
        <f>IF('Marks Entry'!BH30="","",'Marks Entry'!BH30)</f>
        <v/>
      </c>
      <c r="ER30" s="528" t="str">
        <f t="shared" si="56"/>
        <v/>
      </c>
      <c r="ES30" s="529" t="str">
        <f t="shared" si="57"/>
        <v/>
      </c>
      <c r="ET30" s="74" t="str">
        <f>IF('Marks Entry'!BI30="","",'Marks Entry'!BI30)</f>
        <v/>
      </c>
      <c r="EU30" s="74" t="str">
        <f>IF('Marks Entry'!BJ30="","",'Marks Entry'!BJ30)</f>
        <v/>
      </c>
      <c r="EV30" s="528" t="str">
        <f t="shared" si="58"/>
        <v/>
      </c>
      <c r="EW30" s="530" t="str">
        <f t="shared" si="59"/>
        <v/>
      </c>
      <c r="EX30" s="368" t="str">
        <f t="shared" si="112"/>
        <v/>
      </c>
      <c r="EY30" s="65">
        <f t="shared" si="113"/>
        <v>0</v>
      </c>
      <c r="EZ30" s="65">
        <f t="shared" si="114"/>
        <v>0</v>
      </c>
      <c r="FA30" s="66" t="str">
        <f t="shared" si="115"/>
        <v/>
      </c>
      <c r="FB30" s="74" t="str">
        <f>IF('Marks Entry'!BK30="","",'Marks Entry'!BK30)</f>
        <v/>
      </c>
      <c r="FC30" s="74" t="str">
        <f>IF('Marks Entry'!BL30="","",'Marks Entry'!BL30)</f>
        <v/>
      </c>
      <c r="FD30" s="74" t="str">
        <f>IF('Marks Entry'!BM30="","",'Marks Entry'!BM30)</f>
        <v/>
      </c>
      <c r="FE30" s="74" t="str">
        <f>IF('Marks Entry'!BN30="","",'Marks Entry'!BN30)</f>
        <v/>
      </c>
      <c r="FF30" s="74" t="str">
        <f>IF('Marks Entry'!BO30="","",'Marks Entry'!BO30)</f>
        <v/>
      </c>
      <c r="FG30" s="74" t="str">
        <f>IF('Marks Entry'!BP30="","",'Marks Entry'!BP30)</f>
        <v/>
      </c>
      <c r="FH30" s="527" t="str">
        <f t="shared" si="60"/>
        <v/>
      </c>
      <c r="FI30" s="74" t="str">
        <f>IF('Marks Entry'!BQ30="","",'Marks Entry'!BQ30)</f>
        <v/>
      </c>
      <c r="FJ30" s="74" t="str">
        <f>IF('Marks Entry'!BR30="","",'Marks Entry'!BR30)</f>
        <v/>
      </c>
      <c r="FK30" s="528" t="str">
        <f t="shared" si="61"/>
        <v/>
      </c>
      <c r="FL30" s="529" t="str">
        <f t="shared" si="62"/>
        <v/>
      </c>
      <c r="FM30" s="74" t="str">
        <f>IF('Marks Entry'!BS30="","",'Marks Entry'!BS30)</f>
        <v/>
      </c>
      <c r="FN30" s="74" t="str">
        <f>IF('Marks Entry'!BT30="","",'Marks Entry'!BT30)</f>
        <v/>
      </c>
      <c r="FO30" s="528" t="str">
        <f t="shared" si="63"/>
        <v/>
      </c>
      <c r="FP30" s="530" t="str">
        <f t="shared" si="64"/>
        <v/>
      </c>
      <c r="FQ30" s="368" t="str">
        <f t="shared" si="116"/>
        <v/>
      </c>
      <c r="FR30" s="65">
        <f t="shared" si="117"/>
        <v>0</v>
      </c>
      <c r="FS30" s="65">
        <f t="shared" si="118"/>
        <v>0</v>
      </c>
      <c r="FT30" s="66" t="str">
        <f t="shared" si="119"/>
        <v/>
      </c>
      <c r="FU30" s="74" t="str">
        <f>IF('Marks Entry'!BU30="","",'Marks Entry'!BU30)</f>
        <v/>
      </c>
      <c r="FV30" s="74" t="str">
        <f>IF('Marks Entry'!BV30="","",'Marks Entry'!BV30)</f>
        <v/>
      </c>
      <c r="FW30" s="74" t="str">
        <f>IF('Marks Entry'!BW30="","",'Marks Entry'!BW30)</f>
        <v/>
      </c>
      <c r="FX30" s="75" t="str">
        <f t="shared" si="65"/>
        <v/>
      </c>
      <c r="FY30" s="368" t="str">
        <f t="shared" si="120"/>
        <v/>
      </c>
      <c r="FZ30" s="65">
        <f t="shared" si="121"/>
        <v>0</v>
      </c>
      <c r="GA30" s="66">
        <f t="shared" si="122"/>
        <v>0</v>
      </c>
      <c r="GB30" s="66" t="str">
        <f t="shared" si="123"/>
        <v/>
      </c>
      <c r="GC30" s="74" t="str">
        <f>IF('Marks Entry'!BX30="","",'Marks Entry'!BX30)</f>
        <v/>
      </c>
      <c r="GD30" s="74" t="str">
        <f>IF('Marks Entry'!BY30="","",'Marks Entry'!BY30)</f>
        <v/>
      </c>
      <c r="GE30" s="74" t="str">
        <f>IF('Marks Entry'!BZ30="","",'Marks Entry'!BZ30)</f>
        <v/>
      </c>
      <c r="GF30" s="75" t="str">
        <f t="shared" si="124"/>
        <v/>
      </c>
      <c r="GG30" s="368" t="str">
        <f t="shared" si="125"/>
        <v/>
      </c>
      <c r="GH30" s="65">
        <f t="shared" si="126"/>
        <v>0</v>
      </c>
      <c r="GI30" s="66">
        <f t="shared" si="127"/>
        <v>0</v>
      </c>
      <c r="GJ30" s="66" t="str">
        <f t="shared" si="128"/>
        <v/>
      </c>
      <c r="GK30" s="100" t="str">
        <f>IF(AND(F30="",B30=""),"",IF('Student DATA Entry'!M27="","",'Student DATA Entry'!M27))</f>
        <v/>
      </c>
      <c r="GL30" s="101" t="str">
        <f>IF(AND(B30="",F30=""),"",IF('Student DATA Entry'!N27="","",'Student DATA Entry'!N27))</f>
        <v/>
      </c>
      <c r="GM30" s="581" t="str">
        <f t="shared" si="129"/>
        <v/>
      </c>
      <c r="GN30" s="94" t="str">
        <f t="shared" si="130"/>
        <v>I</v>
      </c>
      <c r="GO30" s="94" t="str">
        <f t="shared" si="131"/>
        <v/>
      </c>
      <c r="GP30" s="102" t="str">
        <f t="shared" si="67"/>
        <v/>
      </c>
      <c r="GQ30" s="94" t="str">
        <f t="shared" si="132"/>
        <v>D</v>
      </c>
      <c r="GR30" s="103" t="str">
        <f t="shared" si="133"/>
        <v/>
      </c>
      <c r="GS30" s="102" t="str">
        <f t="shared" si="68"/>
        <v/>
      </c>
      <c r="GT30" s="104" t="str">
        <f t="shared" si="134"/>
        <v>II</v>
      </c>
      <c r="GU30" s="94" t="str">
        <f>IF('Marks Entry'!V30=1,GT30,"")</f>
        <v>II</v>
      </c>
      <c r="GV30" s="94" t="str">
        <f>IF('Marks Entry'!V30=2,GT30,"")</f>
        <v/>
      </c>
      <c r="GW30" s="94" t="str">
        <f>IF('Marks Entry'!V30=3,GT30,"")</f>
        <v/>
      </c>
      <c r="GX30" s="94" t="str">
        <f>IF('Marks Entry'!V30=4,GT30,"")</f>
        <v/>
      </c>
      <c r="GY30" s="94" t="str">
        <f>IF('Marks Entry'!V30=5,GT30,"")</f>
        <v/>
      </c>
      <c r="GZ30" s="94" t="str">
        <f t="shared" si="135"/>
        <v/>
      </c>
      <c r="HA30" s="105" t="str">
        <f t="shared" si="69"/>
        <v/>
      </c>
      <c r="HB30" s="94" t="str">
        <f t="shared" si="136"/>
        <v>II</v>
      </c>
      <c r="HC30" s="94" t="str">
        <f t="shared" si="137"/>
        <v/>
      </c>
      <c r="HD30" s="105" t="str">
        <f t="shared" si="70"/>
        <v/>
      </c>
      <c r="HE30" s="94" t="str">
        <f t="shared" si="138"/>
        <v>II</v>
      </c>
      <c r="HF30" s="94" t="str">
        <f t="shared" si="139"/>
        <v/>
      </c>
      <c r="HG30" s="105" t="str">
        <f t="shared" si="71"/>
        <v/>
      </c>
      <c r="HH30" s="94" t="str">
        <f t="shared" si="140"/>
        <v>II</v>
      </c>
      <c r="HI30" s="94" t="str">
        <f t="shared" si="141"/>
        <v/>
      </c>
      <c r="HJ30" s="105" t="str">
        <f t="shared" si="72"/>
        <v/>
      </c>
      <c r="HK30" s="94" t="str">
        <f t="shared" si="142"/>
        <v/>
      </c>
      <c r="HL30" s="94" t="str">
        <f t="shared" si="143"/>
        <v/>
      </c>
      <c r="HM30" s="105" t="str">
        <f t="shared" si="73"/>
        <v/>
      </c>
      <c r="HN30" s="367" t="str">
        <f t="shared" si="144"/>
        <v xml:space="preserve">      </v>
      </c>
      <c r="HO30" s="418" t="str">
        <f t="shared" si="145"/>
        <v xml:space="preserve">      </v>
      </c>
      <c r="HP30" s="367" t="str">
        <f t="shared" si="146"/>
        <v xml:space="preserve">      </v>
      </c>
      <c r="HQ30" s="107" t="str">
        <f t="shared" si="147"/>
        <v xml:space="preserve">      </v>
      </c>
      <c r="HR30" s="366" t="str">
        <f t="shared" si="148"/>
        <v xml:space="preserve"> अंग्रेजी     </v>
      </c>
      <c r="HS30" s="544" t="str">
        <f t="shared" si="74"/>
        <v>PASS</v>
      </c>
      <c r="HT30" s="542">
        <f t="shared" si="149"/>
        <v>768</v>
      </c>
      <c r="HU30" s="541">
        <f t="shared" si="160"/>
        <v>64</v>
      </c>
      <c r="HV30" s="540" t="str">
        <f t="shared" si="150"/>
        <v>1st</v>
      </c>
      <c r="HW30" s="537">
        <f t="shared" si="151"/>
        <v>64</v>
      </c>
      <c r="HX30" s="539">
        <f t="shared" si="152"/>
        <v>6.9999999999999263</v>
      </c>
      <c r="HY30" s="553" t="str">
        <f>IFERROR(IF(OR(HS30="SUPPLEMENTARY",HS30="RE-EXAM"),'Supp. Result Entry'!AQ28,""),"")</f>
        <v/>
      </c>
      <c r="HZ30" s="538" t="str">
        <f t="shared" si="153"/>
        <v/>
      </c>
      <c r="IA30" s="415" t="str">
        <f t="shared" si="154"/>
        <v/>
      </c>
      <c r="IB30" s="415" t="str">
        <f>IF(AND(HZ30="",IA30=""),"",IF(OR(HS30="SUPPLEMENTARY",HS30="RE-EXAM"),'Supp. Result Entry'!AQ28,HS30))</f>
        <v/>
      </c>
      <c r="IC30" s="87"/>
      <c r="IS30" s="109" t="str">
        <f>IF('Supp. Result Entry'!T28="","",'Supp. Result Entry'!$T$4)</f>
        <v/>
      </c>
      <c r="IT30" s="110" t="str">
        <f>IF('Supp. Result Entry'!W28="","",'Supp. Result Entry'!$W$4)</f>
        <v/>
      </c>
      <c r="IU30" s="110" t="str">
        <f>IF('Supp. Result Entry'!Z28="","",'Supp. Result Entry'!$Z$4)</f>
        <v/>
      </c>
      <c r="IV30" s="110" t="str">
        <f>IF('Supp. Result Entry'!AC28="","",'Supp. Result Entry'!$AC$4)</f>
        <v/>
      </c>
      <c r="IW30" s="110" t="str">
        <f>IF('Supp. Result Entry'!AF28="","",'Supp. Result Entry'!$AF$4)</f>
        <v/>
      </c>
      <c r="IX30" s="110" t="str">
        <f>IF('Supp. Result Entry'!AI28="","",'Supp. Result Entry'!$AI$4)</f>
        <v/>
      </c>
      <c r="IY30" s="110" t="str">
        <f>IF('Supp. Result Entry'!AI28="","",'Supp. Result Entry'!$AL$4)</f>
        <v/>
      </c>
      <c r="IZ30" s="110" t="str">
        <f>IF('Supp. Result Entry'!U28="","",'Supp. Result Entry'!U28)</f>
        <v/>
      </c>
      <c r="JA30" s="110" t="str">
        <f>IF('Supp. Result Entry'!X28="","",'Supp. Result Entry'!X28)</f>
        <v/>
      </c>
      <c r="JB30" s="110" t="str">
        <f>IF('Supp. Result Entry'!AA28="","",'Supp. Result Entry'!AA28)</f>
        <v/>
      </c>
      <c r="JC30" s="110" t="str">
        <f>IF('Supp. Result Entry'!AD28="","",'Supp. Result Entry'!AD28)</f>
        <v/>
      </c>
      <c r="JD30" s="110" t="str">
        <f>IF('Supp. Result Entry'!AG28="","",'Supp. Result Entry'!AG28)</f>
        <v/>
      </c>
      <c r="JE30" s="110" t="str">
        <f>IF('Supp. Result Entry'!AJ28="","",'Supp. Result Entry'!AJ28)</f>
        <v/>
      </c>
      <c r="JF30" s="110" t="str">
        <f>IF('Supp. Result Entry'!AM28="","",'Supp. Result Entry'!AM28)</f>
        <v/>
      </c>
      <c r="JG30" s="110" t="str">
        <f>IF('Supp. Result Entry'!V28="","",'Supp. Result Entry'!V28)</f>
        <v/>
      </c>
      <c r="JH30" s="110" t="str">
        <f>IF('Supp. Result Entry'!Y28="","",'Supp. Result Entry'!Y28)</f>
        <v/>
      </c>
      <c r="JI30" s="110" t="str">
        <f>IF('Supp. Result Entry'!AB28="","",'Supp. Result Entry'!AB28)</f>
        <v/>
      </c>
      <c r="JJ30" s="110" t="str">
        <f>IF('Supp. Result Entry'!AE28="","",'Supp. Result Entry'!AE28)</f>
        <v/>
      </c>
      <c r="JK30" s="110" t="str">
        <f>IF('Supp. Result Entry'!AH28="","",'Supp. Result Entry'!AH28)</f>
        <v/>
      </c>
      <c r="JL30" s="110" t="str">
        <f>IF('Supp. Result Entry'!AK28="","",'Supp. Result Entry'!AK28)</f>
        <v/>
      </c>
      <c r="JM30" s="110" t="str">
        <f>IF('Supp. Result Entry'!AN28="","",'Supp. Result Entry'!AN28)</f>
        <v/>
      </c>
      <c r="JN30" s="110">
        <f>COUNTIF('Supp. Result Entry'!K28:Q28,"S")</f>
        <v>0</v>
      </c>
      <c r="JO30" s="110">
        <f t="shared" si="155"/>
        <v>0</v>
      </c>
      <c r="JP30" s="110">
        <f t="shared" si="156"/>
        <v>0</v>
      </c>
      <c r="JQ30" s="110" t="str">
        <f t="shared" si="75"/>
        <v/>
      </c>
      <c r="JR30" s="110" t="str">
        <f t="shared" si="76"/>
        <v/>
      </c>
      <c r="JS30" s="110" t="str">
        <f t="shared" si="77"/>
        <v/>
      </c>
      <c r="JT30" s="110" t="str">
        <f t="shared" si="78"/>
        <v/>
      </c>
      <c r="JU30" s="110" t="str">
        <f t="shared" si="79"/>
        <v/>
      </c>
      <c r="JV30" s="110" t="str">
        <f t="shared" si="80"/>
        <v/>
      </c>
      <c r="JW30" s="110" t="str">
        <f t="shared" si="81"/>
        <v/>
      </c>
      <c r="JX30" s="110" t="str">
        <f t="shared" si="157"/>
        <v/>
      </c>
      <c r="JY30" s="110" t="str">
        <f t="shared" si="158"/>
        <v/>
      </c>
      <c r="JZ30" s="110" t="str">
        <f t="shared" si="82"/>
        <v/>
      </c>
      <c r="KA30" s="108" t="str">
        <f t="shared" si="159"/>
        <v/>
      </c>
    </row>
    <row r="31" spans="1:287" s="108" customFormat="1" ht="21.95" customHeight="1">
      <c r="A31" s="89">
        <v>25</v>
      </c>
      <c r="B31" s="90">
        <f>IF('Marks Entry'!B31="","",'Marks Entry'!B31)</f>
        <v>925</v>
      </c>
      <c r="C31" s="94" t="str">
        <f>IF('Marks Entry'!D31="","",'Marks Entry'!D31)</f>
        <v>A</v>
      </c>
      <c r="D31" s="91" t="str">
        <f>IF('Marks Entry'!E31="","",'Marks Entry'!E31)</f>
        <v/>
      </c>
      <c r="E31" s="92" t="str">
        <f>IF('Marks Entry'!F31="","",'Marks Entry'!F31)</f>
        <v/>
      </c>
      <c r="F31" s="93" t="str">
        <f>IF('Marks Entry'!G31="","",'Marks Entry'!G31)</f>
        <v>RINA</v>
      </c>
      <c r="G31" s="93" t="str">
        <f>IF('Marks Entry'!H31="","",'Marks Entry'!H31)</f>
        <v/>
      </c>
      <c r="H31" s="93" t="str">
        <f>IF('Marks Entry'!I31="","",'Marks Entry'!I31)</f>
        <v/>
      </c>
      <c r="I31" s="94" t="str">
        <f>IF('Marks Entry'!J31="","",'Marks Entry'!J31)</f>
        <v/>
      </c>
      <c r="J31" s="95" t="str">
        <f>IF('Marks Entry'!K31="","",'Marks Entry'!K31)</f>
        <v/>
      </c>
      <c r="K31" s="68">
        <f>IF('Marks Entry'!L31="","",'Marks Entry'!L31)</f>
        <v>8</v>
      </c>
      <c r="L31" s="68">
        <f>IF('Marks Entry'!M31="","",'Marks Entry'!M31)</f>
        <v>9</v>
      </c>
      <c r="M31" s="68">
        <f>IF('Marks Entry'!N31="","",'Marks Entry'!N31)</f>
        <v>8</v>
      </c>
      <c r="N31" s="514">
        <f t="shared" si="83"/>
        <v>25</v>
      </c>
      <c r="O31" s="68">
        <f>IF('Marks Entry'!O31="","",'Marks Entry'!O31)</f>
        <v>46</v>
      </c>
      <c r="P31" s="515">
        <f t="shared" si="84"/>
        <v>71</v>
      </c>
      <c r="Q31" s="68">
        <f>IF('Marks Entry'!P31="","",'Marks Entry'!P31)</f>
        <v>65</v>
      </c>
      <c r="R31" s="96">
        <f t="shared" si="85"/>
        <v>136</v>
      </c>
      <c r="S31" s="65">
        <f t="shared" si="86"/>
        <v>0</v>
      </c>
      <c r="T31" s="65">
        <f t="shared" si="87"/>
        <v>0</v>
      </c>
      <c r="U31" s="66">
        <f t="shared" si="88"/>
        <v>200</v>
      </c>
      <c r="V31" s="65" t="str">
        <f t="shared" si="89"/>
        <v/>
      </c>
      <c r="W31" s="65" t="str">
        <f t="shared" si="90"/>
        <v>P</v>
      </c>
      <c r="X31" s="65" t="str">
        <f t="shared" si="91"/>
        <v>I</v>
      </c>
      <c r="Y31" s="68">
        <f>IF('Marks Entry'!Q31="","",'Marks Entry'!Q31)</f>
        <v>8</v>
      </c>
      <c r="Z31" s="68">
        <f>IF('Marks Entry'!R31="","",'Marks Entry'!R31)</f>
        <v>9</v>
      </c>
      <c r="AA31" s="68">
        <f>IF('Marks Entry'!S31="","",'Marks Entry'!S31)</f>
        <v>7</v>
      </c>
      <c r="AB31" s="514">
        <f t="shared" si="2"/>
        <v>24</v>
      </c>
      <c r="AC31" s="68">
        <f>IF('Marks Entry'!T31="","",'Marks Entry'!T31)</f>
        <v>60</v>
      </c>
      <c r="AD31" s="515">
        <f t="shared" si="3"/>
        <v>84</v>
      </c>
      <c r="AE31" s="68">
        <f>IF('Marks Entry'!U31="","",'Marks Entry'!U31)</f>
        <v>85</v>
      </c>
      <c r="AF31" s="96">
        <f t="shared" si="4"/>
        <v>169</v>
      </c>
      <c r="AG31" s="65">
        <f t="shared" si="5"/>
        <v>0</v>
      </c>
      <c r="AH31" s="65">
        <f t="shared" si="6"/>
        <v>0</v>
      </c>
      <c r="AI31" s="66">
        <f t="shared" si="7"/>
        <v>200</v>
      </c>
      <c r="AJ31" s="65" t="str">
        <f t="shared" si="8"/>
        <v/>
      </c>
      <c r="AK31" s="65" t="str">
        <f t="shared" si="9"/>
        <v>P</v>
      </c>
      <c r="AL31" s="65" t="str">
        <f t="shared" si="10"/>
        <v>D</v>
      </c>
      <c r="AM31" s="524" t="str">
        <f>IF('Marks Entry'!V31="","",IF('Marks Entry'!V31=1,'School Profile'!$I$9,IF('Marks Entry'!V31=2,'School Profile'!$I$10,IF('Marks Entry'!V31=3,'School Profile'!$I$11,IF('Marks Entry'!V31=4,'School Profile'!$I$12,IF('Marks Entry'!V31=5,'School Profile'!$I$13,IF('Marks Entry'!V31=6,'School Profile'!$I$14,"")))))))</f>
        <v>गुजराती (73)</v>
      </c>
      <c r="AN31" s="68">
        <f>IF('Marks Entry'!W31="","",'Marks Entry'!W31)</f>
        <v>8</v>
      </c>
      <c r="AO31" s="68">
        <f>IF('Marks Entry'!X31="","",'Marks Entry'!X31)</f>
        <v>9</v>
      </c>
      <c r="AP31" s="68">
        <f>IF('Marks Entry'!Y31="","",'Marks Entry'!Y31)</f>
        <v>9</v>
      </c>
      <c r="AQ31" s="514">
        <f t="shared" si="11"/>
        <v>26</v>
      </c>
      <c r="AR31" s="68">
        <f>IF('Marks Entry'!Z31="","",'Marks Entry'!Z31)</f>
        <v>46</v>
      </c>
      <c r="AS31" s="515">
        <f t="shared" si="12"/>
        <v>72</v>
      </c>
      <c r="AT31" s="68">
        <f>IF('Marks Entry'!AA31="","",'Marks Entry'!AA31)</f>
        <v>45</v>
      </c>
      <c r="AU31" s="96">
        <f t="shared" si="13"/>
        <v>117</v>
      </c>
      <c r="AV31" s="65">
        <f t="shared" si="14"/>
        <v>0</v>
      </c>
      <c r="AW31" s="65">
        <f t="shared" si="15"/>
        <v>0</v>
      </c>
      <c r="AX31" s="66">
        <f t="shared" si="16"/>
        <v>200</v>
      </c>
      <c r="AY31" s="65" t="str">
        <f t="shared" si="17"/>
        <v/>
      </c>
      <c r="AZ31" s="65" t="str">
        <f t="shared" si="18"/>
        <v>P</v>
      </c>
      <c r="BA31" s="65" t="str">
        <f t="shared" si="19"/>
        <v>II</v>
      </c>
      <c r="BB31" s="68">
        <f>IF('Marks Entry'!AB31="","",'Marks Entry'!AB31)</f>
        <v>8</v>
      </c>
      <c r="BC31" s="68">
        <f>IF('Marks Entry'!AC31="","",'Marks Entry'!AC31)</f>
        <v>9</v>
      </c>
      <c r="BD31" s="68">
        <f>IF('Marks Entry'!AD31="","",'Marks Entry'!AD31)</f>
        <v>8</v>
      </c>
      <c r="BE31" s="514">
        <f t="shared" si="20"/>
        <v>25</v>
      </c>
      <c r="BF31" s="68">
        <f>IF('Marks Entry'!AE31="","",'Marks Entry'!AE31)</f>
        <v>46</v>
      </c>
      <c r="BG31" s="515">
        <f t="shared" si="21"/>
        <v>71</v>
      </c>
      <c r="BH31" s="68">
        <f>IF('Marks Entry'!AF31="","",'Marks Entry'!AF31)</f>
        <v>45</v>
      </c>
      <c r="BI31" s="96">
        <f t="shared" si="22"/>
        <v>116</v>
      </c>
      <c r="BJ31" s="65">
        <f t="shared" si="23"/>
        <v>0</v>
      </c>
      <c r="BK31" s="65">
        <f t="shared" si="92"/>
        <v>0</v>
      </c>
      <c r="BL31" s="66">
        <f t="shared" si="24"/>
        <v>200</v>
      </c>
      <c r="BM31" s="65" t="str">
        <f t="shared" si="25"/>
        <v/>
      </c>
      <c r="BN31" s="65" t="str">
        <f t="shared" si="26"/>
        <v>P</v>
      </c>
      <c r="BO31" s="65" t="str">
        <f t="shared" si="27"/>
        <v>II</v>
      </c>
      <c r="BP31" s="68">
        <f>IF('Marks Entry'!AG31="","",'Marks Entry'!AG31)</f>
        <v>8</v>
      </c>
      <c r="BQ31" s="68">
        <f>IF('Marks Entry'!AH31="","",'Marks Entry'!AH31)</f>
        <v>9</v>
      </c>
      <c r="BR31" s="68">
        <f>IF('Marks Entry'!AI31="","",'Marks Entry'!AI31)</f>
        <v>7</v>
      </c>
      <c r="BS31" s="514">
        <f t="shared" si="28"/>
        <v>24</v>
      </c>
      <c r="BT31" s="68">
        <f>IF('Marks Entry'!AJ31="","",'Marks Entry'!AJ31)</f>
        <v>46</v>
      </c>
      <c r="BU31" s="515">
        <f t="shared" si="29"/>
        <v>70</v>
      </c>
      <c r="BV31" s="68">
        <f>IF('Marks Entry'!AK31="","",'Marks Entry'!AK31)</f>
        <v>45</v>
      </c>
      <c r="BW31" s="96">
        <f t="shared" si="30"/>
        <v>115</v>
      </c>
      <c r="BX31" s="65">
        <f t="shared" si="31"/>
        <v>0</v>
      </c>
      <c r="BY31" s="65">
        <f t="shared" si="32"/>
        <v>0</v>
      </c>
      <c r="BZ31" s="66">
        <f t="shared" si="33"/>
        <v>200</v>
      </c>
      <c r="CA31" s="65" t="str">
        <f t="shared" si="34"/>
        <v/>
      </c>
      <c r="CB31" s="65" t="str">
        <f t="shared" si="35"/>
        <v>P</v>
      </c>
      <c r="CC31" s="65" t="str">
        <f t="shared" si="36"/>
        <v>II</v>
      </c>
      <c r="CD31" s="66">
        <f t="shared" si="93"/>
        <v>0</v>
      </c>
      <c r="CE31" s="68">
        <f>IF('Marks Entry'!AL31="","",'Marks Entry'!AL31)</f>
        <v>8</v>
      </c>
      <c r="CF31" s="68">
        <f>IF('Marks Entry'!AM31="","",'Marks Entry'!AM31)</f>
        <v>8</v>
      </c>
      <c r="CG31" s="68">
        <f>IF('Marks Entry'!AN31="","",'Marks Entry'!AN31)</f>
        <v>8</v>
      </c>
      <c r="CH31" s="514">
        <f t="shared" si="37"/>
        <v>24</v>
      </c>
      <c r="CI31" s="68">
        <f>IF('Marks Entry'!AO31="","",'Marks Entry'!AO31)</f>
        <v>46</v>
      </c>
      <c r="CJ31" s="515">
        <f t="shared" si="38"/>
        <v>70</v>
      </c>
      <c r="CK31" s="68">
        <f>IF('Marks Entry'!AP31="","",'Marks Entry'!AP31)</f>
        <v>45</v>
      </c>
      <c r="CL31" s="96">
        <f t="shared" si="39"/>
        <v>115</v>
      </c>
      <c r="CM31" s="65">
        <f t="shared" si="40"/>
        <v>0</v>
      </c>
      <c r="CN31" s="65">
        <f t="shared" si="41"/>
        <v>0</v>
      </c>
      <c r="CO31" s="66">
        <f t="shared" si="42"/>
        <v>200</v>
      </c>
      <c r="CP31" s="65" t="str">
        <f t="shared" si="43"/>
        <v/>
      </c>
      <c r="CQ31" s="65" t="str">
        <f t="shared" si="44"/>
        <v>P</v>
      </c>
      <c r="CR31" s="65" t="str">
        <f t="shared" si="45"/>
        <v>II</v>
      </c>
      <c r="CS31" s="616"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8" t="str">
        <f>IF('School Profile'!$D$20="NO","",IF('Marks Entry'!AR31="","",'Marks Entry'!AR31))</f>
        <v/>
      </c>
      <c r="CU31" s="68" t="str">
        <f>IF('School Profile'!$D$20="NO","",IF('Marks Entry'!AS31="","",'Marks Entry'!AS31))</f>
        <v/>
      </c>
      <c r="CV31" s="68" t="str">
        <f>IF('School Profile'!$D$20="NO","",IF('Marks Entry'!AT31="","",'Marks Entry'!AT31))</f>
        <v/>
      </c>
      <c r="CW31" s="514" t="str">
        <f>IF('School Profile'!$D$20="NO","",IF(AND(CT31="",CU31="",CV31=""),"",SUM(CT31:CV31)))</f>
        <v/>
      </c>
      <c r="CX31" s="68" t="str">
        <f>IF('School Profile'!$D$20="NO","",IF('Marks Entry'!AU31="","",'Marks Entry'!AU31))</f>
        <v/>
      </c>
      <c r="CY31" s="68" t="str">
        <f>IF('School Profile'!$D$20="NO","",IF('Marks Entry'!AV31="","",'Marks Entry'!AV31))</f>
        <v/>
      </c>
      <c r="CZ31" s="515" t="str">
        <f>IF('School Profile'!$D$20="NO","",IF(AND(CX31="",CY31=""),"",SUM(CX31,CY31)))</f>
        <v/>
      </c>
      <c r="DA31" s="69" t="str">
        <f>IF('School Profile'!$D$20="NO","",IF(AND(CW31="",CZ31=""),"",SUM(CW31+CZ31)))</f>
        <v/>
      </c>
      <c r="DB31" s="68" t="str">
        <f>IF('School Profile'!$D$20="NO","",IF('Marks Entry'!AW31="","",'Marks Entry'!AW31))</f>
        <v/>
      </c>
      <c r="DC31" s="68" t="str">
        <f>IF('School Profile'!$D$20="NO","",IF('Marks Entry'!AX31="","",'Marks Entry'!AX31))</f>
        <v/>
      </c>
      <c r="DD31" s="515" t="str">
        <f>IF('School Profile'!$D$20="NO","",IF(AND(DB31="",DC31=""),"",SUM(DB31,DC31)))</f>
        <v/>
      </c>
      <c r="DE31" s="96" t="str">
        <f>IF('School Profile'!$D$20="NO","",IF(AND(DA31="",DD31=""),"",SUM(DA31,DD31)))</f>
        <v/>
      </c>
      <c r="DF31" s="532">
        <f t="shared" si="46"/>
        <v>0</v>
      </c>
      <c r="DG31" s="65">
        <f t="shared" si="47"/>
        <v>0</v>
      </c>
      <c r="DH31" s="66" t="str">
        <f t="shared" si="48"/>
        <v/>
      </c>
      <c r="DI31" s="65" t="str">
        <f t="shared" si="49"/>
        <v/>
      </c>
      <c r="DJ31" s="65" t="str">
        <f t="shared" si="50"/>
        <v/>
      </c>
      <c r="DK31" s="65" t="str">
        <f t="shared" si="51"/>
        <v/>
      </c>
      <c r="DL31" s="97" t="str">
        <f t="shared" si="94"/>
        <v>I</v>
      </c>
      <c r="DM31" s="97" t="str">
        <f t="shared" si="95"/>
        <v>D</v>
      </c>
      <c r="DN31" s="97" t="str">
        <f t="shared" si="96"/>
        <v>II</v>
      </c>
      <c r="DO31" s="97" t="str">
        <f t="shared" si="97"/>
        <v>II</v>
      </c>
      <c r="DP31" s="97" t="str">
        <f t="shared" si="98"/>
        <v>II</v>
      </c>
      <c r="DQ31" s="97" t="str">
        <f t="shared" si="99"/>
        <v>II</v>
      </c>
      <c r="DR31" s="97" t="str">
        <f t="shared" si="100"/>
        <v/>
      </c>
      <c r="DS31" s="98">
        <f t="shared" si="101"/>
        <v>0</v>
      </c>
      <c r="DT31" s="98">
        <f t="shared" si="102"/>
        <v>0</v>
      </c>
      <c r="DU31" s="98">
        <f t="shared" si="103"/>
        <v>0</v>
      </c>
      <c r="DV31" s="98">
        <f t="shared" si="104"/>
        <v>0</v>
      </c>
      <c r="DW31" s="98">
        <f t="shared" si="105"/>
        <v>0</v>
      </c>
      <c r="DX31" s="98" t="str">
        <f t="shared" si="106"/>
        <v/>
      </c>
      <c r="DY31" s="99" t="str">
        <f t="shared" si="107"/>
        <v>PASS</v>
      </c>
      <c r="DZ31" s="74" t="str">
        <f>IF('Marks Entry'!AY31="","",'Marks Entry'!AY31)</f>
        <v/>
      </c>
      <c r="EA31" s="74" t="str">
        <f>IF('Marks Entry'!AZ31="","",'Marks Entry'!AZ31)</f>
        <v/>
      </c>
      <c r="EB31" s="74" t="str">
        <f>IF('Marks Entry'!BA31="","",'Marks Entry'!BA31)</f>
        <v/>
      </c>
      <c r="EC31" s="527" t="str">
        <f t="shared" si="52"/>
        <v/>
      </c>
      <c r="ED31" s="74" t="str">
        <f>IF('Marks Entry'!BB31="","",'Marks Entry'!BB31)</f>
        <v/>
      </c>
      <c r="EE31" s="528" t="str">
        <f t="shared" si="53"/>
        <v/>
      </c>
      <c r="EF31" s="74" t="str">
        <f>IF('Marks Entry'!BC31="","",'Marks Entry'!BC31)</f>
        <v/>
      </c>
      <c r="EG31" s="530" t="str">
        <f t="shared" si="54"/>
        <v/>
      </c>
      <c r="EH31" s="368" t="str">
        <f t="shared" si="108"/>
        <v/>
      </c>
      <c r="EI31" s="65">
        <f t="shared" si="109"/>
        <v>0</v>
      </c>
      <c r="EJ31" s="65">
        <f t="shared" si="110"/>
        <v>0</v>
      </c>
      <c r="EK31" s="66" t="str">
        <f t="shared" si="111"/>
        <v/>
      </c>
      <c r="EL31" s="74" t="str">
        <f>IF('Marks Entry'!BD31="","",'Marks Entry'!BD31)</f>
        <v/>
      </c>
      <c r="EM31" s="74" t="str">
        <f>IF('Marks Entry'!BE31="","",'Marks Entry'!BE31)</f>
        <v/>
      </c>
      <c r="EN31" s="74" t="str">
        <f>IF('Marks Entry'!BF31="","",'Marks Entry'!BF31)</f>
        <v/>
      </c>
      <c r="EO31" s="527" t="str">
        <f t="shared" si="55"/>
        <v/>
      </c>
      <c r="EP31" s="74" t="str">
        <f>IF('Marks Entry'!BG31="","",'Marks Entry'!BG31)</f>
        <v/>
      </c>
      <c r="EQ31" s="74" t="str">
        <f>IF('Marks Entry'!BH31="","",'Marks Entry'!BH31)</f>
        <v/>
      </c>
      <c r="ER31" s="528" t="str">
        <f t="shared" si="56"/>
        <v/>
      </c>
      <c r="ES31" s="529" t="str">
        <f t="shared" si="57"/>
        <v/>
      </c>
      <c r="ET31" s="74" t="str">
        <f>IF('Marks Entry'!BI31="","",'Marks Entry'!BI31)</f>
        <v/>
      </c>
      <c r="EU31" s="74" t="str">
        <f>IF('Marks Entry'!BJ31="","",'Marks Entry'!BJ31)</f>
        <v/>
      </c>
      <c r="EV31" s="528" t="str">
        <f t="shared" si="58"/>
        <v/>
      </c>
      <c r="EW31" s="530" t="str">
        <f t="shared" si="59"/>
        <v/>
      </c>
      <c r="EX31" s="368" t="str">
        <f t="shared" si="112"/>
        <v/>
      </c>
      <c r="EY31" s="65">
        <f t="shared" si="113"/>
        <v>0</v>
      </c>
      <c r="EZ31" s="65">
        <f t="shared" si="114"/>
        <v>0</v>
      </c>
      <c r="FA31" s="66" t="str">
        <f t="shared" si="115"/>
        <v/>
      </c>
      <c r="FB31" s="74" t="str">
        <f>IF('Marks Entry'!BK31="","",'Marks Entry'!BK31)</f>
        <v/>
      </c>
      <c r="FC31" s="74" t="str">
        <f>IF('Marks Entry'!BL31="","",'Marks Entry'!BL31)</f>
        <v/>
      </c>
      <c r="FD31" s="74" t="str">
        <f>IF('Marks Entry'!BM31="","",'Marks Entry'!BM31)</f>
        <v/>
      </c>
      <c r="FE31" s="74" t="str">
        <f>IF('Marks Entry'!BN31="","",'Marks Entry'!BN31)</f>
        <v/>
      </c>
      <c r="FF31" s="74" t="str">
        <f>IF('Marks Entry'!BO31="","",'Marks Entry'!BO31)</f>
        <v/>
      </c>
      <c r="FG31" s="74" t="str">
        <f>IF('Marks Entry'!BP31="","",'Marks Entry'!BP31)</f>
        <v/>
      </c>
      <c r="FH31" s="527" t="str">
        <f t="shared" si="60"/>
        <v/>
      </c>
      <c r="FI31" s="74" t="str">
        <f>IF('Marks Entry'!BQ31="","",'Marks Entry'!BQ31)</f>
        <v/>
      </c>
      <c r="FJ31" s="74" t="str">
        <f>IF('Marks Entry'!BR31="","",'Marks Entry'!BR31)</f>
        <v/>
      </c>
      <c r="FK31" s="528" t="str">
        <f t="shared" si="61"/>
        <v/>
      </c>
      <c r="FL31" s="529" t="str">
        <f t="shared" si="62"/>
        <v/>
      </c>
      <c r="FM31" s="74" t="str">
        <f>IF('Marks Entry'!BS31="","",'Marks Entry'!BS31)</f>
        <v/>
      </c>
      <c r="FN31" s="74" t="str">
        <f>IF('Marks Entry'!BT31="","",'Marks Entry'!BT31)</f>
        <v/>
      </c>
      <c r="FO31" s="528" t="str">
        <f t="shared" si="63"/>
        <v/>
      </c>
      <c r="FP31" s="530" t="str">
        <f t="shared" si="64"/>
        <v/>
      </c>
      <c r="FQ31" s="368" t="str">
        <f t="shared" si="116"/>
        <v/>
      </c>
      <c r="FR31" s="65">
        <f t="shared" si="117"/>
        <v>0</v>
      </c>
      <c r="FS31" s="65">
        <f t="shared" si="118"/>
        <v>0</v>
      </c>
      <c r="FT31" s="66" t="str">
        <f t="shared" si="119"/>
        <v/>
      </c>
      <c r="FU31" s="74" t="str">
        <f>IF('Marks Entry'!BU31="","",'Marks Entry'!BU31)</f>
        <v/>
      </c>
      <c r="FV31" s="74" t="str">
        <f>IF('Marks Entry'!BV31="","",'Marks Entry'!BV31)</f>
        <v/>
      </c>
      <c r="FW31" s="74" t="str">
        <f>IF('Marks Entry'!BW31="","",'Marks Entry'!BW31)</f>
        <v/>
      </c>
      <c r="FX31" s="75" t="str">
        <f t="shared" si="65"/>
        <v/>
      </c>
      <c r="FY31" s="368" t="str">
        <f t="shared" si="120"/>
        <v/>
      </c>
      <c r="FZ31" s="65">
        <f t="shared" si="121"/>
        <v>0</v>
      </c>
      <c r="GA31" s="66">
        <f t="shared" si="122"/>
        <v>0</v>
      </c>
      <c r="GB31" s="66" t="str">
        <f t="shared" si="123"/>
        <v/>
      </c>
      <c r="GC31" s="74" t="str">
        <f>IF('Marks Entry'!BX31="","",'Marks Entry'!BX31)</f>
        <v/>
      </c>
      <c r="GD31" s="74" t="str">
        <f>IF('Marks Entry'!BY31="","",'Marks Entry'!BY31)</f>
        <v/>
      </c>
      <c r="GE31" s="74" t="str">
        <f>IF('Marks Entry'!BZ31="","",'Marks Entry'!BZ31)</f>
        <v/>
      </c>
      <c r="GF31" s="75" t="str">
        <f t="shared" si="124"/>
        <v/>
      </c>
      <c r="GG31" s="368" t="str">
        <f t="shared" si="125"/>
        <v/>
      </c>
      <c r="GH31" s="65">
        <f t="shared" si="126"/>
        <v>0</v>
      </c>
      <c r="GI31" s="66">
        <f t="shared" si="127"/>
        <v>0</v>
      </c>
      <c r="GJ31" s="66" t="str">
        <f t="shared" si="128"/>
        <v/>
      </c>
      <c r="GK31" s="100" t="str">
        <f>IF(AND(F31="",B31=""),"",IF('Student DATA Entry'!M28="","",'Student DATA Entry'!M28))</f>
        <v/>
      </c>
      <c r="GL31" s="101" t="str">
        <f>IF(AND(B31="",F31=""),"",IF('Student DATA Entry'!N28="","",'Student DATA Entry'!N28))</f>
        <v/>
      </c>
      <c r="GM31" s="581" t="str">
        <f t="shared" si="129"/>
        <v/>
      </c>
      <c r="GN31" s="94" t="str">
        <f t="shared" si="130"/>
        <v>I</v>
      </c>
      <c r="GO31" s="94" t="str">
        <f t="shared" si="131"/>
        <v/>
      </c>
      <c r="GP31" s="102" t="str">
        <f t="shared" si="67"/>
        <v/>
      </c>
      <c r="GQ31" s="94" t="str">
        <f t="shared" si="132"/>
        <v>D</v>
      </c>
      <c r="GR31" s="103" t="str">
        <f t="shared" si="133"/>
        <v/>
      </c>
      <c r="GS31" s="102" t="str">
        <f t="shared" si="68"/>
        <v/>
      </c>
      <c r="GT31" s="104" t="str">
        <f t="shared" si="134"/>
        <v>II</v>
      </c>
      <c r="GU31" s="94" t="str">
        <f>IF('Marks Entry'!V31=1,GT31,"")</f>
        <v/>
      </c>
      <c r="GV31" s="94" t="str">
        <f>IF('Marks Entry'!V31=2,GT31,"")</f>
        <v/>
      </c>
      <c r="GW31" s="94" t="str">
        <f>IF('Marks Entry'!V31=3,GT31,"")</f>
        <v>II</v>
      </c>
      <c r="GX31" s="94" t="str">
        <f>IF('Marks Entry'!V31=4,GT31,"")</f>
        <v/>
      </c>
      <c r="GY31" s="94" t="str">
        <f>IF('Marks Entry'!V31=5,GT31,"")</f>
        <v/>
      </c>
      <c r="GZ31" s="94" t="str">
        <f t="shared" si="135"/>
        <v/>
      </c>
      <c r="HA31" s="105" t="str">
        <f t="shared" si="69"/>
        <v/>
      </c>
      <c r="HB31" s="94" t="str">
        <f t="shared" si="136"/>
        <v>II</v>
      </c>
      <c r="HC31" s="94" t="str">
        <f t="shared" si="137"/>
        <v/>
      </c>
      <c r="HD31" s="105" t="str">
        <f t="shared" si="70"/>
        <v/>
      </c>
      <c r="HE31" s="94" t="str">
        <f t="shared" si="138"/>
        <v>II</v>
      </c>
      <c r="HF31" s="94" t="str">
        <f t="shared" si="139"/>
        <v/>
      </c>
      <c r="HG31" s="105" t="str">
        <f t="shared" si="71"/>
        <v/>
      </c>
      <c r="HH31" s="94" t="str">
        <f t="shared" si="140"/>
        <v>II</v>
      </c>
      <c r="HI31" s="94" t="str">
        <f t="shared" si="141"/>
        <v/>
      </c>
      <c r="HJ31" s="105" t="str">
        <f t="shared" si="72"/>
        <v/>
      </c>
      <c r="HK31" s="94" t="str">
        <f t="shared" si="142"/>
        <v/>
      </c>
      <c r="HL31" s="94" t="str">
        <f t="shared" si="143"/>
        <v/>
      </c>
      <c r="HM31" s="105" t="str">
        <f t="shared" si="73"/>
        <v/>
      </c>
      <c r="HN31" s="367" t="str">
        <f t="shared" si="144"/>
        <v xml:space="preserve">      </v>
      </c>
      <c r="HO31" s="418" t="str">
        <f t="shared" si="145"/>
        <v xml:space="preserve">      </v>
      </c>
      <c r="HP31" s="367" t="str">
        <f t="shared" si="146"/>
        <v xml:space="preserve">      </v>
      </c>
      <c r="HQ31" s="107" t="str">
        <f t="shared" si="147"/>
        <v xml:space="preserve">      </v>
      </c>
      <c r="HR31" s="366" t="str">
        <f t="shared" si="148"/>
        <v xml:space="preserve"> अंग्रेजी     </v>
      </c>
      <c r="HS31" s="544" t="str">
        <f t="shared" si="74"/>
        <v>PASS</v>
      </c>
      <c r="HT31" s="542">
        <f t="shared" si="149"/>
        <v>768</v>
      </c>
      <c r="HU31" s="541">
        <f t="shared" si="160"/>
        <v>64</v>
      </c>
      <c r="HV31" s="540" t="str">
        <f t="shared" si="150"/>
        <v>1st</v>
      </c>
      <c r="HW31" s="537">
        <f t="shared" si="151"/>
        <v>64</v>
      </c>
      <c r="HX31" s="539">
        <f t="shared" si="152"/>
        <v>6.9999999999999263</v>
      </c>
      <c r="HY31" s="553" t="str">
        <f>IFERROR(IF(OR(HS31="SUPPLEMENTARY",HS31="RE-EXAM"),'Supp. Result Entry'!AQ29,""),"")</f>
        <v/>
      </c>
      <c r="HZ31" s="538" t="str">
        <f t="shared" si="153"/>
        <v/>
      </c>
      <c r="IA31" s="415" t="str">
        <f t="shared" si="154"/>
        <v/>
      </c>
      <c r="IB31" s="415" t="str">
        <f>IF(AND(HZ31="",IA31=""),"",IF(OR(HS31="SUPPLEMENTARY",HS31="RE-EXAM"),'Supp. Result Entry'!AQ29,HS31))</f>
        <v/>
      </c>
      <c r="IC31" s="87"/>
      <c r="IS31" s="109" t="str">
        <f>IF('Supp. Result Entry'!T29="","",'Supp. Result Entry'!$T$4)</f>
        <v/>
      </c>
      <c r="IT31" s="110" t="str">
        <f>IF('Supp. Result Entry'!W29="","",'Supp. Result Entry'!$W$4)</f>
        <v/>
      </c>
      <c r="IU31" s="110" t="str">
        <f>IF('Supp. Result Entry'!Z29="","",'Supp. Result Entry'!$Z$4)</f>
        <v/>
      </c>
      <c r="IV31" s="110" t="str">
        <f>IF('Supp. Result Entry'!AC29="","",'Supp. Result Entry'!$AC$4)</f>
        <v/>
      </c>
      <c r="IW31" s="110" t="str">
        <f>IF('Supp. Result Entry'!AF29="","",'Supp. Result Entry'!$AF$4)</f>
        <v/>
      </c>
      <c r="IX31" s="110" t="str">
        <f>IF('Supp. Result Entry'!AI29="","",'Supp. Result Entry'!$AI$4)</f>
        <v/>
      </c>
      <c r="IY31" s="110" t="str">
        <f>IF('Supp. Result Entry'!AI29="","",'Supp. Result Entry'!$AL$4)</f>
        <v/>
      </c>
      <c r="IZ31" s="110" t="str">
        <f>IF('Supp. Result Entry'!U29="","",'Supp. Result Entry'!U29)</f>
        <v/>
      </c>
      <c r="JA31" s="110" t="str">
        <f>IF('Supp. Result Entry'!X29="","",'Supp. Result Entry'!X29)</f>
        <v/>
      </c>
      <c r="JB31" s="110" t="str">
        <f>IF('Supp. Result Entry'!AA29="","",'Supp. Result Entry'!AA29)</f>
        <v/>
      </c>
      <c r="JC31" s="110" t="str">
        <f>IF('Supp. Result Entry'!AD29="","",'Supp. Result Entry'!AD29)</f>
        <v/>
      </c>
      <c r="JD31" s="110" t="str">
        <f>IF('Supp. Result Entry'!AG29="","",'Supp. Result Entry'!AG29)</f>
        <v/>
      </c>
      <c r="JE31" s="110" t="str">
        <f>IF('Supp. Result Entry'!AJ29="","",'Supp. Result Entry'!AJ29)</f>
        <v/>
      </c>
      <c r="JF31" s="110" t="str">
        <f>IF('Supp. Result Entry'!AM29="","",'Supp. Result Entry'!AM29)</f>
        <v/>
      </c>
      <c r="JG31" s="110" t="str">
        <f>IF('Supp. Result Entry'!V29="","",'Supp. Result Entry'!V29)</f>
        <v/>
      </c>
      <c r="JH31" s="110" t="str">
        <f>IF('Supp. Result Entry'!Y29="","",'Supp. Result Entry'!Y29)</f>
        <v/>
      </c>
      <c r="JI31" s="110" t="str">
        <f>IF('Supp. Result Entry'!AB29="","",'Supp. Result Entry'!AB29)</f>
        <v/>
      </c>
      <c r="JJ31" s="110" t="str">
        <f>IF('Supp. Result Entry'!AE29="","",'Supp. Result Entry'!AE29)</f>
        <v/>
      </c>
      <c r="JK31" s="110" t="str">
        <f>IF('Supp. Result Entry'!AH29="","",'Supp. Result Entry'!AH29)</f>
        <v/>
      </c>
      <c r="JL31" s="110" t="str">
        <f>IF('Supp. Result Entry'!AK29="","",'Supp. Result Entry'!AK29)</f>
        <v/>
      </c>
      <c r="JM31" s="110" t="str">
        <f>IF('Supp. Result Entry'!AN29="","",'Supp. Result Entry'!AN29)</f>
        <v/>
      </c>
      <c r="JN31" s="110">
        <f>COUNTIF('Supp. Result Entry'!K29:Q29,"S")</f>
        <v>0</v>
      </c>
      <c r="JO31" s="110">
        <f t="shared" si="155"/>
        <v>0</v>
      </c>
      <c r="JP31" s="110">
        <f t="shared" si="156"/>
        <v>0</v>
      </c>
      <c r="JQ31" s="110" t="str">
        <f t="shared" si="75"/>
        <v/>
      </c>
      <c r="JR31" s="110" t="str">
        <f t="shared" si="76"/>
        <v/>
      </c>
      <c r="JS31" s="110" t="str">
        <f t="shared" si="77"/>
        <v/>
      </c>
      <c r="JT31" s="110" t="str">
        <f t="shared" si="78"/>
        <v/>
      </c>
      <c r="JU31" s="110" t="str">
        <f t="shared" si="79"/>
        <v/>
      </c>
      <c r="JV31" s="110" t="str">
        <f t="shared" si="80"/>
        <v/>
      </c>
      <c r="JW31" s="110" t="str">
        <f t="shared" si="81"/>
        <v/>
      </c>
      <c r="JX31" s="110" t="str">
        <f t="shared" si="157"/>
        <v/>
      </c>
      <c r="JY31" s="110" t="str">
        <f t="shared" si="158"/>
        <v/>
      </c>
      <c r="JZ31" s="110" t="str">
        <f t="shared" si="82"/>
        <v/>
      </c>
      <c r="KA31" s="108" t="str">
        <f t="shared" si="159"/>
        <v/>
      </c>
    </row>
    <row r="32" spans="1:287" s="108" customFormat="1" ht="21.95" customHeight="1">
      <c r="A32" s="89">
        <v>26</v>
      </c>
      <c r="B32" s="90">
        <f>IF('Marks Entry'!B32="","",'Marks Entry'!B32)</f>
        <v>926</v>
      </c>
      <c r="C32" s="94" t="str">
        <f>IF('Marks Entry'!D32="","",'Marks Entry'!D32)</f>
        <v>A</v>
      </c>
      <c r="D32" s="91" t="str">
        <f>IF('Marks Entry'!E32="","",'Marks Entry'!E32)</f>
        <v/>
      </c>
      <c r="E32" s="92" t="str">
        <f>IF('Marks Entry'!F32="","",'Marks Entry'!F32)</f>
        <v/>
      </c>
      <c r="F32" s="93" t="str">
        <f>IF('Marks Entry'!G32="","",'Marks Entry'!G32)</f>
        <v>DIZA</v>
      </c>
      <c r="G32" s="93" t="str">
        <f>IF('Marks Entry'!H32="","",'Marks Entry'!H32)</f>
        <v/>
      </c>
      <c r="H32" s="93" t="str">
        <f>IF('Marks Entry'!I32="","",'Marks Entry'!I32)</f>
        <v/>
      </c>
      <c r="I32" s="94" t="str">
        <f>IF('Marks Entry'!J32="","",'Marks Entry'!J32)</f>
        <v/>
      </c>
      <c r="J32" s="95" t="str">
        <f>IF('Marks Entry'!K32="","",'Marks Entry'!K32)</f>
        <v/>
      </c>
      <c r="K32" s="68">
        <f>IF('Marks Entry'!L32="","",'Marks Entry'!L32)</f>
        <v>8</v>
      </c>
      <c r="L32" s="68">
        <f>IF('Marks Entry'!M32="","",'Marks Entry'!M32)</f>
        <v>9</v>
      </c>
      <c r="M32" s="68">
        <f>IF('Marks Entry'!N32="","",'Marks Entry'!N32)</f>
        <v>8</v>
      </c>
      <c r="N32" s="514">
        <f t="shared" si="83"/>
        <v>25</v>
      </c>
      <c r="O32" s="68">
        <f>IF('Marks Entry'!O32="","",'Marks Entry'!O32)</f>
        <v>46</v>
      </c>
      <c r="P32" s="515">
        <f t="shared" si="84"/>
        <v>71</v>
      </c>
      <c r="Q32" s="68">
        <f>IF('Marks Entry'!P32="","",'Marks Entry'!P32)</f>
        <v>65</v>
      </c>
      <c r="R32" s="96">
        <f t="shared" si="85"/>
        <v>136</v>
      </c>
      <c r="S32" s="65">
        <f t="shared" si="86"/>
        <v>0</v>
      </c>
      <c r="T32" s="65">
        <f t="shared" si="87"/>
        <v>0</v>
      </c>
      <c r="U32" s="66">
        <f t="shared" si="88"/>
        <v>200</v>
      </c>
      <c r="V32" s="65" t="str">
        <f t="shared" si="89"/>
        <v/>
      </c>
      <c r="W32" s="65" t="str">
        <f t="shared" si="90"/>
        <v>P</v>
      </c>
      <c r="X32" s="65" t="str">
        <f t="shared" si="91"/>
        <v>I</v>
      </c>
      <c r="Y32" s="68">
        <f>IF('Marks Entry'!Q32="","",'Marks Entry'!Q32)</f>
        <v>8</v>
      </c>
      <c r="Z32" s="68">
        <f>IF('Marks Entry'!R32="","",'Marks Entry'!R32)</f>
        <v>9</v>
      </c>
      <c r="AA32" s="68">
        <f>IF('Marks Entry'!S32="","",'Marks Entry'!S32)</f>
        <v>7</v>
      </c>
      <c r="AB32" s="514">
        <f t="shared" si="2"/>
        <v>24</v>
      </c>
      <c r="AC32" s="68">
        <f>IF('Marks Entry'!T32="","",'Marks Entry'!T32)</f>
        <v>60</v>
      </c>
      <c r="AD32" s="515">
        <f t="shared" si="3"/>
        <v>84</v>
      </c>
      <c r="AE32" s="68">
        <f>IF('Marks Entry'!U32="","",'Marks Entry'!U32)</f>
        <v>85</v>
      </c>
      <c r="AF32" s="96">
        <f t="shared" si="4"/>
        <v>169</v>
      </c>
      <c r="AG32" s="65">
        <f t="shared" si="5"/>
        <v>0</v>
      </c>
      <c r="AH32" s="65">
        <f t="shared" si="6"/>
        <v>0</v>
      </c>
      <c r="AI32" s="66">
        <f t="shared" si="7"/>
        <v>200</v>
      </c>
      <c r="AJ32" s="65" t="str">
        <f t="shared" si="8"/>
        <v/>
      </c>
      <c r="AK32" s="65" t="str">
        <f t="shared" si="9"/>
        <v>P</v>
      </c>
      <c r="AL32" s="65" t="str">
        <f t="shared" si="10"/>
        <v>D</v>
      </c>
      <c r="AM32" s="524" t="str">
        <f>IF('Marks Entry'!V32="","",IF('Marks Entry'!V32=1,'School Profile'!$I$9,IF('Marks Entry'!V32=2,'School Profile'!$I$10,IF('Marks Entry'!V32=3,'School Profile'!$I$11,IF('Marks Entry'!V32=4,'School Profile'!$I$12,IF('Marks Entry'!V32=5,'School Profile'!$I$13,IF('Marks Entry'!V32=6,'School Profile'!$I$14,"")))))))</f>
        <v xml:space="preserve">सिंधी (74) </v>
      </c>
      <c r="AN32" s="68">
        <f>IF('Marks Entry'!W32="","",'Marks Entry'!W32)</f>
        <v>8</v>
      </c>
      <c r="AO32" s="68">
        <f>IF('Marks Entry'!X32="","",'Marks Entry'!X32)</f>
        <v>9</v>
      </c>
      <c r="AP32" s="68" t="str">
        <f>IF('Marks Entry'!Y32="","",'Marks Entry'!Y32)</f>
        <v/>
      </c>
      <c r="AQ32" s="514">
        <f t="shared" si="11"/>
        <v>17</v>
      </c>
      <c r="AR32" s="68">
        <f>IF('Marks Entry'!Z32="","",'Marks Entry'!Z32)</f>
        <v>46</v>
      </c>
      <c r="AS32" s="515">
        <f t="shared" si="12"/>
        <v>63</v>
      </c>
      <c r="AT32" s="68">
        <f>IF('Marks Entry'!AA32="","",'Marks Entry'!AA32)</f>
        <v>45</v>
      </c>
      <c r="AU32" s="96">
        <f t="shared" si="13"/>
        <v>108</v>
      </c>
      <c r="AV32" s="65">
        <f t="shared" si="14"/>
        <v>0</v>
      </c>
      <c r="AW32" s="65">
        <f t="shared" si="15"/>
        <v>0</v>
      </c>
      <c r="AX32" s="66">
        <f t="shared" si="16"/>
        <v>200</v>
      </c>
      <c r="AY32" s="65" t="str">
        <f t="shared" si="17"/>
        <v/>
      </c>
      <c r="AZ32" s="65" t="str">
        <f t="shared" si="18"/>
        <v>P</v>
      </c>
      <c r="BA32" s="65" t="str">
        <f t="shared" si="19"/>
        <v>II</v>
      </c>
      <c r="BB32" s="68">
        <f>IF('Marks Entry'!AB32="","",'Marks Entry'!AB32)</f>
        <v>8</v>
      </c>
      <c r="BC32" s="68">
        <f>IF('Marks Entry'!AC32="","",'Marks Entry'!AC32)</f>
        <v>9</v>
      </c>
      <c r="BD32" s="68">
        <f>IF('Marks Entry'!AD32="","",'Marks Entry'!AD32)</f>
        <v>8</v>
      </c>
      <c r="BE32" s="514">
        <f t="shared" si="20"/>
        <v>25</v>
      </c>
      <c r="BF32" s="68">
        <f>IF('Marks Entry'!AE32="","",'Marks Entry'!AE32)</f>
        <v>46</v>
      </c>
      <c r="BG32" s="515">
        <f t="shared" si="21"/>
        <v>71</v>
      </c>
      <c r="BH32" s="68">
        <f>IF('Marks Entry'!AF32="","",'Marks Entry'!AF32)</f>
        <v>45</v>
      </c>
      <c r="BI32" s="96">
        <f t="shared" si="22"/>
        <v>116</v>
      </c>
      <c r="BJ32" s="65">
        <f t="shared" si="23"/>
        <v>0</v>
      </c>
      <c r="BK32" s="65">
        <f t="shared" si="92"/>
        <v>0</v>
      </c>
      <c r="BL32" s="66">
        <f t="shared" si="24"/>
        <v>200</v>
      </c>
      <c r="BM32" s="65" t="str">
        <f t="shared" si="25"/>
        <v/>
      </c>
      <c r="BN32" s="65" t="str">
        <f t="shared" si="26"/>
        <v>P</v>
      </c>
      <c r="BO32" s="65" t="str">
        <f t="shared" si="27"/>
        <v>II</v>
      </c>
      <c r="BP32" s="68">
        <f>IF('Marks Entry'!AG32="","",'Marks Entry'!AG32)</f>
        <v>8</v>
      </c>
      <c r="BQ32" s="68">
        <f>IF('Marks Entry'!AH32="","",'Marks Entry'!AH32)</f>
        <v>9</v>
      </c>
      <c r="BR32" s="68">
        <f>IF('Marks Entry'!AI32="","",'Marks Entry'!AI32)</f>
        <v>7</v>
      </c>
      <c r="BS32" s="514">
        <f t="shared" si="28"/>
        <v>24</v>
      </c>
      <c r="BT32" s="68">
        <f>IF('Marks Entry'!AJ32="","",'Marks Entry'!AJ32)</f>
        <v>46</v>
      </c>
      <c r="BU32" s="515">
        <f t="shared" si="29"/>
        <v>70</v>
      </c>
      <c r="BV32" s="68">
        <f>IF('Marks Entry'!AK32="","",'Marks Entry'!AK32)</f>
        <v>45</v>
      </c>
      <c r="BW32" s="96">
        <f t="shared" si="30"/>
        <v>115</v>
      </c>
      <c r="BX32" s="65">
        <f t="shared" si="31"/>
        <v>0</v>
      </c>
      <c r="BY32" s="65">
        <f t="shared" si="32"/>
        <v>0</v>
      </c>
      <c r="BZ32" s="66">
        <f t="shared" si="33"/>
        <v>200</v>
      </c>
      <c r="CA32" s="65" t="str">
        <f t="shared" si="34"/>
        <v/>
      </c>
      <c r="CB32" s="65" t="str">
        <f t="shared" si="35"/>
        <v>P</v>
      </c>
      <c r="CC32" s="65" t="str">
        <f t="shared" si="36"/>
        <v>II</v>
      </c>
      <c r="CD32" s="66">
        <f t="shared" si="93"/>
        <v>0</v>
      </c>
      <c r="CE32" s="68">
        <f>IF('Marks Entry'!AL32="","",'Marks Entry'!AL32)</f>
        <v>8</v>
      </c>
      <c r="CF32" s="68">
        <f>IF('Marks Entry'!AM32="","",'Marks Entry'!AM32)</f>
        <v>8</v>
      </c>
      <c r="CG32" s="68">
        <f>IF('Marks Entry'!AN32="","",'Marks Entry'!AN32)</f>
        <v>8</v>
      </c>
      <c r="CH32" s="514">
        <f t="shared" si="37"/>
        <v>24</v>
      </c>
      <c r="CI32" s="68">
        <f>IF('Marks Entry'!AO32="","",'Marks Entry'!AO32)</f>
        <v>46</v>
      </c>
      <c r="CJ32" s="515">
        <f t="shared" si="38"/>
        <v>70</v>
      </c>
      <c r="CK32" s="68">
        <f>IF('Marks Entry'!AP32="","",'Marks Entry'!AP32)</f>
        <v>45</v>
      </c>
      <c r="CL32" s="96">
        <f t="shared" si="39"/>
        <v>115</v>
      </c>
      <c r="CM32" s="65">
        <f t="shared" si="40"/>
        <v>0</v>
      </c>
      <c r="CN32" s="65">
        <f t="shared" si="41"/>
        <v>0</v>
      </c>
      <c r="CO32" s="66">
        <f t="shared" si="42"/>
        <v>200</v>
      </c>
      <c r="CP32" s="65" t="str">
        <f t="shared" si="43"/>
        <v/>
      </c>
      <c r="CQ32" s="65" t="str">
        <f t="shared" si="44"/>
        <v>P</v>
      </c>
      <c r="CR32" s="65" t="str">
        <f t="shared" si="45"/>
        <v>II</v>
      </c>
      <c r="CS32" s="616"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8" t="str">
        <f>IF('School Profile'!$D$20="NO","",IF('Marks Entry'!AR32="","",'Marks Entry'!AR32))</f>
        <v/>
      </c>
      <c r="CU32" s="68" t="str">
        <f>IF('School Profile'!$D$20="NO","",IF('Marks Entry'!AS32="","",'Marks Entry'!AS32))</f>
        <v/>
      </c>
      <c r="CV32" s="68" t="str">
        <f>IF('School Profile'!$D$20="NO","",IF('Marks Entry'!AT32="","",'Marks Entry'!AT32))</f>
        <v/>
      </c>
      <c r="CW32" s="514" t="str">
        <f>IF('School Profile'!$D$20="NO","",IF(AND(CT32="",CU32="",CV32=""),"",SUM(CT32:CV32)))</f>
        <v/>
      </c>
      <c r="CX32" s="68" t="str">
        <f>IF('School Profile'!$D$20="NO","",IF('Marks Entry'!AU32="","",'Marks Entry'!AU32))</f>
        <v/>
      </c>
      <c r="CY32" s="68" t="str">
        <f>IF('School Profile'!$D$20="NO","",IF('Marks Entry'!AV32="","",'Marks Entry'!AV32))</f>
        <v/>
      </c>
      <c r="CZ32" s="515" t="str">
        <f>IF('School Profile'!$D$20="NO","",IF(AND(CX32="",CY32=""),"",SUM(CX32,CY32)))</f>
        <v/>
      </c>
      <c r="DA32" s="69" t="str">
        <f>IF('School Profile'!$D$20="NO","",IF(AND(CW32="",CZ32=""),"",SUM(CW32+CZ32)))</f>
        <v/>
      </c>
      <c r="DB32" s="68" t="str">
        <f>IF('School Profile'!$D$20="NO","",IF('Marks Entry'!AW32="","",'Marks Entry'!AW32))</f>
        <v/>
      </c>
      <c r="DC32" s="68" t="str">
        <f>IF('School Profile'!$D$20="NO","",IF('Marks Entry'!AX32="","",'Marks Entry'!AX32))</f>
        <v/>
      </c>
      <c r="DD32" s="515" t="str">
        <f>IF('School Profile'!$D$20="NO","",IF(AND(DB32="",DC32=""),"",SUM(DB32,DC32)))</f>
        <v/>
      </c>
      <c r="DE32" s="96" t="str">
        <f>IF('School Profile'!$D$20="NO","",IF(AND(DA32="",DD32=""),"",SUM(DA32,DD32)))</f>
        <v/>
      </c>
      <c r="DF32" s="532">
        <f t="shared" si="46"/>
        <v>0</v>
      </c>
      <c r="DG32" s="65">
        <f t="shared" si="47"/>
        <v>0</v>
      </c>
      <c r="DH32" s="66" t="str">
        <f t="shared" si="48"/>
        <v/>
      </c>
      <c r="DI32" s="65" t="str">
        <f t="shared" si="49"/>
        <v/>
      </c>
      <c r="DJ32" s="65" t="str">
        <f t="shared" si="50"/>
        <v/>
      </c>
      <c r="DK32" s="65" t="str">
        <f t="shared" si="51"/>
        <v/>
      </c>
      <c r="DL32" s="97" t="str">
        <f t="shared" si="94"/>
        <v>I</v>
      </c>
      <c r="DM32" s="97" t="str">
        <f t="shared" si="95"/>
        <v>D</v>
      </c>
      <c r="DN32" s="97" t="str">
        <f t="shared" si="96"/>
        <v>II</v>
      </c>
      <c r="DO32" s="97" t="str">
        <f t="shared" si="97"/>
        <v>II</v>
      </c>
      <c r="DP32" s="97" t="str">
        <f t="shared" si="98"/>
        <v>II</v>
      </c>
      <c r="DQ32" s="97" t="str">
        <f t="shared" si="99"/>
        <v>II</v>
      </c>
      <c r="DR32" s="97" t="str">
        <f t="shared" si="100"/>
        <v/>
      </c>
      <c r="DS32" s="98">
        <f t="shared" si="101"/>
        <v>0</v>
      </c>
      <c r="DT32" s="98">
        <f t="shared" si="102"/>
        <v>0</v>
      </c>
      <c r="DU32" s="98">
        <f t="shared" si="103"/>
        <v>0</v>
      </c>
      <c r="DV32" s="98">
        <f t="shared" si="104"/>
        <v>0</v>
      </c>
      <c r="DW32" s="98">
        <f t="shared" si="105"/>
        <v>0</v>
      </c>
      <c r="DX32" s="98" t="str">
        <f t="shared" si="106"/>
        <v/>
      </c>
      <c r="DY32" s="99" t="str">
        <f t="shared" si="107"/>
        <v>PASS</v>
      </c>
      <c r="DZ32" s="74" t="str">
        <f>IF('Marks Entry'!AY32="","",'Marks Entry'!AY32)</f>
        <v/>
      </c>
      <c r="EA32" s="74" t="str">
        <f>IF('Marks Entry'!AZ32="","",'Marks Entry'!AZ32)</f>
        <v/>
      </c>
      <c r="EB32" s="74" t="str">
        <f>IF('Marks Entry'!BA32="","",'Marks Entry'!BA32)</f>
        <v/>
      </c>
      <c r="EC32" s="527" t="str">
        <f t="shared" si="52"/>
        <v/>
      </c>
      <c r="ED32" s="74" t="str">
        <f>IF('Marks Entry'!BB32="","",'Marks Entry'!BB32)</f>
        <v/>
      </c>
      <c r="EE32" s="528" t="str">
        <f t="shared" si="53"/>
        <v/>
      </c>
      <c r="EF32" s="74" t="str">
        <f>IF('Marks Entry'!BC32="","",'Marks Entry'!BC32)</f>
        <v/>
      </c>
      <c r="EG32" s="530" t="str">
        <f t="shared" si="54"/>
        <v/>
      </c>
      <c r="EH32" s="368" t="str">
        <f t="shared" si="108"/>
        <v/>
      </c>
      <c r="EI32" s="65">
        <f t="shared" si="109"/>
        <v>0</v>
      </c>
      <c r="EJ32" s="65">
        <f t="shared" si="110"/>
        <v>0</v>
      </c>
      <c r="EK32" s="66" t="str">
        <f t="shared" si="111"/>
        <v/>
      </c>
      <c r="EL32" s="74" t="str">
        <f>IF('Marks Entry'!BD32="","",'Marks Entry'!BD32)</f>
        <v/>
      </c>
      <c r="EM32" s="74" t="str">
        <f>IF('Marks Entry'!BE32="","",'Marks Entry'!BE32)</f>
        <v/>
      </c>
      <c r="EN32" s="74" t="str">
        <f>IF('Marks Entry'!BF32="","",'Marks Entry'!BF32)</f>
        <v/>
      </c>
      <c r="EO32" s="527" t="str">
        <f t="shared" si="55"/>
        <v/>
      </c>
      <c r="EP32" s="74" t="str">
        <f>IF('Marks Entry'!BG32="","",'Marks Entry'!BG32)</f>
        <v/>
      </c>
      <c r="EQ32" s="74" t="str">
        <f>IF('Marks Entry'!BH32="","",'Marks Entry'!BH32)</f>
        <v/>
      </c>
      <c r="ER32" s="528" t="str">
        <f t="shared" si="56"/>
        <v/>
      </c>
      <c r="ES32" s="529" t="str">
        <f t="shared" si="57"/>
        <v/>
      </c>
      <c r="ET32" s="74" t="str">
        <f>IF('Marks Entry'!BI32="","",'Marks Entry'!BI32)</f>
        <v/>
      </c>
      <c r="EU32" s="74" t="str">
        <f>IF('Marks Entry'!BJ32="","",'Marks Entry'!BJ32)</f>
        <v/>
      </c>
      <c r="EV32" s="528" t="str">
        <f t="shared" si="58"/>
        <v/>
      </c>
      <c r="EW32" s="530" t="str">
        <f t="shared" si="59"/>
        <v/>
      </c>
      <c r="EX32" s="368" t="str">
        <f t="shared" si="112"/>
        <v/>
      </c>
      <c r="EY32" s="65">
        <f t="shared" si="113"/>
        <v>0</v>
      </c>
      <c r="EZ32" s="65">
        <f t="shared" si="114"/>
        <v>0</v>
      </c>
      <c r="FA32" s="66" t="str">
        <f t="shared" si="115"/>
        <v/>
      </c>
      <c r="FB32" s="74" t="str">
        <f>IF('Marks Entry'!BK32="","",'Marks Entry'!BK32)</f>
        <v/>
      </c>
      <c r="FC32" s="74" t="str">
        <f>IF('Marks Entry'!BL32="","",'Marks Entry'!BL32)</f>
        <v/>
      </c>
      <c r="FD32" s="74" t="str">
        <f>IF('Marks Entry'!BM32="","",'Marks Entry'!BM32)</f>
        <v/>
      </c>
      <c r="FE32" s="74" t="str">
        <f>IF('Marks Entry'!BN32="","",'Marks Entry'!BN32)</f>
        <v/>
      </c>
      <c r="FF32" s="74" t="str">
        <f>IF('Marks Entry'!BO32="","",'Marks Entry'!BO32)</f>
        <v/>
      </c>
      <c r="FG32" s="74" t="str">
        <f>IF('Marks Entry'!BP32="","",'Marks Entry'!BP32)</f>
        <v/>
      </c>
      <c r="FH32" s="527" t="str">
        <f t="shared" si="60"/>
        <v/>
      </c>
      <c r="FI32" s="74" t="str">
        <f>IF('Marks Entry'!BQ32="","",'Marks Entry'!BQ32)</f>
        <v/>
      </c>
      <c r="FJ32" s="74" t="str">
        <f>IF('Marks Entry'!BR32="","",'Marks Entry'!BR32)</f>
        <v/>
      </c>
      <c r="FK32" s="528" t="str">
        <f t="shared" si="61"/>
        <v/>
      </c>
      <c r="FL32" s="529" t="str">
        <f t="shared" si="62"/>
        <v/>
      </c>
      <c r="FM32" s="74" t="str">
        <f>IF('Marks Entry'!BS32="","",'Marks Entry'!BS32)</f>
        <v/>
      </c>
      <c r="FN32" s="74" t="str">
        <f>IF('Marks Entry'!BT32="","",'Marks Entry'!BT32)</f>
        <v/>
      </c>
      <c r="FO32" s="528" t="str">
        <f t="shared" si="63"/>
        <v/>
      </c>
      <c r="FP32" s="530" t="str">
        <f t="shared" si="64"/>
        <v/>
      </c>
      <c r="FQ32" s="368" t="str">
        <f t="shared" si="116"/>
        <v/>
      </c>
      <c r="FR32" s="65">
        <f t="shared" si="117"/>
        <v>0</v>
      </c>
      <c r="FS32" s="65">
        <f t="shared" si="118"/>
        <v>0</v>
      </c>
      <c r="FT32" s="66" t="str">
        <f t="shared" si="119"/>
        <v/>
      </c>
      <c r="FU32" s="74" t="str">
        <f>IF('Marks Entry'!BU32="","",'Marks Entry'!BU32)</f>
        <v/>
      </c>
      <c r="FV32" s="74" t="str">
        <f>IF('Marks Entry'!BV32="","",'Marks Entry'!BV32)</f>
        <v/>
      </c>
      <c r="FW32" s="74" t="str">
        <f>IF('Marks Entry'!BW32="","",'Marks Entry'!BW32)</f>
        <v/>
      </c>
      <c r="FX32" s="75" t="str">
        <f t="shared" si="65"/>
        <v/>
      </c>
      <c r="FY32" s="368" t="str">
        <f t="shared" si="120"/>
        <v/>
      </c>
      <c r="FZ32" s="65">
        <f t="shared" si="121"/>
        <v>0</v>
      </c>
      <c r="GA32" s="66">
        <f t="shared" si="122"/>
        <v>0</v>
      </c>
      <c r="GB32" s="66" t="str">
        <f t="shared" si="123"/>
        <v/>
      </c>
      <c r="GC32" s="74" t="str">
        <f>IF('Marks Entry'!BX32="","",'Marks Entry'!BX32)</f>
        <v/>
      </c>
      <c r="GD32" s="74" t="str">
        <f>IF('Marks Entry'!BY32="","",'Marks Entry'!BY32)</f>
        <v/>
      </c>
      <c r="GE32" s="74" t="str">
        <f>IF('Marks Entry'!BZ32="","",'Marks Entry'!BZ32)</f>
        <v/>
      </c>
      <c r="GF32" s="75" t="str">
        <f t="shared" si="124"/>
        <v/>
      </c>
      <c r="GG32" s="368" t="str">
        <f t="shared" si="125"/>
        <v/>
      </c>
      <c r="GH32" s="65">
        <f t="shared" si="126"/>
        <v>0</v>
      </c>
      <c r="GI32" s="66">
        <f t="shared" si="127"/>
        <v>0</v>
      </c>
      <c r="GJ32" s="66" t="str">
        <f t="shared" si="128"/>
        <v/>
      </c>
      <c r="GK32" s="100" t="str">
        <f>IF(AND(F32="",B32=""),"",IF('Student DATA Entry'!M29="","",'Student DATA Entry'!M29))</f>
        <v/>
      </c>
      <c r="GL32" s="101" t="str">
        <f>IF(AND(B32="",F32=""),"",IF('Student DATA Entry'!N29="","",'Student DATA Entry'!N29))</f>
        <v/>
      </c>
      <c r="GM32" s="581" t="str">
        <f t="shared" si="129"/>
        <v/>
      </c>
      <c r="GN32" s="94" t="str">
        <f t="shared" si="130"/>
        <v>I</v>
      </c>
      <c r="GO32" s="94" t="str">
        <f t="shared" si="131"/>
        <v/>
      </c>
      <c r="GP32" s="102" t="str">
        <f t="shared" si="67"/>
        <v/>
      </c>
      <c r="GQ32" s="94" t="str">
        <f t="shared" si="132"/>
        <v>D</v>
      </c>
      <c r="GR32" s="103" t="str">
        <f t="shared" si="133"/>
        <v/>
      </c>
      <c r="GS32" s="102" t="str">
        <f t="shared" si="68"/>
        <v/>
      </c>
      <c r="GT32" s="104" t="str">
        <f t="shared" si="134"/>
        <v>II</v>
      </c>
      <c r="GU32" s="94" t="str">
        <f>IF('Marks Entry'!V32=1,GT32,"")</f>
        <v/>
      </c>
      <c r="GV32" s="94" t="str">
        <f>IF('Marks Entry'!V32=2,GT32,"")</f>
        <v/>
      </c>
      <c r="GW32" s="94" t="str">
        <f>IF('Marks Entry'!V32=3,GT32,"")</f>
        <v/>
      </c>
      <c r="GX32" s="94" t="str">
        <f>IF('Marks Entry'!V32=4,GT32,"")</f>
        <v>II</v>
      </c>
      <c r="GY32" s="94" t="str">
        <f>IF('Marks Entry'!V32=5,GT32,"")</f>
        <v/>
      </c>
      <c r="GZ32" s="94" t="str">
        <f t="shared" si="135"/>
        <v/>
      </c>
      <c r="HA32" s="105" t="str">
        <f t="shared" si="69"/>
        <v/>
      </c>
      <c r="HB32" s="94" t="str">
        <f t="shared" si="136"/>
        <v>II</v>
      </c>
      <c r="HC32" s="94" t="str">
        <f t="shared" si="137"/>
        <v/>
      </c>
      <c r="HD32" s="105" t="str">
        <f t="shared" si="70"/>
        <v/>
      </c>
      <c r="HE32" s="94" t="str">
        <f t="shared" si="138"/>
        <v>II</v>
      </c>
      <c r="HF32" s="94" t="str">
        <f t="shared" si="139"/>
        <v/>
      </c>
      <c r="HG32" s="105" t="str">
        <f t="shared" si="71"/>
        <v/>
      </c>
      <c r="HH32" s="94" t="str">
        <f t="shared" si="140"/>
        <v>II</v>
      </c>
      <c r="HI32" s="94" t="str">
        <f t="shared" si="141"/>
        <v/>
      </c>
      <c r="HJ32" s="105" t="str">
        <f t="shared" si="72"/>
        <v/>
      </c>
      <c r="HK32" s="94" t="str">
        <f t="shared" si="142"/>
        <v/>
      </c>
      <c r="HL32" s="94" t="str">
        <f t="shared" si="143"/>
        <v/>
      </c>
      <c r="HM32" s="105" t="str">
        <f t="shared" si="73"/>
        <v/>
      </c>
      <c r="HN32" s="367" t="str">
        <f t="shared" si="144"/>
        <v xml:space="preserve">      </v>
      </c>
      <c r="HO32" s="418" t="str">
        <f t="shared" si="145"/>
        <v xml:space="preserve">      </v>
      </c>
      <c r="HP32" s="367" t="str">
        <f t="shared" si="146"/>
        <v xml:space="preserve">      </v>
      </c>
      <c r="HQ32" s="107" t="str">
        <f t="shared" si="147"/>
        <v xml:space="preserve">      </v>
      </c>
      <c r="HR32" s="366" t="str">
        <f t="shared" si="148"/>
        <v xml:space="preserve"> अंग्रेजी     </v>
      </c>
      <c r="HS32" s="544" t="str">
        <f t="shared" si="74"/>
        <v>PASS</v>
      </c>
      <c r="HT32" s="542">
        <f t="shared" si="149"/>
        <v>759</v>
      </c>
      <c r="HU32" s="541">
        <f t="shared" si="160"/>
        <v>63.25</v>
      </c>
      <c r="HV32" s="540" t="str">
        <f t="shared" si="150"/>
        <v>1st</v>
      </c>
      <c r="HW32" s="537">
        <f t="shared" si="151"/>
        <v>63.25</v>
      </c>
      <c r="HX32" s="539">
        <f t="shared" si="152"/>
        <v>7.9999999999999289</v>
      </c>
      <c r="HY32" s="553" t="str">
        <f>IFERROR(IF(OR(HS32="SUPPLEMENTARY",HS32="RE-EXAM"),'Supp. Result Entry'!AQ30,""),"")</f>
        <v/>
      </c>
      <c r="HZ32" s="538" t="str">
        <f t="shared" si="153"/>
        <v/>
      </c>
      <c r="IA32" s="415" t="str">
        <f t="shared" si="154"/>
        <v/>
      </c>
      <c r="IB32" s="415" t="str">
        <f>IF(AND(HZ32="",IA32=""),"",IF(OR(HS32="SUPPLEMENTARY",HS32="RE-EXAM"),'Supp. Result Entry'!AQ30,HS32))</f>
        <v/>
      </c>
      <c r="IC32" s="87"/>
      <c r="IS32" s="109" t="str">
        <f>IF('Supp. Result Entry'!T30="","",'Supp. Result Entry'!$T$4)</f>
        <v/>
      </c>
      <c r="IT32" s="110" t="str">
        <f>IF('Supp. Result Entry'!W30="","",'Supp. Result Entry'!$W$4)</f>
        <v/>
      </c>
      <c r="IU32" s="110" t="str">
        <f>IF('Supp. Result Entry'!Z30="","",'Supp. Result Entry'!$Z$4)</f>
        <v/>
      </c>
      <c r="IV32" s="110" t="str">
        <f>IF('Supp. Result Entry'!AC30="","",'Supp. Result Entry'!$AC$4)</f>
        <v/>
      </c>
      <c r="IW32" s="110" t="str">
        <f>IF('Supp. Result Entry'!AF30="","",'Supp. Result Entry'!$AF$4)</f>
        <v/>
      </c>
      <c r="IX32" s="110" t="str">
        <f>IF('Supp. Result Entry'!AI30="","",'Supp. Result Entry'!$AI$4)</f>
        <v/>
      </c>
      <c r="IY32" s="110" t="str">
        <f>IF('Supp. Result Entry'!AI30="","",'Supp. Result Entry'!$AL$4)</f>
        <v/>
      </c>
      <c r="IZ32" s="110" t="str">
        <f>IF('Supp. Result Entry'!U30="","",'Supp. Result Entry'!U30)</f>
        <v/>
      </c>
      <c r="JA32" s="110" t="str">
        <f>IF('Supp. Result Entry'!X30="","",'Supp. Result Entry'!X30)</f>
        <v/>
      </c>
      <c r="JB32" s="110" t="str">
        <f>IF('Supp. Result Entry'!AA30="","",'Supp. Result Entry'!AA30)</f>
        <v/>
      </c>
      <c r="JC32" s="110" t="str">
        <f>IF('Supp. Result Entry'!AD30="","",'Supp. Result Entry'!AD30)</f>
        <v/>
      </c>
      <c r="JD32" s="110" t="str">
        <f>IF('Supp. Result Entry'!AG30="","",'Supp. Result Entry'!AG30)</f>
        <v/>
      </c>
      <c r="JE32" s="110" t="str">
        <f>IF('Supp. Result Entry'!AJ30="","",'Supp. Result Entry'!AJ30)</f>
        <v/>
      </c>
      <c r="JF32" s="110" t="str">
        <f>IF('Supp. Result Entry'!AM30="","",'Supp. Result Entry'!AM30)</f>
        <v/>
      </c>
      <c r="JG32" s="110" t="str">
        <f>IF('Supp. Result Entry'!V30="","",'Supp. Result Entry'!V30)</f>
        <v/>
      </c>
      <c r="JH32" s="110" t="str">
        <f>IF('Supp. Result Entry'!Y30="","",'Supp. Result Entry'!Y30)</f>
        <v/>
      </c>
      <c r="JI32" s="110" t="str">
        <f>IF('Supp. Result Entry'!AB30="","",'Supp. Result Entry'!AB30)</f>
        <v/>
      </c>
      <c r="JJ32" s="110" t="str">
        <f>IF('Supp. Result Entry'!AE30="","",'Supp. Result Entry'!AE30)</f>
        <v/>
      </c>
      <c r="JK32" s="110" t="str">
        <f>IF('Supp. Result Entry'!AH30="","",'Supp. Result Entry'!AH30)</f>
        <v/>
      </c>
      <c r="JL32" s="110" t="str">
        <f>IF('Supp. Result Entry'!AK30="","",'Supp. Result Entry'!AK30)</f>
        <v/>
      </c>
      <c r="JM32" s="110" t="str">
        <f>IF('Supp. Result Entry'!AN30="","",'Supp. Result Entry'!AN30)</f>
        <v/>
      </c>
      <c r="JN32" s="110">
        <f>COUNTIF('Supp. Result Entry'!K30:Q30,"S")</f>
        <v>0</v>
      </c>
      <c r="JO32" s="110">
        <f t="shared" si="155"/>
        <v>0</v>
      </c>
      <c r="JP32" s="110">
        <f t="shared" si="156"/>
        <v>0</v>
      </c>
      <c r="JQ32" s="110" t="str">
        <f t="shared" si="75"/>
        <v/>
      </c>
      <c r="JR32" s="110" t="str">
        <f t="shared" si="76"/>
        <v/>
      </c>
      <c r="JS32" s="110" t="str">
        <f t="shared" si="77"/>
        <v/>
      </c>
      <c r="JT32" s="110" t="str">
        <f t="shared" si="78"/>
        <v/>
      </c>
      <c r="JU32" s="110" t="str">
        <f t="shared" si="79"/>
        <v/>
      </c>
      <c r="JV32" s="110" t="str">
        <f t="shared" si="80"/>
        <v/>
      </c>
      <c r="JW32" s="110" t="str">
        <f t="shared" si="81"/>
        <v/>
      </c>
      <c r="JX32" s="110" t="str">
        <f t="shared" si="157"/>
        <v/>
      </c>
      <c r="JY32" s="110" t="str">
        <f t="shared" si="158"/>
        <v/>
      </c>
      <c r="JZ32" s="110" t="str">
        <f t="shared" si="82"/>
        <v/>
      </c>
      <c r="KA32" s="108" t="str">
        <f t="shared" si="159"/>
        <v/>
      </c>
    </row>
    <row r="33" spans="1:287" s="108" customFormat="1" ht="21.95" customHeight="1">
      <c r="A33" s="89">
        <v>27</v>
      </c>
      <c r="B33" s="90">
        <f>IF('Marks Entry'!B33="","",'Marks Entry'!B33)</f>
        <v>927</v>
      </c>
      <c r="C33" s="94" t="str">
        <f>IF('Marks Entry'!D33="","",'Marks Entry'!D33)</f>
        <v>A</v>
      </c>
      <c r="D33" s="91" t="str">
        <f>IF('Marks Entry'!E33="","",'Marks Entry'!E33)</f>
        <v/>
      </c>
      <c r="E33" s="92" t="str">
        <f>IF('Marks Entry'!F33="","",'Marks Entry'!F33)</f>
        <v/>
      </c>
      <c r="F33" s="93" t="str">
        <f>IF('Marks Entry'!G33="","",'Marks Entry'!G33)</f>
        <v>BIPASA</v>
      </c>
      <c r="G33" s="93" t="str">
        <f>IF('Marks Entry'!H33="","",'Marks Entry'!H33)</f>
        <v/>
      </c>
      <c r="H33" s="93" t="str">
        <f>IF('Marks Entry'!I33="","",'Marks Entry'!I33)</f>
        <v/>
      </c>
      <c r="I33" s="94" t="str">
        <f>IF('Marks Entry'!J33="","",'Marks Entry'!J33)</f>
        <v/>
      </c>
      <c r="J33" s="95" t="str">
        <f>IF('Marks Entry'!K33="","",'Marks Entry'!K33)</f>
        <v/>
      </c>
      <c r="K33" s="68">
        <f>IF('Marks Entry'!L33="","",'Marks Entry'!L33)</f>
        <v>8</v>
      </c>
      <c r="L33" s="68">
        <f>IF('Marks Entry'!M33="","",'Marks Entry'!M33)</f>
        <v>9</v>
      </c>
      <c r="M33" s="68">
        <f>IF('Marks Entry'!N33="","",'Marks Entry'!N33)</f>
        <v>8</v>
      </c>
      <c r="N33" s="514">
        <f t="shared" si="83"/>
        <v>25</v>
      </c>
      <c r="O33" s="68">
        <f>IF('Marks Entry'!O33="","",'Marks Entry'!O33)</f>
        <v>46</v>
      </c>
      <c r="P33" s="515">
        <f t="shared" si="84"/>
        <v>71</v>
      </c>
      <c r="Q33" s="68">
        <f>IF('Marks Entry'!P33="","",'Marks Entry'!P33)</f>
        <v>45</v>
      </c>
      <c r="R33" s="96">
        <f t="shared" si="85"/>
        <v>116</v>
      </c>
      <c r="S33" s="65">
        <f t="shared" si="86"/>
        <v>0</v>
      </c>
      <c r="T33" s="65">
        <f t="shared" si="87"/>
        <v>0</v>
      </c>
      <c r="U33" s="66">
        <f t="shared" si="88"/>
        <v>200</v>
      </c>
      <c r="V33" s="65" t="str">
        <f t="shared" si="89"/>
        <v/>
      </c>
      <c r="W33" s="65" t="str">
        <f t="shared" si="90"/>
        <v>P</v>
      </c>
      <c r="X33" s="65" t="str">
        <f t="shared" si="91"/>
        <v>II</v>
      </c>
      <c r="Y33" s="68">
        <f>IF('Marks Entry'!Q33="","",'Marks Entry'!Q33)</f>
        <v>8</v>
      </c>
      <c r="Z33" s="68">
        <f>IF('Marks Entry'!R33="","",'Marks Entry'!R33)</f>
        <v>9</v>
      </c>
      <c r="AA33" s="68">
        <f>IF('Marks Entry'!S33="","",'Marks Entry'!S33)</f>
        <v>7</v>
      </c>
      <c r="AB33" s="514">
        <f t="shared" si="2"/>
        <v>24</v>
      </c>
      <c r="AC33" s="68">
        <f>IF('Marks Entry'!T33="","",'Marks Entry'!T33)</f>
        <v>60</v>
      </c>
      <c r="AD33" s="515">
        <f t="shared" si="3"/>
        <v>84</v>
      </c>
      <c r="AE33" s="68">
        <f>IF('Marks Entry'!U33="","",'Marks Entry'!U33)</f>
        <v>85</v>
      </c>
      <c r="AF33" s="96">
        <f t="shared" si="4"/>
        <v>169</v>
      </c>
      <c r="AG33" s="65">
        <f t="shared" si="5"/>
        <v>0</v>
      </c>
      <c r="AH33" s="65">
        <f t="shared" si="6"/>
        <v>0</v>
      </c>
      <c r="AI33" s="66">
        <f t="shared" si="7"/>
        <v>200</v>
      </c>
      <c r="AJ33" s="65" t="str">
        <f t="shared" si="8"/>
        <v/>
      </c>
      <c r="AK33" s="65" t="str">
        <f t="shared" si="9"/>
        <v>P</v>
      </c>
      <c r="AL33" s="65" t="str">
        <f t="shared" si="10"/>
        <v>D</v>
      </c>
      <c r="AM33" s="524" t="str">
        <f>IF('Marks Entry'!V33="","",IF('Marks Entry'!V33=1,'School Profile'!$I$9,IF('Marks Entry'!V33=2,'School Profile'!$I$10,IF('Marks Entry'!V33=3,'School Profile'!$I$11,IF('Marks Entry'!V33=4,'School Profile'!$I$12,IF('Marks Entry'!V33=5,'School Profile'!$I$13,IF('Marks Entry'!V33=6,'School Profile'!$I$14,"")))))))</f>
        <v>पंजाबी (75)</v>
      </c>
      <c r="AN33" s="68">
        <f>IF('Marks Entry'!W33="","",'Marks Entry'!W33)</f>
        <v>8</v>
      </c>
      <c r="AO33" s="68">
        <f>IF('Marks Entry'!X33="","",'Marks Entry'!X33)</f>
        <v>9</v>
      </c>
      <c r="AP33" s="68" t="str">
        <f>IF('Marks Entry'!Y33="","",'Marks Entry'!Y33)</f>
        <v/>
      </c>
      <c r="AQ33" s="514">
        <f t="shared" si="11"/>
        <v>17</v>
      </c>
      <c r="AR33" s="68">
        <f>IF('Marks Entry'!Z33="","",'Marks Entry'!Z33)</f>
        <v>46</v>
      </c>
      <c r="AS33" s="515">
        <f t="shared" si="12"/>
        <v>63</v>
      </c>
      <c r="AT33" s="68">
        <f>IF('Marks Entry'!AA33="","",'Marks Entry'!AA33)</f>
        <v>45</v>
      </c>
      <c r="AU33" s="96">
        <f t="shared" si="13"/>
        <v>108</v>
      </c>
      <c r="AV33" s="65">
        <f t="shared" si="14"/>
        <v>0</v>
      </c>
      <c r="AW33" s="65">
        <f t="shared" si="15"/>
        <v>0</v>
      </c>
      <c r="AX33" s="66">
        <f t="shared" si="16"/>
        <v>200</v>
      </c>
      <c r="AY33" s="65" t="str">
        <f t="shared" si="17"/>
        <v/>
      </c>
      <c r="AZ33" s="65" t="str">
        <f t="shared" si="18"/>
        <v>P</v>
      </c>
      <c r="BA33" s="65" t="str">
        <f t="shared" si="19"/>
        <v>II</v>
      </c>
      <c r="BB33" s="68">
        <f>IF('Marks Entry'!AB33="","",'Marks Entry'!AB33)</f>
        <v>8</v>
      </c>
      <c r="BC33" s="68">
        <f>IF('Marks Entry'!AC33="","",'Marks Entry'!AC33)</f>
        <v>9</v>
      </c>
      <c r="BD33" s="68">
        <f>IF('Marks Entry'!AD33="","",'Marks Entry'!AD33)</f>
        <v>8</v>
      </c>
      <c r="BE33" s="514">
        <f t="shared" si="20"/>
        <v>25</v>
      </c>
      <c r="BF33" s="68">
        <f>IF('Marks Entry'!AE33="","",'Marks Entry'!AE33)</f>
        <v>46</v>
      </c>
      <c r="BG33" s="515">
        <f t="shared" si="21"/>
        <v>71</v>
      </c>
      <c r="BH33" s="68">
        <f>IF('Marks Entry'!AF33="","",'Marks Entry'!AF33)</f>
        <v>45</v>
      </c>
      <c r="BI33" s="96">
        <f t="shared" si="22"/>
        <v>116</v>
      </c>
      <c r="BJ33" s="65">
        <f t="shared" si="23"/>
        <v>0</v>
      </c>
      <c r="BK33" s="65">
        <f t="shared" si="92"/>
        <v>0</v>
      </c>
      <c r="BL33" s="66">
        <f t="shared" si="24"/>
        <v>200</v>
      </c>
      <c r="BM33" s="65" t="str">
        <f t="shared" si="25"/>
        <v/>
      </c>
      <c r="BN33" s="65" t="str">
        <f t="shared" si="26"/>
        <v>P</v>
      </c>
      <c r="BO33" s="65" t="str">
        <f t="shared" si="27"/>
        <v>II</v>
      </c>
      <c r="BP33" s="68">
        <f>IF('Marks Entry'!AG33="","",'Marks Entry'!AG33)</f>
        <v>8</v>
      </c>
      <c r="BQ33" s="68">
        <f>IF('Marks Entry'!AH33="","",'Marks Entry'!AH33)</f>
        <v>9</v>
      </c>
      <c r="BR33" s="68">
        <f>IF('Marks Entry'!AI33="","",'Marks Entry'!AI33)</f>
        <v>7</v>
      </c>
      <c r="BS33" s="514">
        <f t="shared" si="28"/>
        <v>24</v>
      </c>
      <c r="BT33" s="68">
        <f>IF('Marks Entry'!AJ33="","",'Marks Entry'!AJ33)</f>
        <v>46</v>
      </c>
      <c r="BU33" s="515">
        <f t="shared" si="29"/>
        <v>70</v>
      </c>
      <c r="BV33" s="68">
        <f>IF('Marks Entry'!AK33="","",'Marks Entry'!AK33)</f>
        <v>45</v>
      </c>
      <c r="BW33" s="96">
        <f t="shared" si="30"/>
        <v>115</v>
      </c>
      <c r="BX33" s="65">
        <f t="shared" si="31"/>
        <v>0</v>
      </c>
      <c r="BY33" s="65">
        <f t="shared" si="32"/>
        <v>0</v>
      </c>
      <c r="BZ33" s="66">
        <f t="shared" si="33"/>
        <v>200</v>
      </c>
      <c r="CA33" s="65" t="str">
        <f t="shared" si="34"/>
        <v/>
      </c>
      <c r="CB33" s="65" t="str">
        <f t="shared" si="35"/>
        <v>P</v>
      </c>
      <c r="CC33" s="65" t="str">
        <f t="shared" si="36"/>
        <v>II</v>
      </c>
      <c r="CD33" s="66">
        <f t="shared" si="93"/>
        <v>0</v>
      </c>
      <c r="CE33" s="68">
        <f>IF('Marks Entry'!AL33="","",'Marks Entry'!AL33)</f>
        <v>8</v>
      </c>
      <c r="CF33" s="68">
        <f>IF('Marks Entry'!AM33="","",'Marks Entry'!AM33)</f>
        <v>8</v>
      </c>
      <c r="CG33" s="68">
        <f>IF('Marks Entry'!AN33="","",'Marks Entry'!AN33)</f>
        <v>8</v>
      </c>
      <c r="CH33" s="514">
        <f t="shared" si="37"/>
        <v>24</v>
      </c>
      <c r="CI33" s="68">
        <f>IF('Marks Entry'!AO33="","",'Marks Entry'!AO33)</f>
        <v>46</v>
      </c>
      <c r="CJ33" s="515">
        <f t="shared" si="38"/>
        <v>70</v>
      </c>
      <c r="CK33" s="68">
        <f>IF('Marks Entry'!AP33="","",'Marks Entry'!AP33)</f>
        <v>45</v>
      </c>
      <c r="CL33" s="96">
        <f t="shared" si="39"/>
        <v>115</v>
      </c>
      <c r="CM33" s="65">
        <f t="shared" si="40"/>
        <v>0</v>
      </c>
      <c r="CN33" s="65">
        <f t="shared" si="41"/>
        <v>0</v>
      </c>
      <c r="CO33" s="66">
        <f t="shared" si="42"/>
        <v>200</v>
      </c>
      <c r="CP33" s="65" t="str">
        <f t="shared" si="43"/>
        <v/>
      </c>
      <c r="CQ33" s="65" t="str">
        <f t="shared" si="44"/>
        <v>P</v>
      </c>
      <c r="CR33" s="65" t="str">
        <f t="shared" si="45"/>
        <v>II</v>
      </c>
      <c r="CS33" s="616"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8" t="str">
        <f>IF('School Profile'!$D$20="NO","",IF('Marks Entry'!AR33="","",'Marks Entry'!AR33))</f>
        <v/>
      </c>
      <c r="CU33" s="68" t="str">
        <f>IF('School Profile'!$D$20="NO","",IF('Marks Entry'!AS33="","",'Marks Entry'!AS33))</f>
        <v/>
      </c>
      <c r="CV33" s="68" t="str">
        <f>IF('School Profile'!$D$20="NO","",IF('Marks Entry'!AT33="","",'Marks Entry'!AT33))</f>
        <v/>
      </c>
      <c r="CW33" s="514" t="str">
        <f>IF('School Profile'!$D$20="NO","",IF(AND(CT33="",CU33="",CV33=""),"",SUM(CT33:CV33)))</f>
        <v/>
      </c>
      <c r="CX33" s="68" t="str">
        <f>IF('School Profile'!$D$20="NO","",IF('Marks Entry'!AU33="","",'Marks Entry'!AU33))</f>
        <v/>
      </c>
      <c r="CY33" s="68" t="str">
        <f>IF('School Profile'!$D$20="NO","",IF('Marks Entry'!AV33="","",'Marks Entry'!AV33))</f>
        <v/>
      </c>
      <c r="CZ33" s="515" t="str">
        <f>IF('School Profile'!$D$20="NO","",IF(AND(CX33="",CY33=""),"",SUM(CX33,CY33)))</f>
        <v/>
      </c>
      <c r="DA33" s="69" t="str">
        <f>IF('School Profile'!$D$20="NO","",IF(AND(CW33="",CZ33=""),"",SUM(CW33+CZ33)))</f>
        <v/>
      </c>
      <c r="DB33" s="68" t="str">
        <f>IF('School Profile'!$D$20="NO","",IF('Marks Entry'!AW33="","",'Marks Entry'!AW33))</f>
        <v/>
      </c>
      <c r="DC33" s="68" t="str">
        <f>IF('School Profile'!$D$20="NO","",IF('Marks Entry'!AX33="","",'Marks Entry'!AX33))</f>
        <v/>
      </c>
      <c r="DD33" s="515" t="str">
        <f>IF('School Profile'!$D$20="NO","",IF(AND(DB33="",DC33=""),"",SUM(DB33,DC33)))</f>
        <v/>
      </c>
      <c r="DE33" s="96" t="str">
        <f>IF('School Profile'!$D$20="NO","",IF(AND(DA33="",DD33=""),"",SUM(DA33,DD33)))</f>
        <v/>
      </c>
      <c r="DF33" s="532">
        <f t="shared" si="46"/>
        <v>0</v>
      </c>
      <c r="DG33" s="65">
        <f t="shared" si="47"/>
        <v>0</v>
      </c>
      <c r="DH33" s="66" t="str">
        <f t="shared" si="48"/>
        <v/>
      </c>
      <c r="DI33" s="65" t="str">
        <f t="shared" si="49"/>
        <v/>
      </c>
      <c r="DJ33" s="65" t="str">
        <f t="shared" si="50"/>
        <v/>
      </c>
      <c r="DK33" s="65" t="str">
        <f t="shared" si="51"/>
        <v/>
      </c>
      <c r="DL33" s="97" t="str">
        <f t="shared" si="94"/>
        <v>II</v>
      </c>
      <c r="DM33" s="97" t="str">
        <f t="shared" si="95"/>
        <v>D</v>
      </c>
      <c r="DN33" s="97" t="str">
        <f t="shared" si="96"/>
        <v>II</v>
      </c>
      <c r="DO33" s="97" t="str">
        <f t="shared" si="97"/>
        <v>II</v>
      </c>
      <c r="DP33" s="97" t="str">
        <f t="shared" si="98"/>
        <v>II</v>
      </c>
      <c r="DQ33" s="97" t="str">
        <f t="shared" si="99"/>
        <v>II</v>
      </c>
      <c r="DR33" s="97" t="str">
        <f t="shared" si="100"/>
        <v/>
      </c>
      <c r="DS33" s="98">
        <f t="shared" si="101"/>
        <v>0</v>
      </c>
      <c r="DT33" s="98">
        <f t="shared" si="102"/>
        <v>0</v>
      </c>
      <c r="DU33" s="98">
        <f t="shared" si="103"/>
        <v>0</v>
      </c>
      <c r="DV33" s="98">
        <f t="shared" si="104"/>
        <v>0</v>
      </c>
      <c r="DW33" s="98">
        <f t="shared" si="105"/>
        <v>0</v>
      </c>
      <c r="DX33" s="98" t="str">
        <f t="shared" si="106"/>
        <v/>
      </c>
      <c r="DY33" s="99" t="str">
        <f t="shared" si="107"/>
        <v>PASS</v>
      </c>
      <c r="DZ33" s="74" t="str">
        <f>IF('Marks Entry'!AY33="","",'Marks Entry'!AY33)</f>
        <v/>
      </c>
      <c r="EA33" s="74" t="str">
        <f>IF('Marks Entry'!AZ33="","",'Marks Entry'!AZ33)</f>
        <v/>
      </c>
      <c r="EB33" s="74" t="str">
        <f>IF('Marks Entry'!BA33="","",'Marks Entry'!BA33)</f>
        <v/>
      </c>
      <c r="EC33" s="527" t="str">
        <f t="shared" si="52"/>
        <v/>
      </c>
      <c r="ED33" s="74" t="str">
        <f>IF('Marks Entry'!BB33="","",'Marks Entry'!BB33)</f>
        <v/>
      </c>
      <c r="EE33" s="528" t="str">
        <f t="shared" si="53"/>
        <v/>
      </c>
      <c r="EF33" s="74" t="str">
        <f>IF('Marks Entry'!BC33="","",'Marks Entry'!BC33)</f>
        <v/>
      </c>
      <c r="EG33" s="530" t="str">
        <f t="shared" si="54"/>
        <v/>
      </c>
      <c r="EH33" s="368" t="str">
        <f t="shared" si="108"/>
        <v/>
      </c>
      <c r="EI33" s="65">
        <f t="shared" si="109"/>
        <v>0</v>
      </c>
      <c r="EJ33" s="65">
        <f t="shared" si="110"/>
        <v>0</v>
      </c>
      <c r="EK33" s="66" t="str">
        <f t="shared" si="111"/>
        <v/>
      </c>
      <c r="EL33" s="74" t="str">
        <f>IF('Marks Entry'!BD33="","",'Marks Entry'!BD33)</f>
        <v/>
      </c>
      <c r="EM33" s="74" t="str">
        <f>IF('Marks Entry'!BE33="","",'Marks Entry'!BE33)</f>
        <v/>
      </c>
      <c r="EN33" s="74" t="str">
        <f>IF('Marks Entry'!BF33="","",'Marks Entry'!BF33)</f>
        <v/>
      </c>
      <c r="EO33" s="527" t="str">
        <f t="shared" si="55"/>
        <v/>
      </c>
      <c r="EP33" s="74" t="str">
        <f>IF('Marks Entry'!BG33="","",'Marks Entry'!BG33)</f>
        <v/>
      </c>
      <c r="EQ33" s="74" t="str">
        <f>IF('Marks Entry'!BH33="","",'Marks Entry'!BH33)</f>
        <v/>
      </c>
      <c r="ER33" s="528" t="str">
        <f t="shared" si="56"/>
        <v/>
      </c>
      <c r="ES33" s="529" t="str">
        <f t="shared" si="57"/>
        <v/>
      </c>
      <c r="ET33" s="74" t="str">
        <f>IF('Marks Entry'!BI33="","",'Marks Entry'!BI33)</f>
        <v/>
      </c>
      <c r="EU33" s="74" t="str">
        <f>IF('Marks Entry'!BJ33="","",'Marks Entry'!BJ33)</f>
        <v/>
      </c>
      <c r="EV33" s="528" t="str">
        <f t="shared" si="58"/>
        <v/>
      </c>
      <c r="EW33" s="530" t="str">
        <f t="shared" si="59"/>
        <v/>
      </c>
      <c r="EX33" s="368" t="str">
        <f t="shared" si="112"/>
        <v/>
      </c>
      <c r="EY33" s="65">
        <f t="shared" si="113"/>
        <v>0</v>
      </c>
      <c r="EZ33" s="65">
        <f t="shared" si="114"/>
        <v>0</v>
      </c>
      <c r="FA33" s="66" t="str">
        <f t="shared" si="115"/>
        <v/>
      </c>
      <c r="FB33" s="74" t="str">
        <f>IF('Marks Entry'!BK33="","",'Marks Entry'!BK33)</f>
        <v/>
      </c>
      <c r="FC33" s="74" t="str">
        <f>IF('Marks Entry'!BL33="","",'Marks Entry'!BL33)</f>
        <v/>
      </c>
      <c r="FD33" s="74" t="str">
        <f>IF('Marks Entry'!BM33="","",'Marks Entry'!BM33)</f>
        <v/>
      </c>
      <c r="FE33" s="74" t="str">
        <f>IF('Marks Entry'!BN33="","",'Marks Entry'!BN33)</f>
        <v/>
      </c>
      <c r="FF33" s="74" t="str">
        <f>IF('Marks Entry'!BO33="","",'Marks Entry'!BO33)</f>
        <v/>
      </c>
      <c r="FG33" s="74" t="str">
        <f>IF('Marks Entry'!BP33="","",'Marks Entry'!BP33)</f>
        <v/>
      </c>
      <c r="FH33" s="527" t="str">
        <f t="shared" si="60"/>
        <v/>
      </c>
      <c r="FI33" s="74" t="str">
        <f>IF('Marks Entry'!BQ33="","",'Marks Entry'!BQ33)</f>
        <v/>
      </c>
      <c r="FJ33" s="74" t="str">
        <f>IF('Marks Entry'!BR33="","",'Marks Entry'!BR33)</f>
        <v/>
      </c>
      <c r="FK33" s="528" t="str">
        <f t="shared" si="61"/>
        <v/>
      </c>
      <c r="FL33" s="529" t="str">
        <f t="shared" si="62"/>
        <v/>
      </c>
      <c r="FM33" s="74" t="str">
        <f>IF('Marks Entry'!BS33="","",'Marks Entry'!BS33)</f>
        <v/>
      </c>
      <c r="FN33" s="74" t="str">
        <f>IF('Marks Entry'!BT33="","",'Marks Entry'!BT33)</f>
        <v/>
      </c>
      <c r="FO33" s="528" t="str">
        <f t="shared" si="63"/>
        <v/>
      </c>
      <c r="FP33" s="530" t="str">
        <f t="shared" si="64"/>
        <v/>
      </c>
      <c r="FQ33" s="368" t="str">
        <f t="shared" si="116"/>
        <v/>
      </c>
      <c r="FR33" s="65">
        <f t="shared" si="117"/>
        <v>0</v>
      </c>
      <c r="FS33" s="65">
        <f t="shared" si="118"/>
        <v>0</v>
      </c>
      <c r="FT33" s="66" t="str">
        <f t="shared" si="119"/>
        <v/>
      </c>
      <c r="FU33" s="74" t="str">
        <f>IF('Marks Entry'!BU33="","",'Marks Entry'!BU33)</f>
        <v/>
      </c>
      <c r="FV33" s="74" t="str">
        <f>IF('Marks Entry'!BV33="","",'Marks Entry'!BV33)</f>
        <v/>
      </c>
      <c r="FW33" s="74" t="str">
        <f>IF('Marks Entry'!BW33="","",'Marks Entry'!BW33)</f>
        <v/>
      </c>
      <c r="FX33" s="75" t="str">
        <f t="shared" si="65"/>
        <v/>
      </c>
      <c r="FY33" s="368" t="str">
        <f t="shared" si="120"/>
        <v/>
      </c>
      <c r="FZ33" s="65">
        <f t="shared" si="121"/>
        <v>0</v>
      </c>
      <c r="GA33" s="66">
        <f t="shared" si="122"/>
        <v>0</v>
      </c>
      <c r="GB33" s="66" t="str">
        <f t="shared" si="123"/>
        <v/>
      </c>
      <c r="GC33" s="74" t="str">
        <f>IF('Marks Entry'!BX33="","",'Marks Entry'!BX33)</f>
        <v/>
      </c>
      <c r="GD33" s="74" t="str">
        <f>IF('Marks Entry'!BY33="","",'Marks Entry'!BY33)</f>
        <v/>
      </c>
      <c r="GE33" s="74" t="str">
        <f>IF('Marks Entry'!BZ33="","",'Marks Entry'!BZ33)</f>
        <v/>
      </c>
      <c r="GF33" s="75" t="str">
        <f t="shared" si="124"/>
        <v/>
      </c>
      <c r="GG33" s="368" t="str">
        <f t="shared" si="125"/>
        <v/>
      </c>
      <c r="GH33" s="65">
        <f t="shared" si="126"/>
        <v>0</v>
      </c>
      <c r="GI33" s="66">
        <f t="shared" si="127"/>
        <v>0</v>
      </c>
      <c r="GJ33" s="66" t="str">
        <f t="shared" si="128"/>
        <v/>
      </c>
      <c r="GK33" s="100" t="str">
        <f>IF(AND(F33="",B33=""),"",IF('Student DATA Entry'!M30="","",'Student DATA Entry'!M30))</f>
        <v/>
      </c>
      <c r="GL33" s="101" t="str">
        <f>IF(AND(B33="",F33=""),"",IF('Student DATA Entry'!N30="","",'Student DATA Entry'!N30))</f>
        <v/>
      </c>
      <c r="GM33" s="581" t="str">
        <f t="shared" si="129"/>
        <v/>
      </c>
      <c r="GN33" s="94" t="str">
        <f t="shared" si="130"/>
        <v>II</v>
      </c>
      <c r="GO33" s="94" t="str">
        <f t="shared" si="131"/>
        <v/>
      </c>
      <c r="GP33" s="102" t="str">
        <f t="shared" si="67"/>
        <v/>
      </c>
      <c r="GQ33" s="94" t="str">
        <f t="shared" si="132"/>
        <v>D</v>
      </c>
      <c r="GR33" s="103" t="str">
        <f t="shared" si="133"/>
        <v/>
      </c>
      <c r="GS33" s="102" t="str">
        <f t="shared" si="68"/>
        <v/>
      </c>
      <c r="GT33" s="104" t="str">
        <f t="shared" si="134"/>
        <v>II</v>
      </c>
      <c r="GU33" s="94" t="str">
        <f>IF('Marks Entry'!V33=1,GT33,"")</f>
        <v/>
      </c>
      <c r="GV33" s="94" t="str">
        <f>IF('Marks Entry'!V33=2,GT33,"")</f>
        <v/>
      </c>
      <c r="GW33" s="94" t="str">
        <f>IF('Marks Entry'!V33=3,GT33,"")</f>
        <v/>
      </c>
      <c r="GX33" s="94" t="str">
        <f>IF('Marks Entry'!V33=4,GT33,"")</f>
        <v/>
      </c>
      <c r="GY33" s="94" t="str">
        <f>IF('Marks Entry'!V33=5,GT33,"")</f>
        <v>II</v>
      </c>
      <c r="GZ33" s="94" t="str">
        <f t="shared" si="135"/>
        <v/>
      </c>
      <c r="HA33" s="105" t="str">
        <f t="shared" si="69"/>
        <v/>
      </c>
      <c r="HB33" s="94" t="str">
        <f t="shared" si="136"/>
        <v>II</v>
      </c>
      <c r="HC33" s="94" t="str">
        <f t="shared" si="137"/>
        <v/>
      </c>
      <c r="HD33" s="105" t="str">
        <f t="shared" si="70"/>
        <v/>
      </c>
      <c r="HE33" s="94" t="str">
        <f t="shared" si="138"/>
        <v>II</v>
      </c>
      <c r="HF33" s="94" t="str">
        <f t="shared" si="139"/>
        <v/>
      </c>
      <c r="HG33" s="105" t="str">
        <f t="shared" si="71"/>
        <v/>
      </c>
      <c r="HH33" s="94" t="str">
        <f t="shared" si="140"/>
        <v>II</v>
      </c>
      <c r="HI33" s="94" t="str">
        <f t="shared" si="141"/>
        <v/>
      </c>
      <c r="HJ33" s="105" t="str">
        <f t="shared" si="72"/>
        <v/>
      </c>
      <c r="HK33" s="94" t="str">
        <f t="shared" si="142"/>
        <v/>
      </c>
      <c r="HL33" s="94" t="str">
        <f t="shared" si="143"/>
        <v/>
      </c>
      <c r="HM33" s="105" t="str">
        <f t="shared" si="73"/>
        <v/>
      </c>
      <c r="HN33" s="367" t="str">
        <f t="shared" si="144"/>
        <v xml:space="preserve">      </v>
      </c>
      <c r="HO33" s="418" t="str">
        <f t="shared" si="145"/>
        <v xml:space="preserve">      </v>
      </c>
      <c r="HP33" s="367" t="str">
        <f t="shared" si="146"/>
        <v xml:space="preserve">      </v>
      </c>
      <c r="HQ33" s="107" t="str">
        <f t="shared" si="147"/>
        <v xml:space="preserve">      </v>
      </c>
      <c r="HR33" s="366" t="str">
        <f t="shared" si="148"/>
        <v xml:space="preserve"> अंग्रेजी     </v>
      </c>
      <c r="HS33" s="544" t="str">
        <f t="shared" si="74"/>
        <v>PASS</v>
      </c>
      <c r="HT33" s="542">
        <f t="shared" si="149"/>
        <v>739</v>
      </c>
      <c r="HU33" s="541">
        <f t="shared" si="160"/>
        <v>61.583333333333336</v>
      </c>
      <c r="HV33" s="540" t="str">
        <f t="shared" si="150"/>
        <v>1st</v>
      </c>
      <c r="HW33" s="537">
        <f t="shared" si="151"/>
        <v>61.583333333333336</v>
      </c>
      <c r="HX33" s="539">
        <f t="shared" si="152"/>
        <v>9.0000000000000799</v>
      </c>
      <c r="HY33" s="553" t="str">
        <f>IFERROR(IF(OR(HS33="SUPPLEMENTARY",HS33="RE-EXAM"),'Supp. Result Entry'!AQ31,""),"")</f>
        <v/>
      </c>
      <c r="HZ33" s="538" t="str">
        <f t="shared" si="153"/>
        <v/>
      </c>
      <c r="IA33" s="415" t="str">
        <f t="shared" si="154"/>
        <v/>
      </c>
      <c r="IB33" s="415" t="str">
        <f>IF(AND(HZ33="",IA33=""),"",IF(OR(HS33="SUPPLEMENTARY",HS33="RE-EXAM"),'Supp. Result Entry'!AQ31,HS33))</f>
        <v/>
      </c>
      <c r="IC33" s="87"/>
      <c r="IS33" s="109" t="str">
        <f>IF('Supp. Result Entry'!T31="","",'Supp. Result Entry'!$T$4)</f>
        <v/>
      </c>
      <c r="IT33" s="110" t="str">
        <f>IF('Supp. Result Entry'!W31="","",'Supp. Result Entry'!$W$4)</f>
        <v/>
      </c>
      <c r="IU33" s="110" t="str">
        <f>IF('Supp. Result Entry'!Z31="","",'Supp. Result Entry'!$Z$4)</f>
        <v/>
      </c>
      <c r="IV33" s="110" t="str">
        <f>IF('Supp. Result Entry'!AC31="","",'Supp. Result Entry'!$AC$4)</f>
        <v/>
      </c>
      <c r="IW33" s="110" t="str">
        <f>IF('Supp. Result Entry'!AF31="","",'Supp. Result Entry'!$AF$4)</f>
        <v/>
      </c>
      <c r="IX33" s="110" t="str">
        <f>IF('Supp. Result Entry'!AI31="","",'Supp. Result Entry'!$AI$4)</f>
        <v/>
      </c>
      <c r="IY33" s="110" t="str">
        <f>IF('Supp. Result Entry'!AI31="","",'Supp. Result Entry'!$AL$4)</f>
        <v/>
      </c>
      <c r="IZ33" s="110" t="str">
        <f>IF('Supp. Result Entry'!U31="","",'Supp. Result Entry'!U31)</f>
        <v/>
      </c>
      <c r="JA33" s="110" t="str">
        <f>IF('Supp. Result Entry'!X31="","",'Supp. Result Entry'!X31)</f>
        <v/>
      </c>
      <c r="JB33" s="110" t="str">
        <f>IF('Supp. Result Entry'!AA31="","",'Supp. Result Entry'!AA31)</f>
        <v/>
      </c>
      <c r="JC33" s="110" t="str">
        <f>IF('Supp. Result Entry'!AD31="","",'Supp. Result Entry'!AD31)</f>
        <v/>
      </c>
      <c r="JD33" s="110" t="str">
        <f>IF('Supp. Result Entry'!AG31="","",'Supp. Result Entry'!AG31)</f>
        <v/>
      </c>
      <c r="JE33" s="110" t="str">
        <f>IF('Supp. Result Entry'!AJ31="","",'Supp. Result Entry'!AJ31)</f>
        <v/>
      </c>
      <c r="JF33" s="110" t="str">
        <f>IF('Supp. Result Entry'!AM31="","",'Supp. Result Entry'!AM31)</f>
        <v/>
      </c>
      <c r="JG33" s="110" t="str">
        <f>IF('Supp. Result Entry'!V31="","",'Supp. Result Entry'!V31)</f>
        <v/>
      </c>
      <c r="JH33" s="110" t="str">
        <f>IF('Supp. Result Entry'!Y31="","",'Supp. Result Entry'!Y31)</f>
        <v/>
      </c>
      <c r="JI33" s="110" t="str">
        <f>IF('Supp. Result Entry'!AB31="","",'Supp. Result Entry'!AB31)</f>
        <v/>
      </c>
      <c r="JJ33" s="110" t="str">
        <f>IF('Supp. Result Entry'!AE31="","",'Supp. Result Entry'!AE31)</f>
        <v/>
      </c>
      <c r="JK33" s="110" t="str">
        <f>IF('Supp. Result Entry'!AH31="","",'Supp. Result Entry'!AH31)</f>
        <v/>
      </c>
      <c r="JL33" s="110" t="str">
        <f>IF('Supp. Result Entry'!AK31="","",'Supp. Result Entry'!AK31)</f>
        <v/>
      </c>
      <c r="JM33" s="110" t="str">
        <f>IF('Supp. Result Entry'!AN31="","",'Supp. Result Entry'!AN31)</f>
        <v/>
      </c>
      <c r="JN33" s="110">
        <f>COUNTIF('Supp. Result Entry'!K31:Q31,"S")</f>
        <v>0</v>
      </c>
      <c r="JO33" s="110">
        <f t="shared" si="155"/>
        <v>0</v>
      </c>
      <c r="JP33" s="110">
        <f t="shared" si="156"/>
        <v>0</v>
      </c>
      <c r="JQ33" s="110" t="str">
        <f t="shared" si="75"/>
        <v/>
      </c>
      <c r="JR33" s="110" t="str">
        <f t="shared" si="76"/>
        <v/>
      </c>
      <c r="JS33" s="110" t="str">
        <f t="shared" si="77"/>
        <v/>
      </c>
      <c r="JT33" s="110" t="str">
        <f t="shared" si="78"/>
        <v/>
      </c>
      <c r="JU33" s="110" t="str">
        <f t="shared" si="79"/>
        <v/>
      </c>
      <c r="JV33" s="110" t="str">
        <f t="shared" si="80"/>
        <v/>
      </c>
      <c r="JW33" s="110" t="str">
        <f t="shared" si="81"/>
        <v/>
      </c>
      <c r="JX33" s="110" t="str">
        <f t="shared" si="157"/>
        <v/>
      </c>
      <c r="JY33" s="110" t="str">
        <f t="shared" si="158"/>
        <v/>
      </c>
      <c r="JZ33" s="110" t="str">
        <f t="shared" si="82"/>
        <v/>
      </c>
      <c r="KA33" s="108" t="str">
        <f t="shared" si="159"/>
        <v/>
      </c>
    </row>
    <row r="34" spans="1:287" s="108" customFormat="1" ht="21.95" customHeight="1">
      <c r="A34" s="89">
        <v>28</v>
      </c>
      <c r="B34" s="90">
        <f>IF('Marks Entry'!B34="","",'Marks Entry'!B34)</f>
        <v>928</v>
      </c>
      <c r="C34" s="94" t="str">
        <f>IF('Marks Entry'!D34="","",'Marks Entry'!D34)</f>
        <v>A</v>
      </c>
      <c r="D34" s="91" t="str">
        <f>IF('Marks Entry'!E34="","",'Marks Entry'!E34)</f>
        <v/>
      </c>
      <c r="E34" s="92" t="str">
        <f>IF('Marks Entry'!F34="","",'Marks Entry'!F34)</f>
        <v/>
      </c>
      <c r="F34" s="93" t="str">
        <f>IF('Marks Entry'!G34="","",'Marks Entry'!G34)</f>
        <v>DIMPLE</v>
      </c>
      <c r="G34" s="93" t="str">
        <f>IF('Marks Entry'!H34="","",'Marks Entry'!H34)</f>
        <v/>
      </c>
      <c r="H34" s="93" t="str">
        <f>IF('Marks Entry'!I34="","",'Marks Entry'!I34)</f>
        <v/>
      </c>
      <c r="I34" s="94" t="str">
        <f>IF('Marks Entry'!J34="","",'Marks Entry'!J34)</f>
        <v/>
      </c>
      <c r="J34" s="95" t="str">
        <f>IF('Marks Entry'!K34="","",'Marks Entry'!K34)</f>
        <v/>
      </c>
      <c r="K34" s="68">
        <f>IF('Marks Entry'!L34="","",'Marks Entry'!L34)</f>
        <v>8</v>
      </c>
      <c r="L34" s="68">
        <f>IF('Marks Entry'!M34="","",'Marks Entry'!M34)</f>
        <v>9</v>
      </c>
      <c r="M34" s="68">
        <f>IF('Marks Entry'!N34="","",'Marks Entry'!N34)</f>
        <v>8</v>
      </c>
      <c r="N34" s="514">
        <f t="shared" si="83"/>
        <v>25</v>
      </c>
      <c r="O34" s="68">
        <f>IF('Marks Entry'!O34="","",'Marks Entry'!O34)</f>
        <v>46</v>
      </c>
      <c r="P34" s="515">
        <f t="shared" si="84"/>
        <v>71</v>
      </c>
      <c r="Q34" s="68">
        <f>IF('Marks Entry'!P34="","",'Marks Entry'!P34)</f>
        <v>45</v>
      </c>
      <c r="R34" s="96">
        <f t="shared" si="85"/>
        <v>116</v>
      </c>
      <c r="S34" s="65">
        <f t="shared" si="86"/>
        <v>0</v>
      </c>
      <c r="T34" s="65">
        <f t="shared" si="87"/>
        <v>0</v>
      </c>
      <c r="U34" s="66">
        <f t="shared" si="88"/>
        <v>200</v>
      </c>
      <c r="V34" s="65" t="str">
        <f t="shared" si="89"/>
        <v/>
      </c>
      <c r="W34" s="65" t="str">
        <f t="shared" si="90"/>
        <v>P</v>
      </c>
      <c r="X34" s="65" t="str">
        <f t="shared" si="91"/>
        <v>II</v>
      </c>
      <c r="Y34" s="68">
        <f>IF('Marks Entry'!Q34="","",'Marks Entry'!Q34)</f>
        <v>8</v>
      </c>
      <c r="Z34" s="68">
        <f>IF('Marks Entry'!R34="","",'Marks Entry'!R34)</f>
        <v>9</v>
      </c>
      <c r="AA34" s="68">
        <f>IF('Marks Entry'!S34="","",'Marks Entry'!S34)</f>
        <v>7</v>
      </c>
      <c r="AB34" s="514">
        <f t="shared" si="2"/>
        <v>24</v>
      </c>
      <c r="AC34" s="68">
        <f>IF('Marks Entry'!T34="","",'Marks Entry'!T34)</f>
        <v>60</v>
      </c>
      <c r="AD34" s="515">
        <f t="shared" si="3"/>
        <v>84</v>
      </c>
      <c r="AE34" s="68">
        <f>IF('Marks Entry'!U34="","",'Marks Entry'!U34)</f>
        <v>85</v>
      </c>
      <c r="AF34" s="96">
        <f t="shared" si="4"/>
        <v>169</v>
      </c>
      <c r="AG34" s="65">
        <f t="shared" si="5"/>
        <v>0</v>
      </c>
      <c r="AH34" s="65">
        <f t="shared" si="6"/>
        <v>0</v>
      </c>
      <c r="AI34" s="66">
        <f t="shared" si="7"/>
        <v>200</v>
      </c>
      <c r="AJ34" s="65" t="str">
        <f t="shared" si="8"/>
        <v/>
      </c>
      <c r="AK34" s="65" t="str">
        <f t="shared" si="9"/>
        <v>P</v>
      </c>
      <c r="AL34" s="65" t="str">
        <f t="shared" si="10"/>
        <v>D</v>
      </c>
      <c r="AM34" s="524" t="str">
        <f>IF('Marks Entry'!V34="","",IF('Marks Entry'!V34=1,'School Profile'!$I$9,IF('Marks Entry'!V34=2,'School Profile'!$I$10,IF('Marks Entry'!V34=3,'School Profile'!$I$11,IF('Marks Entry'!V34=4,'School Profile'!$I$12,IF('Marks Entry'!V34=5,'School Profile'!$I$13,IF('Marks Entry'!V34=6,'School Profile'!$I$14,"")))))))</f>
        <v>संस्कृत (71)</v>
      </c>
      <c r="AN34" s="68">
        <f>IF('Marks Entry'!W34="","",'Marks Entry'!W34)</f>
        <v>8</v>
      </c>
      <c r="AO34" s="68">
        <f>IF('Marks Entry'!X34="","",'Marks Entry'!X34)</f>
        <v>9</v>
      </c>
      <c r="AP34" s="68" t="str">
        <f>IF('Marks Entry'!Y34="","",'Marks Entry'!Y34)</f>
        <v/>
      </c>
      <c r="AQ34" s="514">
        <f t="shared" si="11"/>
        <v>17</v>
      </c>
      <c r="AR34" s="68">
        <f>IF('Marks Entry'!Z34="","",'Marks Entry'!Z34)</f>
        <v>46</v>
      </c>
      <c r="AS34" s="515">
        <f t="shared" si="12"/>
        <v>63</v>
      </c>
      <c r="AT34" s="68">
        <f>IF('Marks Entry'!AA34="","",'Marks Entry'!AA34)</f>
        <v>45</v>
      </c>
      <c r="AU34" s="96">
        <f t="shared" si="13"/>
        <v>108</v>
      </c>
      <c r="AV34" s="65">
        <f t="shared" si="14"/>
        <v>0</v>
      </c>
      <c r="AW34" s="65">
        <f t="shared" si="15"/>
        <v>0</v>
      </c>
      <c r="AX34" s="66">
        <f t="shared" si="16"/>
        <v>200</v>
      </c>
      <c r="AY34" s="65" t="str">
        <f t="shared" si="17"/>
        <v/>
      </c>
      <c r="AZ34" s="65" t="str">
        <f t="shared" si="18"/>
        <v>P</v>
      </c>
      <c r="BA34" s="65" t="str">
        <f t="shared" si="19"/>
        <v>II</v>
      </c>
      <c r="BB34" s="68">
        <f>IF('Marks Entry'!AB34="","",'Marks Entry'!AB34)</f>
        <v>8</v>
      </c>
      <c r="BC34" s="68">
        <f>IF('Marks Entry'!AC34="","",'Marks Entry'!AC34)</f>
        <v>9</v>
      </c>
      <c r="BD34" s="68">
        <f>IF('Marks Entry'!AD34="","",'Marks Entry'!AD34)</f>
        <v>7</v>
      </c>
      <c r="BE34" s="514">
        <f t="shared" si="20"/>
        <v>24</v>
      </c>
      <c r="BF34" s="68">
        <f>IF('Marks Entry'!AE34="","",'Marks Entry'!AE34)</f>
        <v>46</v>
      </c>
      <c r="BG34" s="515">
        <f t="shared" si="21"/>
        <v>70</v>
      </c>
      <c r="BH34" s="68">
        <f>IF('Marks Entry'!AF34="","",'Marks Entry'!AF34)</f>
        <v>45</v>
      </c>
      <c r="BI34" s="96">
        <f t="shared" si="22"/>
        <v>115</v>
      </c>
      <c r="BJ34" s="65">
        <f t="shared" si="23"/>
        <v>0</v>
      </c>
      <c r="BK34" s="65">
        <f t="shared" si="92"/>
        <v>0</v>
      </c>
      <c r="BL34" s="66">
        <f t="shared" si="24"/>
        <v>200</v>
      </c>
      <c r="BM34" s="65" t="str">
        <f t="shared" si="25"/>
        <v/>
      </c>
      <c r="BN34" s="65" t="str">
        <f t="shared" si="26"/>
        <v>P</v>
      </c>
      <c r="BO34" s="65" t="str">
        <f t="shared" si="27"/>
        <v>II</v>
      </c>
      <c r="BP34" s="68">
        <f>IF('Marks Entry'!AG34="","",'Marks Entry'!AG34)</f>
        <v>8</v>
      </c>
      <c r="BQ34" s="68">
        <f>IF('Marks Entry'!AH34="","",'Marks Entry'!AH34)</f>
        <v>9</v>
      </c>
      <c r="BR34" s="68">
        <f>IF('Marks Entry'!AI34="","",'Marks Entry'!AI34)</f>
        <v>7</v>
      </c>
      <c r="BS34" s="514">
        <f t="shared" si="28"/>
        <v>24</v>
      </c>
      <c r="BT34" s="68">
        <f>IF('Marks Entry'!AJ34="","",'Marks Entry'!AJ34)</f>
        <v>46</v>
      </c>
      <c r="BU34" s="515">
        <f t="shared" si="29"/>
        <v>70</v>
      </c>
      <c r="BV34" s="68">
        <f>IF('Marks Entry'!AK34="","",'Marks Entry'!AK34)</f>
        <v>45</v>
      </c>
      <c r="BW34" s="96">
        <f t="shared" si="30"/>
        <v>115</v>
      </c>
      <c r="BX34" s="65">
        <f t="shared" si="31"/>
        <v>0</v>
      </c>
      <c r="BY34" s="65">
        <f t="shared" si="32"/>
        <v>0</v>
      </c>
      <c r="BZ34" s="66">
        <f t="shared" si="33"/>
        <v>200</v>
      </c>
      <c r="CA34" s="65" t="str">
        <f t="shared" si="34"/>
        <v/>
      </c>
      <c r="CB34" s="65" t="str">
        <f t="shared" si="35"/>
        <v>P</v>
      </c>
      <c r="CC34" s="65" t="str">
        <f t="shared" si="36"/>
        <v>II</v>
      </c>
      <c r="CD34" s="66">
        <f t="shared" si="93"/>
        <v>0</v>
      </c>
      <c r="CE34" s="68">
        <f>IF('Marks Entry'!AL34="","",'Marks Entry'!AL34)</f>
        <v>8</v>
      </c>
      <c r="CF34" s="68">
        <f>IF('Marks Entry'!AM34="","",'Marks Entry'!AM34)</f>
        <v>8</v>
      </c>
      <c r="CG34" s="68">
        <f>IF('Marks Entry'!AN34="","",'Marks Entry'!AN34)</f>
        <v>8</v>
      </c>
      <c r="CH34" s="514">
        <f t="shared" si="37"/>
        <v>24</v>
      </c>
      <c r="CI34" s="68">
        <f>IF('Marks Entry'!AO34="","",'Marks Entry'!AO34)</f>
        <v>46</v>
      </c>
      <c r="CJ34" s="515">
        <f t="shared" si="38"/>
        <v>70</v>
      </c>
      <c r="CK34" s="68">
        <f>IF('Marks Entry'!AP34="","",'Marks Entry'!AP34)</f>
        <v>45</v>
      </c>
      <c r="CL34" s="96">
        <f t="shared" si="39"/>
        <v>115</v>
      </c>
      <c r="CM34" s="65">
        <f t="shared" si="40"/>
        <v>0</v>
      </c>
      <c r="CN34" s="65">
        <f t="shared" si="41"/>
        <v>0</v>
      </c>
      <c r="CO34" s="66">
        <f t="shared" si="42"/>
        <v>200</v>
      </c>
      <c r="CP34" s="65" t="str">
        <f t="shared" si="43"/>
        <v/>
      </c>
      <c r="CQ34" s="65" t="str">
        <f t="shared" si="44"/>
        <v>P</v>
      </c>
      <c r="CR34" s="65" t="str">
        <f t="shared" si="45"/>
        <v>II</v>
      </c>
      <c r="CS34" s="616"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8" t="str">
        <f>IF('School Profile'!$D$20="NO","",IF('Marks Entry'!AR34="","",'Marks Entry'!AR34))</f>
        <v/>
      </c>
      <c r="CU34" s="68" t="str">
        <f>IF('School Profile'!$D$20="NO","",IF('Marks Entry'!AS34="","",'Marks Entry'!AS34))</f>
        <v/>
      </c>
      <c r="CV34" s="68" t="str">
        <f>IF('School Profile'!$D$20="NO","",IF('Marks Entry'!AT34="","",'Marks Entry'!AT34))</f>
        <v/>
      </c>
      <c r="CW34" s="514" t="str">
        <f>IF('School Profile'!$D$20="NO","",IF(AND(CT34="",CU34="",CV34=""),"",SUM(CT34:CV34)))</f>
        <v/>
      </c>
      <c r="CX34" s="68" t="str">
        <f>IF('School Profile'!$D$20="NO","",IF('Marks Entry'!AU34="","",'Marks Entry'!AU34))</f>
        <v/>
      </c>
      <c r="CY34" s="68" t="str">
        <f>IF('School Profile'!$D$20="NO","",IF('Marks Entry'!AV34="","",'Marks Entry'!AV34))</f>
        <v/>
      </c>
      <c r="CZ34" s="515" t="str">
        <f>IF('School Profile'!$D$20="NO","",IF(AND(CX34="",CY34=""),"",SUM(CX34,CY34)))</f>
        <v/>
      </c>
      <c r="DA34" s="69" t="str">
        <f>IF('School Profile'!$D$20="NO","",IF(AND(CW34="",CZ34=""),"",SUM(CW34+CZ34)))</f>
        <v/>
      </c>
      <c r="DB34" s="68" t="str">
        <f>IF('School Profile'!$D$20="NO","",IF('Marks Entry'!AW34="","",'Marks Entry'!AW34))</f>
        <v/>
      </c>
      <c r="DC34" s="68" t="str">
        <f>IF('School Profile'!$D$20="NO","",IF('Marks Entry'!AX34="","",'Marks Entry'!AX34))</f>
        <v/>
      </c>
      <c r="DD34" s="515" t="str">
        <f>IF('School Profile'!$D$20="NO","",IF(AND(DB34="",DC34=""),"",SUM(DB34,DC34)))</f>
        <v/>
      </c>
      <c r="DE34" s="96" t="str">
        <f>IF('School Profile'!$D$20="NO","",IF(AND(DA34="",DD34=""),"",SUM(DA34,DD34)))</f>
        <v/>
      </c>
      <c r="DF34" s="532">
        <f t="shared" si="46"/>
        <v>0</v>
      </c>
      <c r="DG34" s="65">
        <f t="shared" si="47"/>
        <v>0</v>
      </c>
      <c r="DH34" s="66" t="str">
        <f t="shared" si="48"/>
        <v/>
      </c>
      <c r="DI34" s="65" t="str">
        <f t="shared" si="49"/>
        <v/>
      </c>
      <c r="DJ34" s="65" t="str">
        <f t="shared" si="50"/>
        <v/>
      </c>
      <c r="DK34" s="65" t="str">
        <f t="shared" si="51"/>
        <v/>
      </c>
      <c r="DL34" s="97" t="str">
        <f t="shared" si="94"/>
        <v>II</v>
      </c>
      <c r="DM34" s="97" t="str">
        <f t="shared" si="95"/>
        <v>D</v>
      </c>
      <c r="DN34" s="97" t="str">
        <f t="shared" si="96"/>
        <v>II</v>
      </c>
      <c r="DO34" s="97" t="str">
        <f t="shared" si="97"/>
        <v>II</v>
      </c>
      <c r="DP34" s="97" t="str">
        <f t="shared" si="98"/>
        <v>II</v>
      </c>
      <c r="DQ34" s="97" t="str">
        <f t="shared" si="99"/>
        <v>II</v>
      </c>
      <c r="DR34" s="97" t="str">
        <f t="shared" si="100"/>
        <v/>
      </c>
      <c r="DS34" s="98">
        <f t="shared" si="101"/>
        <v>0</v>
      </c>
      <c r="DT34" s="98">
        <f t="shared" si="102"/>
        <v>0</v>
      </c>
      <c r="DU34" s="98">
        <f t="shared" si="103"/>
        <v>0</v>
      </c>
      <c r="DV34" s="98">
        <f t="shared" si="104"/>
        <v>0</v>
      </c>
      <c r="DW34" s="98">
        <f t="shared" si="105"/>
        <v>0</v>
      </c>
      <c r="DX34" s="98" t="str">
        <f t="shared" si="106"/>
        <v/>
      </c>
      <c r="DY34" s="99" t="str">
        <f t="shared" si="107"/>
        <v>PASS</v>
      </c>
      <c r="DZ34" s="74" t="str">
        <f>IF('Marks Entry'!AY34="","",'Marks Entry'!AY34)</f>
        <v/>
      </c>
      <c r="EA34" s="74" t="str">
        <f>IF('Marks Entry'!AZ34="","",'Marks Entry'!AZ34)</f>
        <v/>
      </c>
      <c r="EB34" s="74" t="str">
        <f>IF('Marks Entry'!BA34="","",'Marks Entry'!BA34)</f>
        <v/>
      </c>
      <c r="EC34" s="527" t="str">
        <f t="shared" si="52"/>
        <v/>
      </c>
      <c r="ED34" s="74" t="str">
        <f>IF('Marks Entry'!BB34="","",'Marks Entry'!BB34)</f>
        <v/>
      </c>
      <c r="EE34" s="528" t="str">
        <f t="shared" si="53"/>
        <v/>
      </c>
      <c r="EF34" s="74" t="str">
        <f>IF('Marks Entry'!BC34="","",'Marks Entry'!BC34)</f>
        <v/>
      </c>
      <c r="EG34" s="530" t="str">
        <f t="shared" si="54"/>
        <v/>
      </c>
      <c r="EH34" s="368" t="str">
        <f t="shared" si="108"/>
        <v/>
      </c>
      <c r="EI34" s="65">
        <f t="shared" si="109"/>
        <v>0</v>
      </c>
      <c r="EJ34" s="65">
        <f t="shared" si="110"/>
        <v>0</v>
      </c>
      <c r="EK34" s="66" t="str">
        <f t="shared" si="111"/>
        <v/>
      </c>
      <c r="EL34" s="74" t="str">
        <f>IF('Marks Entry'!BD34="","",'Marks Entry'!BD34)</f>
        <v/>
      </c>
      <c r="EM34" s="74" t="str">
        <f>IF('Marks Entry'!BE34="","",'Marks Entry'!BE34)</f>
        <v/>
      </c>
      <c r="EN34" s="74" t="str">
        <f>IF('Marks Entry'!BF34="","",'Marks Entry'!BF34)</f>
        <v/>
      </c>
      <c r="EO34" s="527" t="str">
        <f t="shared" si="55"/>
        <v/>
      </c>
      <c r="EP34" s="74" t="str">
        <f>IF('Marks Entry'!BG34="","",'Marks Entry'!BG34)</f>
        <v/>
      </c>
      <c r="EQ34" s="74" t="str">
        <f>IF('Marks Entry'!BH34="","",'Marks Entry'!BH34)</f>
        <v/>
      </c>
      <c r="ER34" s="528" t="str">
        <f t="shared" si="56"/>
        <v/>
      </c>
      <c r="ES34" s="529" t="str">
        <f t="shared" si="57"/>
        <v/>
      </c>
      <c r="ET34" s="74" t="str">
        <f>IF('Marks Entry'!BI34="","",'Marks Entry'!BI34)</f>
        <v/>
      </c>
      <c r="EU34" s="74" t="str">
        <f>IF('Marks Entry'!BJ34="","",'Marks Entry'!BJ34)</f>
        <v/>
      </c>
      <c r="EV34" s="528" t="str">
        <f t="shared" si="58"/>
        <v/>
      </c>
      <c r="EW34" s="530" t="str">
        <f t="shared" si="59"/>
        <v/>
      </c>
      <c r="EX34" s="368" t="str">
        <f t="shared" si="112"/>
        <v/>
      </c>
      <c r="EY34" s="65">
        <f t="shared" si="113"/>
        <v>0</v>
      </c>
      <c r="EZ34" s="65">
        <f t="shared" si="114"/>
        <v>0</v>
      </c>
      <c r="FA34" s="66" t="str">
        <f t="shared" si="115"/>
        <v/>
      </c>
      <c r="FB34" s="74" t="str">
        <f>IF('Marks Entry'!BK34="","",'Marks Entry'!BK34)</f>
        <v/>
      </c>
      <c r="FC34" s="74" t="str">
        <f>IF('Marks Entry'!BL34="","",'Marks Entry'!BL34)</f>
        <v/>
      </c>
      <c r="FD34" s="74" t="str">
        <f>IF('Marks Entry'!BM34="","",'Marks Entry'!BM34)</f>
        <v/>
      </c>
      <c r="FE34" s="74" t="str">
        <f>IF('Marks Entry'!BN34="","",'Marks Entry'!BN34)</f>
        <v/>
      </c>
      <c r="FF34" s="74" t="str">
        <f>IF('Marks Entry'!BO34="","",'Marks Entry'!BO34)</f>
        <v/>
      </c>
      <c r="FG34" s="74" t="str">
        <f>IF('Marks Entry'!BP34="","",'Marks Entry'!BP34)</f>
        <v/>
      </c>
      <c r="FH34" s="527" t="str">
        <f t="shared" si="60"/>
        <v/>
      </c>
      <c r="FI34" s="74" t="str">
        <f>IF('Marks Entry'!BQ34="","",'Marks Entry'!BQ34)</f>
        <v/>
      </c>
      <c r="FJ34" s="74" t="str">
        <f>IF('Marks Entry'!BR34="","",'Marks Entry'!BR34)</f>
        <v/>
      </c>
      <c r="FK34" s="528" t="str">
        <f t="shared" si="61"/>
        <v/>
      </c>
      <c r="FL34" s="529" t="str">
        <f t="shared" si="62"/>
        <v/>
      </c>
      <c r="FM34" s="74" t="str">
        <f>IF('Marks Entry'!BS34="","",'Marks Entry'!BS34)</f>
        <v/>
      </c>
      <c r="FN34" s="74" t="str">
        <f>IF('Marks Entry'!BT34="","",'Marks Entry'!BT34)</f>
        <v/>
      </c>
      <c r="FO34" s="528" t="str">
        <f t="shared" si="63"/>
        <v/>
      </c>
      <c r="FP34" s="530" t="str">
        <f t="shared" si="64"/>
        <v/>
      </c>
      <c r="FQ34" s="368" t="str">
        <f t="shared" si="116"/>
        <v/>
      </c>
      <c r="FR34" s="65">
        <f t="shared" si="117"/>
        <v>0</v>
      </c>
      <c r="FS34" s="65">
        <f t="shared" si="118"/>
        <v>0</v>
      </c>
      <c r="FT34" s="66" t="str">
        <f t="shared" si="119"/>
        <v/>
      </c>
      <c r="FU34" s="74" t="str">
        <f>IF('Marks Entry'!BU34="","",'Marks Entry'!BU34)</f>
        <v/>
      </c>
      <c r="FV34" s="74" t="str">
        <f>IF('Marks Entry'!BV34="","",'Marks Entry'!BV34)</f>
        <v/>
      </c>
      <c r="FW34" s="74" t="str">
        <f>IF('Marks Entry'!BW34="","",'Marks Entry'!BW34)</f>
        <v/>
      </c>
      <c r="FX34" s="75" t="str">
        <f t="shared" si="65"/>
        <v/>
      </c>
      <c r="FY34" s="368" t="str">
        <f t="shared" si="120"/>
        <v/>
      </c>
      <c r="FZ34" s="65">
        <f t="shared" si="121"/>
        <v>0</v>
      </c>
      <c r="GA34" s="66">
        <f t="shared" si="122"/>
        <v>0</v>
      </c>
      <c r="GB34" s="66" t="str">
        <f t="shared" si="123"/>
        <v/>
      </c>
      <c r="GC34" s="74" t="str">
        <f>IF('Marks Entry'!BX34="","",'Marks Entry'!BX34)</f>
        <v/>
      </c>
      <c r="GD34" s="74" t="str">
        <f>IF('Marks Entry'!BY34="","",'Marks Entry'!BY34)</f>
        <v/>
      </c>
      <c r="GE34" s="74" t="str">
        <f>IF('Marks Entry'!BZ34="","",'Marks Entry'!BZ34)</f>
        <v/>
      </c>
      <c r="GF34" s="75" t="str">
        <f t="shared" si="124"/>
        <v/>
      </c>
      <c r="GG34" s="368" t="str">
        <f t="shared" si="125"/>
        <v/>
      </c>
      <c r="GH34" s="65">
        <f t="shared" si="126"/>
        <v>0</v>
      </c>
      <c r="GI34" s="66">
        <f t="shared" si="127"/>
        <v>0</v>
      </c>
      <c r="GJ34" s="66" t="str">
        <f t="shared" si="128"/>
        <v/>
      </c>
      <c r="GK34" s="100" t="str">
        <f>IF(AND(F34="",B34=""),"",IF('Student DATA Entry'!M31="","",'Student DATA Entry'!M31))</f>
        <v/>
      </c>
      <c r="GL34" s="101" t="str">
        <f>IF(AND(B34="",F34=""),"",IF('Student DATA Entry'!N31="","",'Student DATA Entry'!N31))</f>
        <v/>
      </c>
      <c r="GM34" s="581" t="str">
        <f t="shared" si="129"/>
        <v/>
      </c>
      <c r="GN34" s="94" t="str">
        <f t="shared" si="130"/>
        <v>II</v>
      </c>
      <c r="GO34" s="94" t="str">
        <f t="shared" si="131"/>
        <v/>
      </c>
      <c r="GP34" s="102" t="str">
        <f t="shared" si="67"/>
        <v/>
      </c>
      <c r="GQ34" s="94" t="str">
        <f t="shared" si="132"/>
        <v>D</v>
      </c>
      <c r="GR34" s="103" t="str">
        <f t="shared" si="133"/>
        <v/>
      </c>
      <c r="GS34" s="102" t="str">
        <f t="shared" si="68"/>
        <v/>
      </c>
      <c r="GT34" s="104" t="str">
        <f t="shared" si="134"/>
        <v>II</v>
      </c>
      <c r="GU34" s="94" t="str">
        <f>IF('Marks Entry'!V34=1,GT34,"")</f>
        <v>II</v>
      </c>
      <c r="GV34" s="94" t="str">
        <f>IF('Marks Entry'!V34=2,GT34,"")</f>
        <v/>
      </c>
      <c r="GW34" s="94" t="str">
        <f>IF('Marks Entry'!V34=3,GT34,"")</f>
        <v/>
      </c>
      <c r="GX34" s="94" t="str">
        <f>IF('Marks Entry'!V34=4,GT34,"")</f>
        <v/>
      </c>
      <c r="GY34" s="94" t="str">
        <f>IF('Marks Entry'!V34=5,GT34,"")</f>
        <v/>
      </c>
      <c r="GZ34" s="94" t="str">
        <f t="shared" si="135"/>
        <v/>
      </c>
      <c r="HA34" s="105" t="str">
        <f t="shared" si="69"/>
        <v/>
      </c>
      <c r="HB34" s="94" t="str">
        <f t="shared" si="136"/>
        <v>II</v>
      </c>
      <c r="HC34" s="94" t="str">
        <f t="shared" si="137"/>
        <v/>
      </c>
      <c r="HD34" s="105" t="str">
        <f t="shared" si="70"/>
        <v/>
      </c>
      <c r="HE34" s="94" t="str">
        <f t="shared" si="138"/>
        <v>II</v>
      </c>
      <c r="HF34" s="94" t="str">
        <f t="shared" si="139"/>
        <v/>
      </c>
      <c r="HG34" s="105" t="str">
        <f t="shared" si="71"/>
        <v/>
      </c>
      <c r="HH34" s="94" t="str">
        <f t="shared" si="140"/>
        <v>II</v>
      </c>
      <c r="HI34" s="94" t="str">
        <f t="shared" si="141"/>
        <v/>
      </c>
      <c r="HJ34" s="105" t="str">
        <f t="shared" si="72"/>
        <v/>
      </c>
      <c r="HK34" s="94" t="str">
        <f t="shared" si="142"/>
        <v/>
      </c>
      <c r="HL34" s="94" t="str">
        <f t="shared" si="143"/>
        <v/>
      </c>
      <c r="HM34" s="105" t="str">
        <f t="shared" si="73"/>
        <v/>
      </c>
      <c r="HN34" s="367" t="str">
        <f t="shared" si="144"/>
        <v xml:space="preserve">      </v>
      </c>
      <c r="HO34" s="418" t="str">
        <f t="shared" si="145"/>
        <v xml:space="preserve">      </v>
      </c>
      <c r="HP34" s="367" t="str">
        <f t="shared" si="146"/>
        <v xml:space="preserve">      </v>
      </c>
      <c r="HQ34" s="107" t="str">
        <f t="shared" si="147"/>
        <v xml:space="preserve">      </v>
      </c>
      <c r="HR34" s="366" t="str">
        <f t="shared" si="148"/>
        <v xml:space="preserve"> अंग्रेजी     </v>
      </c>
      <c r="HS34" s="544" t="str">
        <f t="shared" si="74"/>
        <v>PASS</v>
      </c>
      <c r="HT34" s="542">
        <f t="shared" si="149"/>
        <v>738</v>
      </c>
      <c r="HU34" s="541">
        <f t="shared" si="160"/>
        <v>61.5</v>
      </c>
      <c r="HV34" s="540" t="str">
        <f t="shared" si="150"/>
        <v>1st</v>
      </c>
      <c r="HW34" s="537">
        <f t="shared" si="151"/>
        <v>61.5</v>
      </c>
      <c r="HX34" s="539">
        <f t="shared" si="152"/>
        <v>10.00000000000008</v>
      </c>
      <c r="HY34" s="553" t="str">
        <f>IFERROR(IF(OR(HS34="SUPPLEMENTARY",HS34="RE-EXAM"),'Supp. Result Entry'!AQ32,""),"")</f>
        <v/>
      </c>
      <c r="HZ34" s="538" t="str">
        <f t="shared" si="153"/>
        <v/>
      </c>
      <c r="IA34" s="415" t="str">
        <f t="shared" si="154"/>
        <v/>
      </c>
      <c r="IB34" s="415" t="str">
        <f>IF(AND(HZ34="",IA34=""),"",IF(OR(HS34="SUPPLEMENTARY",HS34="RE-EXAM"),'Supp. Result Entry'!AQ32,HS34))</f>
        <v/>
      </c>
      <c r="IC34" s="87"/>
      <c r="IS34" s="109" t="str">
        <f>IF('Supp. Result Entry'!T32="","",'Supp. Result Entry'!$T$4)</f>
        <v/>
      </c>
      <c r="IT34" s="110" t="str">
        <f>IF('Supp. Result Entry'!W32="","",'Supp. Result Entry'!$W$4)</f>
        <v/>
      </c>
      <c r="IU34" s="110" t="str">
        <f>IF('Supp. Result Entry'!Z32="","",'Supp. Result Entry'!$Z$4)</f>
        <v/>
      </c>
      <c r="IV34" s="110" t="str">
        <f>IF('Supp. Result Entry'!AC32="","",'Supp. Result Entry'!$AC$4)</f>
        <v/>
      </c>
      <c r="IW34" s="110" t="str">
        <f>IF('Supp. Result Entry'!AF32="","",'Supp. Result Entry'!$AF$4)</f>
        <v/>
      </c>
      <c r="IX34" s="110" t="str">
        <f>IF('Supp. Result Entry'!AI32="","",'Supp. Result Entry'!$AI$4)</f>
        <v/>
      </c>
      <c r="IY34" s="110" t="str">
        <f>IF('Supp. Result Entry'!AI32="","",'Supp. Result Entry'!$AL$4)</f>
        <v/>
      </c>
      <c r="IZ34" s="110" t="str">
        <f>IF('Supp. Result Entry'!U32="","",'Supp. Result Entry'!U32)</f>
        <v/>
      </c>
      <c r="JA34" s="110" t="str">
        <f>IF('Supp. Result Entry'!X32="","",'Supp. Result Entry'!X32)</f>
        <v/>
      </c>
      <c r="JB34" s="110" t="str">
        <f>IF('Supp. Result Entry'!AA32="","",'Supp. Result Entry'!AA32)</f>
        <v/>
      </c>
      <c r="JC34" s="110" t="str">
        <f>IF('Supp. Result Entry'!AD32="","",'Supp. Result Entry'!AD32)</f>
        <v/>
      </c>
      <c r="JD34" s="110" t="str">
        <f>IF('Supp. Result Entry'!AG32="","",'Supp. Result Entry'!AG32)</f>
        <v/>
      </c>
      <c r="JE34" s="110" t="str">
        <f>IF('Supp. Result Entry'!AJ32="","",'Supp. Result Entry'!AJ32)</f>
        <v/>
      </c>
      <c r="JF34" s="110" t="str">
        <f>IF('Supp. Result Entry'!AM32="","",'Supp. Result Entry'!AM32)</f>
        <v/>
      </c>
      <c r="JG34" s="110" t="str">
        <f>IF('Supp. Result Entry'!V32="","",'Supp. Result Entry'!V32)</f>
        <v/>
      </c>
      <c r="JH34" s="110" t="str">
        <f>IF('Supp. Result Entry'!Y32="","",'Supp. Result Entry'!Y32)</f>
        <v/>
      </c>
      <c r="JI34" s="110" t="str">
        <f>IF('Supp. Result Entry'!AB32="","",'Supp. Result Entry'!AB32)</f>
        <v/>
      </c>
      <c r="JJ34" s="110" t="str">
        <f>IF('Supp. Result Entry'!AE32="","",'Supp. Result Entry'!AE32)</f>
        <v/>
      </c>
      <c r="JK34" s="110" t="str">
        <f>IF('Supp. Result Entry'!AH32="","",'Supp. Result Entry'!AH32)</f>
        <v/>
      </c>
      <c r="JL34" s="110" t="str">
        <f>IF('Supp. Result Entry'!AK32="","",'Supp. Result Entry'!AK32)</f>
        <v/>
      </c>
      <c r="JM34" s="110" t="str">
        <f>IF('Supp. Result Entry'!AN32="","",'Supp. Result Entry'!AN32)</f>
        <v/>
      </c>
      <c r="JN34" s="110">
        <f>COUNTIF('Supp. Result Entry'!K32:Q32,"S")</f>
        <v>0</v>
      </c>
      <c r="JO34" s="110">
        <f t="shared" si="155"/>
        <v>0</v>
      </c>
      <c r="JP34" s="110">
        <f t="shared" si="156"/>
        <v>0</v>
      </c>
      <c r="JQ34" s="110" t="str">
        <f t="shared" si="75"/>
        <v/>
      </c>
      <c r="JR34" s="110" t="str">
        <f t="shared" si="76"/>
        <v/>
      </c>
      <c r="JS34" s="110" t="str">
        <f t="shared" si="77"/>
        <v/>
      </c>
      <c r="JT34" s="110" t="str">
        <f t="shared" si="78"/>
        <v/>
      </c>
      <c r="JU34" s="110" t="str">
        <f t="shared" si="79"/>
        <v/>
      </c>
      <c r="JV34" s="110" t="str">
        <f t="shared" si="80"/>
        <v/>
      </c>
      <c r="JW34" s="110" t="str">
        <f t="shared" si="81"/>
        <v/>
      </c>
      <c r="JX34" s="110" t="str">
        <f t="shared" si="157"/>
        <v/>
      </c>
      <c r="JY34" s="110" t="str">
        <f t="shared" si="158"/>
        <v/>
      </c>
      <c r="JZ34" s="110" t="str">
        <f t="shared" si="82"/>
        <v/>
      </c>
      <c r="KA34" s="108" t="str">
        <f t="shared" si="159"/>
        <v/>
      </c>
    </row>
    <row r="35" spans="1:287" s="108" customFormat="1" ht="21.95" customHeight="1">
      <c r="A35" s="89">
        <v>29</v>
      </c>
      <c r="B35" s="90">
        <f>IF('Marks Entry'!B35="","",'Marks Entry'!B35)</f>
        <v>929</v>
      </c>
      <c r="C35" s="94" t="str">
        <f>IF('Marks Entry'!D35="","",'Marks Entry'!D35)</f>
        <v>A</v>
      </c>
      <c r="D35" s="91" t="str">
        <f>IF('Marks Entry'!E35="","",'Marks Entry'!E35)</f>
        <v/>
      </c>
      <c r="E35" s="92" t="str">
        <f>IF('Marks Entry'!F35="","",'Marks Entry'!F35)</f>
        <v/>
      </c>
      <c r="F35" s="93" t="str">
        <f>IF('Marks Entry'!G35="","",'Marks Entry'!G35)</f>
        <v>DIPIKA</v>
      </c>
      <c r="G35" s="93" t="str">
        <f>IF('Marks Entry'!H35="","",'Marks Entry'!H35)</f>
        <v/>
      </c>
      <c r="H35" s="93" t="str">
        <f>IF('Marks Entry'!I35="","",'Marks Entry'!I35)</f>
        <v/>
      </c>
      <c r="I35" s="94" t="str">
        <f>IF('Marks Entry'!J35="","",'Marks Entry'!J35)</f>
        <v/>
      </c>
      <c r="J35" s="95" t="str">
        <f>IF('Marks Entry'!K35="","",'Marks Entry'!K35)</f>
        <v/>
      </c>
      <c r="K35" s="68">
        <f>IF('Marks Entry'!L35="","",'Marks Entry'!L35)</f>
        <v>8</v>
      </c>
      <c r="L35" s="68">
        <f>IF('Marks Entry'!M35="","",'Marks Entry'!M35)</f>
        <v>9</v>
      </c>
      <c r="M35" s="68">
        <f>IF('Marks Entry'!N35="","",'Marks Entry'!N35)</f>
        <v>8</v>
      </c>
      <c r="N35" s="514">
        <f t="shared" si="83"/>
        <v>25</v>
      </c>
      <c r="O35" s="68">
        <f>IF('Marks Entry'!O35="","",'Marks Entry'!O35)</f>
        <v>46</v>
      </c>
      <c r="P35" s="515">
        <f t="shared" si="84"/>
        <v>71</v>
      </c>
      <c r="Q35" s="68">
        <f>IF('Marks Entry'!P35="","",'Marks Entry'!P35)</f>
        <v>45</v>
      </c>
      <c r="R35" s="96">
        <f t="shared" si="85"/>
        <v>116</v>
      </c>
      <c r="S35" s="65">
        <f t="shared" si="86"/>
        <v>0</v>
      </c>
      <c r="T35" s="65">
        <f t="shared" si="87"/>
        <v>0</v>
      </c>
      <c r="U35" s="66">
        <f t="shared" si="88"/>
        <v>200</v>
      </c>
      <c r="V35" s="65" t="str">
        <f t="shared" si="89"/>
        <v/>
      </c>
      <c r="W35" s="65" t="str">
        <f t="shared" si="90"/>
        <v>P</v>
      </c>
      <c r="X35" s="65" t="str">
        <f t="shared" si="91"/>
        <v>II</v>
      </c>
      <c r="Y35" s="68">
        <f>IF('Marks Entry'!Q35="","",'Marks Entry'!Q35)</f>
        <v>8</v>
      </c>
      <c r="Z35" s="68">
        <f>IF('Marks Entry'!R35="","",'Marks Entry'!R35)</f>
        <v>9</v>
      </c>
      <c r="AA35" s="68">
        <f>IF('Marks Entry'!S35="","",'Marks Entry'!S35)</f>
        <v>7</v>
      </c>
      <c r="AB35" s="514">
        <f t="shared" si="2"/>
        <v>24</v>
      </c>
      <c r="AC35" s="68">
        <f>IF('Marks Entry'!T35="","",'Marks Entry'!T35)</f>
        <v>60</v>
      </c>
      <c r="AD35" s="515">
        <f t="shared" si="3"/>
        <v>84</v>
      </c>
      <c r="AE35" s="68">
        <f>IF('Marks Entry'!U35="","",'Marks Entry'!U35)</f>
        <v>85</v>
      </c>
      <c r="AF35" s="96">
        <f t="shared" si="4"/>
        <v>169</v>
      </c>
      <c r="AG35" s="65">
        <f t="shared" si="5"/>
        <v>0</v>
      </c>
      <c r="AH35" s="65">
        <f t="shared" si="6"/>
        <v>0</v>
      </c>
      <c r="AI35" s="66">
        <f t="shared" si="7"/>
        <v>200</v>
      </c>
      <c r="AJ35" s="65" t="str">
        <f t="shared" si="8"/>
        <v/>
      </c>
      <c r="AK35" s="65" t="str">
        <f t="shared" si="9"/>
        <v>P</v>
      </c>
      <c r="AL35" s="65" t="str">
        <f t="shared" si="10"/>
        <v>D</v>
      </c>
      <c r="AM35" s="524" t="str">
        <f>IF('Marks Entry'!V35="","",IF('Marks Entry'!V35=1,'School Profile'!$I$9,IF('Marks Entry'!V35=2,'School Profile'!$I$10,IF('Marks Entry'!V35=3,'School Profile'!$I$11,IF('Marks Entry'!V35=4,'School Profile'!$I$12,IF('Marks Entry'!V35=5,'School Profile'!$I$13,IF('Marks Entry'!V35=6,'School Profile'!$I$14,"")))))))</f>
        <v xml:space="preserve">उर्दू (72) </v>
      </c>
      <c r="AN35" s="68">
        <f>IF('Marks Entry'!W35="","",'Marks Entry'!W35)</f>
        <v>8</v>
      </c>
      <c r="AO35" s="68">
        <f>IF('Marks Entry'!X35="","",'Marks Entry'!X35)</f>
        <v>9</v>
      </c>
      <c r="AP35" s="68" t="str">
        <f>IF('Marks Entry'!Y35="","",'Marks Entry'!Y35)</f>
        <v/>
      </c>
      <c r="AQ35" s="514">
        <f t="shared" si="11"/>
        <v>17</v>
      </c>
      <c r="AR35" s="68">
        <f>IF('Marks Entry'!Z35="","",'Marks Entry'!Z35)</f>
        <v>46</v>
      </c>
      <c r="AS35" s="515">
        <f t="shared" si="12"/>
        <v>63</v>
      </c>
      <c r="AT35" s="68">
        <f>IF('Marks Entry'!AA35="","",'Marks Entry'!AA35)</f>
        <v>45</v>
      </c>
      <c r="AU35" s="96">
        <f t="shared" si="13"/>
        <v>108</v>
      </c>
      <c r="AV35" s="65">
        <f t="shared" si="14"/>
        <v>0</v>
      </c>
      <c r="AW35" s="65">
        <f t="shared" si="15"/>
        <v>0</v>
      </c>
      <c r="AX35" s="66">
        <f t="shared" si="16"/>
        <v>200</v>
      </c>
      <c r="AY35" s="65" t="str">
        <f t="shared" si="17"/>
        <v/>
      </c>
      <c r="AZ35" s="65" t="str">
        <f t="shared" si="18"/>
        <v>P</v>
      </c>
      <c r="BA35" s="65" t="str">
        <f t="shared" si="19"/>
        <v>II</v>
      </c>
      <c r="BB35" s="68">
        <f>IF('Marks Entry'!AB35="","",'Marks Entry'!AB35)</f>
        <v>8</v>
      </c>
      <c r="BC35" s="68">
        <f>IF('Marks Entry'!AC35="","",'Marks Entry'!AC35)</f>
        <v>9</v>
      </c>
      <c r="BD35" s="68">
        <f>IF('Marks Entry'!AD35="","",'Marks Entry'!AD35)</f>
        <v>7</v>
      </c>
      <c r="BE35" s="514">
        <f t="shared" si="20"/>
        <v>24</v>
      </c>
      <c r="BF35" s="68">
        <f>IF('Marks Entry'!AE35="","",'Marks Entry'!AE35)</f>
        <v>46</v>
      </c>
      <c r="BG35" s="515">
        <f t="shared" si="21"/>
        <v>70</v>
      </c>
      <c r="BH35" s="68">
        <f>IF('Marks Entry'!AF35="","",'Marks Entry'!AF35)</f>
        <v>45</v>
      </c>
      <c r="BI35" s="96">
        <f t="shared" si="22"/>
        <v>115</v>
      </c>
      <c r="BJ35" s="65">
        <f t="shared" si="23"/>
        <v>0</v>
      </c>
      <c r="BK35" s="65">
        <f t="shared" si="92"/>
        <v>0</v>
      </c>
      <c r="BL35" s="66">
        <f t="shared" si="24"/>
        <v>200</v>
      </c>
      <c r="BM35" s="65" t="str">
        <f t="shared" si="25"/>
        <v/>
      </c>
      <c r="BN35" s="65" t="str">
        <f t="shared" si="26"/>
        <v>P</v>
      </c>
      <c r="BO35" s="65" t="str">
        <f t="shared" si="27"/>
        <v>II</v>
      </c>
      <c r="BP35" s="68">
        <f>IF('Marks Entry'!AG35="","",'Marks Entry'!AG35)</f>
        <v>8</v>
      </c>
      <c r="BQ35" s="68">
        <f>IF('Marks Entry'!AH35="","",'Marks Entry'!AH35)</f>
        <v>9</v>
      </c>
      <c r="BR35" s="68">
        <f>IF('Marks Entry'!AI35="","",'Marks Entry'!AI35)</f>
        <v>7</v>
      </c>
      <c r="BS35" s="514">
        <f t="shared" si="28"/>
        <v>24</v>
      </c>
      <c r="BT35" s="68">
        <f>IF('Marks Entry'!AJ35="","",'Marks Entry'!AJ35)</f>
        <v>46</v>
      </c>
      <c r="BU35" s="515">
        <f t="shared" si="29"/>
        <v>70</v>
      </c>
      <c r="BV35" s="68">
        <f>IF('Marks Entry'!AK35="","",'Marks Entry'!AK35)</f>
        <v>45</v>
      </c>
      <c r="BW35" s="96">
        <f t="shared" si="30"/>
        <v>115</v>
      </c>
      <c r="BX35" s="65">
        <f t="shared" si="31"/>
        <v>0</v>
      </c>
      <c r="BY35" s="65">
        <f t="shared" si="32"/>
        <v>0</v>
      </c>
      <c r="BZ35" s="66">
        <f t="shared" si="33"/>
        <v>200</v>
      </c>
      <c r="CA35" s="65" t="str">
        <f t="shared" si="34"/>
        <v/>
      </c>
      <c r="CB35" s="65" t="str">
        <f t="shared" si="35"/>
        <v>P</v>
      </c>
      <c r="CC35" s="65" t="str">
        <f t="shared" si="36"/>
        <v>II</v>
      </c>
      <c r="CD35" s="66">
        <f t="shared" si="93"/>
        <v>0</v>
      </c>
      <c r="CE35" s="68">
        <f>IF('Marks Entry'!AL35="","",'Marks Entry'!AL35)</f>
        <v>8</v>
      </c>
      <c r="CF35" s="68">
        <f>IF('Marks Entry'!AM35="","",'Marks Entry'!AM35)</f>
        <v>8</v>
      </c>
      <c r="CG35" s="68">
        <f>IF('Marks Entry'!AN35="","",'Marks Entry'!AN35)</f>
        <v>8</v>
      </c>
      <c r="CH35" s="514">
        <f t="shared" si="37"/>
        <v>24</v>
      </c>
      <c r="CI35" s="68">
        <f>IF('Marks Entry'!AO35="","",'Marks Entry'!AO35)</f>
        <v>46</v>
      </c>
      <c r="CJ35" s="515">
        <f t="shared" si="38"/>
        <v>70</v>
      </c>
      <c r="CK35" s="68">
        <f>IF('Marks Entry'!AP35="","",'Marks Entry'!AP35)</f>
        <v>45</v>
      </c>
      <c r="CL35" s="96">
        <f t="shared" si="39"/>
        <v>115</v>
      </c>
      <c r="CM35" s="65">
        <f t="shared" si="40"/>
        <v>0</v>
      </c>
      <c r="CN35" s="65">
        <f t="shared" si="41"/>
        <v>0</v>
      </c>
      <c r="CO35" s="66">
        <f t="shared" si="42"/>
        <v>200</v>
      </c>
      <c r="CP35" s="65" t="str">
        <f t="shared" si="43"/>
        <v/>
      </c>
      <c r="CQ35" s="65" t="str">
        <f t="shared" si="44"/>
        <v>P</v>
      </c>
      <c r="CR35" s="65" t="str">
        <f t="shared" si="45"/>
        <v>II</v>
      </c>
      <c r="CS35" s="616"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8" t="str">
        <f>IF('School Profile'!$D$20="NO","",IF('Marks Entry'!AR35="","",'Marks Entry'!AR35))</f>
        <v/>
      </c>
      <c r="CU35" s="68" t="str">
        <f>IF('School Profile'!$D$20="NO","",IF('Marks Entry'!AS35="","",'Marks Entry'!AS35))</f>
        <v/>
      </c>
      <c r="CV35" s="68" t="str">
        <f>IF('School Profile'!$D$20="NO","",IF('Marks Entry'!AT35="","",'Marks Entry'!AT35))</f>
        <v/>
      </c>
      <c r="CW35" s="514" t="str">
        <f>IF('School Profile'!$D$20="NO","",IF(AND(CT35="",CU35="",CV35=""),"",SUM(CT35:CV35)))</f>
        <v/>
      </c>
      <c r="CX35" s="68" t="str">
        <f>IF('School Profile'!$D$20="NO","",IF('Marks Entry'!AU35="","",'Marks Entry'!AU35))</f>
        <v/>
      </c>
      <c r="CY35" s="68" t="str">
        <f>IF('School Profile'!$D$20="NO","",IF('Marks Entry'!AV35="","",'Marks Entry'!AV35))</f>
        <v/>
      </c>
      <c r="CZ35" s="515" t="str">
        <f>IF('School Profile'!$D$20="NO","",IF(AND(CX35="",CY35=""),"",SUM(CX35,CY35)))</f>
        <v/>
      </c>
      <c r="DA35" s="69" t="str">
        <f>IF('School Profile'!$D$20="NO","",IF(AND(CW35="",CZ35=""),"",SUM(CW35+CZ35)))</f>
        <v/>
      </c>
      <c r="DB35" s="68" t="str">
        <f>IF('School Profile'!$D$20="NO","",IF('Marks Entry'!AW35="","",'Marks Entry'!AW35))</f>
        <v/>
      </c>
      <c r="DC35" s="68" t="str">
        <f>IF('School Profile'!$D$20="NO","",IF('Marks Entry'!AX35="","",'Marks Entry'!AX35))</f>
        <v/>
      </c>
      <c r="DD35" s="515" t="str">
        <f>IF('School Profile'!$D$20="NO","",IF(AND(DB35="",DC35=""),"",SUM(DB35,DC35)))</f>
        <v/>
      </c>
      <c r="DE35" s="96" t="str">
        <f>IF('School Profile'!$D$20="NO","",IF(AND(DA35="",DD35=""),"",SUM(DA35,DD35)))</f>
        <v/>
      </c>
      <c r="DF35" s="532">
        <f t="shared" si="46"/>
        <v>0</v>
      </c>
      <c r="DG35" s="65">
        <f t="shared" si="47"/>
        <v>0</v>
      </c>
      <c r="DH35" s="66" t="str">
        <f t="shared" si="48"/>
        <v/>
      </c>
      <c r="DI35" s="65" t="str">
        <f t="shared" si="49"/>
        <v/>
      </c>
      <c r="DJ35" s="65" t="str">
        <f t="shared" si="50"/>
        <v/>
      </c>
      <c r="DK35" s="65" t="str">
        <f t="shared" si="51"/>
        <v/>
      </c>
      <c r="DL35" s="97" t="str">
        <f t="shared" si="94"/>
        <v>II</v>
      </c>
      <c r="DM35" s="97" t="str">
        <f t="shared" si="95"/>
        <v>D</v>
      </c>
      <c r="DN35" s="97" t="str">
        <f t="shared" si="96"/>
        <v>II</v>
      </c>
      <c r="DO35" s="97" t="str">
        <f t="shared" si="97"/>
        <v>II</v>
      </c>
      <c r="DP35" s="97" t="str">
        <f t="shared" si="98"/>
        <v>II</v>
      </c>
      <c r="DQ35" s="97" t="str">
        <f t="shared" si="99"/>
        <v>II</v>
      </c>
      <c r="DR35" s="97" t="str">
        <f t="shared" si="100"/>
        <v/>
      </c>
      <c r="DS35" s="98">
        <f t="shared" si="101"/>
        <v>0</v>
      </c>
      <c r="DT35" s="98">
        <f t="shared" si="102"/>
        <v>0</v>
      </c>
      <c r="DU35" s="98">
        <f t="shared" si="103"/>
        <v>0</v>
      </c>
      <c r="DV35" s="98">
        <f t="shared" si="104"/>
        <v>0</v>
      </c>
      <c r="DW35" s="98">
        <f t="shared" si="105"/>
        <v>0</v>
      </c>
      <c r="DX35" s="98" t="str">
        <f t="shared" si="106"/>
        <v/>
      </c>
      <c r="DY35" s="99" t="str">
        <f t="shared" si="107"/>
        <v>PASS</v>
      </c>
      <c r="DZ35" s="74" t="str">
        <f>IF('Marks Entry'!AY35="","",'Marks Entry'!AY35)</f>
        <v/>
      </c>
      <c r="EA35" s="74" t="str">
        <f>IF('Marks Entry'!AZ35="","",'Marks Entry'!AZ35)</f>
        <v/>
      </c>
      <c r="EB35" s="74" t="str">
        <f>IF('Marks Entry'!BA35="","",'Marks Entry'!BA35)</f>
        <v/>
      </c>
      <c r="EC35" s="527" t="str">
        <f t="shared" si="52"/>
        <v/>
      </c>
      <c r="ED35" s="74" t="str">
        <f>IF('Marks Entry'!BB35="","",'Marks Entry'!BB35)</f>
        <v/>
      </c>
      <c r="EE35" s="528" t="str">
        <f t="shared" si="53"/>
        <v/>
      </c>
      <c r="EF35" s="74" t="str">
        <f>IF('Marks Entry'!BC35="","",'Marks Entry'!BC35)</f>
        <v/>
      </c>
      <c r="EG35" s="530" t="str">
        <f t="shared" si="54"/>
        <v/>
      </c>
      <c r="EH35" s="368" t="str">
        <f t="shared" si="108"/>
        <v/>
      </c>
      <c r="EI35" s="65">
        <f t="shared" si="109"/>
        <v>0</v>
      </c>
      <c r="EJ35" s="65">
        <f t="shared" si="110"/>
        <v>0</v>
      </c>
      <c r="EK35" s="66" t="str">
        <f t="shared" si="111"/>
        <v/>
      </c>
      <c r="EL35" s="74" t="str">
        <f>IF('Marks Entry'!BD35="","",'Marks Entry'!BD35)</f>
        <v/>
      </c>
      <c r="EM35" s="74" t="str">
        <f>IF('Marks Entry'!BE35="","",'Marks Entry'!BE35)</f>
        <v/>
      </c>
      <c r="EN35" s="74" t="str">
        <f>IF('Marks Entry'!BF35="","",'Marks Entry'!BF35)</f>
        <v/>
      </c>
      <c r="EO35" s="527" t="str">
        <f t="shared" si="55"/>
        <v/>
      </c>
      <c r="EP35" s="74" t="str">
        <f>IF('Marks Entry'!BG35="","",'Marks Entry'!BG35)</f>
        <v/>
      </c>
      <c r="EQ35" s="74" t="str">
        <f>IF('Marks Entry'!BH35="","",'Marks Entry'!BH35)</f>
        <v/>
      </c>
      <c r="ER35" s="528" t="str">
        <f t="shared" si="56"/>
        <v/>
      </c>
      <c r="ES35" s="529" t="str">
        <f t="shared" si="57"/>
        <v/>
      </c>
      <c r="ET35" s="74" t="str">
        <f>IF('Marks Entry'!BI35="","",'Marks Entry'!BI35)</f>
        <v/>
      </c>
      <c r="EU35" s="74" t="str">
        <f>IF('Marks Entry'!BJ35="","",'Marks Entry'!BJ35)</f>
        <v/>
      </c>
      <c r="EV35" s="528" t="str">
        <f t="shared" si="58"/>
        <v/>
      </c>
      <c r="EW35" s="530" t="str">
        <f t="shared" si="59"/>
        <v/>
      </c>
      <c r="EX35" s="368" t="str">
        <f t="shared" si="112"/>
        <v/>
      </c>
      <c r="EY35" s="65">
        <f t="shared" si="113"/>
        <v>0</v>
      </c>
      <c r="EZ35" s="65">
        <f t="shared" si="114"/>
        <v>0</v>
      </c>
      <c r="FA35" s="66" t="str">
        <f t="shared" si="115"/>
        <v/>
      </c>
      <c r="FB35" s="74" t="str">
        <f>IF('Marks Entry'!BK35="","",'Marks Entry'!BK35)</f>
        <v/>
      </c>
      <c r="FC35" s="74" t="str">
        <f>IF('Marks Entry'!BL35="","",'Marks Entry'!BL35)</f>
        <v/>
      </c>
      <c r="FD35" s="74" t="str">
        <f>IF('Marks Entry'!BM35="","",'Marks Entry'!BM35)</f>
        <v/>
      </c>
      <c r="FE35" s="74" t="str">
        <f>IF('Marks Entry'!BN35="","",'Marks Entry'!BN35)</f>
        <v/>
      </c>
      <c r="FF35" s="74" t="str">
        <f>IF('Marks Entry'!BO35="","",'Marks Entry'!BO35)</f>
        <v/>
      </c>
      <c r="FG35" s="74" t="str">
        <f>IF('Marks Entry'!BP35="","",'Marks Entry'!BP35)</f>
        <v/>
      </c>
      <c r="FH35" s="527" t="str">
        <f t="shared" si="60"/>
        <v/>
      </c>
      <c r="FI35" s="74" t="str">
        <f>IF('Marks Entry'!BQ35="","",'Marks Entry'!BQ35)</f>
        <v/>
      </c>
      <c r="FJ35" s="74" t="str">
        <f>IF('Marks Entry'!BR35="","",'Marks Entry'!BR35)</f>
        <v/>
      </c>
      <c r="FK35" s="528" t="str">
        <f t="shared" si="61"/>
        <v/>
      </c>
      <c r="FL35" s="529" t="str">
        <f t="shared" si="62"/>
        <v/>
      </c>
      <c r="FM35" s="74" t="str">
        <f>IF('Marks Entry'!BS35="","",'Marks Entry'!BS35)</f>
        <v/>
      </c>
      <c r="FN35" s="74" t="str">
        <f>IF('Marks Entry'!BT35="","",'Marks Entry'!BT35)</f>
        <v/>
      </c>
      <c r="FO35" s="528" t="str">
        <f t="shared" si="63"/>
        <v/>
      </c>
      <c r="FP35" s="530" t="str">
        <f t="shared" si="64"/>
        <v/>
      </c>
      <c r="FQ35" s="368" t="str">
        <f t="shared" si="116"/>
        <v/>
      </c>
      <c r="FR35" s="65">
        <f t="shared" si="117"/>
        <v>0</v>
      </c>
      <c r="FS35" s="65">
        <f t="shared" si="118"/>
        <v>0</v>
      </c>
      <c r="FT35" s="66" t="str">
        <f t="shared" si="119"/>
        <v/>
      </c>
      <c r="FU35" s="74" t="str">
        <f>IF('Marks Entry'!BU35="","",'Marks Entry'!BU35)</f>
        <v/>
      </c>
      <c r="FV35" s="74" t="str">
        <f>IF('Marks Entry'!BV35="","",'Marks Entry'!BV35)</f>
        <v/>
      </c>
      <c r="FW35" s="74" t="str">
        <f>IF('Marks Entry'!BW35="","",'Marks Entry'!BW35)</f>
        <v/>
      </c>
      <c r="FX35" s="75" t="str">
        <f t="shared" si="65"/>
        <v/>
      </c>
      <c r="FY35" s="368" t="str">
        <f t="shared" si="120"/>
        <v/>
      </c>
      <c r="FZ35" s="65">
        <f t="shared" si="121"/>
        <v>0</v>
      </c>
      <c r="GA35" s="66">
        <f t="shared" si="122"/>
        <v>0</v>
      </c>
      <c r="GB35" s="66" t="str">
        <f t="shared" si="123"/>
        <v/>
      </c>
      <c r="GC35" s="74" t="str">
        <f>IF('Marks Entry'!BX35="","",'Marks Entry'!BX35)</f>
        <v/>
      </c>
      <c r="GD35" s="74" t="str">
        <f>IF('Marks Entry'!BY35="","",'Marks Entry'!BY35)</f>
        <v/>
      </c>
      <c r="GE35" s="74" t="str">
        <f>IF('Marks Entry'!BZ35="","",'Marks Entry'!BZ35)</f>
        <v/>
      </c>
      <c r="GF35" s="75" t="str">
        <f t="shared" si="124"/>
        <v/>
      </c>
      <c r="GG35" s="368" t="str">
        <f t="shared" si="125"/>
        <v/>
      </c>
      <c r="GH35" s="65">
        <f t="shared" si="126"/>
        <v>0</v>
      </c>
      <c r="GI35" s="66">
        <f t="shared" si="127"/>
        <v>0</v>
      </c>
      <c r="GJ35" s="66" t="str">
        <f t="shared" si="128"/>
        <v/>
      </c>
      <c r="GK35" s="100" t="str">
        <f>IF(AND(F35="",B35=""),"",IF('Student DATA Entry'!M32="","",'Student DATA Entry'!M32))</f>
        <v/>
      </c>
      <c r="GL35" s="101" t="str">
        <f>IF(AND(B35="",F35=""),"",IF('Student DATA Entry'!N32="","",'Student DATA Entry'!N32))</f>
        <v/>
      </c>
      <c r="GM35" s="581" t="str">
        <f t="shared" si="129"/>
        <v/>
      </c>
      <c r="GN35" s="94" t="str">
        <f t="shared" si="130"/>
        <v>II</v>
      </c>
      <c r="GO35" s="94" t="str">
        <f t="shared" si="131"/>
        <v/>
      </c>
      <c r="GP35" s="102" t="str">
        <f t="shared" si="67"/>
        <v/>
      </c>
      <c r="GQ35" s="94" t="str">
        <f t="shared" si="132"/>
        <v>D</v>
      </c>
      <c r="GR35" s="103" t="str">
        <f t="shared" si="133"/>
        <v/>
      </c>
      <c r="GS35" s="102" t="str">
        <f t="shared" si="68"/>
        <v/>
      </c>
      <c r="GT35" s="104" t="str">
        <f t="shared" si="134"/>
        <v>II</v>
      </c>
      <c r="GU35" s="94" t="str">
        <f>IF('Marks Entry'!V35=1,GT35,"")</f>
        <v/>
      </c>
      <c r="GV35" s="94" t="str">
        <f>IF('Marks Entry'!V35=2,GT35,"")</f>
        <v>II</v>
      </c>
      <c r="GW35" s="94" t="str">
        <f>IF('Marks Entry'!V35=3,GT35,"")</f>
        <v/>
      </c>
      <c r="GX35" s="94" t="str">
        <f>IF('Marks Entry'!V35=4,GT35,"")</f>
        <v/>
      </c>
      <c r="GY35" s="94" t="str">
        <f>IF('Marks Entry'!V35=5,GT35,"")</f>
        <v/>
      </c>
      <c r="GZ35" s="94" t="str">
        <f t="shared" si="135"/>
        <v/>
      </c>
      <c r="HA35" s="105" t="str">
        <f t="shared" si="69"/>
        <v/>
      </c>
      <c r="HB35" s="94" t="str">
        <f t="shared" si="136"/>
        <v>II</v>
      </c>
      <c r="HC35" s="94" t="str">
        <f t="shared" si="137"/>
        <v/>
      </c>
      <c r="HD35" s="105" t="str">
        <f t="shared" si="70"/>
        <v/>
      </c>
      <c r="HE35" s="94" t="str">
        <f t="shared" si="138"/>
        <v>II</v>
      </c>
      <c r="HF35" s="94" t="str">
        <f t="shared" si="139"/>
        <v/>
      </c>
      <c r="HG35" s="105" t="str">
        <f t="shared" si="71"/>
        <v/>
      </c>
      <c r="HH35" s="94" t="str">
        <f t="shared" si="140"/>
        <v>II</v>
      </c>
      <c r="HI35" s="94" t="str">
        <f t="shared" si="141"/>
        <v/>
      </c>
      <c r="HJ35" s="105" t="str">
        <f t="shared" si="72"/>
        <v/>
      </c>
      <c r="HK35" s="94" t="str">
        <f t="shared" si="142"/>
        <v/>
      </c>
      <c r="HL35" s="94" t="str">
        <f t="shared" si="143"/>
        <v/>
      </c>
      <c r="HM35" s="105" t="str">
        <f t="shared" si="73"/>
        <v/>
      </c>
      <c r="HN35" s="367" t="str">
        <f t="shared" si="144"/>
        <v xml:space="preserve">      </v>
      </c>
      <c r="HO35" s="418" t="str">
        <f t="shared" si="145"/>
        <v xml:space="preserve">      </v>
      </c>
      <c r="HP35" s="367" t="str">
        <f t="shared" si="146"/>
        <v xml:space="preserve">      </v>
      </c>
      <c r="HQ35" s="107" t="str">
        <f t="shared" si="147"/>
        <v xml:space="preserve">      </v>
      </c>
      <c r="HR35" s="366" t="str">
        <f t="shared" si="148"/>
        <v xml:space="preserve"> अंग्रेजी     </v>
      </c>
      <c r="HS35" s="544" t="str">
        <f t="shared" si="74"/>
        <v>PASS</v>
      </c>
      <c r="HT35" s="542">
        <f t="shared" si="149"/>
        <v>738</v>
      </c>
      <c r="HU35" s="541">
        <f t="shared" si="160"/>
        <v>61.5</v>
      </c>
      <c r="HV35" s="540" t="str">
        <f t="shared" si="150"/>
        <v>1st</v>
      </c>
      <c r="HW35" s="537">
        <f t="shared" si="151"/>
        <v>61.5</v>
      </c>
      <c r="HX35" s="539">
        <f t="shared" si="152"/>
        <v>10.00000000000008</v>
      </c>
      <c r="HY35" s="553" t="str">
        <f>IFERROR(IF(OR(HS35="SUPPLEMENTARY",HS35="RE-EXAM"),'Supp. Result Entry'!AQ33,""),"")</f>
        <v/>
      </c>
      <c r="HZ35" s="538" t="str">
        <f t="shared" si="153"/>
        <v/>
      </c>
      <c r="IA35" s="415" t="str">
        <f t="shared" si="154"/>
        <v/>
      </c>
      <c r="IB35" s="415" t="str">
        <f>IF(AND(HZ35="",IA35=""),"",IF(OR(HS35="SUPPLEMENTARY",HS35="RE-EXAM"),'Supp. Result Entry'!AQ33,HS35))</f>
        <v/>
      </c>
      <c r="IC35" s="87"/>
      <c r="IS35" s="109" t="str">
        <f>IF('Supp. Result Entry'!T33="","",'Supp. Result Entry'!$T$4)</f>
        <v/>
      </c>
      <c r="IT35" s="110" t="str">
        <f>IF('Supp. Result Entry'!W33="","",'Supp. Result Entry'!$W$4)</f>
        <v/>
      </c>
      <c r="IU35" s="110" t="str">
        <f>IF('Supp. Result Entry'!Z33="","",'Supp. Result Entry'!$Z$4)</f>
        <v/>
      </c>
      <c r="IV35" s="110" t="str">
        <f>IF('Supp. Result Entry'!AC33="","",'Supp. Result Entry'!$AC$4)</f>
        <v/>
      </c>
      <c r="IW35" s="110" t="str">
        <f>IF('Supp. Result Entry'!AF33="","",'Supp. Result Entry'!$AF$4)</f>
        <v/>
      </c>
      <c r="IX35" s="110" t="str">
        <f>IF('Supp. Result Entry'!AI33="","",'Supp. Result Entry'!$AI$4)</f>
        <v/>
      </c>
      <c r="IY35" s="110" t="str">
        <f>IF('Supp. Result Entry'!AI33="","",'Supp. Result Entry'!$AL$4)</f>
        <v/>
      </c>
      <c r="IZ35" s="110" t="str">
        <f>IF('Supp. Result Entry'!U33="","",'Supp. Result Entry'!U33)</f>
        <v/>
      </c>
      <c r="JA35" s="110" t="str">
        <f>IF('Supp. Result Entry'!X33="","",'Supp. Result Entry'!X33)</f>
        <v/>
      </c>
      <c r="JB35" s="110" t="str">
        <f>IF('Supp. Result Entry'!AA33="","",'Supp. Result Entry'!AA33)</f>
        <v/>
      </c>
      <c r="JC35" s="110" t="str">
        <f>IF('Supp. Result Entry'!AD33="","",'Supp. Result Entry'!AD33)</f>
        <v/>
      </c>
      <c r="JD35" s="110" t="str">
        <f>IF('Supp. Result Entry'!AG33="","",'Supp. Result Entry'!AG33)</f>
        <v/>
      </c>
      <c r="JE35" s="110" t="str">
        <f>IF('Supp. Result Entry'!AJ33="","",'Supp. Result Entry'!AJ33)</f>
        <v/>
      </c>
      <c r="JF35" s="110" t="str">
        <f>IF('Supp. Result Entry'!AM33="","",'Supp. Result Entry'!AM33)</f>
        <v/>
      </c>
      <c r="JG35" s="110" t="str">
        <f>IF('Supp. Result Entry'!V33="","",'Supp. Result Entry'!V33)</f>
        <v/>
      </c>
      <c r="JH35" s="110" t="str">
        <f>IF('Supp. Result Entry'!Y33="","",'Supp. Result Entry'!Y33)</f>
        <v/>
      </c>
      <c r="JI35" s="110" t="str">
        <f>IF('Supp. Result Entry'!AB33="","",'Supp. Result Entry'!AB33)</f>
        <v/>
      </c>
      <c r="JJ35" s="110" t="str">
        <f>IF('Supp. Result Entry'!AE33="","",'Supp. Result Entry'!AE33)</f>
        <v/>
      </c>
      <c r="JK35" s="110" t="str">
        <f>IF('Supp. Result Entry'!AH33="","",'Supp. Result Entry'!AH33)</f>
        <v/>
      </c>
      <c r="JL35" s="110" t="str">
        <f>IF('Supp. Result Entry'!AK33="","",'Supp. Result Entry'!AK33)</f>
        <v/>
      </c>
      <c r="JM35" s="110" t="str">
        <f>IF('Supp. Result Entry'!AN33="","",'Supp. Result Entry'!AN33)</f>
        <v/>
      </c>
      <c r="JN35" s="110">
        <f>COUNTIF('Supp. Result Entry'!K33:Q33,"S")</f>
        <v>0</v>
      </c>
      <c r="JO35" s="110">
        <f t="shared" si="155"/>
        <v>0</v>
      </c>
      <c r="JP35" s="110">
        <f t="shared" si="156"/>
        <v>0</v>
      </c>
      <c r="JQ35" s="110" t="str">
        <f t="shared" si="75"/>
        <v/>
      </c>
      <c r="JR35" s="110" t="str">
        <f t="shared" si="76"/>
        <v/>
      </c>
      <c r="JS35" s="110" t="str">
        <f t="shared" si="77"/>
        <v/>
      </c>
      <c r="JT35" s="110" t="str">
        <f t="shared" si="78"/>
        <v/>
      </c>
      <c r="JU35" s="110" t="str">
        <f t="shared" si="79"/>
        <v/>
      </c>
      <c r="JV35" s="110" t="str">
        <f t="shared" si="80"/>
        <v/>
      </c>
      <c r="JW35" s="110" t="str">
        <f t="shared" si="81"/>
        <v/>
      </c>
      <c r="JX35" s="110" t="str">
        <f t="shared" si="157"/>
        <v/>
      </c>
      <c r="JY35" s="110" t="str">
        <f t="shared" si="158"/>
        <v/>
      </c>
      <c r="JZ35" s="110" t="str">
        <f t="shared" si="82"/>
        <v/>
      </c>
      <c r="KA35" s="108" t="str">
        <f t="shared" si="159"/>
        <v/>
      </c>
    </row>
    <row r="36" spans="1:287" s="108" customFormat="1" ht="21.95" customHeight="1">
      <c r="A36" s="89">
        <v>30</v>
      </c>
      <c r="B36" s="90">
        <f>IF('Marks Entry'!B36="","",'Marks Entry'!B36)</f>
        <v>930</v>
      </c>
      <c r="C36" s="94" t="str">
        <f>IF('Marks Entry'!D36="","",'Marks Entry'!D36)</f>
        <v>A</v>
      </c>
      <c r="D36" s="91" t="str">
        <f>IF('Marks Entry'!E36="","",'Marks Entry'!E36)</f>
        <v/>
      </c>
      <c r="E36" s="92" t="str">
        <f>IF('Marks Entry'!F36="","",'Marks Entry'!F36)</f>
        <v/>
      </c>
      <c r="F36" s="93" t="str">
        <f>IF('Marks Entry'!G36="","",'Marks Entry'!G36)</f>
        <v>DEVENDRA</v>
      </c>
      <c r="G36" s="93" t="str">
        <f>IF('Marks Entry'!H36="","",'Marks Entry'!H36)</f>
        <v/>
      </c>
      <c r="H36" s="93" t="str">
        <f>IF('Marks Entry'!I36="","",'Marks Entry'!I36)</f>
        <v/>
      </c>
      <c r="I36" s="94" t="str">
        <f>IF('Marks Entry'!J36="","",'Marks Entry'!J36)</f>
        <v/>
      </c>
      <c r="J36" s="95" t="str">
        <f>IF('Marks Entry'!K36="","",'Marks Entry'!K36)</f>
        <v/>
      </c>
      <c r="K36" s="68">
        <f>IF('Marks Entry'!L36="","",'Marks Entry'!L36)</f>
        <v>8</v>
      </c>
      <c r="L36" s="68">
        <f>IF('Marks Entry'!M36="","",'Marks Entry'!M36)</f>
        <v>9</v>
      </c>
      <c r="M36" s="68">
        <f>IF('Marks Entry'!N36="","",'Marks Entry'!N36)</f>
        <v>8</v>
      </c>
      <c r="N36" s="514">
        <f t="shared" si="83"/>
        <v>25</v>
      </c>
      <c r="O36" s="68">
        <f>IF('Marks Entry'!O36="","",'Marks Entry'!O36)</f>
        <v>46</v>
      </c>
      <c r="P36" s="515">
        <f t="shared" si="84"/>
        <v>71</v>
      </c>
      <c r="Q36" s="68">
        <f>IF('Marks Entry'!P36="","",'Marks Entry'!P36)</f>
        <v>45</v>
      </c>
      <c r="R36" s="96">
        <f t="shared" si="85"/>
        <v>116</v>
      </c>
      <c r="S36" s="65">
        <f t="shared" si="86"/>
        <v>0</v>
      </c>
      <c r="T36" s="65">
        <f t="shared" si="87"/>
        <v>0</v>
      </c>
      <c r="U36" s="66">
        <f t="shared" si="88"/>
        <v>200</v>
      </c>
      <c r="V36" s="65" t="str">
        <f t="shared" si="89"/>
        <v/>
      </c>
      <c r="W36" s="65" t="str">
        <f t="shared" si="90"/>
        <v>P</v>
      </c>
      <c r="X36" s="65" t="str">
        <f t="shared" si="91"/>
        <v>II</v>
      </c>
      <c r="Y36" s="68">
        <f>IF('Marks Entry'!Q36="","",'Marks Entry'!Q36)</f>
        <v>8</v>
      </c>
      <c r="Z36" s="68">
        <f>IF('Marks Entry'!R36="","",'Marks Entry'!R36)</f>
        <v>9</v>
      </c>
      <c r="AA36" s="68">
        <f>IF('Marks Entry'!S36="","",'Marks Entry'!S36)</f>
        <v>7</v>
      </c>
      <c r="AB36" s="514">
        <f t="shared" si="2"/>
        <v>24</v>
      </c>
      <c r="AC36" s="68">
        <f>IF('Marks Entry'!T36="","",'Marks Entry'!T36)</f>
        <v>60</v>
      </c>
      <c r="AD36" s="515">
        <f t="shared" si="3"/>
        <v>84</v>
      </c>
      <c r="AE36" s="68">
        <f>IF('Marks Entry'!U36="","",'Marks Entry'!U36)</f>
        <v>85</v>
      </c>
      <c r="AF36" s="96">
        <f t="shared" si="4"/>
        <v>169</v>
      </c>
      <c r="AG36" s="65">
        <f t="shared" si="5"/>
        <v>0</v>
      </c>
      <c r="AH36" s="65">
        <f t="shared" si="6"/>
        <v>0</v>
      </c>
      <c r="AI36" s="66">
        <f t="shared" si="7"/>
        <v>200</v>
      </c>
      <c r="AJ36" s="65" t="str">
        <f t="shared" si="8"/>
        <v/>
      </c>
      <c r="AK36" s="65" t="str">
        <f t="shared" si="9"/>
        <v>P</v>
      </c>
      <c r="AL36" s="65" t="str">
        <f t="shared" si="10"/>
        <v>D</v>
      </c>
      <c r="AM36" s="524" t="str">
        <f>IF('Marks Entry'!V36="","",IF('Marks Entry'!V36=1,'School Profile'!$I$9,IF('Marks Entry'!V36=2,'School Profile'!$I$10,IF('Marks Entry'!V36=3,'School Profile'!$I$11,IF('Marks Entry'!V36=4,'School Profile'!$I$12,IF('Marks Entry'!V36=5,'School Profile'!$I$13,IF('Marks Entry'!V36=6,'School Profile'!$I$14,"")))))))</f>
        <v>संस्कृत (71)</v>
      </c>
      <c r="AN36" s="68">
        <f>IF('Marks Entry'!W36="","",'Marks Entry'!W36)</f>
        <v>8</v>
      </c>
      <c r="AO36" s="68">
        <f>IF('Marks Entry'!X36="","",'Marks Entry'!X36)</f>
        <v>9</v>
      </c>
      <c r="AP36" s="68" t="str">
        <f>IF('Marks Entry'!Y36="","",'Marks Entry'!Y36)</f>
        <v/>
      </c>
      <c r="AQ36" s="514">
        <f t="shared" si="11"/>
        <v>17</v>
      </c>
      <c r="AR36" s="68">
        <f>IF('Marks Entry'!Z36="","",'Marks Entry'!Z36)</f>
        <v>46</v>
      </c>
      <c r="AS36" s="515">
        <f t="shared" si="12"/>
        <v>63</v>
      </c>
      <c r="AT36" s="68">
        <f>IF('Marks Entry'!AA36="","",'Marks Entry'!AA36)</f>
        <v>45</v>
      </c>
      <c r="AU36" s="96">
        <f t="shared" si="13"/>
        <v>108</v>
      </c>
      <c r="AV36" s="65">
        <f t="shared" si="14"/>
        <v>0</v>
      </c>
      <c r="AW36" s="65">
        <f t="shared" si="15"/>
        <v>0</v>
      </c>
      <c r="AX36" s="66">
        <f t="shared" si="16"/>
        <v>200</v>
      </c>
      <c r="AY36" s="65" t="str">
        <f t="shared" si="17"/>
        <v/>
      </c>
      <c r="AZ36" s="65" t="str">
        <f t="shared" si="18"/>
        <v>P</v>
      </c>
      <c r="BA36" s="65" t="str">
        <f t="shared" si="19"/>
        <v>II</v>
      </c>
      <c r="BB36" s="68">
        <f>IF('Marks Entry'!AB36="","",'Marks Entry'!AB36)</f>
        <v>8</v>
      </c>
      <c r="BC36" s="68">
        <f>IF('Marks Entry'!AC36="","",'Marks Entry'!AC36)</f>
        <v>9</v>
      </c>
      <c r="BD36" s="68">
        <f>IF('Marks Entry'!AD36="","",'Marks Entry'!AD36)</f>
        <v>7</v>
      </c>
      <c r="BE36" s="514">
        <f t="shared" si="20"/>
        <v>24</v>
      </c>
      <c r="BF36" s="68">
        <f>IF('Marks Entry'!AE36="","",'Marks Entry'!AE36)</f>
        <v>46</v>
      </c>
      <c r="BG36" s="515">
        <f t="shared" si="21"/>
        <v>70</v>
      </c>
      <c r="BH36" s="68">
        <f>IF('Marks Entry'!AF36="","",'Marks Entry'!AF36)</f>
        <v>45</v>
      </c>
      <c r="BI36" s="96">
        <f t="shared" si="22"/>
        <v>115</v>
      </c>
      <c r="BJ36" s="65">
        <f t="shared" si="23"/>
        <v>0</v>
      </c>
      <c r="BK36" s="65">
        <f t="shared" si="92"/>
        <v>0</v>
      </c>
      <c r="BL36" s="66">
        <f t="shared" si="24"/>
        <v>200</v>
      </c>
      <c r="BM36" s="65" t="str">
        <f t="shared" si="25"/>
        <v/>
      </c>
      <c r="BN36" s="65" t="str">
        <f t="shared" si="26"/>
        <v>P</v>
      </c>
      <c r="BO36" s="65" t="str">
        <f t="shared" si="27"/>
        <v>II</v>
      </c>
      <c r="BP36" s="68">
        <f>IF('Marks Entry'!AG36="","",'Marks Entry'!AG36)</f>
        <v>8</v>
      </c>
      <c r="BQ36" s="68">
        <f>IF('Marks Entry'!AH36="","",'Marks Entry'!AH36)</f>
        <v>9</v>
      </c>
      <c r="BR36" s="68">
        <f>IF('Marks Entry'!AI36="","",'Marks Entry'!AI36)</f>
        <v>7</v>
      </c>
      <c r="BS36" s="514">
        <f t="shared" si="28"/>
        <v>24</v>
      </c>
      <c r="BT36" s="68">
        <f>IF('Marks Entry'!AJ36="","",'Marks Entry'!AJ36)</f>
        <v>46</v>
      </c>
      <c r="BU36" s="515">
        <f t="shared" si="29"/>
        <v>70</v>
      </c>
      <c r="BV36" s="68">
        <f>IF('Marks Entry'!AK36="","",'Marks Entry'!AK36)</f>
        <v>45</v>
      </c>
      <c r="BW36" s="96">
        <f t="shared" si="30"/>
        <v>115</v>
      </c>
      <c r="BX36" s="65">
        <f t="shared" si="31"/>
        <v>0</v>
      </c>
      <c r="BY36" s="65">
        <f t="shared" si="32"/>
        <v>0</v>
      </c>
      <c r="BZ36" s="66">
        <f t="shared" si="33"/>
        <v>200</v>
      </c>
      <c r="CA36" s="65" t="str">
        <f t="shared" si="34"/>
        <v/>
      </c>
      <c r="CB36" s="65" t="str">
        <f t="shared" si="35"/>
        <v>P</v>
      </c>
      <c r="CC36" s="65" t="str">
        <f t="shared" si="36"/>
        <v>II</v>
      </c>
      <c r="CD36" s="66">
        <f t="shared" si="93"/>
        <v>0</v>
      </c>
      <c r="CE36" s="68">
        <f>IF('Marks Entry'!AL36="","",'Marks Entry'!AL36)</f>
        <v>8</v>
      </c>
      <c r="CF36" s="68">
        <f>IF('Marks Entry'!AM36="","",'Marks Entry'!AM36)</f>
        <v>8</v>
      </c>
      <c r="CG36" s="68">
        <f>IF('Marks Entry'!AN36="","",'Marks Entry'!AN36)</f>
        <v>8</v>
      </c>
      <c r="CH36" s="514">
        <f t="shared" si="37"/>
        <v>24</v>
      </c>
      <c r="CI36" s="68">
        <f>IF('Marks Entry'!AO36="","",'Marks Entry'!AO36)</f>
        <v>46</v>
      </c>
      <c r="CJ36" s="515">
        <f t="shared" si="38"/>
        <v>70</v>
      </c>
      <c r="CK36" s="68">
        <f>IF('Marks Entry'!AP36="","",'Marks Entry'!AP36)</f>
        <v>45</v>
      </c>
      <c r="CL36" s="96">
        <f t="shared" si="39"/>
        <v>115</v>
      </c>
      <c r="CM36" s="65">
        <f t="shared" si="40"/>
        <v>0</v>
      </c>
      <c r="CN36" s="65">
        <f t="shared" si="41"/>
        <v>0</v>
      </c>
      <c r="CO36" s="66">
        <f t="shared" si="42"/>
        <v>200</v>
      </c>
      <c r="CP36" s="65" t="str">
        <f t="shared" si="43"/>
        <v/>
      </c>
      <c r="CQ36" s="65" t="str">
        <f t="shared" si="44"/>
        <v>P</v>
      </c>
      <c r="CR36" s="65" t="str">
        <f t="shared" si="45"/>
        <v>II</v>
      </c>
      <c r="CS36" s="616"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8" t="str">
        <f>IF('School Profile'!$D$20="NO","",IF('Marks Entry'!AR36="","",'Marks Entry'!AR36))</f>
        <v/>
      </c>
      <c r="CU36" s="68" t="str">
        <f>IF('School Profile'!$D$20="NO","",IF('Marks Entry'!AS36="","",'Marks Entry'!AS36))</f>
        <v/>
      </c>
      <c r="CV36" s="68" t="str">
        <f>IF('School Profile'!$D$20="NO","",IF('Marks Entry'!AT36="","",'Marks Entry'!AT36))</f>
        <v/>
      </c>
      <c r="CW36" s="514" t="str">
        <f>IF('School Profile'!$D$20="NO","",IF(AND(CT36="",CU36="",CV36=""),"",SUM(CT36:CV36)))</f>
        <v/>
      </c>
      <c r="CX36" s="68" t="str">
        <f>IF('School Profile'!$D$20="NO","",IF('Marks Entry'!AU36="","",'Marks Entry'!AU36))</f>
        <v/>
      </c>
      <c r="CY36" s="68" t="str">
        <f>IF('School Profile'!$D$20="NO","",IF('Marks Entry'!AV36="","",'Marks Entry'!AV36))</f>
        <v/>
      </c>
      <c r="CZ36" s="515" t="str">
        <f>IF('School Profile'!$D$20="NO","",IF(AND(CX36="",CY36=""),"",SUM(CX36,CY36)))</f>
        <v/>
      </c>
      <c r="DA36" s="69" t="str">
        <f>IF('School Profile'!$D$20="NO","",IF(AND(CW36="",CZ36=""),"",SUM(CW36+CZ36)))</f>
        <v/>
      </c>
      <c r="DB36" s="68" t="str">
        <f>IF('School Profile'!$D$20="NO","",IF('Marks Entry'!AW36="","",'Marks Entry'!AW36))</f>
        <v/>
      </c>
      <c r="DC36" s="68" t="str">
        <f>IF('School Profile'!$D$20="NO","",IF('Marks Entry'!AX36="","",'Marks Entry'!AX36))</f>
        <v/>
      </c>
      <c r="DD36" s="515" t="str">
        <f>IF('School Profile'!$D$20="NO","",IF(AND(DB36="",DC36=""),"",SUM(DB36,DC36)))</f>
        <v/>
      </c>
      <c r="DE36" s="96" t="str">
        <f>IF('School Profile'!$D$20="NO","",IF(AND(DA36="",DD36=""),"",SUM(DA36,DD36)))</f>
        <v/>
      </c>
      <c r="DF36" s="532">
        <f t="shared" si="46"/>
        <v>0</v>
      </c>
      <c r="DG36" s="65">
        <f t="shared" si="47"/>
        <v>0</v>
      </c>
      <c r="DH36" s="66" t="str">
        <f t="shared" si="48"/>
        <v/>
      </c>
      <c r="DI36" s="65" t="str">
        <f t="shared" si="49"/>
        <v/>
      </c>
      <c r="DJ36" s="65" t="str">
        <f t="shared" si="50"/>
        <v/>
      </c>
      <c r="DK36" s="65" t="str">
        <f t="shared" si="51"/>
        <v/>
      </c>
      <c r="DL36" s="97" t="str">
        <f t="shared" si="94"/>
        <v>II</v>
      </c>
      <c r="DM36" s="97" t="str">
        <f t="shared" si="95"/>
        <v>D</v>
      </c>
      <c r="DN36" s="97" t="str">
        <f t="shared" si="96"/>
        <v>II</v>
      </c>
      <c r="DO36" s="97" t="str">
        <f t="shared" si="97"/>
        <v>II</v>
      </c>
      <c r="DP36" s="97" t="str">
        <f t="shared" si="98"/>
        <v>II</v>
      </c>
      <c r="DQ36" s="97" t="str">
        <f t="shared" si="99"/>
        <v>II</v>
      </c>
      <c r="DR36" s="97" t="str">
        <f t="shared" si="100"/>
        <v/>
      </c>
      <c r="DS36" s="98">
        <f t="shared" si="101"/>
        <v>0</v>
      </c>
      <c r="DT36" s="98">
        <f t="shared" si="102"/>
        <v>0</v>
      </c>
      <c r="DU36" s="98">
        <f t="shared" si="103"/>
        <v>0</v>
      </c>
      <c r="DV36" s="98">
        <f t="shared" si="104"/>
        <v>0</v>
      </c>
      <c r="DW36" s="98">
        <f t="shared" si="105"/>
        <v>0</v>
      </c>
      <c r="DX36" s="98" t="str">
        <f t="shared" si="106"/>
        <v/>
      </c>
      <c r="DY36" s="99" t="str">
        <f t="shared" si="107"/>
        <v>PASS</v>
      </c>
      <c r="DZ36" s="74" t="str">
        <f>IF('Marks Entry'!AY36="","",'Marks Entry'!AY36)</f>
        <v/>
      </c>
      <c r="EA36" s="74" t="str">
        <f>IF('Marks Entry'!AZ36="","",'Marks Entry'!AZ36)</f>
        <v/>
      </c>
      <c r="EB36" s="74" t="str">
        <f>IF('Marks Entry'!BA36="","",'Marks Entry'!BA36)</f>
        <v/>
      </c>
      <c r="EC36" s="527" t="str">
        <f t="shared" si="52"/>
        <v/>
      </c>
      <c r="ED36" s="74" t="str">
        <f>IF('Marks Entry'!BB36="","",'Marks Entry'!BB36)</f>
        <v/>
      </c>
      <c r="EE36" s="528" t="str">
        <f t="shared" si="53"/>
        <v/>
      </c>
      <c r="EF36" s="74" t="str">
        <f>IF('Marks Entry'!BC36="","",'Marks Entry'!BC36)</f>
        <v/>
      </c>
      <c r="EG36" s="530" t="str">
        <f t="shared" si="54"/>
        <v/>
      </c>
      <c r="EH36" s="368" t="str">
        <f t="shared" si="108"/>
        <v/>
      </c>
      <c r="EI36" s="65">
        <f t="shared" si="109"/>
        <v>0</v>
      </c>
      <c r="EJ36" s="65">
        <f t="shared" si="110"/>
        <v>0</v>
      </c>
      <c r="EK36" s="66" t="str">
        <f t="shared" si="111"/>
        <v/>
      </c>
      <c r="EL36" s="74" t="str">
        <f>IF('Marks Entry'!BD36="","",'Marks Entry'!BD36)</f>
        <v/>
      </c>
      <c r="EM36" s="74" t="str">
        <f>IF('Marks Entry'!BE36="","",'Marks Entry'!BE36)</f>
        <v/>
      </c>
      <c r="EN36" s="74" t="str">
        <f>IF('Marks Entry'!BF36="","",'Marks Entry'!BF36)</f>
        <v/>
      </c>
      <c r="EO36" s="527" t="str">
        <f t="shared" si="55"/>
        <v/>
      </c>
      <c r="EP36" s="74" t="str">
        <f>IF('Marks Entry'!BG36="","",'Marks Entry'!BG36)</f>
        <v/>
      </c>
      <c r="EQ36" s="74" t="str">
        <f>IF('Marks Entry'!BH36="","",'Marks Entry'!BH36)</f>
        <v/>
      </c>
      <c r="ER36" s="528" t="str">
        <f t="shared" si="56"/>
        <v/>
      </c>
      <c r="ES36" s="529" t="str">
        <f t="shared" si="57"/>
        <v/>
      </c>
      <c r="ET36" s="74" t="str">
        <f>IF('Marks Entry'!BI36="","",'Marks Entry'!BI36)</f>
        <v/>
      </c>
      <c r="EU36" s="74" t="str">
        <f>IF('Marks Entry'!BJ36="","",'Marks Entry'!BJ36)</f>
        <v/>
      </c>
      <c r="EV36" s="528" t="str">
        <f t="shared" si="58"/>
        <v/>
      </c>
      <c r="EW36" s="530" t="str">
        <f t="shared" si="59"/>
        <v/>
      </c>
      <c r="EX36" s="368" t="str">
        <f t="shared" si="112"/>
        <v/>
      </c>
      <c r="EY36" s="65">
        <f t="shared" si="113"/>
        <v>0</v>
      </c>
      <c r="EZ36" s="65">
        <f t="shared" si="114"/>
        <v>0</v>
      </c>
      <c r="FA36" s="66" t="str">
        <f t="shared" si="115"/>
        <v/>
      </c>
      <c r="FB36" s="74" t="str">
        <f>IF('Marks Entry'!BK36="","",'Marks Entry'!BK36)</f>
        <v/>
      </c>
      <c r="FC36" s="74" t="str">
        <f>IF('Marks Entry'!BL36="","",'Marks Entry'!BL36)</f>
        <v/>
      </c>
      <c r="FD36" s="74" t="str">
        <f>IF('Marks Entry'!BM36="","",'Marks Entry'!BM36)</f>
        <v/>
      </c>
      <c r="FE36" s="74" t="str">
        <f>IF('Marks Entry'!BN36="","",'Marks Entry'!BN36)</f>
        <v/>
      </c>
      <c r="FF36" s="74" t="str">
        <f>IF('Marks Entry'!BO36="","",'Marks Entry'!BO36)</f>
        <v/>
      </c>
      <c r="FG36" s="74" t="str">
        <f>IF('Marks Entry'!BP36="","",'Marks Entry'!BP36)</f>
        <v/>
      </c>
      <c r="FH36" s="527" t="str">
        <f t="shared" si="60"/>
        <v/>
      </c>
      <c r="FI36" s="74" t="str">
        <f>IF('Marks Entry'!BQ36="","",'Marks Entry'!BQ36)</f>
        <v/>
      </c>
      <c r="FJ36" s="74" t="str">
        <f>IF('Marks Entry'!BR36="","",'Marks Entry'!BR36)</f>
        <v/>
      </c>
      <c r="FK36" s="528" t="str">
        <f t="shared" si="61"/>
        <v/>
      </c>
      <c r="FL36" s="529" t="str">
        <f t="shared" si="62"/>
        <v/>
      </c>
      <c r="FM36" s="74" t="str">
        <f>IF('Marks Entry'!BS36="","",'Marks Entry'!BS36)</f>
        <v/>
      </c>
      <c r="FN36" s="74" t="str">
        <f>IF('Marks Entry'!BT36="","",'Marks Entry'!BT36)</f>
        <v/>
      </c>
      <c r="FO36" s="528" t="str">
        <f t="shared" si="63"/>
        <v/>
      </c>
      <c r="FP36" s="530" t="str">
        <f t="shared" si="64"/>
        <v/>
      </c>
      <c r="FQ36" s="368" t="str">
        <f t="shared" si="116"/>
        <v/>
      </c>
      <c r="FR36" s="65">
        <f t="shared" si="117"/>
        <v>0</v>
      </c>
      <c r="FS36" s="65">
        <f t="shared" si="118"/>
        <v>0</v>
      </c>
      <c r="FT36" s="66" t="str">
        <f t="shared" si="119"/>
        <v/>
      </c>
      <c r="FU36" s="74" t="str">
        <f>IF('Marks Entry'!BU36="","",'Marks Entry'!BU36)</f>
        <v/>
      </c>
      <c r="FV36" s="74" t="str">
        <f>IF('Marks Entry'!BV36="","",'Marks Entry'!BV36)</f>
        <v/>
      </c>
      <c r="FW36" s="74" t="str">
        <f>IF('Marks Entry'!BW36="","",'Marks Entry'!BW36)</f>
        <v/>
      </c>
      <c r="FX36" s="75" t="str">
        <f t="shared" si="65"/>
        <v/>
      </c>
      <c r="FY36" s="368" t="str">
        <f t="shared" si="120"/>
        <v/>
      </c>
      <c r="FZ36" s="65">
        <f t="shared" si="121"/>
        <v>0</v>
      </c>
      <c r="GA36" s="66">
        <f t="shared" si="122"/>
        <v>0</v>
      </c>
      <c r="GB36" s="66" t="str">
        <f t="shared" si="123"/>
        <v/>
      </c>
      <c r="GC36" s="74" t="str">
        <f>IF('Marks Entry'!BX36="","",'Marks Entry'!BX36)</f>
        <v/>
      </c>
      <c r="GD36" s="74" t="str">
        <f>IF('Marks Entry'!BY36="","",'Marks Entry'!BY36)</f>
        <v/>
      </c>
      <c r="GE36" s="74" t="str">
        <f>IF('Marks Entry'!BZ36="","",'Marks Entry'!BZ36)</f>
        <v/>
      </c>
      <c r="GF36" s="75" t="str">
        <f t="shared" si="124"/>
        <v/>
      </c>
      <c r="GG36" s="368" t="str">
        <f t="shared" si="125"/>
        <v/>
      </c>
      <c r="GH36" s="65">
        <f t="shared" si="126"/>
        <v>0</v>
      </c>
      <c r="GI36" s="66">
        <f t="shared" si="127"/>
        <v>0</v>
      </c>
      <c r="GJ36" s="66" t="str">
        <f t="shared" si="128"/>
        <v/>
      </c>
      <c r="GK36" s="100" t="str">
        <f>IF(AND(F36="",B36=""),"",IF('Student DATA Entry'!M33="","",'Student DATA Entry'!M33))</f>
        <v/>
      </c>
      <c r="GL36" s="101" t="str">
        <f>IF(AND(B36="",F36=""),"",IF('Student DATA Entry'!N33="","",'Student DATA Entry'!N33))</f>
        <v/>
      </c>
      <c r="GM36" s="581" t="str">
        <f t="shared" si="129"/>
        <v/>
      </c>
      <c r="GN36" s="94" t="str">
        <f t="shared" si="130"/>
        <v>II</v>
      </c>
      <c r="GO36" s="94" t="str">
        <f t="shared" si="131"/>
        <v/>
      </c>
      <c r="GP36" s="102" t="str">
        <f t="shared" si="67"/>
        <v/>
      </c>
      <c r="GQ36" s="94" t="str">
        <f t="shared" si="132"/>
        <v>D</v>
      </c>
      <c r="GR36" s="103" t="str">
        <f t="shared" si="133"/>
        <v/>
      </c>
      <c r="GS36" s="102" t="str">
        <f t="shared" si="68"/>
        <v/>
      </c>
      <c r="GT36" s="104" t="str">
        <f t="shared" si="134"/>
        <v>II</v>
      </c>
      <c r="GU36" s="94" t="str">
        <f>IF('Marks Entry'!V36=1,GT36,"")</f>
        <v>II</v>
      </c>
      <c r="GV36" s="94" t="str">
        <f>IF('Marks Entry'!V36=2,GT36,"")</f>
        <v/>
      </c>
      <c r="GW36" s="94" t="str">
        <f>IF('Marks Entry'!V36=3,GT36,"")</f>
        <v/>
      </c>
      <c r="GX36" s="94" t="str">
        <f>IF('Marks Entry'!V36=4,GT36,"")</f>
        <v/>
      </c>
      <c r="GY36" s="94" t="str">
        <f>IF('Marks Entry'!V36=5,GT36,"")</f>
        <v/>
      </c>
      <c r="GZ36" s="94" t="str">
        <f t="shared" si="135"/>
        <v/>
      </c>
      <c r="HA36" s="105" t="str">
        <f t="shared" si="69"/>
        <v/>
      </c>
      <c r="HB36" s="94" t="str">
        <f t="shared" si="136"/>
        <v>II</v>
      </c>
      <c r="HC36" s="94" t="str">
        <f t="shared" si="137"/>
        <v/>
      </c>
      <c r="HD36" s="105" t="str">
        <f t="shared" si="70"/>
        <v/>
      </c>
      <c r="HE36" s="94" t="str">
        <f t="shared" si="138"/>
        <v>II</v>
      </c>
      <c r="HF36" s="94" t="str">
        <f t="shared" si="139"/>
        <v/>
      </c>
      <c r="HG36" s="105" t="str">
        <f t="shared" si="71"/>
        <v/>
      </c>
      <c r="HH36" s="94" t="str">
        <f t="shared" si="140"/>
        <v>II</v>
      </c>
      <c r="HI36" s="94" t="str">
        <f t="shared" si="141"/>
        <v/>
      </c>
      <c r="HJ36" s="105" t="str">
        <f t="shared" si="72"/>
        <v/>
      </c>
      <c r="HK36" s="94" t="str">
        <f t="shared" si="142"/>
        <v/>
      </c>
      <c r="HL36" s="94" t="str">
        <f t="shared" si="143"/>
        <v/>
      </c>
      <c r="HM36" s="105" t="str">
        <f t="shared" si="73"/>
        <v/>
      </c>
      <c r="HN36" s="367" t="str">
        <f t="shared" si="144"/>
        <v xml:space="preserve">      </v>
      </c>
      <c r="HO36" s="418" t="str">
        <f t="shared" si="145"/>
        <v xml:space="preserve">      </v>
      </c>
      <c r="HP36" s="367" t="str">
        <f t="shared" si="146"/>
        <v xml:space="preserve">      </v>
      </c>
      <c r="HQ36" s="107" t="str">
        <f t="shared" si="147"/>
        <v xml:space="preserve">      </v>
      </c>
      <c r="HR36" s="366" t="str">
        <f t="shared" si="148"/>
        <v xml:space="preserve"> अंग्रेजी     </v>
      </c>
      <c r="HS36" s="544" t="str">
        <f t="shared" si="74"/>
        <v>PASS</v>
      </c>
      <c r="HT36" s="542">
        <f t="shared" si="149"/>
        <v>738</v>
      </c>
      <c r="HU36" s="541">
        <f t="shared" si="160"/>
        <v>61.5</v>
      </c>
      <c r="HV36" s="540" t="str">
        <f t="shared" si="150"/>
        <v>1st</v>
      </c>
      <c r="HW36" s="537">
        <f t="shared" si="151"/>
        <v>61.5</v>
      </c>
      <c r="HX36" s="539">
        <f t="shared" si="152"/>
        <v>10.00000000000008</v>
      </c>
      <c r="HY36" s="553" t="str">
        <f>IFERROR(IF(OR(HS36="SUPPLEMENTARY",HS36="RE-EXAM"),'Supp. Result Entry'!AQ34,""),"")</f>
        <v/>
      </c>
      <c r="HZ36" s="538" t="str">
        <f t="shared" si="153"/>
        <v/>
      </c>
      <c r="IA36" s="415" t="str">
        <f t="shared" si="154"/>
        <v/>
      </c>
      <c r="IB36" s="415" t="str">
        <f>IF(AND(HZ36="",IA36=""),"",IF(OR(HS36="SUPPLEMENTARY",HS36="RE-EXAM"),'Supp. Result Entry'!AQ34,HS36))</f>
        <v/>
      </c>
      <c r="IC36" s="87"/>
      <c r="IS36" s="109" t="str">
        <f>IF('Supp. Result Entry'!T34="","",'Supp. Result Entry'!$T$4)</f>
        <v/>
      </c>
      <c r="IT36" s="110" t="str">
        <f>IF('Supp. Result Entry'!W34="","",'Supp. Result Entry'!$W$4)</f>
        <v/>
      </c>
      <c r="IU36" s="110" t="str">
        <f>IF('Supp. Result Entry'!Z34="","",'Supp. Result Entry'!$Z$4)</f>
        <v/>
      </c>
      <c r="IV36" s="110" t="str">
        <f>IF('Supp. Result Entry'!AC34="","",'Supp. Result Entry'!$AC$4)</f>
        <v/>
      </c>
      <c r="IW36" s="110" t="str">
        <f>IF('Supp. Result Entry'!AF34="","",'Supp. Result Entry'!$AF$4)</f>
        <v/>
      </c>
      <c r="IX36" s="110" t="str">
        <f>IF('Supp. Result Entry'!AI34="","",'Supp. Result Entry'!$AI$4)</f>
        <v/>
      </c>
      <c r="IY36" s="110" t="str">
        <f>IF('Supp. Result Entry'!AI34="","",'Supp. Result Entry'!$AL$4)</f>
        <v/>
      </c>
      <c r="IZ36" s="110" t="str">
        <f>IF('Supp. Result Entry'!U34="","",'Supp. Result Entry'!U34)</f>
        <v/>
      </c>
      <c r="JA36" s="110" t="str">
        <f>IF('Supp. Result Entry'!X34="","",'Supp. Result Entry'!X34)</f>
        <v/>
      </c>
      <c r="JB36" s="110" t="str">
        <f>IF('Supp. Result Entry'!AA34="","",'Supp. Result Entry'!AA34)</f>
        <v/>
      </c>
      <c r="JC36" s="110" t="str">
        <f>IF('Supp. Result Entry'!AD34="","",'Supp. Result Entry'!AD34)</f>
        <v/>
      </c>
      <c r="JD36" s="110" t="str">
        <f>IF('Supp. Result Entry'!AG34="","",'Supp. Result Entry'!AG34)</f>
        <v/>
      </c>
      <c r="JE36" s="110" t="str">
        <f>IF('Supp. Result Entry'!AJ34="","",'Supp. Result Entry'!AJ34)</f>
        <v/>
      </c>
      <c r="JF36" s="110" t="str">
        <f>IF('Supp. Result Entry'!AM34="","",'Supp. Result Entry'!AM34)</f>
        <v/>
      </c>
      <c r="JG36" s="110" t="str">
        <f>IF('Supp. Result Entry'!V34="","",'Supp. Result Entry'!V34)</f>
        <v/>
      </c>
      <c r="JH36" s="110" t="str">
        <f>IF('Supp. Result Entry'!Y34="","",'Supp. Result Entry'!Y34)</f>
        <v/>
      </c>
      <c r="JI36" s="110" t="str">
        <f>IF('Supp. Result Entry'!AB34="","",'Supp. Result Entry'!AB34)</f>
        <v/>
      </c>
      <c r="JJ36" s="110" t="str">
        <f>IF('Supp. Result Entry'!AE34="","",'Supp. Result Entry'!AE34)</f>
        <v/>
      </c>
      <c r="JK36" s="110" t="str">
        <f>IF('Supp. Result Entry'!AH34="","",'Supp. Result Entry'!AH34)</f>
        <v/>
      </c>
      <c r="JL36" s="110" t="str">
        <f>IF('Supp. Result Entry'!AK34="","",'Supp. Result Entry'!AK34)</f>
        <v/>
      </c>
      <c r="JM36" s="110" t="str">
        <f>IF('Supp. Result Entry'!AN34="","",'Supp. Result Entry'!AN34)</f>
        <v/>
      </c>
      <c r="JN36" s="110">
        <f>COUNTIF('Supp. Result Entry'!K34:Q34,"S")</f>
        <v>0</v>
      </c>
      <c r="JO36" s="110">
        <f t="shared" si="155"/>
        <v>0</v>
      </c>
      <c r="JP36" s="110">
        <f t="shared" si="156"/>
        <v>0</v>
      </c>
      <c r="JQ36" s="110" t="str">
        <f t="shared" si="75"/>
        <v/>
      </c>
      <c r="JR36" s="110" t="str">
        <f t="shared" si="76"/>
        <v/>
      </c>
      <c r="JS36" s="110" t="str">
        <f t="shared" si="77"/>
        <v/>
      </c>
      <c r="JT36" s="110" t="str">
        <f t="shared" si="78"/>
        <v/>
      </c>
      <c r="JU36" s="110" t="str">
        <f t="shared" si="79"/>
        <v/>
      </c>
      <c r="JV36" s="110" t="str">
        <f t="shared" si="80"/>
        <v/>
      </c>
      <c r="JW36" s="110" t="str">
        <f t="shared" si="81"/>
        <v/>
      </c>
      <c r="JX36" s="110" t="str">
        <f t="shared" si="157"/>
        <v/>
      </c>
      <c r="JY36" s="110" t="str">
        <f t="shared" si="158"/>
        <v/>
      </c>
      <c r="JZ36" s="110" t="str">
        <f t="shared" si="82"/>
        <v/>
      </c>
      <c r="KA36" s="108" t="str">
        <f t="shared" si="159"/>
        <v/>
      </c>
    </row>
    <row r="37" spans="1:287" s="108" customFormat="1" ht="21.95" customHeight="1">
      <c r="A37" s="89">
        <v>31</v>
      </c>
      <c r="B37" s="90">
        <f>IF('Marks Entry'!B37="","",'Marks Entry'!B37)</f>
        <v>931</v>
      </c>
      <c r="C37" s="94" t="str">
        <f>IF('Marks Entry'!D37="","",'Marks Entry'!D37)</f>
        <v>A</v>
      </c>
      <c r="D37" s="91" t="str">
        <f>IF('Marks Entry'!E37="","",'Marks Entry'!E37)</f>
        <v/>
      </c>
      <c r="E37" s="92" t="str">
        <f>IF('Marks Entry'!F37="","",'Marks Entry'!F37)</f>
        <v/>
      </c>
      <c r="F37" s="93" t="str">
        <f>IF('Marks Entry'!G37="","",'Marks Entry'!G37)</f>
        <v>RAVINDRA</v>
      </c>
      <c r="G37" s="93" t="str">
        <f>IF('Marks Entry'!H37="","",'Marks Entry'!H37)</f>
        <v/>
      </c>
      <c r="H37" s="93" t="str">
        <f>IF('Marks Entry'!I37="","",'Marks Entry'!I37)</f>
        <v/>
      </c>
      <c r="I37" s="94" t="str">
        <f>IF('Marks Entry'!J37="","",'Marks Entry'!J37)</f>
        <v/>
      </c>
      <c r="J37" s="95" t="str">
        <f>IF('Marks Entry'!K37="","",'Marks Entry'!K37)</f>
        <v/>
      </c>
      <c r="K37" s="68">
        <f>IF('Marks Entry'!L37="","",'Marks Entry'!L37)</f>
        <v>8</v>
      </c>
      <c r="L37" s="68">
        <f>IF('Marks Entry'!M37="","",'Marks Entry'!M37)</f>
        <v>9</v>
      </c>
      <c r="M37" s="68">
        <f>IF('Marks Entry'!N37="","",'Marks Entry'!N37)</f>
        <v>8</v>
      </c>
      <c r="N37" s="514">
        <f t="shared" si="83"/>
        <v>25</v>
      </c>
      <c r="O37" s="68">
        <f>IF('Marks Entry'!O37="","",'Marks Entry'!O37)</f>
        <v>46</v>
      </c>
      <c r="P37" s="515">
        <f t="shared" si="84"/>
        <v>71</v>
      </c>
      <c r="Q37" s="68">
        <f>IF('Marks Entry'!P37="","",'Marks Entry'!P37)</f>
        <v>45</v>
      </c>
      <c r="R37" s="96">
        <f t="shared" si="85"/>
        <v>116</v>
      </c>
      <c r="S37" s="65">
        <f t="shared" si="86"/>
        <v>0</v>
      </c>
      <c r="T37" s="65">
        <f t="shared" si="87"/>
        <v>0</v>
      </c>
      <c r="U37" s="66">
        <f t="shared" si="88"/>
        <v>200</v>
      </c>
      <c r="V37" s="65" t="str">
        <f t="shared" si="89"/>
        <v/>
      </c>
      <c r="W37" s="65" t="str">
        <f t="shared" si="90"/>
        <v>P</v>
      </c>
      <c r="X37" s="65" t="str">
        <f t="shared" si="91"/>
        <v>II</v>
      </c>
      <c r="Y37" s="68">
        <f>IF('Marks Entry'!Q37="","",'Marks Entry'!Q37)</f>
        <v>8</v>
      </c>
      <c r="Z37" s="68">
        <f>IF('Marks Entry'!R37="","",'Marks Entry'!R37)</f>
        <v>9</v>
      </c>
      <c r="AA37" s="68">
        <f>IF('Marks Entry'!S37="","",'Marks Entry'!S37)</f>
        <v>7</v>
      </c>
      <c r="AB37" s="514">
        <f t="shared" si="2"/>
        <v>24</v>
      </c>
      <c r="AC37" s="68">
        <f>IF('Marks Entry'!T37="","",'Marks Entry'!T37)</f>
        <v>60</v>
      </c>
      <c r="AD37" s="515">
        <f t="shared" si="3"/>
        <v>84</v>
      </c>
      <c r="AE37" s="68">
        <f>IF('Marks Entry'!U37="","",'Marks Entry'!U37)</f>
        <v>85</v>
      </c>
      <c r="AF37" s="96">
        <f t="shared" si="4"/>
        <v>169</v>
      </c>
      <c r="AG37" s="65">
        <f t="shared" si="5"/>
        <v>0</v>
      </c>
      <c r="AH37" s="65">
        <f t="shared" si="6"/>
        <v>0</v>
      </c>
      <c r="AI37" s="66">
        <f t="shared" si="7"/>
        <v>200</v>
      </c>
      <c r="AJ37" s="65" t="str">
        <f t="shared" si="8"/>
        <v/>
      </c>
      <c r="AK37" s="65" t="str">
        <f t="shared" si="9"/>
        <v>P</v>
      </c>
      <c r="AL37" s="65" t="str">
        <f t="shared" si="10"/>
        <v>D</v>
      </c>
      <c r="AM37" s="524" t="str">
        <f>IF('Marks Entry'!V37="","",IF('Marks Entry'!V37=1,'School Profile'!$I$9,IF('Marks Entry'!V37=2,'School Profile'!$I$10,IF('Marks Entry'!V37=3,'School Profile'!$I$11,IF('Marks Entry'!V37=4,'School Profile'!$I$12,IF('Marks Entry'!V37=5,'School Profile'!$I$13,IF('Marks Entry'!V37=6,'School Profile'!$I$14,"")))))))</f>
        <v>संस्कृत (71)</v>
      </c>
      <c r="AN37" s="68">
        <f>IF('Marks Entry'!W37="","",'Marks Entry'!W37)</f>
        <v>8</v>
      </c>
      <c r="AO37" s="68">
        <f>IF('Marks Entry'!X37="","",'Marks Entry'!X37)</f>
        <v>9</v>
      </c>
      <c r="AP37" s="68" t="str">
        <f>IF('Marks Entry'!Y37="","",'Marks Entry'!Y37)</f>
        <v/>
      </c>
      <c r="AQ37" s="514">
        <f t="shared" si="11"/>
        <v>17</v>
      </c>
      <c r="AR37" s="68">
        <f>IF('Marks Entry'!Z37="","",'Marks Entry'!Z37)</f>
        <v>46</v>
      </c>
      <c r="AS37" s="515">
        <f t="shared" si="12"/>
        <v>63</v>
      </c>
      <c r="AT37" s="68">
        <f>IF('Marks Entry'!AA37="","",'Marks Entry'!AA37)</f>
        <v>45</v>
      </c>
      <c r="AU37" s="96">
        <f t="shared" si="13"/>
        <v>108</v>
      </c>
      <c r="AV37" s="65">
        <f t="shared" si="14"/>
        <v>0</v>
      </c>
      <c r="AW37" s="65">
        <f t="shared" si="15"/>
        <v>0</v>
      </c>
      <c r="AX37" s="66">
        <f t="shared" si="16"/>
        <v>200</v>
      </c>
      <c r="AY37" s="65" t="str">
        <f t="shared" si="17"/>
        <v/>
      </c>
      <c r="AZ37" s="65" t="str">
        <f t="shared" si="18"/>
        <v>P</v>
      </c>
      <c r="BA37" s="65" t="str">
        <f t="shared" si="19"/>
        <v>II</v>
      </c>
      <c r="BB37" s="68">
        <f>IF('Marks Entry'!AB37="","",'Marks Entry'!AB37)</f>
        <v>8</v>
      </c>
      <c r="BC37" s="68">
        <f>IF('Marks Entry'!AC37="","",'Marks Entry'!AC37)</f>
        <v>9</v>
      </c>
      <c r="BD37" s="68">
        <f>IF('Marks Entry'!AD37="","",'Marks Entry'!AD37)</f>
        <v>8</v>
      </c>
      <c r="BE37" s="514">
        <f t="shared" si="20"/>
        <v>25</v>
      </c>
      <c r="BF37" s="68">
        <f>IF('Marks Entry'!AE37="","",'Marks Entry'!AE37)</f>
        <v>46</v>
      </c>
      <c r="BG37" s="515">
        <f t="shared" si="21"/>
        <v>71</v>
      </c>
      <c r="BH37" s="68">
        <f>IF('Marks Entry'!AF37="","",'Marks Entry'!AF37)</f>
        <v>45</v>
      </c>
      <c r="BI37" s="96">
        <f t="shared" si="22"/>
        <v>116</v>
      </c>
      <c r="BJ37" s="65">
        <f t="shared" si="23"/>
        <v>0</v>
      </c>
      <c r="BK37" s="65">
        <f t="shared" si="92"/>
        <v>0</v>
      </c>
      <c r="BL37" s="66">
        <f t="shared" si="24"/>
        <v>200</v>
      </c>
      <c r="BM37" s="65" t="str">
        <f t="shared" si="25"/>
        <v/>
      </c>
      <c r="BN37" s="65" t="str">
        <f t="shared" si="26"/>
        <v>P</v>
      </c>
      <c r="BO37" s="65" t="str">
        <f t="shared" si="27"/>
        <v>II</v>
      </c>
      <c r="BP37" s="68">
        <f>IF('Marks Entry'!AG37="","",'Marks Entry'!AG37)</f>
        <v>8</v>
      </c>
      <c r="BQ37" s="68">
        <f>IF('Marks Entry'!AH37="","",'Marks Entry'!AH37)</f>
        <v>9</v>
      </c>
      <c r="BR37" s="68">
        <f>IF('Marks Entry'!AI37="","",'Marks Entry'!AI37)</f>
        <v>7</v>
      </c>
      <c r="BS37" s="514">
        <f t="shared" si="28"/>
        <v>24</v>
      </c>
      <c r="BT37" s="68">
        <f>IF('Marks Entry'!AJ37="","",'Marks Entry'!AJ37)</f>
        <v>46</v>
      </c>
      <c r="BU37" s="515">
        <f t="shared" si="29"/>
        <v>70</v>
      </c>
      <c r="BV37" s="68">
        <f>IF('Marks Entry'!AK37="","",'Marks Entry'!AK37)</f>
        <v>45</v>
      </c>
      <c r="BW37" s="96">
        <f t="shared" si="30"/>
        <v>115</v>
      </c>
      <c r="BX37" s="65">
        <f t="shared" si="31"/>
        <v>0</v>
      </c>
      <c r="BY37" s="65">
        <f t="shared" si="32"/>
        <v>0</v>
      </c>
      <c r="BZ37" s="66">
        <f t="shared" si="33"/>
        <v>200</v>
      </c>
      <c r="CA37" s="65" t="str">
        <f t="shared" si="34"/>
        <v/>
      </c>
      <c r="CB37" s="65" t="str">
        <f t="shared" si="35"/>
        <v>P</v>
      </c>
      <c r="CC37" s="65" t="str">
        <f t="shared" si="36"/>
        <v>II</v>
      </c>
      <c r="CD37" s="66">
        <f t="shared" si="93"/>
        <v>0</v>
      </c>
      <c r="CE37" s="68">
        <f>IF('Marks Entry'!AL37="","",'Marks Entry'!AL37)</f>
        <v>8</v>
      </c>
      <c r="CF37" s="68">
        <f>IF('Marks Entry'!AM37="","",'Marks Entry'!AM37)</f>
        <v>8</v>
      </c>
      <c r="CG37" s="68">
        <f>IF('Marks Entry'!AN37="","",'Marks Entry'!AN37)</f>
        <v>8</v>
      </c>
      <c r="CH37" s="514">
        <f t="shared" si="37"/>
        <v>24</v>
      </c>
      <c r="CI37" s="68">
        <f>IF('Marks Entry'!AO37="","",'Marks Entry'!AO37)</f>
        <v>46</v>
      </c>
      <c r="CJ37" s="515">
        <f t="shared" si="38"/>
        <v>70</v>
      </c>
      <c r="CK37" s="68">
        <f>IF('Marks Entry'!AP37="","",'Marks Entry'!AP37)</f>
        <v>45</v>
      </c>
      <c r="CL37" s="96">
        <f t="shared" si="39"/>
        <v>115</v>
      </c>
      <c r="CM37" s="65">
        <f t="shared" si="40"/>
        <v>0</v>
      </c>
      <c r="CN37" s="65">
        <f t="shared" si="41"/>
        <v>0</v>
      </c>
      <c r="CO37" s="66">
        <f t="shared" si="42"/>
        <v>200</v>
      </c>
      <c r="CP37" s="65" t="str">
        <f t="shared" si="43"/>
        <v/>
      </c>
      <c r="CQ37" s="65" t="str">
        <f t="shared" si="44"/>
        <v>P</v>
      </c>
      <c r="CR37" s="65" t="str">
        <f t="shared" si="45"/>
        <v>II</v>
      </c>
      <c r="CS37" s="616"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8" t="str">
        <f>IF('School Profile'!$D$20="NO","",IF('Marks Entry'!AR37="","",'Marks Entry'!AR37))</f>
        <v/>
      </c>
      <c r="CU37" s="68" t="str">
        <f>IF('School Profile'!$D$20="NO","",IF('Marks Entry'!AS37="","",'Marks Entry'!AS37))</f>
        <v/>
      </c>
      <c r="CV37" s="68" t="str">
        <f>IF('School Profile'!$D$20="NO","",IF('Marks Entry'!AT37="","",'Marks Entry'!AT37))</f>
        <v/>
      </c>
      <c r="CW37" s="514" t="str">
        <f>IF('School Profile'!$D$20="NO","",IF(AND(CT37="",CU37="",CV37=""),"",SUM(CT37:CV37)))</f>
        <v/>
      </c>
      <c r="CX37" s="68" t="str">
        <f>IF('School Profile'!$D$20="NO","",IF('Marks Entry'!AU37="","",'Marks Entry'!AU37))</f>
        <v/>
      </c>
      <c r="CY37" s="68" t="str">
        <f>IF('School Profile'!$D$20="NO","",IF('Marks Entry'!AV37="","",'Marks Entry'!AV37))</f>
        <v/>
      </c>
      <c r="CZ37" s="515" t="str">
        <f>IF('School Profile'!$D$20="NO","",IF(AND(CX37="",CY37=""),"",SUM(CX37,CY37)))</f>
        <v/>
      </c>
      <c r="DA37" s="69" t="str">
        <f>IF('School Profile'!$D$20="NO","",IF(AND(CW37="",CZ37=""),"",SUM(CW37+CZ37)))</f>
        <v/>
      </c>
      <c r="DB37" s="68" t="str">
        <f>IF('School Profile'!$D$20="NO","",IF('Marks Entry'!AW37="","",'Marks Entry'!AW37))</f>
        <v/>
      </c>
      <c r="DC37" s="68" t="str">
        <f>IF('School Profile'!$D$20="NO","",IF('Marks Entry'!AX37="","",'Marks Entry'!AX37))</f>
        <v/>
      </c>
      <c r="DD37" s="515" t="str">
        <f>IF('School Profile'!$D$20="NO","",IF(AND(DB37="",DC37=""),"",SUM(DB37,DC37)))</f>
        <v/>
      </c>
      <c r="DE37" s="96" t="str">
        <f>IF('School Profile'!$D$20="NO","",IF(AND(DA37="",DD37=""),"",SUM(DA37,DD37)))</f>
        <v/>
      </c>
      <c r="DF37" s="532">
        <f t="shared" si="46"/>
        <v>0</v>
      </c>
      <c r="DG37" s="65">
        <f t="shared" si="47"/>
        <v>0</v>
      </c>
      <c r="DH37" s="66" t="str">
        <f t="shared" si="48"/>
        <v/>
      </c>
      <c r="DI37" s="65" t="str">
        <f t="shared" si="49"/>
        <v/>
      </c>
      <c r="DJ37" s="65" t="str">
        <f t="shared" si="50"/>
        <v/>
      </c>
      <c r="DK37" s="65" t="str">
        <f t="shared" si="51"/>
        <v/>
      </c>
      <c r="DL37" s="97" t="str">
        <f t="shared" si="94"/>
        <v>II</v>
      </c>
      <c r="DM37" s="97" t="str">
        <f t="shared" si="95"/>
        <v>D</v>
      </c>
      <c r="DN37" s="97" t="str">
        <f t="shared" si="96"/>
        <v>II</v>
      </c>
      <c r="DO37" s="97" t="str">
        <f t="shared" si="97"/>
        <v>II</v>
      </c>
      <c r="DP37" s="97" t="str">
        <f t="shared" si="98"/>
        <v>II</v>
      </c>
      <c r="DQ37" s="97" t="str">
        <f t="shared" si="99"/>
        <v>II</v>
      </c>
      <c r="DR37" s="97" t="str">
        <f t="shared" si="100"/>
        <v/>
      </c>
      <c r="DS37" s="98">
        <f t="shared" si="101"/>
        <v>0</v>
      </c>
      <c r="DT37" s="98">
        <f t="shared" si="102"/>
        <v>0</v>
      </c>
      <c r="DU37" s="98">
        <f t="shared" si="103"/>
        <v>0</v>
      </c>
      <c r="DV37" s="98">
        <f t="shared" si="104"/>
        <v>0</v>
      </c>
      <c r="DW37" s="98">
        <f t="shared" si="105"/>
        <v>0</v>
      </c>
      <c r="DX37" s="98" t="str">
        <f t="shared" si="106"/>
        <v/>
      </c>
      <c r="DY37" s="99" t="str">
        <f t="shared" si="107"/>
        <v>PASS</v>
      </c>
      <c r="DZ37" s="74" t="str">
        <f>IF('Marks Entry'!AY37="","",'Marks Entry'!AY37)</f>
        <v/>
      </c>
      <c r="EA37" s="74" t="str">
        <f>IF('Marks Entry'!AZ37="","",'Marks Entry'!AZ37)</f>
        <v/>
      </c>
      <c r="EB37" s="74" t="str">
        <f>IF('Marks Entry'!BA37="","",'Marks Entry'!BA37)</f>
        <v/>
      </c>
      <c r="EC37" s="527" t="str">
        <f t="shared" si="52"/>
        <v/>
      </c>
      <c r="ED37" s="74" t="str">
        <f>IF('Marks Entry'!BB37="","",'Marks Entry'!BB37)</f>
        <v/>
      </c>
      <c r="EE37" s="528" t="str">
        <f t="shared" si="53"/>
        <v/>
      </c>
      <c r="EF37" s="74" t="str">
        <f>IF('Marks Entry'!BC37="","",'Marks Entry'!BC37)</f>
        <v/>
      </c>
      <c r="EG37" s="530" t="str">
        <f t="shared" si="54"/>
        <v/>
      </c>
      <c r="EH37" s="368" t="str">
        <f t="shared" si="108"/>
        <v/>
      </c>
      <c r="EI37" s="65">
        <f t="shared" si="109"/>
        <v>0</v>
      </c>
      <c r="EJ37" s="65">
        <f t="shared" si="110"/>
        <v>0</v>
      </c>
      <c r="EK37" s="66" t="str">
        <f t="shared" si="111"/>
        <v/>
      </c>
      <c r="EL37" s="74" t="str">
        <f>IF('Marks Entry'!BD37="","",'Marks Entry'!BD37)</f>
        <v/>
      </c>
      <c r="EM37" s="74" t="str">
        <f>IF('Marks Entry'!BE37="","",'Marks Entry'!BE37)</f>
        <v/>
      </c>
      <c r="EN37" s="74" t="str">
        <f>IF('Marks Entry'!BF37="","",'Marks Entry'!BF37)</f>
        <v/>
      </c>
      <c r="EO37" s="527" t="str">
        <f t="shared" si="55"/>
        <v/>
      </c>
      <c r="EP37" s="74" t="str">
        <f>IF('Marks Entry'!BG37="","",'Marks Entry'!BG37)</f>
        <v/>
      </c>
      <c r="EQ37" s="74" t="str">
        <f>IF('Marks Entry'!BH37="","",'Marks Entry'!BH37)</f>
        <v/>
      </c>
      <c r="ER37" s="528" t="str">
        <f t="shared" si="56"/>
        <v/>
      </c>
      <c r="ES37" s="529" t="str">
        <f t="shared" si="57"/>
        <v/>
      </c>
      <c r="ET37" s="74" t="str">
        <f>IF('Marks Entry'!BI37="","",'Marks Entry'!BI37)</f>
        <v/>
      </c>
      <c r="EU37" s="74" t="str">
        <f>IF('Marks Entry'!BJ37="","",'Marks Entry'!BJ37)</f>
        <v/>
      </c>
      <c r="EV37" s="528" t="str">
        <f t="shared" si="58"/>
        <v/>
      </c>
      <c r="EW37" s="530" t="str">
        <f t="shared" si="59"/>
        <v/>
      </c>
      <c r="EX37" s="368" t="str">
        <f t="shared" si="112"/>
        <v/>
      </c>
      <c r="EY37" s="65">
        <f t="shared" si="113"/>
        <v>0</v>
      </c>
      <c r="EZ37" s="65">
        <f t="shared" si="114"/>
        <v>0</v>
      </c>
      <c r="FA37" s="66" t="str">
        <f t="shared" si="115"/>
        <v/>
      </c>
      <c r="FB37" s="74" t="str">
        <f>IF('Marks Entry'!BK37="","",'Marks Entry'!BK37)</f>
        <v/>
      </c>
      <c r="FC37" s="74" t="str">
        <f>IF('Marks Entry'!BL37="","",'Marks Entry'!BL37)</f>
        <v/>
      </c>
      <c r="FD37" s="74" t="str">
        <f>IF('Marks Entry'!BM37="","",'Marks Entry'!BM37)</f>
        <v/>
      </c>
      <c r="FE37" s="74" t="str">
        <f>IF('Marks Entry'!BN37="","",'Marks Entry'!BN37)</f>
        <v/>
      </c>
      <c r="FF37" s="74" t="str">
        <f>IF('Marks Entry'!BO37="","",'Marks Entry'!BO37)</f>
        <v/>
      </c>
      <c r="FG37" s="74" t="str">
        <f>IF('Marks Entry'!BP37="","",'Marks Entry'!BP37)</f>
        <v/>
      </c>
      <c r="FH37" s="527" t="str">
        <f t="shared" si="60"/>
        <v/>
      </c>
      <c r="FI37" s="74" t="str">
        <f>IF('Marks Entry'!BQ37="","",'Marks Entry'!BQ37)</f>
        <v/>
      </c>
      <c r="FJ37" s="74" t="str">
        <f>IF('Marks Entry'!BR37="","",'Marks Entry'!BR37)</f>
        <v/>
      </c>
      <c r="FK37" s="528" t="str">
        <f t="shared" si="61"/>
        <v/>
      </c>
      <c r="FL37" s="529" t="str">
        <f t="shared" si="62"/>
        <v/>
      </c>
      <c r="FM37" s="74" t="str">
        <f>IF('Marks Entry'!BS37="","",'Marks Entry'!BS37)</f>
        <v/>
      </c>
      <c r="FN37" s="74" t="str">
        <f>IF('Marks Entry'!BT37="","",'Marks Entry'!BT37)</f>
        <v/>
      </c>
      <c r="FO37" s="528" t="str">
        <f t="shared" si="63"/>
        <v/>
      </c>
      <c r="FP37" s="530" t="str">
        <f t="shared" si="64"/>
        <v/>
      </c>
      <c r="FQ37" s="368" t="str">
        <f t="shared" si="116"/>
        <v/>
      </c>
      <c r="FR37" s="65">
        <f t="shared" si="117"/>
        <v>0</v>
      </c>
      <c r="FS37" s="65">
        <f t="shared" si="118"/>
        <v>0</v>
      </c>
      <c r="FT37" s="66" t="str">
        <f t="shared" si="119"/>
        <v/>
      </c>
      <c r="FU37" s="74" t="str">
        <f>IF('Marks Entry'!BU37="","",'Marks Entry'!BU37)</f>
        <v/>
      </c>
      <c r="FV37" s="74" t="str">
        <f>IF('Marks Entry'!BV37="","",'Marks Entry'!BV37)</f>
        <v/>
      </c>
      <c r="FW37" s="74" t="str">
        <f>IF('Marks Entry'!BW37="","",'Marks Entry'!BW37)</f>
        <v/>
      </c>
      <c r="FX37" s="75" t="str">
        <f t="shared" si="65"/>
        <v/>
      </c>
      <c r="FY37" s="368" t="str">
        <f t="shared" si="120"/>
        <v/>
      </c>
      <c r="FZ37" s="65">
        <f t="shared" si="121"/>
        <v>0</v>
      </c>
      <c r="GA37" s="66">
        <f t="shared" si="122"/>
        <v>0</v>
      </c>
      <c r="GB37" s="66" t="str">
        <f t="shared" si="123"/>
        <v/>
      </c>
      <c r="GC37" s="74" t="str">
        <f>IF('Marks Entry'!BX37="","",'Marks Entry'!BX37)</f>
        <v/>
      </c>
      <c r="GD37" s="74" t="str">
        <f>IF('Marks Entry'!BY37="","",'Marks Entry'!BY37)</f>
        <v/>
      </c>
      <c r="GE37" s="74" t="str">
        <f>IF('Marks Entry'!BZ37="","",'Marks Entry'!BZ37)</f>
        <v/>
      </c>
      <c r="GF37" s="75" t="str">
        <f t="shared" si="124"/>
        <v/>
      </c>
      <c r="GG37" s="368" t="str">
        <f t="shared" si="125"/>
        <v/>
      </c>
      <c r="GH37" s="65">
        <f t="shared" si="126"/>
        <v>0</v>
      </c>
      <c r="GI37" s="66">
        <f t="shared" si="127"/>
        <v>0</v>
      </c>
      <c r="GJ37" s="66" t="str">
        <f t="shared" si="128"/>
        <v/>
      </c>
      <c r="GK37" s="100" t="str">
        <f>IF(AND(F37="",B37=""),"",IF('Student DATA Entry'!M34="","",'Student DATA Entry'!M34))</f>
        <v/>
      </c>
      <c r="GL37" s="101" t="str">
        <f>IF(AND(B37="",F37=""),"",IF('Student DATA Entry'!N34="","",'Student DATA Entry'!N34))</f>
        <v/>
      </c>
      <c r="GM37" s="581" t="str">
        <f t="shared" si="129"/>
        <v/>
      </c>
      <c r="GN37" s="94" t="str">
        <f t="shared" si="130"/>
        <v>II</v>
      </c>
      <c r="GO37" s="94" t="str">
        <f t="shared" si="131"/>
        <v/>
      </c>
      <c r="GP37" s="102" t="str">
        <f t="shared" si="67"/>
        <v/>
      </c>
      <c r="GQ37" s="94" t="str">
        <f t="shared" si="132"/>
        <v>D</v>
      </c>
      <c r="GR37" s="103" t="str">
        <f t="shared" si="133"/>
        <v/>
      </c>
      <c r="GS37" s="102" t="str">
        <f t="shared" si="68"/>
        <v/>
      </c>
      <c r="GT37" s="104" t="str">
        <f t="shared" si="134"/>
        <v>II</v>
      </c>
      <c r="GU37" s="94" t="str">
        <f>IF('Marks Entry'!V37=1,GT37,"")</f>
        <v>II</v>
      </c>
      <c r="GV37" s="94" t="str">
        <f>IF('Marks Entry'!V37=2,GT37,"")</f>
        <v/>
      </c>
      <c r="GW37" s="94" t="str">
        <f>IF('Marks Entry'!V37=3,GT37,"")</f>
        <v/>
      </c>
      <c r="GX37" s="94" t="str">
        <f>IF('Marks Entry'!V37=4,GT37,"")</f>
        <v/>
      </c>
      <c r="GY37" s="94" t="str">
        <f>IF('Marks Entry'!V37=5,GT37,"")</f>
        <v/>
      </c>
      <c r="GZ37" s="94" t="str">
        <f t="shared" si="135"/>
        <v/>
      </c>
      <c r="HA37" s="105" t="str">
        <f t="shared" si="69"/>
        <v/>
      </c>
      <c r="HB37" s="94" t="str">
        <f t="shared" si="136"/>
        <v>II</v>
      </c>
      <c r="HC37" s="94" t="str">
        <f t="shared" si="137"/>
        <v/>
      </c>
      <c r="HD37" s="105" t="str">
        <f t="shared" si="70"/>
        <v/>
      </c>
      <c r="HE37" s="94" t="str">
        <f t="shared" si="138"/>
        <v>II</v>
      </c>
      <c r="HF37" s="94" t="str">
        <f t="shared" si="139"/>
        <v/>
      </c>
      <c r="HG37" s="105" t="str">
        <f t="shared" si="71"/>
        <v/>
      </c>
      <c r="HH37" s="94" t="str">
        <f t="shared" si="140"/>
        <v>II</v>
      </c>
      <c r="HI37" s="94" t="str">
        <f t="shared" si="141"/>
        <v/>
      </c>
      <c r="HJ37" s="105" t="str">
        <f t="shared" si="72"/>
        <v/>
      </c>
      <c r="HK37" s="94" t="str">
        <f t="shared" si="142"/>
        <v/>
      </c>
      <c r="HL37" s="94" t="str">
        <f t="shared" si="143"/>
        <v/>
      </c>
      <c r="HM37" s="105" t="str">
        <f t="shared" si="73"/>
        <v/>
      </c>
      <c r="HN37" s="367" t="str">
        <f t="shared" si="144"/>
        <v xml:space="preserve">      </v>
      </c>
      <c r="HO37" s="418" t="str">
        <f t="shared" si="145"/>
        <v xml:space="preserve">      </v>
      </c>
      <c r="HP37" s="367" t="str">
        <f t="shared" si="146"/>
        <v xml:space="preserve">      </v>
      </c>
      <c r="HQ37" s="107" t="str">
        <f t="shared" si="147"/>
        <v xml:space="preserve">      </v>
      </c>
      <c r="HR37" s="366" t="str">
        <f t="shared" si="148"/>
        <v xml:space="preserve"> अंग्रेजी     </v>
      </c>
      <c r="HS37" s="544" t="str">
        <f t="shared" si="74"/>
        <v>PASS</v>
      </c>
      <c r="HT37" s="542">
        <f t="shared" si="149"/>
        <v>739</v>
      </c>
      <c r="HU37" s="541">
        <f t="shared" si="160"/>
        <v>61.583333333333336</v>
      </c>
      <c r="HV37" s="540" t="str">
        <f t="shared" si="150"/>
        <v>1st</v>
      </c>
      <c r="HW37" s="537">
        <f t="shared" si="151"/>
        <v>61.583333333333336</v>
      </c>
      <c r="HX37" s="539">
        <f t="shared" si="152"/>
        <v>9.0000000000000799</v>
      </c>
      <c r="HY37" s="553" t="str">
        <f>IFERROR(IF(OR(HS37="SUPPLEMENTARY",HS37="RE-EXAM"),'Supp. Result Entry'!AQ35,""),"")</f>
        <v/>
      </c>
      <c r="HZ37" s="538" t="str">
        <f t="shared" si="153"/>
        <v/>
      </c>
      <c r="IA37" s="415" t="str">
        <f t="shared" si="154"/>
        <v/>
      </c>
      <c r="IB37" s="415" t="str">
        <f>IF(AND(HZ37="",IA37=""),"",IF(OR(HS37="SUPPLEMENTARY",HS37="RE-EXAM"),'Supp. Result Entry'!AQ35,HS37))</f>
        <v/>
      </c>
      <c r="IC37" s="87"/>
      <c r="ID37" s="111"/>
      <c r="IS37" s="109" t="str">
        <f>IF('Supp. Result Entry'!T35="","",'Supp. Result Entry'!$T$4)</f>
        <v/>
      </c>
      <c r="IT37" s="110" t="str">
        <f>IF('Supp. Result Entry'!W35="","",'Supp. Result Entry'!$W$4)</f>
        <v/>
      </c>
      <c r="IU37" s="110" t="str">
        <f>IF('Supp. Result Entry'!Z35="","",'Supp. Result Entry'!$Z$4)</f>
        <v/>
      </c>
      <c r="IV37" s="110" t="str">
        <f>IF('Supp. Result Entry'!AC35="","",'Supp. Result Entry'!$AC$4)</f>
        <v/>
      </c>
      <c r="IW37" s="110" t="str">
        <f>IF('Supp. Result Entry'!AF35="","",'Supp. Result Entry'!$AF$4)</f>
        <v/>
      </c>
      <c r="IX37" s="110" t="str">
        <f>IF('Supp. Result Entry'!AI35="","",'Supp. Result Entry'!$AI$4)</f>
        <v/>
      </c>
      <c r="IY37" s="110" t="str">
        <f>IF('Supp. Result Entry'!AI35="","",'Supp. Result Entry'!$AL$4)</f>
        <v/>
      </c>
      <c r="IZ37" s="110" t="str">
        <f>IF('Supp. Result Entry'!U35="","",'Supp. Result Entry'!U35)</f>
        <v/>
      </c>
      <c r="JA37" s="110" t="str">
        <f>IF('Supp. Result Entry'!X35="","",'Supp. Result Entry'!X35)</f>
        <v/>
      </c>
      <c r="JB37" s="110" t="str">
        <f>IF('Supp. Result Entry'!AA35="","",'Supp. Result Entry'!AA35)</f>
        <v/>
      </c>
      <c r="JC37" s="110" t="str">
        <f>IF('Supp. Result Entry'!AD35="","",'Supp. Result Entry'!AD35)</f>
        <v/>
      </c>
      <c r="JD37" s="110" t="str">
        <f>IF('Supp. Result Entry'!AG35="","",'Supp. Result Entry'!AG35)</f>
        <v/>
      </c>
      <c r="JE37" s="110" t="str">
        <f>IF('Supp. Result Entry'!AJ35="","",'Supp. Result Entry'!AJ35)</f>
        <v/>
      </c>
      <c r="JF37" s="110" t="str">
        <f>IF('Supp. Result Entry'!AM35="","",'Supp. Result Entry'!AM35)</f>
        <v/>
      </c>
      <c r="JG37" s="110" t="str">
        <f>IF('Supp. Result Entry'!V35="","",'Supp. Result Entry'!V35)</f>
        <v/>
      </c>
      <c r="JH37" s="110" t="str">
        <f>IF('Supp. Result Entry'!Y35="","",'Supp. Result Entry'!Y35)</f>
        <v/>
      </c>
      <c r="JI37" s="110" t="str">
        <f>IF('Supp. Result Entry'!AB35="","",'Supp. Result Entry'!AB35)</f>
        <v/>
      </c>
      <c r="JJ37" s="110" t="str">
        <f>IF('Supp. Result Entry'!AE35="","",'Supp. Result Entry'!AE35)</f>
        <v/>
      </c>
      <c r="JK37" s="110" t="str">
        <f>IF('Supp. Result Entry'!AH35="","",'Supp. Result Entry'!AH35)</f>
        <v/>
      </c>
      <c r="JL37" s="110" t="str">
        <f>IF('Supp. Result Entry'!AK35="","",'Supp. Result Entry'!AK35)</f>
        <v/>
      </c>
      <c r="JM37" s="110" t="str">
        <f>IF('Supp. Result Entry'!AN35="","",'Supp. Result Entry'!AN35)</f>
        <v/>
      </c>
      <c r="JN37" s="110">
        <f>COUNTIF('Supp. Result Entry'!K35:Q35,"S")</f>
        <v>0</v>
      </c>
      <c r="JO37" s="110">
        <f t="shared" si="155"/>
        <v>0</v>
      </c>
      <c r="JP37" s="110">
        <f t="shared" si="156"/>
        <v>0</v>
      </c>
      <c r="JQ37" s="110" t="str">
        <f t="shared" si="75"/>
        <v/>
      </c>
      <c r="JR37" s="110" t="str">
        <f t="shared" si="76"/>
        <v/>
      </c>
      <c r="JS37" s="110" t="str">
        <f t="shared" si="77"/>
        <v/>
      </c>
      <c r="JT37" s="110" t="str">
        <f t="shared" si="78"/>
        <v/>
      </c>
      <c r="JU37" s="110" t="str">
        <f t="shared" si="79"/>
        <v/>
      </c>
      <c r="JV37" s="110" t="str">
        <f t="shared" si="80"/>
        <v/>
      </c>
      <c r="JW37" s="110" t="str">
        <f t="shared" si="81"/>
        <v/>
      </c>
      <c r="JX37" s="110" t="str">
        <f t="shared" si="157"/>
        <v/>
      </c>
      <c r="JY37" s="110" t="str">
        <f t="shared" si="158"/>
        <v/>
      </c>
      <c r="JZ37" s="110" t="str">
        <f t="shared" si="82"/>
        <v/>
      </c>
      <c r="KA37" s="108" t="str">
        <f t="shared" si="159"/>
        <v/>
      </c>
    </row>
    <row r="38" spans="1:287" s="108" customFormat="1" ht="21.95" customHeight="1">
      <c r="A38" s="89">
        <v>32</v>
      </c>
      <c r="B38" s="90" t="str">
        <f>IF('Marks Entry'!B38="","",'Marks Entry'!B38)</f>
        <v/>
      </c>
      <c r="C38" s="94" t="str">
        <f>IF('Marks Entry'!D38="","",'Marks Entry'!D38)</f>
        <v/>
      </c>
      <c r="D38" s="91" t="str">
        <f>IF('Marks Entry'!E38="","",'Marks Entry'!E38)</f>
        <v/>
      </c>
      <c r="E38" s="92" t="str">
        <f>IF('Marks Entry'!F38="","",'Marks Entry'!F38)</f>
        <v/>
      </c>
      <c r="F38" s="93" t="str">
        <f>IF('Marks Entry'!G38="","",'Marks Entry'!G38)</f>
        <v/>
      </c>
      <c r="G38" s="93" t="str">
        <f>IF('Marks Entry'!H38="","",'Marks Entry'!H38)</f>
        <v/>
      </c>
      <c r="H38" s="93" t="str">
        <f>IF('Marks Entry'!I38="","",'Marks Entry'!I38)</f>
        <v/>
      </c>
      <c r="I38" s="94" t="str">
        <f>IF('Marks Entry'!J38="","",'Marks Entry'!J38)</f>
        <v/>
      </c>
      <c r="J38" s="95" t="str">
        <f>IF('Marks Entry'!K38="","",'Marks Entry'!K38)</f>
        <v/>
      </c>
      <c r="K38" s="68" t="str">
        <f>IF('Marks Entry'!L38="","",'Marks Entry'!L38)</f>
        <v/>
      </c>
      <c r="L38" s="68" t="str">
        <f>IF('Marks Entry'!M38="","",'Marks Entry'!M38)</f>
        <v/>
      </c>
      <c r="M38" s="68" t="str">
        <f>IF('Marks Entry'!N38="","",'Marks Entry'!N38)</f>
        <v/>
      </c>
      <c r="N38" s="514" t="str">
        <f t="shared" si="83"/>
        <v/>
      </c>
      <c r="O38" s="68" t="str">
        <f>IF('Marks Entry'!O38="","",'Marks Entry'!O38)</f>
        <v/>
      </c>
      <c r="P38" s="515" t="str">
        <f t="shared" si="84"/>
        <v/>
      </c>
      <c r="Q38" s="68" t="str">
        <f>IF('Marks Entry'!P38="","",'Marks Entry'!P38)</f>
        <v/>
      </c>
      <c r="R38" s="96" t="str">
        <f t="shared" si="85"/>
        <v/>
      </c>
      <c r="S38" s="65">
        <f t="shared" si="86"/>
        <v>0</v>
      </c>
      <c r="T38" s="65">
        <f t="shared" si="87"/>
        <v>0</v>
      </c>
      <c r="U38" s="66" t="str">
        <f t="shared" si="88"/>
        <v/>
      </c>
      <c r="V38" s="65" t="str">
        <f t="shared" si="89"/>
        <v/>
      </c>
      <c r="W38" s="65" t="str">
        <f t="shared" si="90"/>
        <v/>
      </c>
      <c r="X38" s="65" t="str">
        <f t="shared" si="91"/>
        <v/>
      </c>
      <c r="Y38" s="68" t="str">
        <f>IF('Marks Entry'!Q38="","",'Marks Entry'!Q38)</f>
        <v/>
      </c>
      <c r="Z38" s="68" t="str">
        <f>IF('Marks Entry'!R38="","",'Marks Entry'!R38)</f>
        <v/>
      </c>
      <c r="AA38" s="68" t="str">
        <f>IF('Marks Entry'!S38="","",'Marks Entry'!S38)</f>
        <v/>
      </c>
      <c r="AB38" s="514" t="str">
        <f t="shared" si="2"/>
        <v/>
      </c>
      <c r="AC38" s="68" t="str">
        <f>IF('Marks Entry'!T38="","",'Marks Entry'!T38)</f>
        <v/>
      </c>
      <c r="AD38" s="515" t="str">
        <f t="shared" si="3"/>
        <v/>
      </c>
      <c r="AE38" s="68" t="str">
        <f>IF('Marks Entry'!U38="","",'Marks Entry'!U38)</f>
        <v/>
      </c>
      <c r="AF38" s="96" t="str">
        <f t="shared" si="4"/>
        <v/>
      </c>
      <c r="AG38" s="65">
        <f t="shared" si="5"/>
        <v>0</v>
      </c>
      <c r="AH38" s="65">
        <f t="shared" si="6"/>
        <v>0</v>
      </c>
      <c r="AI38" s="66" t="str">
        <f t="shared" si="7"/>
        <v/>
      </c>
      <c r="AJ38" s="65" t="str">
        <f t="shared" si="8"/>
        <v/>
      </c>
      <c r="AK38" s="65" t="str">
        <f t="shared" si="9"/>
        <v/>
      </c>
      <c r="AL38" s="65" t="str">
        <f t="shared" si="10"/>
        <v/>
      </c>
      <c r="AM38" s="524" t="str">
        <f>IF('Marks Entry'!V38="","",IF('Marks Entry'!V38=1,'School Profile'!$I$9,IF('Marks Entry'!V38=2,'School Profile'!$I$10,IF('Marks Entry'!V38=3,'School Profile'!$I$11,IF('Marks Entry'!V38=4,'School Profile'!$I$12,IF('Marks Entry'!V38=5,'School Profile'!$I$13,IF('Marks Entry'!V38=6,'School Profile'!$I$14,"")))))))</f>
        <v/>
      </c>
      <c r="AN38" s="68" t="str">
        <f>IF('Marks Entry'!W38="","",'Marks Entry'!W38)</f>
        <v/>
      </c>
      <c r="AO38" s="68" t="str">
        <f>IF('Marks Entry'!X38="","",'Marks Entry'!X38)</f>
        <v/>
      </c>
      <c r="AP38" s="68" t="str">
        <f>IF('Marks Entry'!Y38="","",'Marks Entry'!Y38)</f>
        <v/>
      </c>
      <c r="AQ38" s="514" t="str">
        <f t="shared" si="11"/>
        <v/>
      </c>
      <c r="AR38" s="68" t="str">
        <f>IF('Marks Entry'!Z38="","",'Marks Entry'!Z38)</f>
        <v/>
      </c>
      <c r="AS38" s="515" t="str">
        <f t="shared" si="12"/>
        <v/>
      </c>
      <c r="AT38" s="68" t="str">
        <f>IF('Marks Entry'!AA38="","",'Marks Entry'!AA38)</f>
        <v/>
      </c>
      <c r="AU38" s="96" t="str">
        <f t="shared" si="13"/>
        <v/>
      </c>
      <c r="AV38" s="65">
        <f t="shared" si="14"/>
        <v>0</v>
      </c>
      <c r="AW38" s="65">
        <f t="shared" si="15"/>
        <v>0</v>
      </c>
      <c r="AX38" s="66" t="str">
        <f t="shared" si="16"/>
        <v/>
      </c>
      <c r="AY38" s="65" t="str">
        <f t="shared" si="17"/>
        <v/>
      </c>
      <c r="AZ38" s="65" t="str">
        <f t="shared" si="18"/>
        <v/>
      </c>
      <c r="BA38" s="65" t="str">
        <f t="shared" si="19"/>
        <v/>
      </c>
      <c r="BB38" s="68" t="str">
        <f>IF('Marks Entry'!AB38="","",'Marks Entry'!AB38)</f>
        <v/>
      </c>
      <c r="BC38" s="68" t="str">
        <f>IF('Marks Entry'!AC38="","",'Marks Entry'!AC38)</f>
        <v/>
      </c>
      <c r="BD38" s="68" t="str">
        <f>IF('Marks Entry'!AD38="","",'Marks Entry'!AD38)</f>
        <v/>
      </c>
      <c r="BE38" s="514" t="str">
        <f t="shared" si="20"/>
        <v/>
      </c>
      <c r="BF38" s="68" t="str">
        <f>IF('Marks Entry'!AE38="","",'Marks Entry'!AE38)</f>
        <v/>
      </c>
      <c r="BG38" s="515" t="str">
        <f t="shared" si="21"/>
        <v/>
      </c>
      <c r="BH38" s="68" t="str">
        <f>IF('Marks Entry'!AF38="","",'Marks Entry'!AF38)</f>
        <v/>
      </c>
      <c r="BI38" s="96" t="str">
        <f t="shared" si="22"/>
        <v/>
      </c>
      <c r="BJ38" s="65">
        <f t="shared" si="23"/>
        <v>0</v>
      </c>
      <c r="BK38" s="65">
        <f t="shared" si="92"/>
        <v>0</v>
      </c>
      <c r="BL38" s="66" t="str">
        <f t="shared" si="24"/>
        <v/>
      </c>
      <c r="BM38" s="65" t="str">
        <f t="shared" si="25"/>
        <v/>
      </c>
      <c r="BN38" s="65" t="str">
        <f t="shared" si="26"/>
        <v/>
      </c>
      <c r="BO38" s="65" t="str">
        <f t="shared" si="27"/>
        <v/>
      </c>
      <c r="BP38" s="68" t="str">
        <f>IF('Marks Entry'!AG38="","",'Marks Entry'!AG38)</f>
        <v/>
      </c>
      <c r="BQ38" s="68" t="str">
        <f>IF('Marks Entry'!AH38="","",'Marks Entry'!AH38)</f>
        <v/>
      </c>
      <c r="BR38" s="68" t="str">
        <f>IF('Marks Entry'!AI38="","",'Marks Entry'!AI38)</f>
        <v/>
      </c>
      <c r="BS38" s="514" t="str">
        <f t="shared" si="28"/>
        <v/>
      </c>
      <c r="BT38" s="68" t="str">
        <f>IF('Marks Entry'!AJ38="","",'Marks Entry'!AJ38)</f>
        <v/>
      </c>
      <c r="BU38" s="515" t="str">
        <f t="shared" si="29"/>
        <v/>
      </c>
      <c r="BV38" s="68" t="str">
        <f>IF('Marks Entry'!AK38="","",'Marks Entry'!AK38)</f>
        <v/>
      </c>
      <c r="BW38" s="96" t="str">
        <f t="shared" si="30"/>
        <v/>
      </c>
      <c r="BX38" s="65">
        <f t="shared" si="31"/>
        <v>0</v>
      </c>
      <c r="BY38" s="65">
        <f t="shared" si="32"/>
        <v>0</v>
      </c>
      <c r="BZ38" s="66" t="str">
        <f t="shared" si="33"/>
        <v/>
      </c>
      <c r="CA38" s="65" t="str">
        <f t="shared" si="34"/>
        <v/>
      </c>
      <c r="CB38" s="65" t="str">
        <f t="shared" si="35"/>
        <v/>
      </c>
      <c r="CC38" s="65" t="str">
        <f t="shared" si="36"/>
        <v/>
      </c>
      <c r="CD38" s="66">
        <f t="shared" si="93"/>
        <v>0</v>
      </c>
      <c r="CE38" s="68" t="str">
        <f>IF('Marks Entry'!AL38="","",'Marks Entry'!AL38)</f>
        <v/>
      </c>
      <c r="CF38" s="68" t="str">
        <f>IF('Marks Entry'!AM38="","",'Marks Entry'!AM38)</f>
        <v/>
      </c>
      <c r="CG38" s="68" t="str">
        <f>IF('Marks Entry'!AN38="","",'Marks Entry'!AN38)</f>
        <v/>
      </c>
      <c r="CH38" s="514" t="str">
        <f t="shared" si="37"/>
        <v/>
      </c>
      <c r="CI38" s="68" t="str">
        <f>IF('Marks Entry'!AO38="","",'Marks Entry'!AO38)</f>
        <v/>
      </c>
      <c r="CJ38" s="515" t="str">
        <f t="shared" si="38"/>
        <v/>
      </c>
      <c r="CK38" s="68" t="str">
        <f>IF('Marks Entry'!AP38="","",'Marks Entry'!AP38)</f>
        <v/>
      </c>
      <c r="CL38" s="96" t="str">
        <f t="shared" si="39"/>
        <v/>
      </c>
      <c r="CM38" s="65">
        <f t="shared" si="40"/>
        <v>0</v>
      </c>
      <c r="CN38" s="65">
        <f t="shared" si="41"/>
        <v>0</v>
      </c>
      <c r="CO38" s="66" t="str">
        <f t="shared" si="42"/>
        <v/>
      </c>
      <c r="CP38" s="65" t="str">
        <f t="shared" si="43"/>
        <v/>
      </c>
      <c r="CQ38" s="65" t="str">
        <f t="shared" si="44"/>
        <v/>
      </c>
      <c r="CR38" s="65" t="str">
        <f t="shared" si="45"/>
        <v/>
      </c>
      <c r="CS38" s="616"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8" t="str">
        <f>IF('School Profile'!$D$20="NO","",IF('Marks Entry'!AR38="","",'Marks Entry'!AR38))</f>
        <v/>
      </c>
      <c r="CU38" s="68" t="str">
        <f>IF('School Profile'!$D$20="NO","",IF('Marks Entry'!AS38="","",'Marks Entry'!AS38))</f>
        <v/>
      </c>
      <c r="CV38" s="68" t="str">
        <f>IF('School Profile'!$D$20="NO","",IF('Marks Entry'!AT38="","",'Marks Entry'!AT38))</f>
        <v/>
      </c>
      <c r="CW38" s="514" t="str">
        <f>IF('School Profile'!$D$20="NO","",IF(AND(CT38="",CU38="",CV38=""),"",SUM(CT38:CV38)))</f>
        <v/>
      </c>
      <c r="CX38" s="68" t="str">
        <f>IF('School Profile'!$D$20="NO","",IF('Marks Entry'!AU38="","",'Marks Entry'!AU38))</f>
        <v/>
      </c>
      <c r="CY38" s="68" t="str">
        <f>IF('School Profile'!$D$20="NO","",IF('Marks Entry'!AV38="","",'Marks Entry'!AV38))</f>
        <v/>
      </c>
      <c r="CZ38" s="515" t="str">
        <f>IF('School Profile'!$D$20="NO","",IF(AND(CX38="",CY38=""),"",SUM(CX38,CY38)))</f>
        <v/>
      </c>
      <c r="DA38" s="69" t="str">
        <f>IF('School Profile'!$D$20="NO","",IF(AND(CW38="",CZ38=""),"",SUM(CW38+CZ38)))</f>
        <v/>
      </c>
      <c r="DB38" s="68" t="str">
        <f>IF('School Profile'!$D$20="NO","",IF('Marks Entry'!AW38="","",'Marks Entry'!AW38))</f>
        <v/>
      </c>
      <c r="DC38" s="68" t="str">
        <f>IF('School Profile'!$D$20="NO","",IF('Marks Entry'!AX38="","",'Marks Entry'!AX38))</f>
        <v/>
      </c>
      <c r="DD38" s="515" t="str">
        <f>IF('School Profile'!$D$20="NO","",IF(AND(DB38="",DC38=""),"",SUM(DB38,DC38)))</f>
        <v/>
      </c>
      <c r="DE38" s="96" t="str">
        <f>IF('School Profile'!$D$20="NO","",IF(AND(DA38="",DD38=""),"",SUM(DA38,DD38)))</f>
        <v/>
      </c>
      <c r="DF38" s="532">
        <f t="shared" si="46"/>
        <v>0</v>
      </c>
      <c r="DG38" s="65">
        <f t="shared" si="47"/>
        <v>0</v>
      </c>
      <c r="DH38" s="66" t="str">
        <f t="shared" si="48"/>
        <v/>
      </c>
      <c r="DI38" s="65" t="str">
        <f t="shared" si="49"/>
        <v/>
      </c>
      <c r="DJ38" s="65" t="str">
        <f t="shared" si="50"/>
        <v/>
      </c>
      <c r="DK38" s="65" t="str">
        <f t="shared" si="51"/>
        <v/>
      </c>
      <c r="DL38" s="97" t="str">
        <f t="shared" si="94"/>
        <v/>
      </c>
      <c r="DM38" s="97" t="str">
        <f t="shared" si="95"/>
        <v/>
      </c>
      <c r="DN38" s="97" t="str">
        <f t="shared" si="96"/>
        <v/>
      </c>
      <c r="DO38" s="97" t="str">
        <f t="shared" si="97"/>
        <v/>
      </c>
      <c r="DP38" s="97" t="str">
        <f t="shared" si="98"/>
        <v/>
      </c>
      <c r="DQ38" s="97" t="str">
        <f t="shared" si="99"/>
        <v/>
      </c>
      <c r="DR38" s="97" t="str">
        <f t="shared" si="100"/>
        <v/>
      </c>
      <c r="DS38" s="98">
        <f t="shared" si="101"/>
        <v>0</v>
      </c>
      <c r="DT38" s="98">
        <f t="shared" si="102"/>
        <v>0</v>
      </c>
      <c r="DU38" s="98">
        <f t="shared" si="103"/>
        <v>0</v>
      </c>
      <c r="DV38" s="98">
        <f t="shared" si="104"/>
        <v>0</v>
      </c>
      <c r="DW38" s="98">
        <f t="shared" si="105"/>
        <v>0</v>
      </c>
      <c r="DX38" s="98" t="str">
        <f t="shared" si="106"/>
        <v/>
      </c>
      <c r="DY38" s="99" t="str">
        <f t="shared" si="107"/>
        <v/>
      </c>
      <c r="DZ38" s="74" t="str">
        <f>IF('Marks Entry'!AY38="","",'Marks Entry'!AY38)</f>
        <v/>
      </c>
      <c r="EA38" s="74" t="str">
        <f>IF('Marks Entry'!AZ38="","",'Marks Entry'!AZ38)</f>
        <v/>
      </c>
      <c r="EB38" s="74" t="str">
        <f>IF('Marks Entry'!BA38="","",'Marks Entry'!BA38)</f>
        <v/>
      </c>
      <c r="EC38" s="527" t="str">
        <f t="shared" si="52"/>
        <v/>
      </c>
      <c r="ED38" s="74" t="str">
        <f>IF('Marks Entry'!BB38="","",'Marks Entry'!BB38)</f>
        <v/>
      </c>
      <c r="EE38" s="528" t="str">
        <f t="shared" si="53"/>
        <v/>
      </c>
      <c r="EF38" s="74" t="str">
        <f>IF('Marks Entry'!BC38="","",'Marks Entry'!BC38)</f>
        <v/>
      </c>
      <c r="EG38" s="530" t="str">
        <f t="shared" si="54"/>
        <v/>
      </c>
      <c r="EH38" s="368" t="str">
        <f t="shared" si="108"/>
        <v/>
      </c>
      <c r="EI38" s="65">
        <f t="shared" si="109"/>
        <v>0</v>
      </c>
      <c r="EJ38" s="65">
        <f t="shared" si="110"/>
        <v>0</v>
      </c>
      <c r="EK38" s="66" t="str">
        <f t="shared" si="111"/>
        <v/>
      </c>
      <c r="EL38" s="74" t="str">
        <f>IF('Marks Entry'!BD38="","",'Marks Entry'!BD38)</f>
        <v/>
      </c>
      <c r="EM38" s="74" t="str">
        <f>IF('Marks Entry'!BE38="","",'Marks Entry'!BE38)</f>
        <v/>
      </c>
      <c r="EN38" s="74" t="str">
        <f>IF('Marks Entry'!BF38="","",'Marks Entry'!BF38)</f>
        <v/>
      </c>
      <c r="EO38" s="527" t="str">
        <f t="shared" si="55"/>
        <v/>
      </c>
      <c r="EP38" s="74" t="str">
        <f>IF('Marks Entry'!BG38="","",'Marks Entry'!BG38)</f>
        <v/>
      </c>
      <c r="EQ38" s="74" t="str">
        <f>IF('Marks Entry'!BH38="","",'Marks Entry'!BH38)</f>
        <v/>
      </c>
      <c r="ER38" s="528" t="str">
        <f t="shared" si="56"/>
        <v/>
      </c>
      <c r="ES38" s="529" t="str">
        <f t="shared" si="57"/>
        <v/>
      </c>
      <c r="ET38" s="74" t="str">
        <f>IF('Marks Entry'!BI38="","",'Marks Entry'!BI38)</f>
        <v/>
      </c>
      <c r="EU38" s="74" t="str">
        <f>IF('Marks Entry'!BJ38="","",'Marks Entry'!BJ38)</f>
        <v/>
      </c>
      <c r="EV38" s="528" t="str">
        <f t="shared" si="58"/>
        <v/>
      </c>
      <c r="EW38" s="530" t="str">
        <f t="shared" si="59"/>
        <v/>
      </c>
      <c r="EX38" s="368" t="str">
        <f t="shared" si="112"/>
        <v/>
      </c>
      <c r="EY38" s="65">
        <f t="shared" si="113"/>
        <v>0</v>
      </c>
      <c r="EZ38" s="65">
        <f t="shared" si="114"/>
        <v>0</v>
      </c>
      <c r="FA38" s="66" t="str">
        <f t="shared" si="115"/>
        <v/>
      </c>
      <c r="FB38" s="74" t="str">
        <f>IF('Marks Entry'!BK38="","",'Marks Entry'!BK38)</f>
        <v/>
      </c>
      <c r="FC38" s="74" t="str">
        <f>IF('Marks Entry'!BL38="","",'Marks Entry'!BL38)</f>
        <v/>
      </c>
      <c r="FD38" s="74" t="str">
        <f>IF('Marks Entry'!BM38="","",'Marks Entry'!BM38)</f>
        <v/>
      </c>
      <c r="FE38" s="74" t="str">
        <f>IF('Marks Entry'!BN38="","",'Marks Entry'!BN38)</f>
        <v/>
      </c>
      <c r="FF38" s="74" t="str">
        <f>IF('Marks Entry'!BO38="","",'Marks Entry'!BO38)</f>
        <v/>
      </c>
      <c r="FG38" s="74" t="str">
        <f>IF('Marks Entry'!BP38="","",'Marks Entry'!BP38)</f>
        <v/>
      </c>
      <c r="FH38" s="527" t="str">
        <f t="shared" si="60"/>
        <v/>
      </c>
      <c r="FI38" s="74" t="str">
        <f>IF('Marks Entry'!BQ38="","",'Marks Entry'!BQ38)</f>
        <v/>
      </c>
      <c r="FJ38" s="74" t="str">
        <f>IF('Marks Entry'!BR38="","",'Marks Entry'!BR38)</f>
        <v/>
      </c>
      <c r="FK38" s="528" t="str">
        <f t="shared" si="61"/>
        <v/>
      </c>
      <c r="FL38" s="529" t="str">
        <f t="shared" si="62"/>
        <v/>
      </c>
      <c r="FM38" s="74" t="str">
        <f>IF('Marks Entry'!BS38="","",'Marks Entry'!BS38)</f>
        <v/>
      </c>
      <c r="FN38" s="74" t="str">
        <f>IF('Marks Entry'!BT38="","",'Marks Entry'!BT38)</f>
        <v/>
      </c>
      <c r="FO38" s="528" t="str">
        <f t="shared" si="63"/>
        <v/>
      </c>
      <c r="FP38" s="530" t="str">
        <f t="shared" si="64"/>
        <v/>
      </c>
      <c r="FQ38" s="368" t="str">
        <f t="shared" si="116"/>
        <v/>
      </c>
      <c r="FR38" s="65">
        <f t="shared" si="117"/>
        <v>0</v>
      </c>
      <c r="FS38" s="65">
        <f t="shared" si="118"/>
        <v>0</v>
      </c>
      <c r="FT38" s="66" t="str">
        <f t="shared" si="119"/>
        <v/>
      </c>
      <c r="FU38" s="74" t="str">
        <f>IF('Marks Entry'!BU38="","",'Marks Entry'!BU38)</f>
        <v/>
      </c>
      <c r="FV38" s="74" t="str">
        <f>IF('Marks Entry'!BV38="","",'Marks Entry'!BV38)</f>
        <v/>
      </c>
      <c r="FW38" s="74" t="str">
        <f>IF('Marks Entry'!BW38="","",'Marks Entry'!BW38)</f>
        <v/>
      </c>
      <c r="FX38" s="75" t="str">
        <f t="shared" si="65"/>
        <v/>
      </c>
      <c r="FY38" s="368" t="str">
        <f t="shared" si="120"/>
        <v/>
      </c>
      <c r="FZ38" s="65">
        <f t="shared" si="121"/>
        <v>0</v>
      </c>
      <c r="GA38" s="66">
        <f t="shared" si="122"/>
        <v>0</v>
      </c>
      <c r="GB38" s="66" t="str">
        <f t="shared" si="123"/>
        <v/>
      </c>
      <c r="GC38" s="74" t="str">
        <f>IF('Marks Entry'!BX38="","",'Marks Entry'!BX38)</f>
        <v/>
      </c>
      <c r="GD38" s="74" t="str">
        <f>IF('Marks Entry'!BY38="","",'Marks Entry'!BY38)</f>
        <v/>
      </c>
      <c r="GE38" s="74" t="str">
        <f>IF('Marks Entry'!BZ38="","",'Marks Entry'!BZ38)</f>
        <v/>
      </c>
      <c r="GF38" s="75" t="str">
        <f t="shared" si="124"/>
        <v/>
      </c>
      <c r="GG38" s="368" t="str">
        <f t="shared" si="125"/>
        <v/>
      </c>
      <c r="GH38" s="65">
        <f t="shared" si="126"/>
        <v>0</v>
      </c>
      <c r="GI38" s="66">
        <f t="shared" si="127"/>
        <v>0</v>
      </c>
      <c r="GJ38" s="66" t="str">
        <f t="shared" si="128"/>
        <v/>
      </c>
      <c r="GK38" s="100" t="str">
        <f>IF(AND(F38="",B38=""),"",IF('Student DATA Entry'!M35="","",'Student DATA Entry'!M35))</f>
        <v/>
      </c>
      <c r="GL38" s="101" t="str">
        <f>IF(AND(B38="",F38=""),"",IF('Student DATA Entry'!N35="","",'Student DATA Entry'!N35))</f>
        <v/>
      </c>
      <c r="GM38" s="581" t="str">
        <f t="shared" si="129"/>
        <v/>
      </c>
      <c r="GN38" s="94" t="str">
        <f t="shared" si="130"/>
        <v/>
      </c>
      <c r="GO38" s="94" t="str">
        <f t="shared" si="131"/>
        <v/>
      </c>
      <c r="GP38" s="102" t="str">
        <f t="shared" si="67"/>
        <v/>
      </c>
      <c r="GQ38" s="94" t="str">
        <f t="shared" si="132"/>
        <v/>
      </c>
      <c r="GR38" s="103" t="str">
        <f t="shared" si="133"/>
        <v/>
      </c>
      <c r="GS38" s="102" t="str">
        <f t="shared" si="68"/>
        <v/>
      </c>
      <c r="GT38" s="104" t="str">
        <f t="shared" si="134"/>
        <v/>
      </c>
      <c r="GU38" s="94" t="str">
        <f>IF('Marks Entry'!V38=1,GT38,"")</f>
        <v/>
      </c>
      <c r="GV38" s="94" t="str">
        <f>IF('Marks Entry'!V38=2,GT38,"")</f>
        <v/>
      </c>
      <c r="GW38" s="94" t="str">
        <f>IF('Marks Entry'!V38=3,GT38,"")</f>
        <v/>
      </c>
      <c r="GX38" s="94" t="str">
        <f>IF('Marks Entry'!V38=4,GT38,"")</f>
        <v/>
      </c>
      <c r="GY38" s="94" t="str">
        <f>IF('Marks Entry'!V38=5,GT38,"")</f>
        <v/>
      </c>
      <c r="GZ38" s="94" t="str">
        <f t="shared" si="135"/>
        <v/>
      </c>
      <c r="HA38" s="105" t="str">
        <f t="shared" si="69"/>
        <v/>
      </c>
      <c r="HB38" s="94" t="str">
        <f t="shared" si="136"/>
        <v/>
      </c>
      <c r="HC38" s="94" t="str">
        <f t="shared" si="137"/>
        <v/>
      </c>
      <c r="HD38" s="105" t="str">
        <f t="shared" si="70"/>
        <v/>
      </c>
      <c r="HE38" s="94" t="str">
        <f t="shared" si="138"/>
        <v/>
      </c>
      <c r="HF38" s="94" t="str">
        <f t="shared" si="139"/>
        <v/>
      </c>
      <c r="HG38" s="105" t="str">
        <f t="shared" si="71"/>
        <v/>
      </c>
      <c r="HH38" s="94" t="str">
        <f t="shared" si="140"/>
        <v/>
      </c>
      <c r="HI38" s="94" t="str">
        <f t="shared" si="141"/>
        <v/>
      </c>
      <c r="HJ38" s="105" t="str">
        <f t="shared" si="72"/>
        <v/>
      </c>
      <c r="HK38" s="94" t="str">
        <f t="shared" si="142"/>
        <v/>
      </c>
      <c r="HL38" s="94" t="str">
        <f t="shared" si="143"/>
        <v/>
      </c>
      <c r="HM38" s="105" t="str">
        <f t="shared" si="73"/>
        <v/>
      </c>
      <c r="HN38" s="367" t="str">
        <f t="shared" si="144"/>
        <v xml:space="preserve">      </v>
      </c>
      <c r="HO38" s="418" t="str">
        <f t="shared" si="145"/>
        <v xml:space="preserve">      </v>
      </c>
      <c r="HP38" s="367" t="str">
        <f t="shared" si="146"/>
        <v xml:space="preserve">      </v>
      </c>
      <c r="HQ38" s="107" t="str">
        <f t="shared" si="147"/>
        <v xml:space="preserve">      </v>
      </c>
      <c r="HR38" s="366" t="str">
        <f t="shared" si="148"/>
        <v xml:space="preserve">      </v>
      </c>
      <c r="HS38" s="544" t="str">
        <f t="shared" si="74"/>
        <v/>
      </c>
      <c r="HT38" s="542" t="str">
        <f t="shared" si="149"/>
        <v/>
      </c>
      <c r="HU38" s="541" t="str">
        <f t="shared" si="160"/>
        <v/>
      </c>
      <c r="HV38" s="540" t="str">
        <f t="shared" si="150"/>
        <v/>
      </c>
      <c r="HW38" s="537" t="str">
        <f t="shared" si="151"/>
        <v/>
      </c>
      <c r="HX38" s="539" t="str">
        <f t="shared" si="152"/>
        <v/>
      </c>
      <c r="HY38" s="553" t="str">
        <f>IFERROR(IF(OR(HS38="SUPPLEMENTARY",HS38="RE-EXAM"),'Supp. Result Entry'!AQ36,""),"")</f>
        <v/>
      </c>
      <c r="HZ38" s="538" t="str">
        <f t="shared" si="153"/>
        <v/>
      </c>
      <c r="IA38" s="415" t="str">
        <f t="shared" si="154"/>
        <v/>
      </c>
      <c r="IB38" s="415" t="str">
        <f>IF(AND(HZ38="",IA38=""),"",IF(OR(HS38="SUPPLEMENTARY",HS38="RE-EXAM"),'Supp. Result Entry'!AQ36,HS38))</f>
        <v/>
      </c>
      <c r="IC38" s="87"/>
      <c r="ID38" s="111"/>
      <c r="IS38" s="109" t="str">
        <f>IF('Supp. Result Entry'!T36="","",'Supp. Result Entry'!$T$4)</f>
        <v/>
      </c>
      <c r="IT38" s="110" t="str">
        <f>IF('Supp. Result Entry'!W36="","",'Supp. Result Entry'!$W$4)</f>
        <v/>
      </c>
      <c r="IU38" s="110" t="str">
        <f>IF('Supp. Result Entry'!Z36="","",'Supp. Result Entry'!$Z$4)</f>
        <v/>
      </c>
      <c r="IV38" s="110" t="str">
        <f>IF('Supp. Result Entry'!AC36="","",'Supp. Result Entry'!$AC$4)</f>
        <v/>
      </c>
      <c r="IW38" s="110" t="str">
        <f>IF('Supp. Result Entry'!AF36="","",'Supp. Result Entry'!$AF$4)</f>
        <v/>
      </c>
      <c r="IX38" s="110" t="str">
        <f>IF('Supp. Result Entry'!AI36="","",'Supp. Result Entry'!$AI$4)</f>
        <v/>
      </c>
      <c r="IY38" s="110" t="str">
        <f>IF('Supp. Result Entry'!AI36="","",'Supp. Result Entry'!$AL$4)</f>
        <v/>
      </c>
      <c r="IZ38" s="110" t="str">
        <f>IF('Supp. Result Entry'!U36="","",'Supp. Result Entry'!U36)</f>
        <v/>
      </c>
      <c r="JA38" s="110" t="str">
        <f>IF('Supp. Result Entry'!X36="","",'Supp. Result Entry'!X36)</f>
        <v/>
      </c>
      <c r="JB38" s="110" t="str">
        <f>IF('Supp. Result Entry'!AA36="","",'Supp. Result Entry'!AA36)</f>
        <v/>
      </c>
      <c r="JC38" s="110" t="str">
        <f>IF('Supp. Result Entry'!AD36="","",'Supp. Result Entry'!AD36)</f>
        <v/>
      </c>
      <c r="JD38" s="110" t="str">
        <f>IF('Supp. Result Entry'!AG36="","",'Supp. Result Entry'!AG36)</f>
        <v/>
      </c>
      <c r="JE38" s="110" t="str">
        <f>IF('Supp. Result Entry'!AJ36="","",'Supp. Result Entry'!AJ36)</f>
        <v/>
      </c>
      <c r="JF38" s="110" t="str">
        <f>IF('Supp. Result Entry'!AM36="","",'Supp. Result Entry'!AM36)</f>
        <v/>
      </c>
      <c r="JG38" s="110" t="str">
        <f>IF('Supp. Result Entry'!V36="","",'Supp. Result Entry'!V36)</f>
        <v/>
      </c>
      <c r="JH38" s="110" t="str">
        <f>IF('Supp. Result Entry'!Y36="","",'Supp. Result Entry'!Y36)</f>
        <v/>
      </c>
      <c r="JI38" s="110" t="str">
        <f>IF('Supp. Result Entry'!AB36="","",'Supp. Result Entry'!AB36)</f>
        <v/>
      </c>
      <c r="JJ38" s="110" t="str">
        <f>IF('Supp. Result Entry'!AE36="","",'Supp. Result Entry'!AE36)</f>
        <v/>
      </c>
      <c r="JK38" s="110" t="str">
        <f>IF('Supp. Result Entry'!AH36="","",'Supp. Result Entry'!AH36)</f>
        <v/>
      </c>
      <c r="JL38" s="110" t="str">
        <f>IF('Supp. Result Entry'!AK36="","",'Supp. Result Entry'!AK36)</f>
        <v/>
      </c>
      <c r="JM38" s="110" t="str">
        <f>IF('Supp. Result Entry'!AN36="","",'Supp. Result Entry'!AN36)</f>
        <v/>
      </c>
      <c r="JN38" s="110">
        <f>COUNTIF('Supp. Result Entry'!K36:Q36,"S")</f>
        <v>0</v>
      </c>
      <c r="JO38" s="110">
        <f t="shared" si="155"/>
        <v>0</v>
      </c>
      <c r="JP38" s="110">
        <f t="shared" si="156"/>
        <v>0</v>
      </c>
      <c r="JQ38" s="110" t="str">
        <f t="shared" si="75"/>
        <v/>
      </c>
      <c r="JR38" s="110" t="str">
        <f t="shared" si="76"/>
        <v/>
      </c>
      <c r="JS38" s="110" t="str">
        <f t="shared" si="77"/>
        <v/>
      </c>
      <c r="JT38" s="110" t="str">
        <f t="shared" si="78"/>
        <v/>
      </c>
      <c r="JU38" s="110" t="str">
        <f t="shared" si="79"/>
        <v/>
      </c>
      <c r="JV38" s="110" t="str">
        <f t="shared" si="80"/>
        <v/>
      </c>
      <c r="JW38" s="110" t="str">
        <f t="shared" si="81"/>
        <v/>
      </c>
      <c r="JX38" s="110" t="str">
        <f t="shared" si="157"/>
        <v/>
      </c>
      <c r="JY38" s="110" t="str">
        <f t="shared" si="158"/>
        <v/>
      </c>
      <c r="JZ38" s="110" t="str">
        <f t="shared" si="82"/>
        <v/>
      </c>
      <c r="KA38" s="108" t="str">
        <f t="shared" si="159"/>
        <v/>
      </c>
    </row>
    <row r="39" spans="1:287" s="108" customFormat="1" ht="21.95" customHeight="1">
      <c r="A39" s="89">
        <v>33</v>
      </c>
      <c r="B39" s="90" t="str">
        <f>IF('Marks Entry'!B39="","",'Marks Entry'!B39)</f>
        <v/>
      </c>
      <c r="C39" s="94" t="str">
        <f>IF('Marks Entry'!D39="","",'Marks Entry'!D39)</f>
        <v/>
      </c>
      <c r="D39" s="91" t="str">
        <f>IF('Marks Entry'!E39="","",'Marks Entry'!E39)</f>
        <v/>
      </c>
      <c r="E39" s="92" t="str">
        <f>IF('Marks Entry'!F39="","",'Marks Entry'!F39)</f>
        <v/>
      </c>
      <c r="F39" s="93" t="str">
        <f>IF('Marks Entry'!G39="","",'Marks Entry'!G39)</f>
        <v/>
      </c>
      <c r="G39" s="93" t="str">
        <f>IF('Marks Entry'!H39="","",'Marks Entry'!H39)</f>
        <v/>
      </c>
      <c r="H39" s="93" t="str">
        <f>IF('Marks Entry'!I39="","",'Marks Entry'!I39)</f>
        <v/>
      </c>
      <c r="I39" s="94" t="str">
        <f>IF('Marks Entry'!J39="","",'Marks Entry'!J39)</f>
        <v/>
      </c>
      <c r="J39" s="95" t="str">
        <f>IF('Marks Entry'!K39="","",'Marks Entry'!K39)</f>
        <v/>
      </c>
      <c r="K39" s="68" t="str">
        <f>IF('Marks Entry'!L39="","",'Marks Entry'!L39)</f>
        <v/>
      </c>
      <c r="L39" s="68" t="str">
        <f>IF('Marks Entry'!M39="","",'Marks Entry'!M39)</f>
        <v/>
      </c>
      <c r="M39" s="68" t="str">
        <f>IF('Marks Entry'!N39="","",'Marks Entry'!N39)</f>
        <v/>
      </c>
      <c r="N39" s="514" t="str">
        <f t="shared" si="83"/>
        <v/>
      </c>
      <c r="O39" s="68" t="str">
        <f>IF('Marks Entry'!O39="","",'Marks Entry'!O39)</f>
        <v/>
      </c>
      <c r="P39" s="515" t="str">
        <f t="shared" si="84"/>
        <v/>
      </c>
      <c r="Q39" s="68" t="str">
        <f>IF('Marks Entry'!P39="","",'Marks Entry'!P39)</f>
        <v/>
      </c>
      <c r="R39" s="96" t="str">
        <f t="shared" si="85"/>
        <v/>
      </c>
      <c r="S39" s="65">
        <f t="shared" si="86"/>
        <v>0</v>
      </c>
      <c r="T39" s="65">
        <f t="shared" si="87"/>
        <v>0</v>
      </c>
      <c r="U39" s="66" t="str">
        <f t="shared" si="88"/>
        <v/>
      </c>
      <c r="V39" s="65" t="str">
        <f t="shared" si="89"/>
        <v/>
      </c>
      <c r="W39" s="65" t="str">
        <f t="shared" si="90"/>
        <v/>
      </c>
      <c r="X39" s="65" t="str">
        <f t="shared" si="91"/>
        <v/>
      </c>
      <c r="Y39" s="68" t="str">
        <f>IF('Marks Entry'!Q39="","",'Marks Entry'!Q39)</f>
        <v/>
      </c>
      <c r="Z39" s="68" t="str">
        <f>IF('Marks Entry'!R39="","",'Marks Entry'!R39)</f>
        <v/>
      </c>
      <c r="AA39" s="68" t="str">
        <f>IF('Marks Entry'!S39="","",'Marks Entry'!S39)</f>
        <v/>
      </c>
      <c r="AB39" s="514" t="str">
        <f t="shared" si="2"/>
        <v/>
      </c>
      <c r="AC39" s="68" t="str">
        <f>IF('Marks Entry'!T39="","",'Marks Entry'!T39)</f>
        <v/>
      </c>
      <c r="AD39" s="515" t="str">
        <f t="shared" si="3"/>
        <v/>
      </c>
      <c r="AE39" s="68" t="str">
        <f>IF('Marks Entry'!U39="","",'Marks Entry'!U39)</f>
        <v/>
      </c>
      <c r="AF39" s="96" t="str">
        <f t="shared" si="4"/>
        <v/>
      </c>
      <c r="AG39" s="65">
        <f t="shared" si="5"/>
        <v>0</v>
      </c>
      <c r="AH39" s="65">
        <f t="shared" si="6"/>
        <v>0</v>
      </c>
      <c r="AI39" s="66" t="str">
        <f t="shared" si="7"/>
        <v/>
      </c>
      <c r="AJ39" s="65" t="str">
        <f t="shared" si="8"/>
        <v/>
      </c>
      <c r="AK39" s="65" t="str">
        <f t="shared" si="9"/>
        <v/>
      </c>
      <c r="AL39" s="65" t="str">
        <f t="shared" si="10"/>
        <v/>
      </c>
      <c r="AM39" s="524" t="str">
        <f>IF('Marks Entry'!V39="","",IF('Marks Entry'!V39=1,'School Profile'!$I$9,IF('Marks Entry'!V39=2,'School Profile'!$I$10,IF('Marks Entry'!V39=3,'School Profile'!$I$11,IF('Marks Entry'!V39=4,'School Profile'!$I$12,IF('Marks Entry'!V39=5,'School Profile'!$I$13,IF('Marks Entry'!V39=6,'School Profile'!$I$14,"")))))))</f>
        <v/>
      </c>
      <c r="AN39" s="68" t="str">
        <f>IF('Marks Entry'!W39="","",'Marks Entry'!W39)</f>
        <v/>
      </c>
      <c r="AO39" s="68" t="str">
        <f>IF('Marks Entry'!X39="","",'Marks Entry'!X39)</f>
        <v/>
      </c>
      <c r="AP39" s="68" t="str">
        <f>IF('Marks Entry'!Y39="","",'Marks Entry'!Y39)</f>
        <v/>
      </c>
      <c r="AQ39" s="514" t="str">
        <f t="shared" si="11"/>
        <v/>
      </c>
      <c r="AR39" s="68" t="str">
        <f>IF('Marks Entry'!Z39="","",'Marks Entry'!Z39)</f>
        <v/>
      </c>
      <c r="AS39" s="515" t="str">
        <f t="shared" si="12"/>
        <v/>
      </c>
      <c r="AT39" s="68" t="str">
        <f>IF('Marks Entry'!AA39="","",'Marks Entry'!AA39)</f>
        <v/>
      </c>
      <c r="AU39" s="96" t="str">
        <f t="shared" si="13"/>
        <v/>
      </c>
      <c r="AV39" s="65">
        <f t="shared" si="14"/>
        <v>0</v>
      </c>
      <c r="AW39" s="65">
        <f t="shared" si="15"/>
        <v>0</v>
      </c>
      <c r="AX39" s="66" t="str">
        <f t="shared" si="16"/>
        <v/>
      </c>
      <c r="AY39" s="65" t="str">
        <f t="shared" si="17"/>
        <v/>
      </c>
      <c r="AZ39" s="65" t="str">
        <f t="shared" si="18"/>
        <v/>
      </c>
      <c r="BA39" s="65" t="str">
        <f t="shared" si="19"/>
        <v/>
      </c>
      <c r="BB39" s="68" t="str">
        <f>IF('Marks Entry'!AB39="","",'Marks Entry'!AB39)</f>
        <v/>
      </c>
      <c r="BC39" s="68" t="str">
        <f>IF('Marks Entry'!AC39="","",'Marks Entry'!AC39)</f>
        <v/>
      </c>
      <c r="BD39" s="68" t="str">
        <f>IF('Marks Entry'!AD39="","",'Marks Entry'!AD39)</f>
        <v/>
      </c>
      <c r="BE39" s="514" t="str">
        <f t="shared" si="20"/>
        <v/>
      </c>
      <c r="BF39" s="68" t="str">
        <f>IF('Marks Entry'!AE39="","",'Marks Entry'!AE39)</f>
        <v/>
      </c>
      <c r="BG39" s="515" t="str">
        <f t="shared" si="21"/>
        <v/>
      </c>
      <c r="BH39" s="68" t="str">
        <f>IF('Marks Entry'!AF39="","",'Marks Entry'!AF39)</f>
        <v/>
      </c>
      <c r="BI39" s="96" t="str">
        <f t="shared" si="22"/>
        <v/>
      </c>
      <c r="BJ39" s="65">
        <f t="shared" si="23"/>
        <v>0</v>
      </c>
      <c r="BK39" s="65">
        <f t="shared" si="92"/>
        <v>0</v>
      </c>
      <c r="BL39" s="66" t="str">
        <f t="shared" si="24"/>
        <v/>
      </c>
      <c r="BM39" s="65" t="str">
        <f t="shared" si="25"/>
        <v/>
      </c>
      <c r="BN39" s="65" t="str">
        <f t="shared" si="26"/>
        <v/>
      </c>
      <c r="BO39" s="65" t="str">
        <f t="shared" si="27"/>
        <v/>
      </c>
      <c r="BP39" s="68" t="str">
        <f>IF('Marks Entry'!AG39="","",'Marks Entry'!AG39)</f>
        <v/>
      </c>
      <c r="BQ39" s="68" t="str">
        <f>IF('Marks Entry'!AH39="","",'Marks Entry'!AH39)</f>
        <v/>
      </c>
      <c r="BR39" s="68" t="str">
        <f>IF('Marks Entry'!AI39="","",'Marks Entry'!AI39)</f>
        <v/>
      </c>
      <c r="BS39" s="514" t="str">
        <f t="shared" si="28"/>
        <v/>
      </c>
      <c r="BT39" s="68" t="str">
        <f>IF('Marks Entry'!AJ39="","",'Marks Entry'!AJ39)</f>
        <v/>
      </c>
      <c r="BU39" s="515" t="str">
        <f t="shared" si="29"/>
        <v/>
      </c>
      <c r="BV39" s="68" t="str">
        <f>IF('Marks Entry'!AK39="","",'Marks Entry'!AK39)</f>
        <v/>
      </c>
      <c r="BW39" s="96" t="str">
        <f t="shared" si="30"/>
        <v/>
      </c>
      <c r="BX39" s="65">
        <f t="shared" si="31"/>
        <v>0</v>
      </c>
      <c r="BY39" s="65">
        <f t="shared" si="32"/>
        <v>0</v>
      </c>
      <c r="BZ39" s="66" t="str">
        <f t="shared" si="33"/>
        <v/>
      </c>
      <c r="CA39" s="65" t="str">
        <f t="shared" si="34"/>
        <v/>
      </c>
      <c r="CB39" s="65" t="str">
        <f t="shared" si="35"/>
        <v/>
      </c>
      <c r="CC39" s="65" t="str">
        <f t="shared" si="36"/>
        <v/>
      </c>
      <c r="CD39" s="66">
        <f t="shared" ref="CD39:CD70" si="161">SUM(S39,T39,AG39,AH39,AV39,AW39,BJ39,BK39,BX39,BY39,CM39,CN39)</f>
        <v>0</v>
      </c>
      <c r="CE39" s="68" t="str">
        <f>IF('Marks Entry'!AL39="","",'Marks Entry'!AL39)</f>
        <v/>
      </c>
      <c r="CF39" s="68" t="str">
        <f>IF('Marks Entry'!AM39="","",'Marks Entry'!AM39)</f>
        <v/>
      </c>
      <c r="CG39" s="68" t="str">
        <f>IF('Marks Entry'!AN39="","",'Marks Entry'!AN39)</f>
        <v/>
      </c>
      <c r="CH39" s="514" t="str">
        <f t="shared" si="37"/>
        <v/>
      </c>
      <c r="CI39" s="68" t="str">
        <f>IF('Marks Entry'!AO39="","",'Marks Entry'!AO39)</f>
        <v/>
      </c>
      <c r="CJ39" s="515" t="str">
        <f t="shared" si="38"/>
        <v/>
      </c>
      <c r="CK39" s="68" t="str">
        <f>IF('Marks Entry'!AP39="","",'Marks Entry'!AP39)</f>
        <v/>
      </c>
      <c r="CL39" s="96" t="str">
        <f t="shared" si="39"/>
        <v/>
      </c>
      <c r="CM39" s="65">
        <f t="shared" si="40"/>
        <v>0</v>
      </c>
      <c r="CN39" s="65">
        <f t="shared" si="41"/>
        <v>0</v>
      </c>
      <c r="CO39" s="66" t="str">
        <f t="shared" si="42"/>
        <v/>
      </c>
      <c r="CP39" s="65" t="str">
        <f t="shared" si="43"/>
        <v/>
      </c>
      <c r="CQ39" s="65" t="str">
        <f t="shared" si="44"/>
        <v/>
      </c>
      <c r="CR39" s="65" t="str">
        <f t="shared" si="45"/>
        <v/>
      </c>
      <c r="CS39" s="616"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8" t="str">
        <f>IF('School Profile'!$D$20="NO","",IF('Marks Entry'!AR39="","",'Marks Entry'!AR39))</f>
        <v/>
      </c>
      <c r="CU39" s="68" t="str">
        <f>IF('School Profile'!$D$20="NO","",IF('Marks Entry'!AS39="","",'Marks Entry'!AS39))</f>
        <v/>
      </c>
      <c r="CV39" s="68" t="str">
        <f>IF('School Profile'!$D$20="NO","",IF('Marks Entry'!AT39="","",'Marks Entry'!AT39))</f>
        <v/>
      </c>
      <c r="CW39" s="514" t="str">
        <f>IF('School Profile'!$D$20="NO","",IF(AND(CT39="",CU39="",CV39=""),"",SUM(CT39:CV39)))</f>
        <v/>
      </c>
      <c r="CX39" s="68" t="str">
        <f>IF('School Profile'!$D$20="NO","",IF('Marks Entry'!AU39="","",'Marks Entry'!AU39))</f>
        <v/>
      </c>
      <c r="CY39" s="68" t="str">
        <f>IF('School Profile'!$D$20="NO","",IF('Marks Entry'!AV39="","",'Marks Entry'!AV39))</f>
        <v/>
      </c>
      <c r="CZ39" s="515" t="str">
        <f>IF('School Profile'!$D$20="NO","",IF(AND(CX39="",CY39=""),"",SUM(CX39,CY39)))</f>
        <v/>
      </c>
      <c r="DA39" s="69" t="str">
        <f>IF('School Profile'!$D$20="NO","",IF(AND(CW39="",CZ39=""),"",SUM(CW39+CZ39)))</f>
        <v/>
      </c>
      <c r="DB39" s="68" t="str">
        <f>IF('School Profile'!$D$20="NO","",IF('Marks Entry'!AW39="","",'Marks Entry'!AW39))</f>
        <v/>
      </c>
      <c r="DC39" s="68" t="str">
        <f>IF('School Profile'!$D$20="NO","",IF('Marks Entry'!AX39="","",'Marks Entry'!AX39))</f>
        <v/>
      </c>
      <c r="DD39" s="515" t="str">
        <f>IF('School Profile'!$D$20="NO","",IF(AND(DB39="",DC39=""),"",SUM(DB39,DC39)))</f>
        <v/>
      </c>
      <c r="DE39" s="96" t="str">
        <f>IF('School Profile'!$D$20="NO","",IF(AND(DA39="",DD39=""),"",SUM(DA39,DD39)))</f>
        <v/>
      </c>
      <c r="DF39" s="532">
        <f t="shared" si="46"/>
        <v>0</v>
      </c>
      <c r="DG39" s="65">
        <f t="shared" si="47"/>
        <v>0</v>
      </c>
      <c r="DH39" s="66" t="str">
        <f t="shared" si="48"/>
        <v/>
      </c>
      <c r="DI39" s="65" t="str">
        <f t="shared" si="49"/>
        <v/>
      </c>
      <c r="DJ39" s="65" t="str">
        <f t="shared" si="50"/>
        <v/>
      </c>
      <c r="DK39" s="65" t="str">
        <f t="shared" si="51"/>
        <v/>
      </c>
      <c r="DL39" s="97" t="str">
        <f t="shared" si="94"/>
        <v/>
      </c>
      <c r="DM39" s="97" t="str">
        <f t="shared" si="95"/>
        <v/>
      </c>
      <c r="DN39" s="97" t="str">
        <f t="shared" si="96"/>
        <v/>
      </c>
      <c r="DO39" s="97" t="str">
        <f t="shared" si="97"/>
        <v/>
      </c>
      <c r="DP39" s="97" t="str">
        <f t="shared" si="98"/>
        <v/>
      </c>
      <c r="DQ39" s="97" t="str">
        <f t="shared" si="99"/>
        <v/>
      </c>
      <c r="DR39" s="97" t="str">
        <f t="shared" si="100"/>
        <v/>
      </c>
      <c r="DS39" s="98">
        <f t="shared" si="101"/>
        <v>0</v>
      </c>
      <c r="DT39" s="98">
        <f t="shared" si="102"/>
        <v>0</v>
      </c>
      <c r="DU39" s="98">
        <f t="shared" si="103"/>
        <v>0</v>
      </c>
      <c r="DV39" s="98">
        <f t="shared" si="104"/>
        <v>0</v>
      </c>
      <c r="DW39" s="98">
        <f t="shared" si="105"/>
        <v>0</v>
      </c>
      <c r="DX39" s="98" t="str">
        <f t="shared" si="106"/>
        <v/>
      </c>
      <c r="DY39" s="99" t="str">
        <f t="shared" si="107"/>
        <v/>
      </c>
      <c r="DZ39" s="74" t="str">
        <f>IF('Marks Entry'!AY39="","",'Marks Entry'!AY39)</f>
        <v/>
      </c>
      <c r="EA39" s="74" t="str">
        <f>IF('Marks Entry'!AZ39="","",'Marks Entry'!AZ39)</f>
        <v/>
      </c>
      <c r="EB39" s="74" t="str">
        <f>IF('Marks Entry'!BA39="","",'Marks Entry'!BA39)</f>
        <v/>
      </c>
      <c r="EC39" s="527" t="str">
        <f t="shared" si="52"/>
        <v/>
      </c>
      <c r="ED39" s="74" t="str">
        <f>IF('Marks Entry'!BB39="","",'Marks Entry'!BB39)</f>
        <v/>
      </c>
      <c r="EE39" s="528" t="str">
        <f t="shared" si="53"/>
        <v/>
      </c>
      <c r="EF39" s="74" t="str">
        <f>IF('Marks Entry'!BC39="","",'Marks Entry'!BC39)</f>
        <v/>
      </c>
      <c r="EG39" s="530" t="str">
        <f t="shared" si="54"/>
        <v/>
      </c>
      <c r="EH39" s="368" t="str">
        <f t="shared" si="108"/>
        <v/>
      </c>
      <c r="EI39" s="65">
        <f t="shared" si="109"/>
        <v>0</v>
      </c>
      <c r="EJ39" s="65">
        <f t="shared" si="110"/>
        <v>0</v>
      </c>
      <c r="EK39" s="66" t="str">
        <f t="shared" si="111"/>
        <v/>
      </c>
      <c r="EL39" s="74" t="str">
        <f>IF('Marks Entry'!BD39="","",'Marks Entry'!BD39)</f>
        <v/>
      </c>
      <c r="EM39" s="74" t="str">
        <f>IF('Marks Entry'!BE39="","",'Marks Entry'!BE39)</f>
        <v/>
      </c>
      <c r="EN39" s="74" t="str">
        <f>IF('Marks Entry'!BF39="","",'Marks Entry'!BF39)</f>
        <v/>
      </c>
      <c r="EO39" s="527" t="str">
        <f t="shared" si="55"/>
        <v/>
      </c>
      <c r="EP39" s="74" t="str">
        <f>IF('Marks Entry'!BG39="","",'Marks Entry'!BG39)</f>
        <v/>
      </c>
      <c r="EQ39" s="74" t="str">
        <f>IF('Marks Entry'!BH39="","",'Marks Entry'!BH39)</f>
        <v/>
      </c>
      <c r="ER39" s="528" t="str">
        <f t="shared" si="56"/>
        <v/>
      </c>
      <c r="ES39" s="529" t="str">
        <f t="shared" si="57"/>
        <v/>
      </c>
      <c r="ET39" s="74" t="str">
        <f>IF('Marks Entry'!BI39="","",'Marks Entry'!BI39)</f>
        <v/>
      </c>
      <c r="EU39" s="74" t="str">
        <f>IF('Marks Entry'!BJ39="","",'Marks Entry'!BJ39)</f>
        <v/>
      </c>
      <c r="EV39" s="528" t="str">
        <f t="shared" si="58"/>
        <v/>
      </c>
      <c r="EW39" s="530" t="str">
        <f t="shared" si="59"/>
        <v/>
      </c>
      <c r="EX39" s="368" t="str">
        <f t="shared" si="112"/>
        <v/>
      </c>
      <c r="EY39" s="65">
        <f t="shared" si="113"/>
        <v>0</v>
      </c>
      <c r="EZ39" s="65">
        <f t="shared" si="114"/>
        <v>0</v>
      </c>
      <c r="FA39" s="66" t="str">
        <f t="shared" si="115"/>
        <v/>
      </c>
      <c r="FB39" s="74" t="str">
        <f>IF('Marks Entry'!BK39="","",'Marks Entry'!BK39)</f>
        <v/>
      </c>
      <c r="FC39" s="74" t="str">
        <f>IF('Marks Entry'!BL39="","",'Marks Entry'!BL39)</f>
        <v/>
      </c>
      <c r="FD39" s="74" t="str">
        <f>IF('Marks Entry'!BM39="","",'Marks Entry'!BM39)</f>
        <v/>
      </c>
      <c r="FE39" s="74" t="str">
        <f>IF('Marks Entry'!BN39="","",'Marks Entry'!BN39)</f>
        <v/>
      </c>
      <c r="FF39" s="74" t="str">
        <f>IF('Marks Entry'!BO39="","",'Marks Entry'!BO39)</f>
        <v/>
      </c>
      <c r="FG39" s="74" t="str">
        <f>IF('Marks Entry'!BP39="","",'Marks Entry'!BP39)</f>
        <v/>
      </c>
      <c r="FH39" s="527" t="str">
        <f t="shared" si="60"/>
        <v/>
      </c>
      <c r="FI39" s="74" t="str">
        <f>IF('Marks Entry'!BQ39="","",'Marks Entry'!BQ39)</f>
        <v/>
      </c>
      <c r="FJ39" s="74" t="str">
        <f>IF('Marks Entry'!BR39="","",'Marks Entry'!BR39)</f>
        <v/>
      </c>
      <c r="FK39" s="528" t="str">
        <f t="shared" si="61"/>
        <v/>
      </c>
      <c r="FL39" s="529" t="str">
        <f t="shared" si="62"/>
        <v/>
      </c>
      <c r="FM39" s="74" t="str">
        <f>IF('Marks Entry'!BS39="","",'Marks Entry'!BS39)</f>
        <v/>
      </c>
      <c r="FN39" s="74" t="str">
        <f>IF('Marks Entry'!BT39="","",'Marks Entry'!BT39)</f>
        <v/>
      </c>
      <c r="FO39" s="528" t="str">
        <f t="shared" si="63"/>
        <v/>
      </c>
      <c r="FP39" s="530" t="str">
        <f t="shared" si="64"/>
        <v/>
      </c>
      <c r="FQ39" s="368" t="str">
        <f t="shared" si="116"/>
        <v/>
      </c>
      <c r="FR39" s="65">
        <f t="shared" si="117"/>
        <v>0</v>
      </c>
      <c r="FS39" s="65">
        <f t="shared" si="118"/>
        <v>0</v>
      </c>
      <c r="FT39" s="66" t="str">
        <f t="shared" si="119"/>
        <v/>
      </c>
      <c r="FU39" s="74" t="str">
        <f>IF('Marks Entry'!BU39="","",'Marks Entry'!BU39)</f>
        <v/>
      </c>
      <c r="FV39" s="74" t="str">
        <f>IF('Marks Entry'!BV39="","",'Marks Entry'!BV39)</f>
        <v/>
      </c>
      <c r="FW39" s="74" t="str">
        <f>IF('Marks Entry'!BW39="","",'Marks Entry'!BW39)</f>
        <v/>
      </c>
      <c r="FX39" s="75" t="str">
        <f t="shared" si="65"/>
        <v/>
      </c>
      <c r="FY39" s="368" t="str">
        <f t="shared" si="120"/>
        <v/>
      </c>
      <c r="FZ39" s="65">
        <f t="shared" si="121"/>
        <v>0</v>
      </c>
      <c r="GA39" s="66">
        <f t="shared" si="122"/>
        <v>0</v>
      </c>
      <c r="GB39" s="66" t="str">
        <f t="shared" si="123"/>
        <v/>
      </c>
      <c r="GC39" s="74" t="str">
        <f>IF('Marks Entry'!BX39="","",'Marks Entry'!BX39)</f>
        <v/>
      </c>
      <c r="GD39" s="74" t="str">
        <f>IF('Marks Entry'!BY39="","",'Marks Entry'!BY39)</f>
        <v/>
      </c>
      <c r="GE39" s="74" t="str">
        <f>IF('Marks Entry'!BZ39="","",'Marks Entry'!BZ39)</f>
        <v/>
      </c>
      <c r="GF39" s="75" t="str">
        <f t="shared" si="124"/>
        <v/>
      </c>
      <c r="GG39" s="368" t="str">
        <f t="shared" si="125"/>
        <v/>
      </c>
      <c r="GH39" s="65">
        <f t="shared" si="126"/>
        <v>0</v>
      </c>
      <c r="GI39" s="66">
        <f t="shared" si="127"/>
        <v>0</v>
      </c>
      <c r="GJ39" s="66" t="str">
        <f t="shared" si="128"/>
        <v/>
      </c>
      <c r="GK39" s="100" t="str">
        <f>IF(AND(F39="",B39=""),"",IF('Student DATA Entry'!M36="","",'Student DATA Entry'!M36))</f>
        <v/>
      </c>
      <c r="GL39" s="101" t="str">
        <f>IF(AND(B39="",F39=""),"",IF('Student DATA Entry'!N36="","",'Student DATA Entry'!N36))</f>
        <v/>
      </c>
      <c r="GM39" s="581" t="str">
        <f t="shared" si="129"/>
        <v/>
      </c>
      <c r="GN39" s="94" t="str">
        <f t="shared" si="130"/>
        <v/>
      </c>
      <c r="GO39" s="94" t="str">
        <f t="shared" si="131"/>
        <v/>
      </c>
      <c r="GP39" s="102" t="str">
        <f t="shared" ref="GP39:GP70" si="162">IF(GN39="G",ROUNDUP(36%*U39-R39,0),"")</f>
        <v/>
      </c>
      <c r="GQ39" s="94" t="str">
        <f t="shared" si="132"/>
        <v/>
      </c>
      <c r="GR39" s="103" t="str">
        <f t="shared" si="133"/>
        <v/>
      </c>
      <c r="GS39" s="102" t="str">
        <f t="shared" ref="GS39:GS70" si="163">IF(GQ39="G",ROUNDUP(36%*AI39-AF39,0),"")</f>
        <v/>
      </c>
      <c r="GT39" s="104" t="str">
        <f t="shared" si="134"/>
        <v/>
      </c>
      <c r="GU39" s="94" t="str">
        <f>IF('Marks Entry'!V39=1,GT39,"")</f>
        <v/>
      </c>
      <c r="GV39" s="94" t="str">
        <f>IF('Marks Entry'!V39=2,GT39,"")</f>
        <v/>
      </c>
      <c r="GW39" s="94" t="str">
        <f>IF('Marks Entry'!V39=3,GT39,"")</f>
        <v/>
      </c>
      <c r="GX39" s="94" t="str">
        <f>IF('Marks Entry'!V39=4,GT39,"")</f>
        <v/>
      </c>
      <c r="GY39" s="94" t="str">
        <f>IF('Marks Entry'!V39=5,GT39,"")</f>
        <v/>
      </c>
      <c r="GZ39" s="94" t="str">
        <f t="shared" si="135"/>
        <v/>
      </c>
      <c r="HA39" s="105" t="str">
        <f t="shared" ref="HA39:HA70" si="164">IF(GT39="G",ROUNDUP(36%*AX39-AU39,0),"")</f>
        <v/>
      </c>
      <c r="HB39" s="94" t="str">
        <f t="shared" si="136"/>
        <v/>
      </c>
      <c r="HC39" s="94" t="str">
        <f t="shared" si="137"/>
        <v/>
      </c>
      <c r="HD39" s="105" t="str">
        <f t="shared" ref="HD39:HD70" si="165">IF(HB39="G",ROUNDUP(36%*BL39-BI39,0),"")</f>
        <v/>
      </c>
      <c r="HE39" s="94" t="str">
        <f t="shared" si="138"/>
        <v/>
      </c>
      <c r="HF39" s="94" t="str">
        <f t="shared" si="139"/>
        <v/>
      </c>
      <c r="HG39" s="105" t="str">
        <f t="shared" ref="HG39:HG70" si="166">IF(HE39="G",ROUNDUP(36%*BZ39-BW39,0),"")</f>
        <v/>
      </c>
      <c r="HH39" s="94" t="str">
        <f t="shared" si="140"/>
        <v/>
      </c>
      <c r="HI39" s="94" t="str">
        <f t="shared" si="141"/>
        <v/>
      </c>
      <c r="HJ39" s="105" t="str">
        <f t="shared" ref="HJ39:HJ70" si="167">IF(HH39="G",ROUNDUP(36%*CO39-CL39,0),"")</f>
        <v/>
      </c>
      <c r="HK39" s="94" t="str">
        <f t="shared" si="142"/>
        <v/>
      </c>
      <c r="HL39" s="94" t="str">
        <f t="shared" si="143"/>
        <v/>
      </c>
      <c r="HM39" s="105" t="str">
        <f t="shared" ref="HM39:HM70" si="168">IF(HK39="G",ROUNDUP(36%*DH39-DE39,0),"")</f>
        <v/>
      </c>
      <c r="HN39" s="367" t="str">
        <f t="shared" si="144"/>
        <v xml:space="preserve">      </v>
      </c>
      <c r="HO39" s="418" t="str">
        <f t="shared" ref="HO39:HO70" si="169">IF(COUNTIF(DL39:DR39,"F")&gt;0,"",CONCATENATE(IF(GN39="S",$GN$5,"")," ",IF(GQ39="S",$GQ$5,"")," ",IF(GU39="S",$GU$5,IF(GV39="S",$GV$5,IF(GW39="S",$GW$5,IF(GX39="S",$GX$5,IF(GY39="S",$GY$5,"")))))," ",IF(HB39="S",$HB$5,"")," ",IF(HE39="S",$HE$5,"")," ",IF(HH39="S",$HH$5,"")," ",IF(HK39="S",$HK$5,"")))</f>
        <v xml:space="preserve">      </v>
      </c>
      <c r="HP39" s="367" t="str">
        <f t="shared" si="146"/>
        <v xml:space="preserve">      </v>
      </c>
      <c r="HQ39" s="107" t="str">
        <f t="shared" si="147"/>
        <v xml:space="preserve">      </v>
      </c>
      <c r="HR39" s="366" t="str">
        <f t="shared" si="148"/>
        <v xml:space="preserve">      </v>
      </c>
      <c r="HS39" s="544" t="str">
        <f t="shared" ref="HS39:HS70" si="170">IF(B39="NSO","NSO",IF(AND(OR(DY39="PASS",DY39="BY GRACE PASS",DY39="RE-EXAM"),DX39="F"),"FAIL",IF(AND(OR(DY39="PASS",DY39="BY GRACE PASS"),DX39="RE"),"RE-EXAM",DY39)))</f>
        <v/>
      </c>
      <c r="HT39" s="542" t="str">
        <f t="shared" si="149"/>
        <v/>
      </c>
      <c r="HU39" s="541" t="str">
        <f t="shared" si="160"/>
        <v/>
      </c>
      <c r="HV39" s="540" t="str">
        <f t="shared" si="150"/>
        <v/>
      </c>
      <c r="HW39" s="537" t="str">
        <f t="shared" si="151"/>
        <v/>
      </c>
      <c r="HX39" s="539" t="str">
        <f t="shared" si="152"/>
        <v/>
      </c>
      <c r="HY39" s="553" t="str">
        <f>IFERROR(IF(OR(HS39="SUPPLEMENTARY",HS39="RE-EXAM"),'Supp. Result Entry'!AQ37,""),"")</f>
        <v/>
      </c>
      <c r="HZ39" s="538" t="str">
        <f t="shared" si="153"/>
        <v/>
      </c>
      <c r="IA39" s="415" t="str">
        <f t="shared" si="154"/>
        <v/>
      </c>
      <c r="IB39" s="415" t="str">
        <f>IF(AND(HZ39="",IA39=""),"",IF(OR(HS39="SUPPLEMENTARY",HS39="RE-EXAM"),'Supp. Result Entry'!AQ37,HS39))</f>
        <v/>
      </c>
      <c r="IC39" s="87"/>
      <c r="ID39" s="111"/>
      <c r="IS39" s="109" t="str">
        <f>IF('Supp. Result Entry'!T37="","",'Supp. Result Entry'!$T$4)</f>
        <v/>
      </c>
      <c r="IT39" s="110" t="str">
        <f>IF('Supp. Result Entry'!W37="","",'Supp. Result Entry'!$W$4)</f>
        <v/>
      </c>
      <c r="IU39" s="110" t="str">
        <f>IF('Supp. Result Entry'!Z37="","",'Supp. Result Entry'!$Z$4)</f>
        <v/>
      </c>
      <c r="IV39" s="110" t="str">
        <f>IF('Supp. Result Entry'!AC37="","",'Supp. Result Entry'!$AC$4)</f>
        <v/>
      </c>
      <c r="IW39" s="110" t="str">
        <f>IF('Supp. Result Entry'!AF37="","",'Supp. Result Entry'!$AF$4)</f>
        <v/>
      </c>
      <c r="IX39" s="110" t="str">
        <f>IF('Supp. Result Entry'!AI37="","",'Supp. Result Entry'!$AI$4)</f>
        <v/>
      </c>
      <c r="IY39" s="110" t="str">
        <f>IF('Supp. Result Entry'!AI37="","",'Supp. Result Entry'!$AL$4)</f>
        <v/>
      </c>
      <c r="IZ39" s="110" t="str">
        <f>IF('Supp. Result Entry'!U37="","",'Supp. Result Entry'!U37)</f>
        <v/>
      </c>
      <c r="JA39" s="110" t="str">
        <f>IF('Supp. Result Entry'!X37="","",'Supp. Result Entry'!X37)</f>
        <v/>
      </c>
      <c r="JB39" s="110" t="str">
        <f>IF('Supp. Result Entry'!AA37="","",'Supp. Result Entry'!AA37)</f>
        <v/>
      </c>
      <c r="JC39" s="110" t="str">
        <f>IF('Supp. Result Entry'!AD37="","",'Supp. Result Entry'!AD37)</f>
        <v/>
      </c>
      <c r="JD39" s="110" t="str">
        <f>IF('Supp. Result Entry'!AG37="","",'Supp. Result Entry'!AG37)</f>
        <v/>
      </c>
      <c r="JE39" s="110" t="str">
        <f>IF('Supp. Result Entry'!AJ37="","",'Supp. Result Entry'!AJ37)</f>
        <v/>
      </c>
      <c r="JF39" s="110" t="str">
        <f>IF('Supp. Result Entry'!AM37="","",'Supp. Result Entry'!AM37)</f>
        <v/>
      </c>
      <c r="JG39" s="110" t="str">
        <f>IF('Supp. Result Entry'!V37="","",'Supp. Result Entry'!V37)</f>
        <v/>
      </c>
      <c r="JH39" s="110" t="str">
        <f>IF('Supp. Result Entry'!Y37="","",'Supp. Result Entry'!Y37)</f>
        <v/>
      </c>
      <c r="JI39" s="110" t="str">
        <f>IF('Supp. Result Entry'!AB37="","",'Supp. Result Entry'!AB37)</f>
        <v/>
      </c>
      <c r="JJ39" s="110" t="str">
        <f>IF('Supp. Result Entry'!AE37="","",'Supp. Result Entry'!AE37)</f>
        <v/>
      </c>
      <c r="JK39" s="110" t="str">
        <f>IF('Supp. Result Entry'!AH37="","",'Supp. Result Entry'!AH37)</f>
        <v/>
      </c>
      <c r="JL39" s="110" t="str">
        <f>IF('Supp. Result Entry'!AK37="","",'Supp. Result Entry'!AK37)</f>
        <v/>
      </c>
      <c r="JM39" s="110" t="str">
        <f>IF('Supp. Result Entry'!AN37="","",'Supp. Result Entry'!AN37)</f>
        <v/>
      </c>
      <c r="JN39" s="110">
        <f>COUNTIF('Supp. Result Entry'!K37:Q37,"S")</f>
        <v>0</v>
      </c>
      <c r="JO39" s="110">
        <f t="shared" si="155"/>
        <v>0</v>
      </c>
      <c r="JP39" s="110">
        <f t="shared" si="156"/>
        <v>0</v>
      </c>
      <c r="JQ39" s="110" t="str">
        <f t="shared" si="75"/>
        <v/>
      </c>
      <c r="JR39" s="110" t="str">
        <f t="shared" si="76"/>
        <v/>
      </c>
      <c r="JS39" s="110" t="str">
        <f t="shared" si="77"/>
        <v/>
      </c>
      <c r="JT39" s="110" t="str">
        <f t="shared" si="78"/>
        <v/>
      </c>
      <c r="JU39" s="110" t="str">
        <f t="shared" si="79"/>
        <v/>
      </c>
      <c r="JV39" s="110" t="str">
        <f t="shared" si="80"/>
        <v/>
      </c>
      <c r="JW39" s="110" t="str">
        <f t="shared" si="81"/>
        <v/>
      </c>
      <c r="JX39" s="110" t="str">
        <f t="shared" si="157"/>
        <v/>
      </c>
      <c r="JY39" s="110" t="str">
        <f t="shared" si="158"/>
        <v/>
      </c>
      <c r="JZ39" s="110" t="str">
        <f t="shared" si="82"/>
        <v/>
      </c>
      <c r="KA39" s="108" t="str">
        <f t="shared" si="159"/>
        <v/>
      </c>
    </row>
    <row r="40" spans="1:287" s="108" customFormat="1" ht="21.95" customHeight="1">
      <c r="A40" s="89">
        <v>34</v>
      </c>
      <c r="B40" s="90" t="str">
        <f>IF('Marks Entry'!B40="","",'Marks Entry'!B40)</f>
        <v/>
      </c>
      <c r="C40" s="94" t="str">
        <f>IF('Marks Entry'!D40="","",'Marks Entry'!D40)</f>
        <v/>
      </c>
      <c r="D40" s="91" t="str">
        <f>IF('Marks Entry'!E40="","",'Marks Entry'!E40)</f>
        <v/>
      </c>
      <c r="E40" s="92" t="str">
        <f>IF('Marks Entry'!F40="","",'Marks Entry'!F40)</f>
        <v/>
      </c>
      <c r="F40" s="93" t="str">
        <f>IF('Marks Entry'!G40="","",'Marks Entry'!G40)</f>
        <v/>
      </c>
      <c r="G40" s="93" t="str">
        <f>IF('Marks Entry'!H40="","",'Marks Entry'!H40)</f>
        <v/>
      </c>
      <c r="H40" s="93" t="str">
        <f>IF('Marks Entry'!I40="","",'Marks Entry'!I40)</f>
        <v/>
      </c>
      <c r="I40" s="94" t="str">
        <f>IF('Marks Entry'!J40="","",'Marks Entry'!J40)</f>
        <v/>
      </c>
      <c r="J40" s="95" t="str">
        <f>IF('Marks Entry'!K40="","",'Marks Entry'!K40)</f>
        <v/>
      </c>
      <c r="K40" s="68" t="str">
        <f>IF('Marks Entry'!L40="","",'Marks Entry'!L40)</f>
        <v/>
      </c>
      <c r="L40" s="68" t="str">
        <f>IF('Marks Entry'!M40="","",'Marks Entry'!M40)</f>
        <v/>
      </c>
      <c r="M40" s="68" t="str">
        <f>IF('Marks Entry'!N40="","",'Marks Entry'!N40)</f>
        <v/>
      </c>
      <c r="N40" s="514" t="str">
        <f t="shared" si="83"/>
        <v/>
      </c>
      <c r="O40" s="68" t="str">
        <f>IF('Marks Entry'!O40="","",'Marks Entry'!O40)</f>
        <v/>
      </c>
      <c r="P40" s="515" t="str">
        <f t="shared" si="84"/>
        <v/>
      </c>
      <c r="Q40" s="68" t="str">
        <f>IF('Marks Entry'!P40="","",'Marks Entry'!P40)</f>
        <v/>
      </c>
      <c r="R40" s="96" t="str">
        <f t="shared" si="85"/>
        <v/>
      </c>
      <c r="S40" s="65">
        <f t="shared" si="86"/>
        <v>0</v>
      </c>
      <c r="T40" s="65">
        <f t="shared" si="87"/>
        <v>0</v>
      </c>
      <c r="U40" s="66" t="str">
        <f t="shared" si="88"/>
        <v/>
      </c>
      <c r="V40" s="65" t="str">
        <f t="shared" si="89"/>
        <v/>
      </c>
      <c r="W40" s="65" t="str">
        <f t="shared" si="90"/>
        <v/>
      </c>
      <c r="X40" s="65" t="str">
        <f t="shared" si="91"/>
        <v/>
      </c>
      <c r="Y40" s="68" t="str">
        <f>IF('Marks Entry'!Q40="","",'Marks Entry'!Q40)</f>
        <v/>
      </c>
      <c r="Z40" s="68" t="str">
        <f>IF('Marks Entry'!R40="","",'Marks Entry'!R40)</f>
        <v/>
      </c>
      <c r="AA40" s="68" t="str">
        <f>IF('Marks Entry'!S40="","",'Marks Entry'!S40)</f>
        <v/>
      </c>
      <c r="AB40" s="514" t="str">
        <f t="shared" si="2"/>
        <v/>
      </c>
      <c r="AC40" s="68" t="str">
        <f>IF('Marks Entry'!T40="","",'Marks Entry'!T40)</f>
        <v/>
      </c>
      <c r="AD40" s="515" t="str">
        <f t="shared" si="3"/>
        <v/>
      </c>
      <c r="AE40" s="68" t="str">
        <f>IF('Marks Entry'!U40="","",'Marks Entry'!U40)</f>
        <v/>
      </c>
      <c r="AF40" s="96" t="str">
        <f t="shared" si="4"/>
        <v/>
      </c>
      <c r="AG40" s="65">
        <f t="shared" si="5"/>
        <v>0</v>
      </c>
      <c r="AH40" s="65">
        <f t="shared" si="6"/>
        <v>0</v>
      </c>
      <c r="AI40" s="66" t="str">
        <f t="shared" si="7"/>
        <v/>
      </c>
      <c r="AJ40" s="65" t="str">
        <f t="shared" si="8"/>
        <v/>
      </c>
      <c r="AK40" s="65" t="str">
        <f t="shared" si="9"/>
        <v/>
      </c>
      <c r="AL40" s="65" t="str">
        <f t="shared" si="10"/>
        <v/>
      </c>
      <c r="AM40" s="524" t="str">
        <f>IF('Marks Entry'!V40="","",IF('Marks Entry'!V40=1,'School Profile'!$I$9,IF('Marks Entry'!V40=2,'School Profile'!$I$10,IF('Marks Entry'!V40=3,'School Profile'!$I$11,IF('Marks Entry'!V40=4,'School Profile'!$I$12,IF('Marks Entry'!V40=5,'School Profile'!$I$13,IF('Marks Entry'!V40=6,'School Profile'!$I$14,"")))))))</f>
        <v/>
      </c>
      <c r="AN40" s="68" t="str">
        <f>IF('Marks Entry'!W40="","",'Marks Entry'!W40)</f>
        <v/>
      </c>
      <c r="AO40" s="68" t="str">
        <f>IF('Marks Entry'!X40="","",'Marks Entry'!X40)</f>
        <v/>
      </c>
      <c r="AP40" s="68" t="str">
        <f>IF('Marks Entry'!Y40="","",'Marks Entry'!Y40)</f>
        <v/>
      </c>
      <c r="AQ40" s="514" t="str">
        <f t="shared" si="11"/>
        <v/>
      </c>
      <c r="AR40" s="68" t="str">
        <f>IF('Marks Entry'!Z40="","",'Marks Entry'!Z40)</f>
        <v/>
      </c>
      <c r="AS40" s="515" t="str">
        <f t="shared" si="12"/>
        <v/>
      </c>
      <c r="AT40" s="68" t="str">
        <f>IF('Marks Entry'!AA40="","",'Marks Entry'!AA40)</f>
        <v/>
      </c>
      <c r="AU40" s="96" t="str">
        <f t="shared" si="13"/>
        <v/>
      </c>
      <c r="AV40" s="65">
        <f t="shared" si="14"/>
        <v>0</v>
      </c>
      <c r="AW40" s="65">
        <f t="shared" si="15"/>
        <v>0</v>
      </c>
      <c r="AX40" s="66" t="str">
        <f t="shared" si="16"/>
        <v/>
      </c>
      <c r="AY40" s="65" t="str">
        <f t="shared" si="17"/>
        <v/>
      </c>
      <c r="AZ40" s="65" t="str">
        <f t="shared" si="18"/>
        <v/>
      </c>
      <c r="BA40" s="65" t="str">
        <f t="shared" si="19"/>
        <v/>
      </c>
      <c r="BB40" s="68" t="str">
        <f>IF('Marks Entry'!AB40="","",'Marks Entry'!AB40)</f>
        <v/>
      </c>
      <c r="BC40" s="68" t="str">
        <f>IF('Marks Entry'!AC40="","",'Marks Entry'!AC40)</f>
        <v/>
      </c>
      <c r="BD40" s="68" t="str">
        <f>IF('Marks Entry'!AD40="","",'Marks Entry'!AD40)</f>
        <v/>
      </c>
      <c r="BE40" s="514" t="str">
        <f t="shared" si="20"/>
        <v/>
      </c>
      <c r="BF40" s="68" t="str">
        <f>IF('Marks Entry'!AE40="","",'Marks Entry'!AE40)</f>
        <v/>
      </c>
      <c r="BG40" s="515" t="str">
        <f t="shared" si="21"/>
        <v/>
      </c>
      <c r="BH40" s="68" t="str">
        <f>IF('Marks Entry'!AF40="","",'Marks Entry'!AF40)</f>
        <v/>
      </c>
      <c r="BI40" s="96" t="str">
        <f t="shared" si="22"/>
        <v/>
      </c>
      <c r="BJ40" s="65">
        <f t="shared" si="23"/>
        <v>0</v>
      </c>
      <c r="BK40" s="65">
        <f t="shared" si="92"/>
        <v>0</v>
      </c>
      <c r="BL40" s="66" t="str">
        <f t="shared" si="24"/>
        <v/>
      </c>
      <c r="BM40" s="65" t="str">
        <f t="shared" si="25"/>
        <v/>
      </c>
      <c r="BN40" s="65" t="str">
        <f t="shared" si="26"/>
        <v/>
      </c>
      <c r="BO40" s="65" t="str">
        <f t="shared" si="27"/>
        <v/>
      </c>
      <c r="BP40" s="68" t="str">
        <f>IF('Marks Entry'!AG40="","",'Marks Entry'!AG40)</f>
        <v/>
      </c>
      <c r="BQ40" s="68" t="str">
        <f>IF('Marks Entry'!AH40="","",'Marks Entry'!AH40)</f>
        <v/>
      </c>
      <c r="BR40" s="68" t="str">
        <f>IF('Marks Entry'!AI40="","",'Marks Entry'!AI40)</f>
        <v/>
      </c>
      <c r="BS40" s="514" t="str">
        <f t="shared" si="28"/>
        <v/>
      </c>
      <c r="BT40" s="68" t="str">
        <f>IF('Marks Entry'!AJ40="","",'Marks Entry'!AJ40)</f>
        <v/>
      </c>
      <c r="BU40" s="515" t="str">
        <f t="shared" si="29"/>
        <v/>
      </c>
      <c r="BV40" s="68" t="str">
        <f>IF('Marks Entry'!AK40="","",'Marks Entry'!AK40)</f>
        <v/>
      </c>
      <c r="BW40" s="96" t="str">
        <f t="shared" si="30"/>
        <v/>
      </c>
      <c r="BX40" s="65">
        <f t="shared" si="31"/>
        <v>0</v>
      </c>
      <c r="BY40" s="65">
        <f t="shared" si="32"/>
        <v>0</v>
      </c>
      <c r="BZ40" s="66" t="str">
        <f t="shared" si="33"/>
        <v/>
      </c>
      <c r="CA40" s="65" t="str">
        <f t="shared" si="34"/>
        <v/>
      </c>
      <c r="CB40" s="65" t="str">
        <f t="shared" si="35"/>
        <v/>
      </c>
      <c r="CC40" s="65" t="str">
        <f t="shared" si="36"/>
        <v/>
      </c>
      <c r="CD40" s="66">
        <f t="shared" si="161"/>
        <v>0</v>
      </c>
      <c r="CE40" s="68" t="str">
        <f>IF('Marks Entry'!AL40="","",'Marks Entry'!AL40)</f>
        <v/>
      </c>
      <c r="CF40" s="68" t="str">
        <f>IF('Marks Entry'!AM40="","",'Marks Entry'!AM40)</f>
        <v/>
      </c>
      <c r="CG40" s="68" t="str">
        <f>IF('Marks Entry'!AN40="","",'Marks Entry'!AN40)</f>
        <v/>
      </c>
      <c r="CH40" s="514" t="str">
        <f t="shared" si="37"/>
        <v/>
      </c>
      <c r="CI40" s="68" t="str">
        <f>IF('Marks Entry'!AO40="","",'Marks Entry'!AO40)</f>
        <v/>
      </c>
      <c r="CJ40" s="515" t="str">
        <f t="shared" si="38"/>
        <v/>
      </c>
      <c r="CK40" s="68" t="str">
        <f>IF('Marks Entry'!AP40="","",'Marks Entry'!AP40)</f>
        <v/>
      </c>
      <c r="CL40" s="96" t="str">
        <f t="shared" si="39"/>
        <v/>
      </c>
      <c r="CM40" s="65">
        <f t="shared" si="40"/>
        <v>0</v>
      </c>
      <c r="CN40" s="65">
        <f t="shared" si="41"/>
        <v>0</v>
      </c>
      <c r="CO40" s="66" t="str">
        <f t="shared" si="42"/>
        <v/>
      </c>
      <c r="CP40" s="65" t="str">
        <f t="shared" si="43"/>
        <v/>
      </c>
      <c r="CQ40" s="65" t="str">
        <f t="shared" si="44"/>
        <v/>
      </c>
      <c r="CR40" s="65" t="str">
        <f t="shared" si="45"/>
        <v/>
      </c>
      <c r="CS40" s="616"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8" t="str">
        <f>IF('School Profile'!$D$20="NO","",IF('Marks Entry'!AR40="","",'Marks Entry'!AR40))</f>
        <v/>
      </c>
      <c r="CU40" s="68" t="str">
        <f>IF('School Profile'!$D$20="NO","",IF('Marks Entry'!AS40="","",'Marks Entry'!AS40))</f>
        <v/>
      </c>
      <c r="CV40" s="68" t="str">
        <f>IF('School Profile'!$D$20="NO","",IF('Marks Entry'!AT40="","",'Marks Entry'!AT40))</f>
        <v/>
      </c>
      <c r="CW40" s="514" t="str">
        <f>IF('School Profile'!$D$20="NO","",IF(AND(CT40="",CU40="",CV40=""),"",SUM(CT40:CV40)))</f>
        <v/>
      </c>
      <c r="CX40" s="68" t="str">
        <f>IF('School Profile'!$D$20="NO","",IF('Marks Entry'!AU40="","",'Marks Entry'!AU40))</f>
        <v/>
      </c>
      <c r="CY40" s="68" t="str">
        <f>IF('School Profile'!$D$20="NO","",IF('Marks Entry'!AV40="","",'Marks Entry'!AV40))</f>
        <v/>
      </c>
      <c r="CZ40" s="515" t="str">
        <f>IF('School Profile'!$D$20="NO","",IF(AND(CX40="",CY40=""),"",SUM(CX40,CY40)))</f>
        <v/>
      </c>
      <c r="DA40" s="69" t="str">
        <f>IF('School Profile'!$D$20="NO","",IF(AND(CW40="",CZ40=""),"",SUM(CW40+CZ40)))</f>
        <v/>
      </c>
      <c r="DB40" s="68" t="str">
        <f>IF('School Profile'!$D$20="NO","",IF('Marks Entry'!AW40="","",'Marks Entry'!AW40))</f>
        <v/>
      </c>
      <c r="DC40" s="68" t="str">
        <f>IF('School Profile'!$D$20="NO","",IF('Marks Entry'!AX40="","",'Marks Entry'!AX40))</f>
        <v/>
      </c>
      <c r="DD40" s="515" t="str">
        <f>IF('School Profile'!$D$20="NO","",IF(AND(DB40="",DC40=""),"",SUM(DB40,DC40)))</f>
        <v/>
      </c>
      <c r="DE40" s="96" t="str">
        <f>IF('School Profile'!$D$20="NO","",IF(AND(DA40="",DD40=""),"",SUM(DA40,DD40)))</f>
        <v/>
      </c>
      <c r="DF40" s="532">
        <f t="shared" si="46"/>
        <v>0</v>
      </c>
      <c r="DG40" s="65">
        <f t="shared" si="47"/>
        <v>0</v>
      </c>
      <c r="DH40" s="66" t="str">
        <f t="shared" si="48"/>
        <v/>
      </c>
      <c r="DI40" s="65" t="str">
        <f t="shared" si="49"/>
        <v/>
      </c>
      <c r="DJ40" s="65" t="str">
        <f t="shared" si="50"/>
        <v/>
      </c>
      <c r="DK40" s="65" t="str">
        <f t="shared" si="51"/>
        <v/>
      </c>
      <c r="DL40" s="97" t="str">
        <f t="shared" si="94"/>
        <v/>
      </c>
      <c r="DM40" s="97" t="str">
        <f t="shared" si="95"/>
        <v/>
      </c>
      <c r="DN40" s="97" t="str">
        <f t="shared" si="96"/>
        <v/>
      </c>
      <c r="DO40" s="97" t="str">
        <f t="shared" si="97"/>
        <v/>
      </c>
      <c r="DP40" s="97" t="str">
        <f t="shared" si="98"/>
        <v/>
      </c>
      <c r="DQ40" s="97" t="str">
        <f t="shared" si="99"/>
        <v/>
      </c>
      <c r="DR40" s="97" t="str">
        <f t="shared" si="100"/>
        <v/>
      </c>
      <c r="DS40" s="98">
        <f t="shared" si="101"/>
        <v>0</v>
      </c>
      <c r="DT40" s="98">
        <f t="shared" si="102"/>
        <v>0</v>
      </c>
      <c r="DU40" s="98">
        <f t="shared" si="103"/>
        <v>0</v>
      </c>
      <c r="DV40" s="98">
        <f t="shared" si="104"/>
        <v>0</v>
      </c>
      <c r="DW40" s="98">
        <f t="shared" si="105"/>
        <v>0</v>
      </c>
      <c r="DX40" s="98" t="str">
        <f t="shared" si="106"/>
        <v/>
      </c>
      <c r="DY40" s="99" t="str">
        <f t="shared" si="107"/>
        <v/>
      </c>
      <c r="DZ40" s="74" t="str">
        <f>IF('Marks Entry'!AY40="","",'Marks Entry'!AY40)</f>
        <v/>
      </c>
      <c r="EA40" s="74" t="str">
        <f>IF('Marks Entry'!AZ40="","",'Marks Entry'!AZ40)</f>
        <v/>
      </c>
      <c r="EB40" s="74" t="str">
        <f>IF('Marks Entry'!BA40="","",'Marks Entry'!BA40)</f>
        <v/>
      </c>
      <c r="EC40" s="527" t="str">
        <f t="shared" si="52"/>
        <v/>
      </c>
      <c r="ED40" s="74" t="str">
        <f>IF('Marks Entry'!BB40="","",'Marks Entry'!BB40)</f>
        <v/>
      </c>
      <c r="EE40" s="528" t="str">
        <f t="shared" si="53"/>
        <v/>
      </c>
      <c r="EF40" s="74" t="str">
        <f>IF('Marks Entry'!BC40="","",'Marks Entry'!BC40)</f>
        <v/>
      </c>
      <c r="EG40" s="530" t="str">
        <f t="shared" si="54"/>
        <v/>
      </c>
      <c r="EH40" s="368" t="str">
        <f t="shared" si="108"/>
        <v/>
      </c>
      <c r="EI40" s="65">
        <f t="shared" si="109"/>
        <v>0</v>
      </c>
      <c r="EJ40" s="65">
        <f t="shared" si="110"/>
        <v>0</v>
      </c>
      <c r="EK40" s="66" t="str">
        <f t="shared" si="111"/>
        <v/>
      </c>
      <c r="EL40" s="74" t="str">
        <f>IF('Marks Entry'!BD40="","",'Marks Entry'!BD40)</f>
        <v/>
      </c>
      <c r="EM40" s="74" t="str">
        <f>IF('Marks Entry'!BE40="","",'Marks Entry'!BE40)</f>
        <v/>
      </c>
      <c r="EN40" s="74" t="str">
        <f>IF('Marks Entry'!BF40="","",'Marks Entry'!BF40)</f>
        <v/>
      </c>
      <c r="EO40" s="527" t="str">
        <f t="shared" si="55"/>
        <v/>
      </c>
      <c r="EP40" s="74" t="str">
        <f>IF('Marks Entry'!BG40="","",'Marks Entry'!BG40)</f>
        <v/>
      </c>
      <c r="EQ40" s="74" t="str">
        <f>IF('Marks Entry'!BH40="","",'Marks Entry'!BH40)</f>
        <v/>
      </c>
      <c r="ER40" s="528" t="str">
        <f t="shared" si="56"/>
        <v/>
      </c>
      <c r="ES40" s="529" t="str">
        <f t="shared" si="57"/>
        <v/>
      </c>
      <c r="ET40" s="74" t="str">
        <f>IF('Marks Entry'!BI40="","",'Marks Entry'!BI40)</f>
        <v/>
      </c>
      <c r="EU40" s="74" t="str">
        <f>IF('Marks Entry'!BJ40="","",'Marks Entry'!BJ40)</f>
        <v/>
      </c>
      <c r="EV40" s="528" t="str">
        <f t="shared" si="58"/>
        <v/>
      </c>
      <c r="EW40" s="530" t="str">
        <f t="shared" si="59"/>
        <v/>
      </c>
      <c r="EX40" s="368" t="str">
        <f t="shared" si="112"/>
        <v/>
      </c>
      <c r="EY40" s="65">
        <f t="shared" si="113"/>
        <v>0</v>
      </c>
      <c r="EZ40" s="65">
        <f t="shared" si="114"/>
        <v>0</v>
      </c>
      <c r="FA40" s="66" t="str">
        <f t="shared" si="115"/>
        <v/>
      </c>
      <c r="FB40" s="74" t="str">
        <f>IF('Marks Entry'!BK40="","",'Marks Entry'!BK40)</f>
        <v/>
      </c>
      <c r="FC40" s="74" t="str">
        <f>IF('Marks Entry'!BL40="","",'Marks Entry'!BL40)</f>
        <v/>
      </c>
      <c r="FD40" s="74" t="str">
        <f>IF('Marks Entry'!BM40="","",'Marks Entry'!BM40)</f>
        <v/>
      </c>
      <c r="FE40" s="74" t="str">
        <f>IF('Marks Entry'!BN40="","",'Marks Entry'!BN40)</f>
        <v/>
      </c>
      <c r="FF40" s="74" t="str">
        <f>IF('Marks Entry'!BO40="","",'Marks Entry'!BO40)</f>
        <v/>
      </c>
      <c r="FG40" s="74" t="str">
        <f>IF('Marks Entry'!BP40="","",'Marks Entry'!BP40)</f>
        <v/>
      </c>
      <c r="FH40" s="527" t="str">
        <f t="shared" si="60"/>
        <v/>
      </c>
      <c r="FI40" s="74" t="str">
        <f>IF('Marks Entry'!BQ40="","",'Marks Entry'!BQ40)</f>
        <v/>
      </c>
      <c r="FJ40" s="74" t="str">
        <f>IF('Marks Entry'!BR40="","",'Marks Entry'!BR40)</f>
        <v/>
      </c>
      <c r="FK40" s="528" t="str">
        <f t="shared" si="61"/>
        <v/>
      </c>
      <c r="FL40" s="529" t="str">
        <f t="shared" si="62"/>
        <v/>
      </c>
      <c r="FM40" s="74" t="str">
        <f>IF('Marks Entry'!BS40="","",'Marks Entry'!BS40)</f>
        <v/>
      </c>
      <c r="FN40" s="74" t="str">
        <f>IF('Marks Entry'!BT40="","",'Marks Entry'!BT40)</f>
        <v/>
      </c>
      <c r="FO40" s="528" t="str">
        <f t="shared" si="63"/>
        <v/>
      </c>
      <c r="FP40" s="530" t="str">
        <f t="shared" si="64"/>
        <v/>
      </c>
      <c r="FQ40" s="368" t="str">
        <f t="shared" si="116"/>
        <v/>
      </c>
      <c r="FR40" s="65">
        <f t="shared" si="117"/>
        <v>0</v>
      </c>
      <c r="FS40" s="65">
        <f t="shared" si="118"/>
        <v>0</v>
      </c>
      <c r="FT40" s="66" t="str">
        <f t="shared" si="119"/>
        <v/>
      </c>
      <c r="FU40" s="74" t="str">
        <f>IF('Marks Entry'!BU40="","",'Marks Entry'!BU40)</f>
        <v/>
      </c>
      <c r="FV40" s="74" t="str">
        <f>IF('Marks Entry'!BV40="","",'Marks Entry'!BV40)</f>
        <v/>
      </c>
      <c r="FW40" s="74" t="str">
        <f>IF('Marks Entry'!BW40="","",'Marks Entry'!BW40)</f>
        <v/>
      </c>
      <c r="FX40" s="75" t="str">
        <f t="shared" si="65"/>
        <v/>
      </c>
      <c r="FY40" s="368" t="str">
        <f t="shared" si="120"/>
        <v/>
      </c>
      <c r="FZ40" s="65">
        <f t="shared" si="121"/>
        <v>0</v>
      </c>
      <c r="GA40" s="66">
        <f t="shared" si="122"/>
        <v>0</v>
      </c>
      <c r="GB40" s="66" t="str">
        <f t="shared" si="123"/>
        <v/>
      </c>
      <c r="GC40" s="74" t="str">
        <f>IF('Marks Entry'!BX40="","",'Marks Entry'!BX40)</f>
        <v/>
      </c>
      <c r="GD40" s="74" t="str">
        <f>IF('Marks Entry'!BY40="","",'Marks Entry'!BY40)</f>
        <v/>
      </c>
      <c r="GE40" s="74" t="str">
        <f>IF('Marks Entry'!BZ40="","",'Marks Entry'!BZ40)</f>
        <v/>
      </c>
      <c r="GF40" s="75" t="str">
        <f t="shared" si="124"/>
        <v/>
      </c>
      <c r="GG40" s="368" t="str">
        <f t="shared" si="125"/>
        <v/>
      </c>
      <c r="GH40" s="65">
        <f t="shared" si="126"/>
        <v>0</v>
      </c>
      <c r="GI40" s="66">
        <f t="shared" si="127"/>
        <v>0</v>
      </c>
      <c r="GJ40" s="66" t="str">
        <f t="shared" si="128"/>
        <v/>
      </c>
      <c r="GK40" s="100" t="str">
        <f>IF(AND(F40="",B40=""),"",IF('Student DATA Entry'!M37="","",'Student DATA Entry'!M37))</f>
        <v/>
      </c>
      <c r="GL40" s="101" t="str">
        <f>IF(AND(B40="",F40=""),"",IF('Student DATA Entry'!N37="","",'Student DATA Entry'!N37))</f>
        <v/>
      </c>
      <c r="GM40" s="581" t="str">
        <f t="shared" si="129"/>
        <v/>
      </c>
      <c r="GN40" s="94" t="str">
        <f t="shared" si="130"/>
        <v/>
      </c>
      <c r="GO40" s="94" t="str">
        <f t="shared" si="131"/>
        <v/>
      </c>
      <c r="GP40" s="102" t="str">
        <f t="shared" si="162"/>
        <v/>
      </c>
      <c r="GQ40" s="94" t="str">
        <f t="shared" si="132"/>
        <v/>
      </c>
      <c r="GR40" s="103" t="str">
        <f t="shared" si="133"/>
        <v/>
      </c>
      <c r="GS40" s="102" t="str">
        <f t="shared" si="163"/>
        <v/>
      </c>
      <c r="GT40" s="104" t="str">
        <f t="shared" si="134"/>
        <v/>
      </c>
      <c r="GU40" s="94" t="str">
        <f>IF('Marks Entry'!V40=1,GT40,"")</f>
        <v/>
      </c>
      <c r="GV40" s="94" t="str">
        <f>IF('Marks Entry'!V40=2,GT40,"")</f>
        <v/>
      </c>
      <c r="GW40" s="94" t="str">
        <f>IF('Marks Entry'!V40=3,GT40,"")</f>
        <v/>
      </c>
      <c r="GX40" s="94" t="str">
        <f>IF('Marks Entry'!V40=4,GT40,"")</f>
        <v/>
      </c>
      <c r="GY40" s="94" t="str">
        <f>IF('Marks Entry'!V40=5,GT40,"")</f>
        <v/>
      </c>
      <c r="GZ40" s="94" t="str">
        <f t="shared" si="135"/>
        <v/>
      </c>
      <c r="HA40" s="105" t="str">
        <f t="shared" si="164"/>
        <v/>
      </c>
      <c r="HB40" s="94" t="str">
        <f t="shared" si="136"/>
        <v/>
      </c>
      <c r="HC40" s="94" t="str">
        <f t="shared" si="137"/>
        <v/>
      </c>
      <c r="HD40" s="105" t="str">
        <f t="shared" si="165"/>
        <v/>
      </c>
      <c r="HE40" s="94" t="str">
        <f t="shared" si="138"/>
        <v/>
      </c>
      <c r="HF40" s="94" t="str">
        <f t="shared" si="139"/>
        <v/>
      </c>
      <c r="HG40" s="105" t="str">
        <f t="shared" si="166"/>
        <v/>
      </c>
      <c r="HH40" s="94" t="str">
        <f t="shared" si="140"/>
        <v/>
      </c>
      <c r="HI40" s="94" t="str">
        <f t="shared" si="141"/>
        <v/>
      </c>
      <c r="HJ40" s="105" t="str">
        <f t="shared" si="167"/>
        <v/>
      </c>
      <c r="HK40" s="94" t="str">
        <f t="shared" si="142"/>
        <v/>
      </c>
      <c r="HL40" s="94" t="str">
        <f t="shared" si="143"/>
        <v/>
      </c>
      <c r="HM40" s="105" t="str">
        <f t="shared" si="168"/>
        <v/>
      </c>
      <c r="HN40" s="367" t="str">
        <f t="shared" si="144"/>
        <v xml:space="preserve">      </v>
      </c>
      <c r="HO40" s="418" t="str">
        <f t="shared" si="169"/>
        <v xml:space="preserve">      </v>
      </c>
      <c r="HP40" s="367" t="str">
        <f t="shared" si="146"/>
        <v xml:space="preserve">      </v>
      </c>
      <c r="HQ40" s="107" t="str">
        <f t="shared" si="147"/>
        <v xml:space="preserve">      </v>
      </c>
      <c r="HR40" s="366" t="str">
        <f t="shared" si="148"/>
        <v xml:space="preserve">      </v>
      </c>
      <c r="HS40" s="544" t="str">
        <f t="shared" si="170"/>
        <v/>
      </c>
      <c r="HT40" s="542" t="str">
        <f t="shared" si="149"/>
        <v/>
      </c>
      <c r="HU40" s="541" t="str">
        <f t="shared" si="160"/>
        <v/>
      </c>
      <c r="HV40" s="540" t="str">
        <f t="shared" si="150"/>
        <v/>
      </c>
      <c r="HW40" s="537" t="str">
        <f t="shared" si="151"/>
        <v/>
      </c>
      <c r="HX40" s="539" t="str">
        <f t="shared" si="152"/>
        <v/>
      </c>
      <c r="HY40" s="553" t="str">
        <f>IFERROR(IF(OR(HS40="SUPPLEMENTARY",HS40="RE-EXAM"),'Supp. Result Entry'!AQ38,""),"")</f>
        <v/>
      </c>
      <c r="HZ40" s="538" t="str">
        <f t="shared" si="153"/>
        <v/>
      </c>
      <c r="IA40" s="415" t="str">
        <f t="shared" si="154"/>
        <v/>
      </c>
      <c r="IB40" s="415" t="str">
        <f>IF(AND(HZ40="",IA40=""),"",IF(OR(HS40="SUPPLEMENTARY",HS40="RE-EXAM"),'Supp. Result Entry'!AQ38,HS40))</f>
        <v/>
      </c>
      <c r="IC40" s="87"/>
      <c r="ID40" s="111"/>
      <c r="IS40" s="109" t="str">
        <f>IF('Supp. Result Entry'!T38="","",'Supp. Result Entry'!$T$4)</f>
        <v/>
      </c>
      <c r="IT40" s="110" t="str">
        <f>IF('Supp. Result Entry'!W38="","",'Supp. Result Entry'!$W$4)</f>
        <v/>
      </c>
      <c r="IU40" s="110" t="str">
        <f>IF('Supp. Result Entry'!Z38="","",'Supp. Result Entry'!$Z$4)</f>
        <v/>
      </c>
      <c r="IV40" s="110" t="str">
        <f>IF('Supp. Result Entry'!AC38="","",'Supp. Result Entry'!$AC$4)</f>
        <v/>
      </c>
      <c r="IW40" s="110" t="str">
        <f>IF('Supp. Result Entry'!AF38="","",'Supp. Result Entry'!$AF$4)</f>
        <v/>
      </c>
      <c r="IX40" s="110" t="str">
        <f>IF('Supp. Result Entry'!AI38="","",'Supp. Result Entry'!$AI$4)</f>
        <v/>
      </c>
      <c r="IY40" s="110" t="str">
        <f>IF('Supp. Result Entry'!AI38="","",'Supp. Result Entry'!$AL$4)</f>
        <v/>
      </c>
      <c r="IZ40" s="110" t="str">
        <f>IF('Supp. Result Entry'!U38="","",'Supp. Result Entry'!U38)</f>
        <v/>
      </c>
      <c r="JA40" s="110" t="str">
        <f>IF('Supp. Result Entry'!X38="","",'Supp. Result Entry'!X38)</f>
        <v/>
      </c>
      <c r="JB40" s="110" t="str">
        <f>IF('Supp. Result Entry'!AA38="","",'Supp. Result Entry'!AA38)</f>
        <v/>
      </c>
      <c r="JC40" s="110" t="str">
        <f>IF('Supp. Result Entry'!AD38="","",'Supp. Result Entry'!AD38)</f>
        <v/>
      </c>
      <c r="JD40" s="110" t="str">
        <f>IF('Supp. Result Entry'!AG38="","",'Supp. Result Entry'!AG38)</f>
        <v/>
      </c>
      <c r="JE40" s="110" t="str">
        <f>IF('Supp. Result Entry'!AJ38="","",'Supp. Result Entry'!AJ38)</f>
        <v/>
      </c>
      <c r="JF40" s="110" t="str">
        <f>IF('Supp. Result Entry'!AM38="","",'Supp. Result Entry'!AM38)</f>
        <v/>
      </c>
      <c r="JG40" s="110" t="str">
        <f>IF('Supp. Result Entry'!V38="","",'Supp. Result Entry'!V38)</f>
        <v/>
      </c>
      <c r="JH40" s="110" t="str">
        <f>IF('Supp. Result Entry'!Y38="","",'Supp. Result Entry'!Y38)</f>
        <v/>
      </c>
      <c r="JI40" s="110" t="str">
        <f>IF('Supp. Result Entry'!AB38="","",'Supp. Result Entry'!AB38)</f>
        <v/>
      </c>
      <c r="JJ40" s="110" t="str">
        <f>IF('Supp. Result Entry'!AE38="","",'Supp. Result Entry'!AE38)</f>
        <v/>
      </c>
      <c r="JK40" s="110" t="str">
        <f>IF('Supp. Result Entry'!AH38="","",'Supp. Result Entry'!AH38)</f>
        <v/>
      </c>
      <c r="JL40" s="110" t="str">
        <f>IF('Supp. Result Entry'!AK38="","",'Supp. Result Entry'!AK38)</f>
        <v/>
      </c>
      <c r="JM40" s="110" t="str">
        <f>IF('Supp. Result Entry'!AN38="","",'Supp. Result Entry'!AN38)</f>
        <v/>
      </c>
      <c r="JN40" s="110">
        <f>COUNTIF('Supp. Result Entry'!K38:Q38,"S")</f>
        <v>0</v>
      </c>
      <c r="JO40" s="110">
        <f t="shared" si="155"/>
        <v>0</v>
      </c>
      <c r="JP40" s="110">
        <f t="shared" si="156"/>
        <v>0</v>
      </c>
      <c r="JQ40" s="110" t="str">
        <f t="shared" si="75"/>
        <v/>
      </c>
      <c r="JR40" s="110" t="str">
        <f t="shared" si="76"/>
        <v/>
      </c>
      <c r="JS40" s="110" t="str">
        <f t="shared" si="77"/>
        <v/>
      </c>
      <c r="JT40" s="110" t="str">
        <f t="shared" si="78"/>
        <v/>
      </c>
      <c r="JU40" s="110" t="str">
        <f t="shared" si="79"/>
        <v/>
      </c>
      <c r="JV40" s="110" t="str">
        <f t="shared" si="80"/>
        <v/>
      </c>
      <c r="JW40" s="110" t="str">
        <f t="shared" si="81"/>
        <v/>
      </c>
      <c r="JX40" s="110" t="str">
        <f t="shared" si="157"/>
        <v/>
      </c>
      <c r="JY40" s="110" t="str">
        <f t="shared" si="158"/>
        <v/>
      </c>
      <c r="JZ40" s="110" t="str">
        <f t="shared" si="82"/>
        <v/>
      </c>
      <c r="KA40" s="108" t="str">
        <f t="shared" si="159"/>
        <v/>
      </c>
    </row>
    <row r="41" spans="1:287" s="108" customFormat="1" ht="21.95" customHeight="1">
      <c r="A41" s="89">
        <v>35</v>
      </c>
      <c r="B41" s="90" t="str">
        <f>IF('Marks Entry'!B41="","",'Marks Entry'!B41)</f>
        <v/>
      </c>
      <c r="C41" s="94" t="str">
        <f>IF('Marks Entry'!D41="","",'Marks Entry'!D41)</f>
        <v/>
      </c>
      <c r="D41" s="91" t="str">
        <f>IF('Marks Entry'!E41="","",'Marks Entry'!E41)</f>
        <v/>
      </c>
      <c r="E41" s="92" t="str">
        <f>IF('Marks Entry'!F41="","",'Marks Entry'!F41)</f>
        <v/>
      </c>
      <c r="F41" s="93" t="str">
        <f>IF('Marks Entry'!G41="","",'Marks Entry'!G41)</f>
        <v/>
      </c>
      <c r="G41" s="93" t="str">
        <f>IF('Marks Entry'!H41="","",'Marks Entry'!H41)</f>
        <v/>
      </c>
      <c r="H41" s="93" t="str">
        <f>IF('Marks Entry'!I41="","",'Marks Entry'!I41)</f>
        <v/>
      </c>
      <c r="I41" s="94" t="str">
        <f>IF('Marks Entry'!J41="","",'Marks Entry'!J41)</f>
        <v/>
      </c>
      <c r="J41" s="95" t="str">
        <f>IF('Marks Entry'!K41="","",'Marks Entry'!K41)</f>
        <v/>
      </c>
      <c r="K41" s="68" t="str">
        <f>IF('Marks Entry'!L41="","",'Marks Entry'!L41)</f>
        <v/>
      </c>
      <c r="L41" s="68" t="str">
        <f>IF('Marks Entry'!M41="","",'Marks Entry'!M41)</f>
        <v/>
      </c>
      <c r="M41" s="68" t="str">
        <f>IF('Marks Entry'!N41="","",'Marks Entry'!N41)</f>
        <v/>
      </c>
      <c r="N41" s="514" t="str">
        <f t="shared" si="83"/>
        <v/>
      </c>
      <c r="O41" s="68" t="str">
        <f>IF('Marks Entry'!O41="","",'Marks Entry'!O41)</f>
        <v/>
      </c>
      <c r="P41" s="515" t="str">
        <f t="shared" si="84"/>
        <v/>
      </c>
      <c r="Q41" s="68" t="str">
        <f>IF('Marks Entry'!P41="","",'Marks Entry'!P41)</f>
        <v/>
      </c>
      <c r="R41" s="96" t="str">
        <f t="shared" si="85"/>
        <v/>
      </c>
      <c r="S41" s="65">
        <f t="shared" si="86"/>
        <v>0</v>
      </c>
      <c r="T41" s="65">
        <f t="shared" si="87"/>
        <v>0</v>
      </c>
      <c r="U41" s="66" t="str">
        <f t="shared" si="88"/>
        <v/>
      </c>
      <c r="V41" s="65" t="str">
        <f t="shared" si="89"/>
        <v/>
      </c>
      <c r="W41" s="65" t="str">
        <f t="shared" si="90"/>
        <v/>
      </c>
      <c r="X41" s="65" t="str">
        <f t="shared" si="91"/>
        <v/>
      </c>
      <c r="Y41" s="68" t="str">
        <f>IF('Marks Entry'!Q41="","",'Marks Entry'!Q41)</f>
        <v/>
      </c>
      <c r="Z41" s="68" t="str">
        <f>IF('Marks Entry'!R41="","",'Marks Entry'!R41)</f>
        <v/>
      </c>
      <c r="AA41" s="68" t="str">
        <f>IF('Marks Entry'!S41="","",'Marks Entry'!S41)</f>
        <v/>
      </c>
      <c r="AB41" s="514" t="str">
        <f t="shared" si="2"/>
        <v/>
      </c>
      <c r="AC41" s="68" t="str">
        <f>IF('Marks Entry'!T41="","",'Marks Entry'!T41)</f>
        <v/>
      </c>
      <c r="AD41" s="515" t="str">
        <f t="shared" si="3"/>
        <v/>
      </c>
      <c r="AE41" s="68" t="str">
        <f>IF('Marks Entry'!U41="","",'Marks Entry'!U41)</f>
        <v/>
      </c>
      <c r="AF41" s="96" t="str">
        <f t="shared" si="4"/>
        <v/>
      </c>
      <c r="AG41" s="65">
        <f t="shared" si="5"/>
        <v>0</v>
      </c>
      <c r="AH41" s="65">
        <f t="shared" si="6"/>
        <v>0</v>
      </c>
      <c r="AI41" s="66" t="str">
        <f t="shared" si="7"/>
        <v/>
      </c>
      <c r="AJ41" s="65" t="str">
        <f t="shared" si="8"/>
        <v/>
      </c>
      <c r="AK41" s="65" t="str">
        <f t="shared" si="9"/>
        <v/>
      </c>
      <c r="AL41" s="65" t="str">
        <f t="shared" si="10"/>
        <v/>
      </c>
      <c r="AM41" s="524" t="str">
        <f>IF('Marks Entry'!V41="","",IF('Marks Entry'!V41=1,'School Profile'!$I$9,IF('Marks Entry'!V41=2,'School Profile'!$I$10,IF('Marks Entry'!V41=3,'School Profile'!$I$11,IF('Marks Entry'!V41=4,'School Profile'!$I$12,IF('Marks Entry'!V41=5,'School Profile'!$I$13,IF('Marks Entry'!V41=6,'School Profile'!$I$14,"")))))))</f>
        <v/>
      </c>
      <c r="AN41" s="68" t="str">
        <f>IF('Marks Entry'!W41="","",'Marks Entry'!W41)</f>
        <v/>
      </c>
      <c r="AO41" s="68" t="str">
        <f>IF('Marks Entry'!X41="","",'Marks Entry'!X41)</f>
        <v/>
      </c>
      <c r="AP41" s="68" t="str">
        <f>IF('Marks Entry'!Y41="","",'Marks Entry'!Y41)</f>
        <v/>
      </c>
      <c r="AQ41" s="514" t="str">
        <f t="shared" si="11"/>
        <v/>
      </c>
      <c r="AR41" s="68" t="str">
        <f>IF('Marks Entry'!Z41="","",'Marks Entry'!Z41)</f>
        <v/>
      </c>
      <c r="AS41" s="515" t="str">
        <f t="shared" si="12"/>
        <v/>
      </c>
      <c r="AT41" s="68" t="str">
        <f>IF('Marks Entry'!AA41="","",'Marks Entry'!AA41)</f>
        <v/>
      </c>
      <c r="AU41" s="96" t="str">
        <f t="shared" si="13"/>
        <v/>
      </c>
      <c r="AV41" s="65">
        <f t="shared" si="14"/>
        <v>0</v>
      </c>
      <c r="AW41" s="65">
        <f t="shared" si="15"/>
        <v>0</v>
      </c>
      <c r="AX41" s="66" t="str">
        <f t="shared" si="16"/>
        <v/>
      </c>
      <c r="AY41" s="65" t="str">
        <f t="shared" si="17"/>
        <v/>
      </c>
      <c r="AZ41" s="65" t="str">
        <f t="shared" si="18"/>
        <v/>
      </c>
      <c r="BA41" s="65" t="str">
        <f t="shared" si="19"/>
        <v/>
      </c>
      <c r="BB41" s="68" t="str">
        <f>IF('Marks Entry'!AB41="","",'Marks Entry'!AB41)</f>
        <v/>
      </c>
      <c r="BC41" s="68" t="str">
        <f>IF('Marks Entry'!AC41="","",'Marks Entry'!AC41)</f>
        <v/>
      </c>
      <c r="BD41" s="68" t="str">
        <f>IF('Marks Entry'!AD41="","",'Marks Entry'!AD41)</f>
        <v/>
      </c>
      <c r="BE41" s="514" t="str">
        <f t="shared" si="20"/>
        <v/>
      </c>
      <c r="BF41" s="68" t="str">
        <f>IF('Marks Entry'!AE41="","",'Marks Entry'!AE41)</f>
        <v/>
      </c>
      <c r="BG41" s="515" t="str">
        <f t="shared" si="21"/>
        <v/>
      </c>
      <c r="BH41" s="68" t="str">
        <f>IF('Marks Entry'!AF41="","",'Marks Entry'!AF41)</f>
        <v/>
      </c>
      <c r="BI41" s="96" t="str">
        <f t="shared" si="22"/>
        <v/>
      </c>
      <c r="BJ41" s="65">
        <f t="shared" si="23"/>
        <v>0</v>
      </c>
      <c r="BK41" s="65">
        <f t="shared" si="92"/>
        <v>0</v>
      </c>
      <c r="BL41" s="66" t="str">
        <f t="shared" si="24"/>
        <v/>
      </c>
      <c r="BM41" s="65" t="str">
        <f t="shared" si="25"/>
        <v/>
      </c>
      <c r="BN41" s="65" t="str">
        <f t="shared" si="26"/>
        <v/>
      </c>
      <c r="BO41" s="65" t="str">
        <f t="shared" si="27"/>
        <v/>
      </c>
      <c r="BP41" s="68" t="str">
        <f>IF('Marks Entry'!AG41="","",'Marks Entry'!AG41)</f>
        <v/>
      </c>
      <c r="BQ41" s="68" t="str">
        <f>IF('Marks Entry'!AH41="","",'Marks Entry'!AH41)</f>
        <v/>
      </c>
      <c r="BR41" s="68" t="str">
        <f>IF('Marks Entry'!AI41="","",'Marks Entry'!AI41)</f>
        <v/>
      </c>
      <c r="BS41" s="514" t="str">
        <f t="shared" si="28"/>
        <v/>
      </c>
      <c r="BT41" s="68" t="str">
        <f>IF('Marks Entry'!AJ41="","",'Marks Entry'!AJ41)</f>
        <v/>
      </c>
      <c r="BU41" s="515" t="str">
        <f t="shared" si="29"/>
        <v/>
      </c>
      <c r="BV41" s="68" t="str">
        <f>IF('Marks Entry'!AK41="","",'Marks Entry'!AK41)</f>
        <v/>
      </c>
      <c r="BW41" s="96" t="str">
        <f t="shared" si="30"/>
        <v/>
      </c>
      <c r="BX41" s="65">
        <f t="shared" si="31"/>
        <v>0</v>
      </c>
      <c r="BY41" s="65">
        <f t="shared" si="32"/>
        <v>0</v>
      </c>
      <c r="BZ41" s="66" t="str">
        <f t="shared" si="33"/>
        <v/>
      </c>
      <c r="CA41" s="65" t="str">
        <f t="shared" si="34"/>
        <v/>
      </c>
      <c r="CB41" s="65" t="str">
        <f t="shared" si="35"/>
        <v/>
      </c>
      <c r="CC41" s="65" t="str">
        <f t="shared" si="36"/>
        <v/>
      </c>
      <c r="CD41" s="66">
        <f t="shared" si="161"/>
        <v>0</v>
      </c>
      <c r="CE41" s="68" t="str">
        <f>IF('Marks Entry'!AL41="","",'Marks Entry'!AL41)</f>
        <v/>
      </c>
      <c r="CF41" s="68" t="str">
        <f>IF('Marks Entry'!AM41="","",'Marks Entry'!AM41)</f>
        <v/>
      </c>
      <c r="CG41" s="68" t="str">
        <f>IF('Marks Entry'!AN41="","",'Marks Entry'!AN41)</f>
        <v/>
      </c>
      <c r="CH41" s="514" t="str">
        <f t="shared" si="37"/>
        <v/>
      </c>
      <c r="CI41" s="68" t="str">
        <f>IF('Marks Entry'!AO41="","",'Marks Entry'!AO41)</f>
        <v/>
      </c>
      <c r="CJ41" s="515" t="str">
        <f t="shared" si="38"/>
        <v/>
      </c>
      <c r="CK41" s="68" t="str">
        <f>IF('Marks Entry'!AP41="","",'Marks Entry'!AP41)</f>
        <v/>
      </c>
      <c r="CL41" s="96" t="str">
        <f t="shared" si="39"/>
        <v/>
      </c>
      <c r="CM41" s="65">
        <f t="shared" si="40"/>
        <v>0</v>
      </c>
      <c r="CN41" s="65">
        <f t="shared" si="41"/>
        <v>0</v>
      </c>
      <c r="CO41" s="66" t="str">
        <f t="shared" si="42"/>
        <v/>
      </c>
      <c r="CP41" s="65" t="str">
        <f t="shared" si="43"/>
        <v/>
      </c>
      <c r="CQ41" s="65" t="str">
        <f t="shared" si="44"/>
        <v/>
      </c>
      <c r="CR41" s="65" t="str">
        <f t="shared" si="45"/>
        <v/>
      </c>
      <c r="CS41" s="616"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8" t="str">
        <f>IF('School Profile'!$D$20="NO","",IF('Marks Entry'!AR41="","",'Marks Entry'!AR41))</f>
        <v/>
      </c>
      <c r="CU41" s="68" t="str">
        <f>IF('School Profile'!$D$20="NO","",IF('Marks Entry'!AS41="","",'Marks Entry'!AS41))</f>
        <v/>
      </c>
      <c r="CV41" s="68" t="str">
        <f>IF('School Profile'!$D$20="NO","",IF('Marks Entry'!AT41="","",'Marks Entry'!AT41))</f>
        <v/>
      </c>
      <c r="CW41" s="514" t="str">
        <f>IF('School Profile'!$D$20="NO","",IF(AND(CT41="",CU41="",CV41=""),"",SUM(CT41:CV41)))</f>
        <v/>
      </c>
      <c r="CX41" s="68" t="str">
        <f>IF('School Profile'!$D$20="NO","",IF('Marks Entry'!AU41="","",'Marks Entry'!AU41))</f>
        <v/>
      </c>
      <c r="CY41" s="68" t="str">
        <f>IF('School Profile'!$D$20="NO","",IF('Marks Entry'!AV41="","",'Marks Entry'!AV41))</f>
        <v/>
      </c>
      <c r="CZ41" s="515" t="str">
        <f>IF('School Profile'!$D$20="NO","",IF(AND(CX41="",CY41=""),"",SUM(CX41,CY41)))</f>
        <v/>
      </c>
      <c r="DA41" s="69" t="str">
        <f>IF('School Profile'!$D$20="NO","",IF(AND(CW41="",CZ41=""),"",SUM(CW41+CZ41)))</f>
        <v/>
      </c>
      <c r="DB41" s="68" t="str">
        <f>IF('School Profile'!$D$20="NO","",IF('Marks Entry'!AW41="","",'Marks Entry'!AW41))</f>
        <v/>
      </c>
      <c r="DC41" s="68" t="str">
        <f>IF('School Profile'!$D$20="NO","",IF('Marks Entry'!AX41="","",'Marks Entry'!AX41))</f>
        <v/>
      </c>
      <c r="DD41" s="515" t="str">
        <f>IF('School Profile'!$D$20="NO","",IF(AND(DB41="",DC41=""),"",SUM(DB41,DC41)))</f>
        <v/>
      </c>
      <c r="DE41" s="96" t="str">
        <f>IF('School Profile'!$D$20="NO","",IF(AND(DA41="",DD41=""),"",SUM(DA41,DD41)))</f>
        <v/>
      </c>
      <c r="DF41" s="532">
        <f t="shared" si="46"/>
        <v>0</v>
      </c>
      <c r="DG41" s="65">
        <f t="shared" si="47"/>
        <v>0</v>
      </c>
      <c r="DH41" s="66" t="str">
        <f t="shared" si="48"/>
        <v/>
      </c>
      <c r="DI41" s="65" t="str">
        <f t="shared" si="49"/>
        <v/>
      </c>
      <c r="DJ41" s="65" t="str">
        <f t="shared" si="50"/>
        <v/>
      </c>
      <c r="DK41" s="65" t="str">
        <f t="shared" si="51"/>
        <v/>
      </c>
      <c r="DL41" s="97" t="str">
        <f t="shared" si="94"/>
        <v/>
      </c>
      <c r="DM41" s="97" t="str">
        <f t="shared" si="95"/>
        <v/>
      </c>
      <c r="DN41" s="97" t="str">
        <f t="shared" si="96"/>
        <v/>
      </c>
      <c r="DO41" s="97" t="str">
        <f t="shared" si="97"/>
        <v/>
      </c>
      <c r="DP41" s="97" t="str">
        <f t="shared" si="98"/>
        <v/>
      </c>
      <c r="DQ41" s="97" t="str">
        <f t="shared" si="99"/>
        <v/>
      </c>
      <c r="DR41" s="97" t="str">
        <f t="shared" si="100"/>
        <v/>
      </c>
      <c r="DS41" s="98">
        <f t="shared" si="101"/>
        <v>0</v>
      </c>
      <c r="DT41" s="98">
        <f t="shared" si="102"/>
        <v>0</v>
      </c>
      <c r="DU41" s="98">
        <f t="shared" si="103"/>
        <v>0</v>
      </c>
      <c r="DV41" s="98">
        <f t="shared" si="104"/>
        <v>0</v>
      </c>
      <c r="DW41" s="98">
        <f t="shared" si="105"/>
        <v>0</v>
      </c>
      <c r="DX41" s="98" t="str">
        <f t="shared" si="106"/>
        <v/>
      </c>
      <c r="DY41" s="99" t="str">
        <f t="shared" si="107"/>
        <v/>
      </c>
      <c r="DZ41" s="74" t="str">
        <f>IF('Marks Entry'!AY41="","",'Marks Entry'!AY41)</f>
        <v/>
      </c>
      <c r="EA41" s="74" t="str">
        <f>IF('Marks Entry'!AZ41="","",'Marks Entry'!AZ41)</f>
        <v/>
      </c>
      <c r="EB41" s="74" t="str">
        <f>IF('Marks Entry'!BA41="","",'Marks Entry'!BA41)</f>
        <v/>
      </c>
      <c r="EC41" s="527" t="str">
        <f t="shared" si="52"/>
        <v/>
      </c>
      <c r="ED41" s="74" t="str">
        <f>IF('Marks Entry'!BB41="","",'Marks Entry'!BB41)</f>
        <v/>
      </c>
      <c r="EE41" s="528" t="str">
        <f t="shared" si="53"/>
        <v/>
      </c>
      <c r="EF41" s="74" t="str">
        <f>IF('Marks Entry'!BC41="","",'Marks Entry'!BC41)</f>
        <v/>
      </c>
      <c r="EG41" s="530" t="str">
        <f t="shared" si="54"/>
        <v/>
      </c>
      <c r="EH41" s="368" t="str">
        <f t="shared" si="108"/>
        <v/>
      </c>
      <c r="EI41" s="65">
        <f t="shared" si="109"/>
        <v>0</v>
      </c>
      <c r="EJ41" s="65">
        <f t="shared" si="110"/>
        <v>0</v>
      </c>
      <c r="EK41" s="66" t="str">
        <f t="shared" si="111"/>
        <v/>
      </c>
      <c r="EL41" s="74" t="str">
        <f>IF('Marks Entry'!BD41="","",'Marks Entry'!BD41)</f>
        <v/>
      </c>
      <c r="EM41" s="74" t="str">
        <f>IF('Marks Entry'!BE41="","",'Marks Entry'!BE41)</f>
        <v/>
      </c>
      <c r="EN41" s="74" t="str">
        <f>IF('Marks Entry'!BF41="","",'Marks Entry'!BF41)</f>
        <v/>
      </c>
      <c r="EO41" s="527" t="str">
        <f t="shared" si="55"/>
        <v/>
      </c>
      <c r="EP41" s="74" t="str">
        <f>IF('Marks Entry'!BG41="","",'Marks Entry'!BG41)</f>
        <v/>
      </c>
      <c r="EQ41" s="74" t="str">
        <f>IF('Marks Entry'!BH41="","",'Marks Entry'!BH41)</f>
        <v/>
      </c>
      <c r="ER41" s="528" t="str">
        <f t="shared" si="56"/>
        <v/>
      </c>
      <c r="ES41" s="529" t="str">
        <f t="shared" si="57"/>
        <v/>
      </c>
      <c r="ET41" s="74" t="str">
        <f>IF('Marks Entry'!BI41="","",'Marks Entry'!BI41)</f>
        <v/>
      </c>
      <c r="EU41" s="74" t="str">
        <f>IF('Marks Entry'!BJ41="","",'Marks Entry'!BJ41)</f>
        <v/>
      </c>
      <c r="EV41" s="528" t="str">
        <f t="shared" si="58"/>
        <v/>
      </c>
      <c r="EW41" s="530" t="str">
        <f t="shared" si="59"/>
        <v/>
      </c>
      <c r="EX41" s="368" t="str">
        <f t="shared" si="112"/>
        <v/>
      </c>
      <c r="EY41" s="65">
        <f t="shared" si="113"/>
        <v>0</v>
      </c>
      <c r="EZ41" s="65">
        <f t="shared" si="114"/>
        <v>0</v>
      </c>
      <c r="FA41" s="66" t="str">
        <f t="shared" si="115"/>
        <v/>
      </c>
      <c r="FB41" s="74" t="str">
        <f>IF('Marks Entry'!BK41="","",'Marks Entry'!BK41)</f>
        <v/>
      </c>
      <c r="FC41" s="74" t="str">
        <f>IF('Marks Entry'!BL41="","",'Marks Entry'!BL41)</f>
        <v/>
      </c>
      <c r="FD41" s="74" t="str">
        <f>IF('Marks Entry'!BM41="","",'Marks Entry'!BM41)</f>
        <v/>
      </c>
      <c r="FE41" s="74" t="str">
        <f>IF('Marks Entry'!BN41="","",'Marks Entry'!BN41)</f>
        <v/>
      </c>
      <c r="FF41" s="74" t="str">
        <f>IF('Marks Entry'!BO41="","",'Marks Entry'!BO41)</f>
        <v/>
      </c>
      <c r="FG41" s="74" t="str">
        <f>IF('Marks Entry'!BP41="","",'Marks Entry'!BP41)</f>
        <v/>
      </c>
      <c r="FH41" s="527" t="str">
        <f t="shared" si="60"/>
        <v/>
      </c>
      <c r="FI41" s="74" t="str">
        <f>IF('Marks Entry'!BQ41="","",'Marks Entry'!BQ41)</f>
        <v/>
      </c>
      <c r="FJ41" s="74" t="str">
        <f>IF('Marks Entry'!BR41="","",'Marks Entry'!BR41)</f>
        <v/>
      </c>
      <c r="FK41" s="528" t="str">
        <f t="shared" si="61"/>
        <v/>
      </c>
      <c r="FL41" s="529" t="str">
        <f t="shared" si="62"/>
        <v/>
      </c>
      <c r="FM41" s="74" t="str">
        <f>IF('Marks Entry'!BS41="","",'Marks Entry'!BS41)</f>
        <v/>
      </c>
      <c r="FN41" s="74" t="str">
        <f>IF('Marks Entry'!BT41="","",'Marks Entry'!BT41)</f>
        <v/>
      </c>
      <c r="FO41" s="528" t="str">
        <f t="shared" si="63"/>
        <v/>
      </c>
      <c r="FP41" s="530" t="str">
        <f t="shared" si="64"/>
        <v/>
      </c>
      <c r="FQ41" s="368" t="str">
        <f t="shared" si="116"/>
        <v/>
      </c>
      <c r="FR41" s="65">
        <f t="shared" si="117"/>
        <v>0</v>
      </c>
      <c r="FS41" s="65">
        <f t="shared" si="118"/>
        <v>0</v>
      </c>
      <c r="FT41" s="66" t="str">
        <f t="shared" si="119"/>
        <v/>
      </c>
      <c r="FU41" s="74" t="str">
        <f>IF('Marks Entry'!BU41="","",'Marks Entry'!BU41)</f>
        <v/>
      </c>
      <c r="FV41" s="74" t="str">
        <f>IF('Marks Entry'!BV41="","",'Marks Entry'!BV41)</f>
        <v/>
      </c>
      <c r="FW41" s="74" t="str">
        <f>IF('Marks Entry'!BW41="","",'Marks Entry'!BW41)</f>
        <v/>
      </c>
      <c r="FX41" s="75" t="str">
        <f t="shared" si="65"/>
        <v/>
      </c>
      <c r="FY41" s="368" t="str">
        <f t="shared" si="120"/>
        <v/>
      </c>
      <c r="FZ41" s="65">
        <f t="shared" si="121"/>
        <v>0</v>
      </c>
      <c r="GA41" s="66">
        <f t="shared" si="122"/>
        <v>0</v>
      </c>
      <c r="GB41" s="66" t="str">
        <f t="shared" si="123"/>
        <v/>
      </c>
      <c r="GC41" s="74" t="str">
        <f>IF('Marks Entry'!BX41="","",'Marks Entry'!BX41)</f>
        <v/>
      </c>
      <c r="GD41" s="74" t="str">
        <f>IF('Marks Entry'!BY41="","",'Marks Entry'!BY41)</f>
        <v/>
      </c>
      <c r="GE41" s="74" t="str">
        <f>IF('Marks Entry'!BZ41="","",'Marks Entry'!BZ41)</f>
        <v/>
      </c>
      <c r="GF41" s="75" t="str">
        <f t="shared" si="124"/>
        <v/>
      </c>
      <c r="GG41" s="368" t="str">
        <f t="shared" si="125"/>
        <v/>
      </c>
      <c r="GH41" s="65">
        <f t="shared" si="126"/>
        <v>0</v>
      </c>
      <c r="GI41" s="66">
        <f t="shared" si="127"/>
        <v>0</v>
      </c>
      <c r="GJ41" s="66" t="str">
        <f t="shared" si="128"/>
        <v/>
      </c>
      <c r="GK41" s="100" t="str">
        <f>IF(AND(F41="",B41=""),"",IF('Student DATA Entry'!M38="","",'Student DATA Entry'!M38))</f>
        <v/>
      </c>
      <c r="GL41" s="101" t="str">
        <f>IF(AND(B41="",F41=""),"",IF('Student DATA Entry'!N38="","",'Student DATA Entry'!N38))</f>
        <v/>
      </c>
      <c r="GM41" s="581" t="str">
        <f t="shared" si="129"/>
        <v/>
      </c>
      <c r="GN41" s="94" t="str">
        <f t="shared" si="130"/>
        <v/>
      </c>
      <c r="GO41" s="94" t="str">
        <f t="shared" si="131"/>
        <v/>
      </c>
      <c r="GP41" s="102" t="str">
        <f t="shared" si="162"/>
        <v/>
      </c>
      <c r="GQ41" s="94" t="str">
        <f t="shared" si="132"/>
        <v/>
      </c>
      <c r="GR41" s="103" t="str">
        <f t="shared" si="133"/>
        <v/>
      </c>
      <c r="GS41" s="102" t="str">
        <f t="shared" si="163"/>
        <v/>
      </c>
      <c r="GT41" s="104" t="str">
        <f t="shared" si="134"/>
        <v/>
      </c>
      <c r="GU41" s="94" t="str">
        <f>IF('Marks Entry'!V41=1,GT41,"")</f>
        <v/>
      </c>
      <c r="GV41" s="94" t="str">
        <f>IF('Marks Entry'!V41=2,GT41,"")</f>
        <v/>
      </c>
      <c r="GW41" s="94" t="str">
        <f>IF('Marks Entry'!V41=3,GT41,"")</f>
        <v/>
      </c>
      <c r="GX41" s="94" t="str">
        <f>IF('Marks Entry'!V41=4,GT41,"")</f>
        <v/>
      </c>
      <c r="GY41" s="94" t="str">
        <f>IF('Marks Entry'!V41=5,GT41,"")</f>
        <v/>
      </c>
      <c r="GZ41" s="94" t="str">
        <f t="shared" si="135"/>
        <v/>
      </c>
      <c r="HA41" s="105" t="str">
        <f t="shared" si="164"/>
        <v/>
      </c>
      <c r="HB41" s="94" t="str">
        <f t="shared" si="136"/>
        <v/>
      </c>
      <c r="HC41" s="94" t="str">
        <f t="shared" si="137"/>
        <v/>
      </c>
      <c r="HD41" s="105" t="str">
        <f t="shared" si="165"/>
        <v/>
      </c>
      <c r="HE41" s="94" t="str">
        <f t="shared" si="138"/>
        <v/>
      </c>
      <c r="HF41" s="94" t="str">
        <f t="shared" si="139"/>
        <v/>
      </c>
      <c r="HG41" s="105" t="str">
        <f t="shared" si="166"/>
        <v/>
      </c>
      <c r="HH41" s="94" t="str">
        <f t="shared" si="140"/>
        <v/>
      </c>
      <c r="HI41" s="94" t="str">
        <f t="shared" si="141"/>
        <v/>
      </c>
      <c r="HJ41" s="105" t="str">
        <f t="shared" si="167"/>
        <v/>
      </c>
      <c r="HK41" s="94" t="str">
        <f t="shared" si="142"/>
        <v/>
      </c>
      <c r="HL41" s="94" t="str">
        <f t="shared" si="143"/>
        <v/>
      </c>
      <c r="HM41" s="105" t="str">
        <f t="shared" si="168"/>
        <v/>
      </c>
      <c r="HN41" s="367" t="str">
        <f t="shared" si="144"/>
        <v xml:space="preserve">      </v>
      </c>
      <c r="HO41" s="418" t="str">
        <f t="shared" si="169"/>
        <v xml:space="preserve">      </v>
      </c>
      <c r="HP41" s="367" t="str">
        <f t="shared" si="146"/>
        <v xml:space="preserve">      </v>
      </c>
      <c r="HQ41" s="107" t="str">
        <f t="shared" si="147"/>
        <v xml:space="preserve">      </v>
      </c>
      <c r="HR41" s="366" t="str">
        <f t="shared" si="148"/>
        <v xml:space="preserve">      </v>
      </c>
      <c r="HS41" s="544" t="str">
        <f t="shared" si="170"/>
        <v/>
      </c>
      <c r="HT41" s="542" t="str">
        <f t="shared" si="149"/>
        <v/>
      </c>
      <c r="HU41" s="541" t="str">
        <f t="shared" si="160"/>
        <v/>
      </c>
      <c r="HV41" s="540" t="str">
        <f t="shared" si="150"/>
        <v/>
      </c>
      <c r="HW41" s="537" t="str">
        <f t="shared" si="151"/>
        <v/>
      </c>
      <c r="HX41" s="539" t="str">
        <f t="shared" si="152"/>
        <v/>
      </c>
      <c r="HY41" s="553" t="str">
        <f>IFERROR(IF(OR(HS41="SUPPLEMENTARY",HS41="RE-EXAM"),'Supp. Result Entry'!AQ39,""),"")</f>
        <v/>
      </c>
      <c r="HZ41" s="538" t="str">
        <f t="shared" si="153"/>
        <v/>
      </c>
      <c r="IA41" s="415" t="str">
        <f t="shared" si="154"/>
        <v/>
      </c>
      <c r="IB41" s="415" t="str">
        <f>IF(AND(HZ41="",IA41=""),"",IF(OR(HS41="SUPPLEMENTARY",HS41="RE-EXAM"),'Supp. Result Entry'!AQ39,HS41))</f>
        <v/>
      </c>
      <c r="IC41" s="87"/>
      <c r="ID41" s="111"/>
      <c r="IS41" s="109" t="str">
        <f>IF('Supp. Result Entry'!T39="","",'Supp. Result Entry'!$T$4)</f>
        <v/>
      </c>
      <c r="IT41" s="110" t="str">
        <f>IF('Supp. Result Entry'!W39="","",'Supp. Result Entry'!$W$4)</f>
        <v/>
      </c>
      <c r="IU41" s="110" t="str">
        <f>IF('Supp. Result Entry'!Z39="","",'Supp. Result Entry'!$Z$4)</f>
        <v/>
      </c>
      <c r="IV41" s="110" t="str">
        <f>IF('Supp. Result Entry'!AC39="","",'Supp. Result Entry'!$AC$4)</f>
        <v/>
      </c>
      <c r="IW41" s="110" t="str">
        <f>IF('Supp. Result Entry'!AF39="","",'Supp. Result Entry'!$AF$4)</f>
        <v/>
      </c>
      <c r="IX41" s="110" t="str">
        <f>IF('Supp. Result Entry'!AI39="","",'Supp. Result Entry'!$AI$4)</f>
        <v/>
      </c>
      <c r="IY41" s="110" t="str">
        <f>IF('Supp. Result Entry'!AI39="","",'Supp. Result Entry'!$AL$4)</f>
        <v/>
      </c>
      <c r="IZ41" s="110" t="str">
        <f>IF('Supp. Result Entry'!U39="","",'Supp. Result Entry'!U39)</f>
        <v/>
      </c>
      <c r="JA41" s="110" t="str">
        <f>IF('Supp. Result Entry'!X39="","",'Supp. Result Entry'!X39)</f>
        <v/>
      </c>
      <c r="JB41" s="110" t="str">
        <f>IF('Supp. Result Entry'!AA39="","",'Supp. Result Entry'!AA39)</f>
        <v/>
      </c>
      <c r="JC41" s="110" t="str">
        <f>IF('Supp. Result Entry'!AD39="","",'Supp. Result Entry'!AD39)</f>
        <v/>
      </c>
      <c r="JD41" s="110" t="str">
        <f>IF('Supp. Result Entry'!AG39="","",'Supp. Result Entry'!AG39)</f>
        <v/>
      </c>
      <c r="JE41" s="110" t="str">
        <f>IF('Supp. Result Entry'!AJ39="","",'Supp. Result Entry'!AJ39)</f>
        <v/>
      </c>
      <c r="JF41" s="110" t="str">
        <f>IF('Supp. Result Entry'!AM39="","",'Supp. Result Entry'!AM39)</f>
        <v/>
      </c>
      <c r="JG41" s="110" t="str">
        <f>IF('Supp. Result Entry'!V39="","",'Supp. Result Entry'!V39)</f>
        <v/>
      </c>
      <c r="JH41" s="110" t="str">
        <f>IF('Supp. Result Entry'!Y39="","",'Supp. Result Entry'!Y39)</f>
        <v/>
      </c>
      <c r="JI41" s="110" t="str">
        <f>IF('Supp. Result Entry'!AB39="","",'Supp. Result Entry'!AB39)</f>
        <v/>
      </c>
      <c r="JJ41" s="110" t="str">
        <f>IF('Supp. Result Entry'!AE39="","",'Supp. Result Entry'!AE39)</f>
        <v/>
      </c>
      <c r="JK41" s="110" t="str">
        <f>IF('Supp. Result Entry'!AH39="","",'Supp. Result Entry'!AH39)</f>
        <v/>
      </c>
      <c r="JL41" s="110" t="str">
        <f>IF('Supp. Result Entry'!AK39="","",'Supp. Result Entry'!AK39)</f>
        <v/>
      </c>
      <c r="JM41" s="110" t="str">
        <f>IF('Supp. Result Entry'!AN39="","",'Supp. Result Entry'!AN39)</f>
        <v/>
      </c>
      <c r="JN41" s="110">
        <f>COUNTIF('Supp. Result Entry'!K39:Q39,"S")</f>
        <v>0</v>
      </c>
      <c r="JO41" s="110">
        <f t="shared" si="155"/>
        <v>0</v>
      </c>
      <c r="JP41" s="110">
        <f t="shared" si="156"/>
        <v>0</v>
      </c>
      <c r="JQ41" s="110" t="str">
        <f t="shared" si="75"/>
        <v/>
      </c>
      <c r="JR41" s="110" t="str">
        <f t="shared" si="76"/>
        <v/>
      </c>
      <c r="JS41" s="110" t="str">
        <f t="shared" si="77"/>
        <v/>
      </c>
      <c r="JT41" s="110" t="str">
        <f t="shared" si="78"/>
        <v/>
      </c>
      <c r="JU41" s="110" t="str">
        <f t="shared" si="79"/>
        <v/>
      </c>
      <c r="JV41" s="110" t="str">
        <f t="shared" si="80"/>
        <v/>
      </c>
      <c r="JW41" s="110" t="str">
        <f t="shared" si="81"/>
        <v/>
      </c>
      <c r="JX41" s="110" t="str">
        <f t="shared" si="157"/>
        <v/>
      </c>
      <c r="JY41" s="110" t="str">
        <f t="shared" si="158"/>
        <v/>
      </c>
      <c r="JZ41" s="110" t="str">
        <f t="shared" si="82"/>
        <v/>
      </c>
      <c r="KA41" s="108" t="str">
        <f t="shared" si="159"/>
        <v/>
      </c>
    </row>
    <row r="42" spans="1:287" s="108" customFormat="1" ht="21.95" customHeight="1">
      <c r="A42" s="89">
        <v>36</v>
      </c>
      <c r="B42" s="90" t="str">
        <f>IF('Marks Entry'!B42="","",'Marks Entry'!B42)</f>
        <v/>
      </c>
      <c r="C42" s="94" t="str">
        <f>IF('Marks Entry'!D42="","",'Marks Entry'!D42)</f>
        <v/>
      </c>
      <c r="D42" s="91" t="str">
        <f>IF('Marks Entry'!E42="","",'Marks Entry'!E42)</f>
        <v/>
      </c>
      <c r="E42" s="92" t="str">
        <f>IF('Marks Entry'!F42="","",'Marks Entry'!F42)</f>
        <v/>
      </c>
      <c r="F42" s="93" t="str">
        <f>IF('Marks Entry'!G42="","",'Marks Entry'!G42)</f>
        <v/>
      </c>
      <c r="G42" s="93" t="str">
        <f>IF('Marks Entry'!H42="","",'Marks Entry'!H42)</f>
        <v/>
      </c>
      <c r="H42" s="93" t="str">
        <f>IF('Marks Entry'!I42="","",'Marks Entry'!I42)</f>
        <v/>
      </c>
      <c r="I42" s="94" t="str">
        <f>IF('Marks Entry'!J42="","",'Marks Entry'!J42)</f>
        <v/>
      </c>
      <c r="J42" s="95" t="str">
        <f>IF('Marks Entry'!K42="","",'Marks Entry'!K42)</f>
        <v/>
      </c>
      <c r="K42" s="68" t="str">
        <f>IF('Marks Entry'!L42="","",'Marks Entry'!L42)</f>
        <v/>
      </c>
      <c r="L42" s="68" t="str">
        <f>IF('Marks Entry'!M42="","",'Marks Entry'!M42)</f>
        <v/>
      </c>
      <c r="M42" s="68" t="str">
        <f>IF('Marks Entry'!N42="","",'Marks Entry'!N42)</f>
        <v/>
      </c>
      <c r="N42" s="514" t="str">
        <f t="shared" si="83"/>
        <v/>
      </c>
      <c r="O42" s="68" t="str">
        <f>IF('Marks Entry'!O42="","",'Marks Entry'!O42)</f>
        <v/>
      </c>
      <c r="P42" s="515" t="str">
        <f t="shared" si="84"/>
        <v/>
      </c>
      <c r="Q42" s="68" t="str">
        <f>IF('Marks Entry'!P42="","",'Marks Entry'!P42)</f>
        <v/>
      </c>
      <c r="R42" s="96" t="str">
        <f t="shared" si="85"/>
        <v/>
      </c>
      <c r="S42" s="65">
        <f t="shared" si="86"/>
        <v>0</v>
      </c>
      <c r="T42" s="65">
        <f t="shared" si="87"/>
        <v>0</v>
      </c>
      <c r="U42" s="66" t="str">
        <f t="shared" si="88"/>
        <v/>
      </c>
      <c r="V42" s="65" t="str">
        <f t="shared" si="89"/>
        <v/>
      </c>
      <c r="W42" s="65" t="str">
        <f t="shared" si="90"/>
        <v/>
      </c>
      <c r="X42" s="65" t="str">
        <f t="shared" si="91"/>
        <v/>
      </c>
      <c r="Y42" s="68" t="str">
        <f>IF('Marks Entry'!Q42="","",'Marks Entry'!Q42)</f>
        <v/>
      </c>
      <c r="Z42" s="68" t="str">
        <f>IF('Marks Entry'!R42="","",'Marks Entry'!R42)</f>
        <v/>
      </c>
      <c r="AA42" s="68" t="str">
        <f>IF('Marks Entry'!S42="","",'Marks Entry'!S42)</f>
        <v/>
      </c>
      <c r="AB42" s="514" t="str">
        <f t="shared" si="2"/>
        <v/>
      </c>
      <c r="AC42" s="68" t="str">
        <f>IF('Marks Entry'!T42="","",'Marks Entry'!T42)</f>
        <v/>
      </c>
      <c r="AD42" s="515" t="str">
        <f t="shared" si="3"/>
        <v/>
      </c>
      <c r="AE42" s="68" t="str">
        <f>IF('Marks Entry'!U42="","",'Marks Entry'!U42)</f>
        <v/>
      </c>
      <c r="AF42" s="96" t="str">
        <f t="shared" si="4"/>
        <v/>
      </c>
      <c r="AG42" s="65">
        <f t="shared" si="5"/>
        <v>0</v>
      </c>
      <c r="AH42" s="65">
        <f t="shared" si="6"/>
        <v>0</v>
      </c>
      <c r="AI42" s="66" t="str">
        <f t="shared" si="7"/>
        <v/>
      </c>
      <c r="AJ42" s="65" t="str">
        <f t="shared" si="8"/>
        <v/>
      </c>
      <c r="AK42" s="65" t="str">
        <f t="shared" si="9"/>
        <v/>
      </c>
      <c r="AL42" s="65" t="str">
        <f t="shared" si="10"/>
        <v/>
      </c>
      <c r="AM42" s="524" t="str">
        <f>IF('Marks Entry'!V42="","",IF('Marks Entry'!V42=1,'School Profile'!$I$9,IF('Marks Entry'!V42=2,'School Profile'!$I$10,IF('Marks Entry'!V42=3,'School Profile'!$I$11,IF('Marks Entry'!V42=4,'School Profile'!$I$12,IF('Marks Entry'!V42=5,'School Profile'!$I$13,IF('Marks Entry'!V42=6,'School Profile'!$I$14,"")))))))</f>
        <v/>
      </c>
      <c r="AN42" s="68" t="str">
        <f>IF('Marks Entry'!W42="","",'Marks Entry'!W42)</f>
        <v/>
      </c>
      <c r="AO42" s="68" t="str">
        <f>IF('Marks Entry'!X42="","",'Marks Entry'!X42)</f>
        <v/>
      </c>
      <c r="AP42" s="68" t="str">
        <f>IF('Marks Entry'!Y42="","",'Marks Entry'!Y42)</f>
        <v/>
      </c>
      <c r="AQ42" s="514" t="str">
        <f t="shared" si="11"/>
        <v/>
      </c>
      <c r="AR42" s="68" t="str">
        <f>IF('Marks Entry'!Z42="","",'Marks Entry'!Z42)</f>
        <v/>
      </c>
      <c r="AS42" s="515" t="str">
        <f t="shared" si="12"/>
        <v/>
      </c>
      <c r="AT42" s="68" t="str">
        <f>IF('Marks Entry'!AA42="","",'Marks Entry'!AA42)</f>
        <v/>
      </c>
      <c r="AU42" s="96" t="str">
        <f t="shared" si="13"/>
        <v/>
      </c>
      <c r="AV42" s="65">
        <f t="shared" si="14"/>
        <v>0</v>
      </c>
      <c r="AW42" s="65">
        <f t="shared" si="15"/>
        <v>0</v>
      </c>
      <c r="AX42" s="66" t="str">
        <f t="shared" si="16"/>
        <v/>
      </c>
      <c r="AY42" s="65" t="str">
        <f t="shared" si="17"/>
        <v/>
      </c>
      <c r="AZ42" s="65" t="str">
        <f t="shared" si="18"/>
        <v/>
      </c>
      <c r="BA42" s="65" t="str">
        <f t="shared" si="19"/>
        <v/>
      </c>
      <c r="BB42" s="68" t="str">
        <f>IF('Marks Entry'!AB42="","",'Marks Entry'!AB42)</f>
        <v/>
      </c>
      <c r="BC42" s="68" t="str">
        <f>IF('Marks Entry'!AC42="","",'Marks Entry'!AC42)</f>
        <v/>
      </c>
      <c r="BD42" s="68" t="str">
        <f>IF('Marks Entry'!AD42="","",'Marks Entry'!AD42)</f>
        <v/>
      </c>
      <c r="BE42" s="514" t="str">
        <f t="shared" si="20"/>
        <v/>
      </c>
      <c r="BF42" s="68" t="str">
        <f>IF('Marks Entry'!AE42="","",'Marks Entry'!AE42)</f>
        <v/>
      </c>
      <c r="BG42" s="515" t="str">
        <f t="shared" si="21"/>
        <v/>
      </c>
      <c r="BH42" s="68" t="str">
        <f>IF('Marks Entry'!AF42="","",'Marks Entry'!AF42)</f>
        <v/>
      </c>
      <c r="BI42" s="96" t="str">
        <f t="shared" si="22"/>
        <v/>
      </c>
      <c r="BJ42" s="65">
        <f t="shared" si="23"/>
        <v>0</v>
      </c>
      <c r="BK42" s="65">
        <f t="shared" si="92"/>
        <v>0</v>
      </c>
      <c r="BL42" s="66" t="str">
        <f t="shared" si="24"/>
        <v/>
      </c>
      <c r="BM42" s="65" t="str">
        <f t="shared" si="25"/>
        <v/>
      </c>
      <c r="BN42" s="65" t="str">
        <f t="shared" si="26"/>
        <v/>
      </c>
      <c r="BO42" s="65" t="str">
        <f t="shared" si="27"/>
        <v/>
      </c>
      <c r="BP42" s="68" t="str">
        <f>IF('Marks Entry'!AG42="","",'Marks Entry'!AG42)</f>
        <v/>
      </c>
      <c r="BQ42" s="68" t="str">
        <f>IF('Marks Entry'!AH42="","",'Marks Entry'!AH42)</f>
        <v/>
      </c>
      <c r="BR42" s="68" t="str">
        <f>IF('Marks Entry'!AI42="","",'Marks Entry'!AI42)</f>
        <v/>
      </c>
      <c r="BS42" s="514" t="str">
        <f t="shared" si="28"/>
        <v/>
      </c>
      <c r="BT42" s="68" t="str">
        <f>IF('Marks Entry'!AJ42="","",'Marks Entry'!AJ42)</f>
        <v/>
      </c>
      <c r="BU42" s="515" t="str">
        <f t="shared" si="29"/>
        <v/>
      </c>
      <c r="BV42" s="68" t="str">
        <f>IF('Marks Entry'!AK42="","",'Marks Entry'!AK42)</f>
        <v/>
      </c>
      <c r="BW42" s="96" t="str">
        <f t="shared" si="30"/>
        <v/>
      </c>
      <c r="BX42" s="65">
        <f t="shared" si="31"/>
        <v>0</v>
      </c>
      <c r="BY42" s="65">
        <f t="shared" si="32"/>
        <v>0</v>
      </c>
      <c r="BZ42" s="66" t="str">
        <f t="shared" si="33"/>
        <v/>
      </c>
      <c r="CA42" s="65" t="str">
        <f t="shared" si="34"/>
        <v/>
      </c>
      <c r="CB42" s="65" t="str">
        <f t="shared" si="35"/>
        <v/>
      </c>
      <c r="CC42" s="65" t="str">
        <f t="shared" si="36"/>
        <v/>
      </c>
      <c r="CD42" s="66">
        <f t="shared" si="161"/>
        <v>0</v>
      </c>
      <c r="CE42" s="68" t="str">
        <f>IF('Marks Entry'!AL42="","",'Marks Entry'!AL42)</f>
        <v/>
      </c>
      <c r="CF42" s="68" t="str">
        <f>IF('Marks Entry'!AM42="","",'Marks Entry'!AM42)</f>
        <v/>
      </c>
      <c r="CG42" s="68" t="str">
        <f>IF('Marks Entry'!AN42="","",'Marks Entry'!AN42)</f>
        <v/>
      </c>
      <c r="CH42" s="514" t="str">
        <f t="shared" si="37"/>
        <v/>
      </c>
      <c r="CI42" s="68" t="str">
        <f>IF('Marks Entry'!AO42="","",'Marks Entry'!AO42)</f>
        <v/>
      </c>
      <c r="CJ42" s="515" t="str">
        <f t="shared" si="38"/>
        <v/>
      </c>
      <c r="CK42" s="68" t="str">
        <f>IF('Marks Entry'!AP42="","",'Marks Entry'!AP42)</f>
        <v/>
      </c>
      <c r="CL42" s="96" t="str">
        <f t="shared" si="39"/>
        <v/>
      </c>
      <c r="CM42" s="65">
        <f t="shared" si="40"/>
        <v>0</v>
      </c>
      <c r="CN42" s="65">
        <f t="shared" si="41"/>
        <v>0</v>
      </c>
      <c r="CO42" s="66" t="str">
        <f t="shared" si="42"/>
        <v/>
      </c>
      <c r="CP42" s="65" t="str">
        <f t="shared" si="43"/>
        <v/>
      </c>
      <c r="CQ42" s="65" t="str">
        <f t="shared" si="44"/>
        <v/>
      </c>
      <c r="CR42" s="65" t="str">
        <f t="shared" si="45"/>
        <v/>
      </c>
      <c r="CS42" s="616"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8" t="str">
        <f>IF('School Profile'!$D$20="NO","",IF('Marks Entry'!AR42="","",'Marks Entry'!AR42))</f>
        <v/>
      </c>
      <c r="CU42" s="68" t="str">
        <f>IF('School Profile'!$D$20="NO","",IF('Marks Entry'!AS42="","",'Marks Entry'!AS42))</f>
        <v/>
      </c>
      <c r="CV42" s="68" t="str">
        <f>IF('School Profile'!$D$20="NO","",IF('Marks Entry'!AT42="","",'Marks Entry'!AT42))</f>
        <v/>
      </c>
      <c r="CW42" s="514" t="str">
        <f>IF('School Profile'!$D$20="NO","",IF(AND(CT42="",CU42="",CV42=""),"",SUM(CT42:CV42)))</f>
        <v/>
      </c>
      <c r="CX42" s="68" t="str">
        <f>IF('School Profile'!$D$20="NO","",IF('Marks Entry'!AU42="","",'Marks Entry'!AU42))</f>
        <v/>
      </c>
      <c r="CY42" s="68" t="str">
        <f>IF('School Profile'!$D$20="NO","",IF('Marks Entry'!AV42="","",'Marks Entry'!AV42))</f>
        <v/>
      </c>
      <c r="CZ42" s="515" t="str">
        <f>IF('School Profile'!$D$20="NO","",IF(AND(CX42="",CY42=""),"",SUM(CX42,CY42)))</f>
        <v/>
      </c>
      <c r="DA42" s="69" t="str">
        <f>IF('School Profile'!$D$20="NO","",IF(AND(CW42="",CZ42=""),"",SUM(CW42+CZ42)))</f>
        <v/>
      </c>
      <c r="DB42" s="68" t="str">
        <f>IF('School Profile'!$D$20="NO","",IF('Marks Entry'!AW42="","",'Marks Entry'!AW42))</f>
        <v/>
      </c>
      <c r="DC42" s="68" t="str">
        <f>IF('School Profile'!$D$20="NO","",IF('Marks Entry'!AX42="","",'Marks Entry'!AX42))</f>
        <v/>
      </c>
      <c r="DD42" s="515" t="str">
        <f>IF('School Profile'!$D$20="NO","",IF(AND(DB42="",DC42=""),"",SUM(DB42,DC42)))</f>
        <v/>
      </c>
      <c r="DE42" s="96" t="str">
        <f>IF('School Profile'!$D$20="NO","",IF(AND(DA42="",DD42=""),"",SUM(DA42,DD42)))</f>
        <v/>
      </c>
      <c r="DF42" s="532">
        <f t="shared" si="46"/>
        <v>0</v>
      </c>
      <c r="DG42" s="65">
        <f t="shared" si="47"/>
        <v>0</v>
      </c>
      <c r="DH42" s="66" t="str">
        <f t="shared" si="48"/>
        <v/>
      </c>
      <c r="DI42" s="65" t="str">
        <f t="shared" si="49"/>
        <v/>
      </c>
      <c r="DJ42" s="65" t="str">
        <f t="shared" si="50"/>
        <v/>
      </c>
      <c r="DK42" s="65" t="str">
        <f t="shared" si="51"/>
        <v/>
      </c>
      <c r="DL42" s="97" t="str">
        <f t="shared" si="94"/>
        <v/>
      </c>
      <c r="DM42" s="97" t="str">
        <f t="shared" si="95"/>
        <v/>
      </c>
      <c r="DN42" s="97" t="str">
        <f t="shared" si="96"/>
        <v/>
      </c>
      <c r="DO42" s="97" t="str">
        <f t="shared" si="97"/>
        <v/>
      </c>
      <c r="DP42" s="97" t="str">
        <f t="shared" si="98"/>
        <v/>
      </c>
      <c r="DQ42" s="97" t="str">
        <f t="shared" si="99"/>
        <v/>
      </c>
      <c r="DR42" s="97" t="str">
        <f t="shared" si="100"/>
        <v/>
      </c>
      <c r="DS42" s="98">
        <f t="shared" si="101"/>
        <v>0</v>
      </c>
      <c r="DT42" s="98">
        <f t="shared" si="102"/>
        <v>0</v>
      </c>
      <c r="DU42" s="98">
        <f t="shared" si="103"/>
        <v>0</v>
      </c>
      <c r="DV42" s="98">
        <f t="shared" si="104"/>
        <v>0</v>
      </c>
      <c r="DW42" s="98">
        <f t="shared" si="105"/>
        <v>0</v>
      </c>
      <c r="DX42" s="98" t="str">
        <f t="shared" si="106"/>
        <v/>
      </c>
      <c r="DY42" s="99" t="str">
        <f t="shared" si="107"/>
        <v/>
      </c>
      <c r="DZ42" s="74" t="str">
        <f>IF('Marks Entry'!AY42="","",'Marks Entry'!AY42)</f>
        <v/>
      </c>
      <c r="EA42" s="74" t="str">
        <f>IF('Marks Entry'!AZ42="","",'Marks Entry'!AZ42)</f>
        <v/>
      </c>
      <c r="EB42" s="74" t="str">
        <f>IF('Marks Entry'!BA42="","",'Marks Entry'!BA42)</f>
        <v/>
      </c>
      <c r="EC42" s="527" t="str">
        <f t="shared" si="52"/>
        <v/>
      </c>
      <c r="ED42" s="74" t="str">
        <f>IF('Marks Entry'!BB42="","",'Marks Entry'!BB42)</f>
        <v/>
      </c>
      <c r="EE42" s="528" t="str">
        <f t="shared" si="53"/>
        <v/>
      </c>
      <c r="EF42" s="74" t="str">
        <f>IF('Marks Entry'!BC42="","",'Marks Entry'!BC42)</f>
        <v/>
      </c>
      <c r="EG42" s="530" t="str">
        <f t="shared" si="54"/>
        <v/>
      </c>
      <c r="EH42" s="368" t="str">
        <f t="shared" si="108"/>
        <v/>
      </c>
      <c r="EI42" s="65">
        <f t="shared" si="109"/>
        <v>0</v>
      </c>
      <c r="EJ42" s="65">
        <f t="shared" si="110"/>
        <v>0</v>
      </c>
      <c r="EK42" s="66" t="str">
        <f t="shared" si="111"/>
        <v/>
      </c>
      <c r="EL42" s="74" t="str">
        <f>IF('Marks Entry'!BD42="","",'Marks Entry'!BD42)</f>
        <v/>
      </c>
      <c r="EM42" s="74" t="str">
        <f>IF('Marks Entry'!BE42="","",'Marks Entry'!BE42)</f>
        <v/>
      </c>
      <c r="EN42" s="74" t="str">
        <f>IF('Marks Entry'!BF42="","",'Marks Entry'!BF42)</f>
        <v/>
      </c>
      <c r="EO42" s="527" t="str">
        <f t="shared" si="55"/>
        <v/>
      </c>
      <c r="EP42" s="74" t="str">
        <f>IF('Marks Entry'!BG42="","",'Marks Entry'!BG42)</f>
        <v/>
      </c>
      <c r="EQ42" s="74" t="str">
        <f>IF('Marks Entry'!BH42="","",'Marks Entry'!BH42)</f>
        <v/>
      </c>
      <c r="ER42" s="528" t="str">
        <f t="shared" si="56"/>
        <v/>
      </c>
      <c r="ES42" s="529" t="str">
        <f t="shared" si="57"/>
        <v/>
      </c>
      <c r="ET42" s="74" t="str">
        <f>IF('Marks Entry'!BI42="","",'Marks Entry'!BI42)</f>
        <v/>
      </c>
      <c r="EU42" s="74" t="str">
        <f>IF('Marks Entry'!BJ42="","",'Marks Entry'!BJ42)</f>
        <v/>
      </c>
      <c r="EV42" s="528" t="str">
        <f t="shared" si="58"/>
        <v/>
      </c>
      <c r="EW42" s="530" t="str">
        <f t="shared" si="59"/>
        <v/>
      </c>
      <c r="EX42" s="368" t="str">
        <f t="shared" si="112"/>
        <v/>
      </c>
      <c r="EY42" s="65">
        <f t="shared" si="113"/>
        <v>0</v>
      </c>
      <c r="EZ42" s="65">
        <f t="shared" si="114"/>
        <v>0</v>
      </c>
      <c r="FA42" s="66" t="str">
        <f t="shared" si="115"/>
        <v/>
      </c>
      <c r="FB42" s="74" t="str">
        <f>IF('Marks Entry'!BK42="","",'Marks Entry'!BK42)</f>
        <v/>
      </c>
      <c r="FC42" s="74" t="str">
        <f>IF('Marks Entry'!BL42="","",'Marks Entry'!BL42)</f>
        <v/>
      </c>
      <c r="FD42" s="74" t="str">
        <f>IF('Marks Entry'!BM42="","",'Marks Entry'!BM42)</f>
        <v/>
      </c>
      <c r="FE42" s="74" t="str">
        <f>IF('Marks Entry'!BN42="","",'Marks Entry'!BN42)</f>
        <v/>
      </c>
      <c r="FF42" s="74" t="str">
        <f>IF('Marks Entry'!BO42="","",'Marks Entry'!BO42)</f>
        <v/>
      </c>
      <c r="FG42" s="74" t="str">
        <f>IF('Marks Entry'!BP42="","",'Marks Entry'!BP42)</f>
        <v/>
      </c>
      <c r="FH42" s="527" t="str">
        <f t="shared" si="60"/>
        <v/>
      </c>
      <c r="FI42" s="74" t="str">
        <f>IF('Marks Entry'!BQ42="","",'Marks Entry'!BQ42)</f>
        <v/>
      </c>
      <c r="FJ42" s="74" t="str">
        <f>IF('Marks Entry'!BR42="","",'Marks Entry'!BR42)</f>
        <v/>
      </c>
      <c r="FK42" s="528" t="str">
        <f t="shared" si="61"/>
        <v/>
      </c>
      <c r="FL42" s="529" t="str">
        <f t="shared" si="62"/>
        <v/>
      </c>
      <c r="FM42" s="74" t="str">
        <f>IF('Marks Entry'!BS42="","",'Marks Entry'!BS42)</f>
        <v/>
      </c>
      <c r="FN42" s="74" t="str">
        <f>IF('Marks Entry'!BT42="","",'Marks Entry'!BT42)</f>
        <v/>
      </c>
      <c r="FO42" s="528" t="str">
        <f t="shared" si="63"/>
        <v/>
      </c>
      <c r="FP42" s="530" t="str">
        <f t="shared" si="64"/>
        <v/>
      </c>
      <c r="FQ42" s="368" t="str">
        <f t="shared" si="116"/>
        <v/>
      </c>
      <c r="FR42" s="65">
        <f t="shared" si="117"/>
        <v>0</v>
      </c>
      <c r="FS42" s="65">
        <f t="shared" si="118"/>
        <v>0</v>
      </c>
      <c r="FT42" s="66" t="str">
        <f t="shared" si="119"/>
        <v/>
      </c>
      <c r="FU42" s="74" t="str">
        <f>IF('Marks Entry'!BU42="","",'Marks Entry'!BU42)</f>
        <v/>
      </c>
      <c r="FV42" s="74" t="str">
        <f>IF('Marks Entry'!BV42="","",'Marks Entry'!BV42)</f>
        <v/>
      </c>
      <c r="FW42" s="74" t="str">
        <f>IF('Marks Entry'!BW42="","",'Marks Entry'!BW42)</f>
        <v/>
      </c>
      <c r="FX42" s="75" t="str">
        <f t="shared" si="65"/>
        <v/>
      </c>
      <c r="FY42" s="368" t="str">
        <f t="shared" si="120"/>
        <v/>
      </c>
      <c r="FZ42" s="65">
        <f t="shared" si="121"/>
        <v>0</v>
      </c>
      <c r="GA42" s="66">
        <f t="shared" si="122"/>
        <v>0</v>
      </c>
      <c r="GB42" s="66" t="str">
        <f t="shared" si="123"/>
        <v/>
      </c>
      <c r="GC42" s="74" t="str">
        <f>IF('Marks Entry'!BX42="","",'Marks Entry'!BX42)</f>
        <v/>
      </c>
      <c r="GD42" s="74" t="str">
        <f>IF('Marks Entry'!BY42="","",'Marks Entry'!BY42)</f>
        <v/>
      </c>
      <c r="GE42" s="74" t="str">
        <f>IF('Marks Entry'!BZ42="","",'Marks Entry'!BZ42)</f>
        <v/>
      </c>
      <c r="GF42" s="75" t="str">
        <f t="shared" si="124"/>
        <v/>
      </c>
      <c r="GG42" s="368" t="str">
        <f t="shared" si="125"/>
        <v/>
      </c>
      <c r="GH42" s="65">
        <f t="shared" si="126"/>
        <v>0</v>
      </c>
      <c r="GI42" s="66">
        <f t="shared" si="127"/>
        <v>0</v>
      </c>
      <c r="GJ42" s="66" t="str">
        <f t="shared" si="128"/>
        <v/>
      </c>
      <c r="GK42" s="100" t="str">
        <f>IF(AND(F42="",B42=""),"",IF('Student DATA Entry'!M39="","",'Student DATA Entry'!M39))</f>
        <v/>
      </c>
      <c r="GL42" s="101" t="str">
        <f>IF(AND(B42="",F42=""),"",IF('Student DATA Entry'!N39="","",'Student DATA Entry'!N39))</f>
        <v/>
      </c>
      <c r="GM42" s="581" t="str">
        <f t="shared" si="129"/>
        <v/>
      </c>
      <c r="GN42" s="94" t="str">
        <f t="shared" si="130"/>
        <v/>
      </c>
      <c r="GO42" s="94" t="str">
        <f t="shared" si="131"/>
        <v/>
      </c>
      <c r="GP42" s="102" t="str">
        <f t="shared" si="162"/>
        <v/>
      </c>
      <c r="GQ42" s="94" t="str">
        <f t="shared" si="132"/>
        <v/>
      </c>
      <c r="GR42" s="103" t="str">
        <f t="shared" si="133"/>
        <v/>
      </c>
      <c r="GS42" s="102" t="str">
        <f t="shared" si="163"/>
        <v/>
      </c>
      <c r="GT42" s="104" t="str">
        <f t="shared" si="134"/>
        <v/>
      </c>
      <c r="GU42" s="94" t="str">
        <f>IF('Marks Entry'!V42=1,GT42,"")</f>
        <v/>
      </c>
      <c r="GV42" s="94" t="str">
        <f>IF('Marks Entry'!V42=2,GT42,"")</f>
        <v/>
      </c>
      <c r="GW42" s="94" t="str">
        <f>IF('Marks Entry'!V42=3,GT42,"")</f>
        <v/>
      </c>
      <c r="GX42" s="94" t="str">
        <f>IF('Marks Entry'!V42=4,GT42,"")</f>
        <v/>
      </c>
      <c r="GY42" s="94" t="str">
        <f>IF('Marks Entry'!V42=5,GT42,"")</f>
        <v/>
      </c>
      <c r="GZ42" s="94" t="str">
        <f t="shared" si="135"/>
        <v/>
      </c>
      <c r="HA42" s="105" t="str">
        <f t="shared" si="164"/>
        <v/>
      </c>
      <c r="HB42" s="94" t="str">
        <f t="shared" si="136"/>
        <v/>
      </c>
      <c r="HC42" s="94" t="str">
        <f t="shared" si="137"/>
        <v/>
      </c>
      <c r="HD42" s="105" t="str">
        <f t="shared" si="165"/>
        <v/>
      </c>
      <c r="HE42" s="94" t="str">
        <f t="shared" si="138"/>
        <v/>
      </c>
      <c r="HF42" s="94" t="str">
        <f t="shared" si="139"/>
        <v/>
      </c>
      <c r="HG42" s="105" t="str">
        <f t="shared" si="166"/>
        <v/>
      </c>
      <c r="HH42" s="94" t="str">
        <f t="shared" si="140"/>
        <v/>
      </c>
      <c r="HI42" s="94" t="str">
        <f t="shared" si="141"/>
        <v/>
      </c>
      <c r="HJ42" s="105" t="str">
        <f t="shared" si="167"/>
        <v/>
      </c>
      <c r="HK42" s="94" t="str">
        <f t="shared" si="142"/>
        <v/>
      </c>
      <c r="HL42" s="94" t="str">
        <f t="shared" si="143"/>
        <v/>
      </c>
      <c r="HM42" s="105" t="str">
        <f t="shared" si="168"/>
        <v/>
      </c>
      <c r="HN42" s="367" t="str">
        <f t="shared" si="144"/>
        <v xml:space="preserve">      </v>
      </c>
      <c r="HO42" s="418" t="str">
        <f t="shared" si="169"/>
        <v xml:space="preserve">      </v>
      </c>
      <c r="HP42" s="367" t="str">
        <f t="shared" si="146"/>
        <v xml:space="preserve">      </v>
      </c>
      <c r="HQ42" s="107" t="str">
        <f t="shared" si="147"/>
        <v xml:space="preserve">      </v>
      </c>
      <c r="HR42" s="366" t="str">
        <f t="shared" si="148"/>
        <v xml:space="preserve">      </v>
      </c>
      <c r="HS42" s="544" t="str">
        <f t="shared" si="170"/>
        <v/>
      </c>
      <c r="HT42" s="542" t="str">
        <f t="shared" si="149"/>
        <v/>
      </c>
      <c r="HU42" s="541" t="str">
        <f t="shared" si="160"/>
        <v/>
      </c>
      <c r="HV42" s="540" t="str">
        <f t="shared" si="150"/>
        <v/>
      </c>
      <c r="HW42" s="537" t="str">
        <f t="shared" si="151"/>
        <v/>
      </c>
      <c r="HX42" s="539" t="str">
        <f t="shared" si="152"/>
        <v/>
      </c>
      <c r="HY42" s="553" t="str">
        <f>IFERROR(IF(OR(HS42="SUPPLEMENTARY",HS42="RE-EXAM"),'Supp. Result Entry'!AQ40,""),"")</f>
        <v/>
      </c>
      <c r="HZ42" s="538" t="str">
        <f t="shared" si="153"/>
        <v/>
      </c>
      <c r="IA42" s="415" t="str">
        <f t="shared" si="154"/>
        <v/>
      </c>
      <c r="IB42" s="415" t="str">
        <f>IF(AND(HZ42="",IA42=""),"",IF(OR(HS42="SUPPLEMENTARY",HS42="RE-EXAM"),'Supp. Result Entry'!AQ40,HS42))</f>
        <v/>
      </c>
      <c r="IC42" s="87"/>
      <c r="ID42" s="111"/>
      <c r="IS42" s="109" t="str">
        <f>IF('Supp. Result Entry'!T40="","",'Supp. Result Entry'!$T$4)</f>
        <v/>
      </c>
      <c r="IT42" s="110" t="str">
        <f>IF('Supp. Result Entry'!W40="","",'Supp. Result Entry'!$W$4)</f>
        <v/>
      </c>
      <c r="IU42" s="110" t="str">
        <f>IF('Supp. Result Entry'!Z40="","",'Supp. Result Entry'!$Z$4)</f>
        <v/>
      </c>
      <c r="IV42" s="110" t="str">
        <f>IF('Supp. Result Entry'!AC40="","",'Supp. Result Entry'!$AC$4)</f>
        <v/>
      </c>
      <c r="IW42" s="110" t="str">
        <f>IF('Supp. Result Entry'!AF40="","",'Supp. Result Entry'!$AF$4)</f>
        <v/>
      </c>
      <c r="IX42" s="110" t="str">
        <f>IF('Supp. Result Entry'!AI40="","",'Supp. Result Entry'!$AI$4)</f>
        <v/>
      </c>
      <c r="IY42" s="110" t="str">
        <f>IF('Supp. Result Entry'!AI40="","",'Supp. Result Entry'!$AL$4)</f>
        <v/>
      </c>
      <c r="IZ42" s="110" t="str">
        <f>IF('Supp. Result Entry'!U40="","",'Supp. Result Entry'!U40)</f>
        <v/>
      </c>
      <c r="JA42" s="110" t="str">
        <f>IF('Supp. Result Entry'!X40="","",'Supp. Result Entry'!X40)</f>
        <v/>
      </c>
      <c r="JB42" s="110" t="str">
        <f>IF('Supp. Result Entry'!AA40="","",'Supp. Result Entry'!AA40)</f>
        <v/>
      </c>
      <c r="JC42" s="110" t="str">
        <f>IF('Supp. Result Entry'!AD40="","",'Supp. Result Entry'!AD40)</f>
        <v/>
      </c>
      <c r="JD42" s="110" t="str">
        <f>IF('Supp. Result Entry'!AG40="","",'Supp. Result Entry'!AG40)</f>
        <v/>
      </c>
      <c r="JE42" s="110" t="str">
        <f>IF('Supp. Result Entry'!AJ40="","",'Supp. Result Entry'!AJ40)</f>
        <v/>
      </c>
      <c r="JF42" s="110" t="str">
        <f>IF('Supp. Result Entry'!AM40="","",'Supp. Result Entry'!AM40)</f>
        <v/>
      </c>
      <c r="JG42" s="110" t="str">
        <f>IF('Supp. Result Entry'!V40="","",'Supp. Result Entry'!V40)</f>
        <v/>
      </c>
      <c r="JH42" s="110" t="str">
        <f>IF('Supp. Result Entry'!Y40="","",'Supp. Result Entry'!Y40)</f>
        <v/>
      </c>
      <c r="JI42" s="110" t="str">
        <f>IF('Supp. Result Entry'!AB40="","",'Supp. Result Entry'!AB40)</f>
        <v/>
      </c>
      <c r="JJ42" s="110" t="str">
        <f>IF('Supp. Result Entry'!AE40="","",'Supp. Result Entry'!AE40)</f>
        <v/>
      </c>
      <c r="JK42" s="110" t="str">
        <f>IF('Supp. Result Entry'!AH40="","",'Supp. Result Entry'!AH40)</f>
        <v/>
      </c>
      <c r="JL42" s="110" t="str">
        <f>IF('Supp. Result Entry'!AK40="","",'Supp. Result Entry'!AK40)</f>
        <v/>
      </c>
      <c r="JM42" s="110" t="str">
        <f>IF('Supp. Result Entry'!AN40="","",'Supp. Result Entry'!AN40)</f>
        <v/>
      </c>
      <c r="JN42" s="110">
        <f>COUNTIF('Supp. Result Entry'!K40:Q40,"S")</f>
        <v>0</v>
      </c>
      <c r="JO42" s="110">
        <f t="shared" si="155"/>
        <v>0</v>
      </c>
      <c r="JP42" s="110">
        <f t="shared" si="156"/>
        <v>0</v>
      </c>
      <c r="JQ42" s="110" t="str">
        <f t="shared" si="75"/>
        <v/>
      </c>
      <c r="JR42" s="110" t="str">
        <f t="shared" si="76"/>
        <v/>
      </c>
      <c r="JS42" s="110" t="str">
        <f t="shared" si="77"/>
        <v/>
      </c>
      <c r="JT42" s="110" t="str">
        <f t="shared" si="78"/>
        <v/>
      </c>
      <c r="JU42" s="110" t="str">
        <f t="shared" si="79"/>
        <v/>
      </c>
      <c r="JV42" s="110" t="str">
        <f t="shared" si="80"/>
        <v/>
      </c>
      <c r="JW42" s="110" t="str">
        <f t="shared" si="81"/>
        <v/>
      </c>
      <c r="JX42" s="110" t="str">
        <f t="shared" si="157"/>
        <v/>
      </c>
      <c r="JY42" s="110" t="str">
        <f t="shared" si="158"/>
        <v/>
      </c>
      <c r="JZ42" s="110" t="str">
        <f t="shared" si="82"/>
        <v/>
      </c>
      <c r="KA42" s="108" t="str">
        <f t="shared" si="159"/>
        <v/>
      </c>
    </row>
    <row r="43" spans="1:287" s="108" customFormat="1" ht="21.95" customHeight="1">
      <c r="A43" s="89">
        <v>37</v>
      </c>
      <c r="B43" s="90" t="str">
        <f>IF('Marks Entry'!B43="","",'Marks Entry'!B43)</f>
        <v/>
      </c>
      <c r="C43" s="94" t="str">
        <f>IF('Marks Entry'!D43="","",'Marks Entry'!D43)</f>
        <v/>
      </c>
      <c r="D43" s="91" t="str">
        <f>IF('Marks Entry'!E43="","",'Marks Entry'!E43)</f>
        <v/>
      </c>
      <c r="E43" s="92" t="str">
        <f>IF('Marks Entry'!F43="","",'Marks Entry'!F43)</f>
        <v/>
      </c>
      <c r="F43" s="93" t="str">
        <f>IF('Marks Entry'!G43="","",'Marks Entry'!G43)</f>
        <v/>
      </c>
      <c r="G43" s="93" t="str">
        <f>IF('Marks Entry'!H43="","",'Marks Entry'!H43)</f>
        <v/>
      </c>
      <c r="H43" s="93" t="str">
        <f>IF('Marks Entry'!I43="","",'Marks Entry'!I43)</f>
        <v/>
      </c>
      <c r="I43" s="94" t="str">
        <f>IF('Marks Entry'!J43="","",'Marks Entry'!J43)</f>
        <v/>
      </c>
      <c r="J43" s="95" t="str">
        <f>IF('Marks Entry'!K43="","",'Marks Entry'!K43)</f>
        <v/>
      </c>
      <c r="K43" s="68" t="str">
        <f>IF('Marks Entry'!L43="","",'Marks Entry'!L43)</f>
        <v/>
      </c>
      <c r="L43" s="68" t="str">
        <f>IF('Marks Entry'!M43="","",'Marks Entry'!M43)</f>
        <v/>
      </c>
      <c r="M43" s="68" t="str">
        <f>IF('Marks Entry'!N43="","",'Marks Entry'!N43)</f>
        <v/>
      </c>
      <c r="N43" s="514" t="str">
        <f t="shared" si="83"/>
        <v/>
      </c>
      <c r="O43" s="68" t="str">
        <f>IF('Marks Entry'!O43="","",'Marks Entry'!O43)</f>
        <v/>
      </c>
      <c r="P43" s="515" t="str">
        <f t="shared" si="84"/>
        <v/>
      </c>
      <c r="Q43" s="68" t="str">
        <f>IF('Marks Entry'!P43="","",'Marks Entry'!P43)</f>
        <v/>
      </c>
      <c r="R43" s="96" t="str">
        <f t="shared" si="85"/>
        <v/>
      </c>
      <c r="S43" s="65">
        <f t="shared" si="86"/>
        <v>0</v>
      </c>
      <c r="T43" s="65">
        <f t="shared" si="87"/>
        <v>0</v>
      </c>
      <c r="U43" s="66" t="str">
        <f t="shared" si="88"/>
        <v/>
      </c>
      <c r="V43" s="65" t="str">
        <f t="shared" si="89"/>
        <v/>
      </c>
      <c r="W43" s="65" t="str">
        <f t="shared" si="90"/>
        <v/>
      </c>
      <c r="X43" s="65" t="str">
        <f t="shared" si="91"/>
        <v/>
      </c>
      <c r="Y43" s="68" t="str">
        <f>IF('Marks Entry'!Q43="","",'Marks Entry'!Q43)</f>
        <v/>
      </c>
      <c r="Z43" s="68" t="str">
        <f>IF('Marks Entry'!R43="","",'Marks Entry'!R43)</f>
        <v/>
      </c>
      <c r="AA43" s="68" t="str">
        <f>IF('Marks Entry'!S43="","",'Marks Entry'!S43)</f>
        <v/>
      </c>
      <c r="AB43" s="514" t="str">
        <f t="shared" si="2"/>
        <v/>
      </c>
      <c r="AC43" s="68" t="str">
        <f>IF('Marks Entry'!T43="","",'Marks Entry'!T43)</f>
        <v/>
      </c>
      <c r="AD43" s="515" t="str">
        <f t="shared" si="3"/>
        <v/>
      </c>
      <c r="AE43" s="68" t="str">
        <f>IF('Marks Entry'!U43="","",'Marks Entry'!U43)</f>
        <v/>
      </c>
      <c r="AF43" s="96" t="str">
        <f t="shared" si="4"/>
        <v/>
      </c>
      <c r="AG43" s="65">
        <f t="shared" si="5"/>
        <v>0</v>
      </c>
      <c r="AH43" s="65">
        <f t="shared" si="6"/>
        <v>0</v>
      </c>
      <c r="AI43" s="66" t="str">
        <f t="shared" si="7"/>
        <v/>
      </c>
      <c r="AJ43" s="65" t="str">
        <f t="shared" si="8"/>
        <v/>
      </c>
      <c r="AK43" s="65" t="str">
        <f t="shared" si="9"/>
        <v/>
      </c>
      <c r="AL43" s="65" t="str">
        <f t="shared" si="10"/>
        <v/>
      </c>
      <c r="AM43" s="524" t="str">
        <f>IF('Marks Entry'!V43="","",IF('Marks Entry'!V43=1,'School Profile'!$I$9,IF('Marks Entry'!V43=2,'School Profile'!$I$10,IF('Marks Entry'!V43=3,'School Profile'!$I$11,IF('Marks Entry'!V43=4,'School Profile'!$I$12,IF('Marks Entry'!V43=5,'School Profile'!$I$13,IF('Marks Entry'!V43=6,'School Profile'!$I$14,"")))))))</f>
        <v/>
      </c>
      <c r="AN43" s="68" t="str">
        <f>IF('Marks Entry'!W43="","",'Marks Entry'!W43)</f>
        <v/>
      </c>
      <c r="AO43" s="68" t="str">
        <f>IF('Marks Entry'!X43="","",'Marks Entry'!X43)</f>
        <v/>
      </c>
      <c r="AP43" s="68" t="str">
        <f>IF('Marks Entry'!Y43="","",'Marks Entry'!Y43)</f>
        <v/>
      </c>
      <c r="AQ43" s="514" t="str">
        <f t="shared" si="11"/>
        <v/>
      </c>
      <c r="AR43" s="68" t="str">
        <f>IF('Marks Entry'!Z43="","",'Marks Entry'!Z43)</f>
        <v/>
      </c>
      <c r="AS43" s="515" t="str">
        <f t="shared" si="12"/>
        <v/>
      </c>
      <c r="AT43" s="68" t="str">
        <f>IF('Marks Entry'!AA43="","",'Marks Entry'!AA43)</f>
        <v/>
      </c>
      <c r="AU43" s="96" t="str">
        <f t="shared" si="13"/>
        <v/>
      </c>
      <c r="AV43" s="65">
        <f t="shared" si="14"/>
        <v>0</v>
      </c>
      <c r="AW43" s="65">
        <f t="shared" si="15"/>
        <v>0</v>
      </c>
      <c r="AX43" s="66" t="str">
        <f t="shared" si="16"/>
        <v/>
      </c>
      <c r="AY43" s="65" t="str">
        <f t="shared" si="17"/>
        <v/>
      </c>
      <c r="AZ43" s="65" t="str">
        <f t="shared" si="18"/>
        <v/>
      </c>
      <c r="BA43" s="65" t="str">
        <f t="shared" si="19"/>
        <v/>
      </c>
      <c r="BB43" s="68" t="str">
        <f>IF('Marks Entry'!AB43="","",'Marks Entry'!AB43)</f>
        <v/>
      </c>
      <c r="BC43" s="68" t="str">
        <f>IF('Marks Entry'!AC43="","",'Marks Entry'!AC43)</f>
        <v/>
      </c>
      <c r="BD43" s="68" t="str">
        <f>IF('Marks Entry'!AD43="","",'Marks Entry'!AD43)</f>
        <v/>
      </c>
      <c r="BE43" s="514" t="str">
        <f t="shared" si="20"/>
        <v/>
      </c>
      <c r="BF43" s="68" t="str">
        <f>IF('Marks Entry'!AE43="","",'Marks Entry'!AE43)</f>
        <v/>
      </c>
      <c r="BG43" s="515" t="str">
        <f t="shared" si="21"/>
        <v/>
      </c>
      <c r="BH43" s="68" t="str">
        <f>IF('Marks Entry'!AF43="","",'Marks Entry'!AF43)</f>
        <v/>
      </c>
      <c r="BI43" s="96" t="str">
        <f t="shared" si="22"/>
        <v/>
      </c>
      <c r="BJ43" s="65">
        <f t="shared" si="23"/>
        <v>0</v>
      </c>
      <c r="BK43" s="65">
        <f t="shared" si="92"/>
        <v>0</v>
      </c>
      <c r="BL43" s="66" t="str">
        <f t="shared" si="24"/>
        <v/>
      </c>
      <c r="BM43" s="65" t="str">
        <f t="shared" si="25"/>
        <v/>
      </c>
      <c r="BN43" s="65" t="str">
        <f t="shared" si="26"/>
        <v/>
      </c>
      <c r="BO43" s="65" t="str">
        <f t="shared" si="27"/>
        <v/>
      </c>
      <c r="BP43" s="68" t="str">
        <f>IF('Marks Entry'!AG43="","",'Marks Entry'!AG43)</f>
        <v/>
      </c>
      <c r="BQ43" s="68" t="str">
        <f>IF('Marks Entry'!AH43="","",'Marks Entry'!AH43)</f>
        <v/>
      </c>
      <c r="BR43" s="68" t="str">
        <f>IF('Marks Entry'!AI43="","",'Marks Entry'!AI43)</f>
        <v/>
      </c>
      <c r="BS43" s="514" t="str">
        <f t="shared" si="28"/>
        <v/>
      </c>
      <c r="BT43" s="68" t="str">
        <f>IF('Marks Entry'!AJ43="","",'Marks Entry'!AJ43)</f>
        <v/>
      </c>
      <c r="BU43" s="515" t="str">
        <f t="shared" si="29"/>
        <v/>
      </c>
      <c r="BV43" s="68" t="str">
        <f>IF('Marks Entry'!AK43="","",'Marks Entry'!AK43)</f>
        <v/>
      </c>
      <c r="BW43" s="96" t="str">
        <f t="shared" si="30"/>
        <v/>
      </c>
      <c r="BX43" s="65">
        <f t="shared" si="31"/>
        <v>0</v>
      </c>
      <c r="BY43" s="65">
        <f t="shared" si="32"/>
        <v>0</v>
      </c>
      <c r="BZ43" s="66" t="str">
        <f t="shared" si="33"/>
        <v/>
      </c>
      <c r="CA43" s="65" t="str">
        <f t="shared" si="34"/>
        <v/>
      </c>
      <c r="CB43" s="65" t="str">
        <f t="shared" si="35"/>
        <v/>
      </c>
      <c r="CC43" s="65" t="str">
        <f t="shared" si="36"/>
        <v/>
      </c>
      <c r="CD43" s="66">
        <f t="shared" si="161"/>
        <v>0</v>
      </c>
      <c r="CE43" s="68" t="str">
        <f>IF('Marks Entry'!AL43="","",'Marks Entry'!AL43)</f>
        <v/>
      </c>
      <c r="CF43" s="68" t="str">
        <f>IF('Marks Entry'!AM43="","",'Marks Entry'!AM43)</f>
        <v/>
      </c>
      <c r="CG43" s="68" t="str">
        <f>IF('Marks Entry'!AN43="","",'Marks Entry'!AN43)</f>
        <v/>
      </c>
      <c r="CH43" s="514" t="str">
        <f t="shared" si="37"/>
        <v/>
      </c>
      <c r="CI43" s="68" t="str">
        <f>IF('Marks Entry'!AO43="","",'Marks Entry'!AO43)</f>
        <v/>
      </c>
      <c r="CJ43" s="515" t="str">
        <f t="shared" si="38"/>
        <v/>
      </c>
      <c r="CK43" s="68" t="str">
        <f>IF('Marks Entry'!AP43="","",'Marks Entry'!AP43)</f>
        <v/>
      </c>
      <c r="CL43" s="96" t="str">
        <f t="shared" si="39"/>
        <v/>
      </c>
      <c r="CM43" s="65">
        <f t="shared" si="40"/>
        <v>0</v>
      </c>
      <c r="CN43" s="65">
        <f t="shared" si="41"/>
        <v>0</v>
      </c>
      <c r="CO43" s="66" t="str">
        <f t="shared" si="42"/>
        <v/>
      </c>
      <c r="CP43" s="65" t="str">
        <f t="shared" si="43"/>
        <v/>
      </c>
      <c r="CQ43" s="65" t="str">
        <f t="shared" si="44"/>
        <v/>
      </c>
      <c r="CR43" s="65" t="str">
        <f t="shared" si="45"/>
        <v/>
      </c>
      <c r="CS43" s="616"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8" t="str">
        <f>IF('School Profile'!$D$20="NO","",IF('Marks Entry'!AR43="","",'Marks Entry'!AR43))</f>
        <v/>
      </c>
      <c r="CU43" s="68" t="str">
        <f>IF('School Profile'!$D$20="NO","",IF('Marks Entry'!AS43="","",'Marks Entry'!AS43))</f>
        <v/>
      </c>
      <c r="CV43" s="68" t="str">
        <f>IF('School Profile'!$D$20="NO","",IF('Marks Entry'!AT43="","",'Marks Entry'!AT43))</f>
        <v/>
      </c>
      <c r="CW43" s="514" t="str">
        <f>IF('School Profile'!$D$20="NO","",IF(AND(CT43="",CU43="",CV43=""),"",SUM(CT43:CV43)))</f>
        <v/>
      </c>
      <c r="CX43" s="68" t="str">
        <f>IF('School Profile'!$D$20="NO","",IF('Marks Entry'!AU43="","",'Marks Entry'!AU43))</f>
        <v/>
      </c>
      <c r="CY43" s="68" t="str">
        <f>IF('School Profile'!$D$20="NO","",IF('Marks Entry'!AV43="","",'Marks Entry'!AV43))</f>
        <v/>
      </c>
      <c r="CZ43" s="515" t="str">
        <f>IF('School Profile'!$D$20="NO","",IF(AND(CX43="",CY43=""),"",SUM(CX43,CY43)))</f>
        <v/>
      </c>
      <c r="DA43" s="69" t="str">
        <f>IF('School Profile'!$D$20="NO","",IF(AND(CW43="",CZ43=""),"",SUM(CW43+CZ43)))</f>
        <v/>
      </c>
      <c r="DB43" s="68" t="str">
        <f>IF('School Profile'!$D$20="NO","",IF('Marks Entry'!AW43="","",'Marks Entry'!AW43))</f>
        <v/>
      </c>
      <c r="DC43" s="68" t="str">
        <f>IF('School Profile'!$D$20="NO","",IF('Marks Entry'!AX43="","",'Marks Entry'!AX43))</f>
        <v/>
      </c>
      <c r="DD43" s="515" t="str">
        <f>IF('School Profile'!$D$20="NO","",IF(AND(DB43="",DC43=""),"",SUM(DB43,DC43)))</f>
        <v/>
      </c>
      <c r="DE43" s="96" t="str">
        <f>IF('School Profile'!$D$20="NO","",IF(AND(DA43="",DD43=""),"",SUM(DA43,DD43)))</f>
        <v/>
      </c>
      <c r="DF43" s="532">
        <f t="shared" si="46"/>
        <v>0</v>
      </c>
      <c r="DG43" s="65">
        <f t="shared" si="47"/>
        <v>0</v>
      </c>
      <c r="DH43" s="66" t="str">
        <f t="shared" si="48"/>
        <v/>
      </c>
      <c r="DI43" s="65" t="str">
        <f t="shared" si="49"/>
        <v/>
      </c>
      <c r="DJ43" s="65" t="str">
        <f t="shared" si="50"/>
        <v/>
      </c>
      <c r="DK43" s="65" t="str">
        <f t="shared" si="51"/>
        <v/>
      </c>
      <c r="DL43" s="97" t="str">
        <f t="shared" si="94"/>
        <v/>
      </c>
      <c r="DM43" s="97" t="str">
        <f t="shared" si="95"/>
        <v/>
      </c>
      <c r="DN43" s="97" t="str">
        <f t="shared" si="96"/>
        <v/>
      </c>
      <c r="DO43" s="97" t="str">
        <f t="shared" si="97"/>
        <v/>
      </c>
      <c r="DP43" s="97" t="str">
        <f t="shared" si="98"/>
        <v/>
      </c>
      <c r="DQ43" s="97" t="str">
        <f t="shared" si="99"/>
        <v/>
      </c>
      <c r="DR43" s="97" t="str">
        <f t="shared" si="100"/>
        <v/>
      </c>
      <c r="DS43" s="98">
        <f t="shared" si="101"/>
        <v>0</v>
      </c>
      <c r="DT43" s="98">
        <f t="shared" si="102"/>
        <v>0</v>
      </c>
      <c r="DU43" s="98">
        <f t="shared" si="103"/>
        <v>0</v>
      </c>
      <c r="DV43" s="98">
        <f t="shared" si="104"/>
        <v>0</v>
      </c>
      <c r="DW43" s="98">
        <f t="shared" si="105"/>
        <v>0</v>
      </c>
      <c r="DX43" s="98" t="str">
        <f t="shared" si="106"/>
        <v/>
      </c>
      <c r="DY43" s="99" t="str">
        <f t="shared" si="107"/>
        <v/>
      </c>
      <c r="DZ43" s="74" t="str">
        <f>IF('Marks Entry'!AY43="","",'Marks Entry'!AY43)</f>
        <v/>
      </c>
      <c r="EA43" s="74" t="str">
        <f>IF('Marks Entry'!AZ43="","",'Marks Entry'!AZ43)</f>
        <v/>
      </c>
      <c r="EB43" s="74" t="str">
        <f>IF('Marks Entry'!BA43="","",'Marks Entry'!BA43)</f>
        <v/>
      </c>
      <c r="EC43" s="527" t="str">
        <f t="shared" si="52"/>
        <v/>
      </c>
      <c r="ED43" s="74" t="str">
        <f>IF('Marks Entry'!BB43="","",'Marks Entry'!BB43)</f>
        <v/>
      </c>
      <c r="EE43" s="528" t="str">
        <f t="shared" si="53"/>
        <v/>
      </c>
      <c r="EF43" s="74" t="str">
        <f>IF('Marks Entry'!BC43="","",'Marks Entry'!BC43)</f>
        <v/>
      </c>
      <c r="EG43" s="530" t="str">
        <f t="shared" si="54"/>
        <v/>
      </c>
      <c r="EH43" s="368" t="str">
        <f t="shared" si="108"/>
        <v/>
      </c>
      <c r="EI43" s="65">
        <f t="shared" si="109"/>
        <v>0</v>
      </c>
      <c r="EJ43" s="65">
        <f t="shared" si="110"/>
        <v>0</v>
      </c>
      <c r="EK43" s="66" t="str">
        <f t="shared" si="111"/>
        <v/>
      </c>
      <c r="EL43" s="74" t="str">
        <f>IF('Marks Entry'!BD43="","",'Marks Entry'!BD43)</f>
        <v/>
      </c>
      <c r="EM43" s="74" t="str">
        <f>IF('Marks Entry'!BE43="","",'Marks Entry'!BE43)</f>
        <v/>
      </c>
      <c r="EN43" s="74" t="str">
        <f>IF('Marks Entry'!BF43="","",'Marks Entry'!BF43)</f>
        <v/>
      </c>
      <c r="EO43" s="527" t="str">
        <f t="shared" si="55"/>
        <v/>
      </c>
      <c r="EP43" s="74" t="str">
        <f>IF('Marks Entry'!BG43="","",'Marks Entry'!BG43)</f>
        <v/>
      </c>
      <c r="EQ43" s="74" t="str">
        <f>IF('Marks Entry'!BH43="","",'Marks Entry'!BH43)</f>
        <v/>
      </c>
      <c r="ER43" s="528" t="str">
        <f t="shared" si="56"/>
        <v/>
      </c>
      <c r="ES43" s="529" t="str">
        <f t="shared" si="57"/>
        <v/>
      </c>
      <c r="ET43" s="74" t="str">
        <f>IF('Marks Entry'!BI43="","",'Marks Entry'!BI43)</f>
        <v/>
      </c>
      <c r="EU43" s="74" t="str">
        <f>IF('Marks Entry'!BJ43="","",'Marks Entry'!BJ43)</f>
        <v/>
      </c>
      <c r="EV43" s="528" t="str">
        <f t="shared" si="58"/>
        <v/>
      </c>
      <c r="EW43" s="530" t="str">
        <f t="shared" si="59"/>
        <v/>
      </c>
      <c r="EX43" s="368" t="str">
        <f t="shared" si="112"/>
        <v/>
      </c>
      <c r="EY43" s="65">
        <f t="shared" si="113"/>
        <v>0</v>
      </c>
      <c r="EZ43" s="65">
        <f t="shared" si="114"/>
        <v>0</v>
      </c>
      <c r="FA43" s="66" t="str">
        <f t="shared" si="115"/>
        <v/>
      </c>
      <c r="FB43" s="74" t="str">
        <f>IF('Marks Entry'!BK43="","",'Marks Entry'!BK43)</f>
        <v/>
      </c>
      <c r="FC43" s="74" t="str">
        <f>IF('Marks Entry'!BL43="","",'Marks Entry'!BL43)</f>
        <v/>
      </c>
      <c r="FD43" s="74" t="str">
        <f>IF('Marks Entry'!BM43="","",'Marks Entry'!BM43)</f>
        <v/>
      </c>
      <c r="FE43" s="74" t="str">
        <f>IF('Marks Entry'!BN43="","",'Marks Entry'!BN43)</f>
        <v/>
      </c>
      <c r="FF43" s="74" t="str">
        <f>IF('Marks Entry'!BO43="","",'Marks Entry'!BO43)</f>
        <v/>
      </c>
      <c r="FG43" s="74" t="str">
        <f>IF('Marks Entry'!BP43="","",'Marks Entry'!BP43)</f>
        <v/>
      </c>
      <c r="FH43" s="527" t="str">
        <f t="shared" si="60"/>
        <v/>
      </c>
      <c r="FI43" s="74" t="str">
        <f>IF('Marks Entry'!BQ43="","",'Marks Entry'!BQ43)</f>
        <v/>
      </c>
      <c r="FJ43" s="74" t="str">
        <f>IF('Marks Entry'!BR43="","",'Marks Entry'!BR43)</f>
        <v/>
      </c>
      <c r="FK43" s="528" t="str">
        <f t="shared" si="61"/>
        <v/>
      </c>
      <c r="FL43" s="529" t="str">
        <f t="shared" si="62"/>
        <v/>
      </c>
      <c r="FM43" s="74" t="str">
        <f>IF('Marks Entry'!BS43="","",'Marks Entry'!BS43)</f>
        <v/>
      </c>
      <c r="FN43" s="74" t="str">
        <f>IF('Marks Entry'!BT43="","",'Marks Entry'!BT43)</f>
        <v/>
      </c>
      <c r="FO43" s="528" t="str">
        <f t="shared" si="63"/>
        <v/>
      </c>
      <c r="FP43" s="530" t="str">
        <f t="shared" si="64"/>
        <v/>
      </c>
      <c r="FQ43" s="368" t="str">
        <f t="shared" si="116"/>
        <v/>
      </c>
      <c r="FR43" s="65">
        <f t="shared" si="117"/>
        <v>0</v>
      </c>
      <c r="FS43" s="65">
        <f t="shared" si="118"/>
        <v>0</v>
      </c>
      <c r="FT43" s="66" t="str">
        <f t="shared" si="119"/>
        <v/>
      </c>
      <c r="FU43" s="74" t="str">
        <f>IF('Marks Entry'!BU43="","",'Marks Entry'!BU43)</f>
        <v/>
      </c>
      <c r="FV43" s="74" t="str">
        <f>IF('Marks Entry'!BV43="","",'Marks Entry'!BV43)</f>
        <v/>
      </c>
      <c r="FW43" s="74" t="str">
        <f>IF('Marks Entry'!BW43="","",'Marks Entry'!BW43)</f>
        <v/>
      </c>
      <c r="FX43" s="75" t="str">
        <f t="shared" si="65"/>
        <v/>
      </c>
      <c r="FY43" s="368" t="str">
        <f t="shared" si="120"/>
        <v/>
      </c>
      <c r="FZ43" s="65">
        <f t="shared" si="121"/>
        <v>0</v>
      </c>
      <c r="GA43" s="66">
        <f t="shared" si="122"/>
        <v>0</v>
      </c>
      <c r="GB43" s="66" t="str">
        <f t="shared" si="123"/>
        <v/>
      </c>
      <c r="GC43" s="74" t="str">
        <f>IF('Marks Entry'!BX43="","",'Marks Entry'!BX43)</f>
        <v/>
      </c>
      <c r="GD43" s="74" t="str">
        <f>IF('Marks Entry'!BY43="","",'Marks Entry'!BY43)</f>
        <v/>
      </c>
      <c r="GE43" s="74" t="str">
        <f>IF('Marks Entry'!BZ43="","",'Marks Entry'!BZ43)</f>
        <v/>
      </c>
      <c r="GF43" s="75" t="str">
        <f t="shared" si="124"/>
        <v/>
      </c>
      <c r="GG43" s="368" t="str">
        <f t="shared" si="125"/>
        <v/>
      </c>
      <c r="GH43" s="65">
        <f t="shared" si="126"/>
        <v>0</v>
      </c>
      <c r="GI43" s="66">
        <f t="shared" si="127"/>
        <v>0</v>
      </c>
      <c r="GJ43" s="66" t="str">
        <f t="shared" si="128"/>
        <v/>
      </c>
      <c r="GK43" s="100" t="str">
        <f>IF(AND(F43="",B43=""),"",IF('Student DATA Entry'!M40="","",'Student DATA Entry'!M40))</f>
        <v/>
      </c>
      <c r="GL43" s="101" t="str">
        <f>IF(AND(B43="",F43=""),"",IF('Student DATA Entry'!N40="","",'Student DATA Entry'!N40))</f>
        <v/>
      </c>
      <c r="GM43" s="581" t="str">
        <f t="shared" si="129"/>
        <v/>
      </c>
      <c r="GN43" s="94" t="str">
        <f t="shared" si="130"/>
        <v/>
      </c>
      <c r="GO43" s="94" t="str">
        <f t="shared" si="131"/>
        <v/>
      </c>
      <c r="GP43" s="102" t="str">
        <f t="shared" si="162"/>
        <v/>
      </c>
      <c r="GQ43" s="94" t="str">
        <f t="shared" si="132"/>
        <v/>
      </c>
      <c r="GR43" s="103" t="str">
        <f t="shared" si="133"/>
        <v/>
      </c>
      <c r="GS43" s="102" t="str">
        <f t="shared" si="163"/>
        <v/>
      </c>
      <c r="GT43" s="104" t="str">
        <f t="shared" si="134"/>
        <v/>
      </c>
      <c r="GU43" s="94" t="str">
        <f>IF('Marks Entry'!V43=1,GT43,"")</f>
        <v/>
      </c>
      <c r="GV43" s="94" t="str">
        <f>IF('Marks Entry'!V43=2,GT43,"")</f>
        <v/>
      </c>
      <c r="GW43" s="94" t="str">
        <f>IF('Marks Entry'!V43=3,GT43,"")</f>
        <v/>
      </c>
      <c r="GX43" s="94" t="str">
        <f>IF('Marks Entry'!V43=4,GT43,"")</f>
        <v/>
      </c>
      <c r="GY43" s="94" t="str">
        <f>IF('Marks Entry'!V43=5,GT43,"")</f>
        <v/>
      </c>
      <c r="GZ43" s="94" t="str">
        <f t="shared" si="135"/>
        <v/>
      </c>
      <c r="HA43" s="105" t="str">
        <f t="shared" si="164"/>
        <v/>
      </c>
      <c r="HB43" s="94" t="str">
        <f t="shared" si="136"/>
        <v/>
      </c>
      <c r="HC43" s="94" t="str">
        <f t="shared" si="137"/>
        <v/>
      </c>
      <c r="HD43" s="105" t="str">
        <f t="shared" si="165"/>
        <v/>
      </c>
      <c r="HE43" s="94" t="str">
        <f t="shared" si="138"/>
        <v/>
      </c>
      <c r="HF43" s="94" t="str">
        <f t="shared" si="139"/>
        <v/>
      </c>
      <c r="HG43" s="105" t="str">
        <f t="shared" si="166"/>
        <v/>
      </c>
      <c r="HH43" s="94" t="str">
        <f t="shared" si="140"/>
        <v/>
      </c>
      <c r="HI43" s="94" t="str">
        <f t="shared" si="141"/>
        <v/>
      </c>
      <c r="HJ43" s="105" t="str">
        <f t="shared" si="167"/>
        <v/>
      </c>
      <c r="HK43" s="94" t="str">
        <f t="shared" si="142"/>
        <v/>
      </c>
      <c r="HL43" s="94" t="str">
        <f t="shared" si="143"/>
        <v/>
      </c>
      <c r="HM43" s="105" t="str">
        <f t="shared" si="168"/>
        <v/>
      </c>
      <c r="HN43" s="367" t="str">
        <f t="shared" si="144"/>
        <v xml:space="preserve">      </v>
      </c>
      <c r="HO43" s="418" t="str">
        <f t="shared" si="169"/>
        <v xml:space="preserve">      </v>
      </c>
      <c r="HP43" s="367" t="str">
        <f t="shared" si="146"/>
        <v xml:space="preserve">      </v>
      </c>
      <c r="HQ43" s="107" t="str">
        <f t="shared" si="147"/>
        <v xml:space="preserve">      </v>
      </c>
      <c r="HR43" s="366" t="str">
        <f t="shared" si="148"/>
        <v xml:space="preserve">      </v>
      </c>
      <c r="HS43" s="544" t="str">
        <f t="shared" si="170"/>
        <v/>
      </c>
      <c r="HT43" s="542" t="str">
        <f t="shared" si="149"/>
        <v/>
      </c>
      <c r="HU43" s="541" t="str">
        <f t="shared" si="160"/>
        <v/>
      </c>
      <c r="HV43" s="540" t="str">
        <f t="shared" si="150"/>
        <v/>
      </c>
      <c r="HW43" s="537" t="str">
        <f t="shared" si="151"/>
        <v/>
      </c>
      <c r="HX43" s="539" t="str">
        <f t="shared" si="152"/>
        <v/>
      </c>
      <c r="HY43" s="553" t="str">
        <f>IFERROR(IF(OR(HS43="SUPPLEMENTARY",HS43="RE-EXAM"),'Supp. Result Entry'!AQ41,""),"")</f>
        <v/>
      </c>
      <c r="HZ43" s="538" t="str">
        <f t="shared" si="153"/>
        <v/>
      </c>
      <c r="IA43" s="415" t="str">
        <f t="shared" si="154"/>
        <v/>
      </c>
      <c r="IB43" s="415" t="str">
        <f>IF(AND(HZ43="",IA43=""),"",IF(OR(HS43="SUPPLEMENTARY",HS43="RE-EXAM"),'Supp. Result Entry'!AQ41,HS43))</f>
        <v/>
      </c>
      <c r="IC43" s="87"/>
      <c r="ID43" s="111"/>
      <c r="IS43" s="109" t="str">
        <f>IF('Supp. Result Entry'!T41="","",'Supp. Result Entry'!$T$4)</f>
        <v/>
      </c>
      <c r="IT43" s="110" t="str">
        <f>IF('Supp. Result Entry'!W41="","",'Supp. Result Entry'!$W$4)</f>
        <v/>
      </c>
      <c r="IU43" s="110" t="str">
        <f>IF('Supp. Result Entry'!Z41="","",'Supp. Result Entry'!$Z$4)</f>
        <v/>
      </c>
      <c r="IV43" s="110" t="str">
        <f>IF('Supp. Result Entry'!AC41="","",'Supp. Result Entry'!$AC$4)</f>
        <v/>
      </c>
      <c r="IW43" s="110" t="str">
        <f>IF('Supp. Result Entry'!AF41="","",'Supp. Result Entry'!$AF$4)</f>
        <v/>
      </c>
      <c r="IX43" s="110" t="str">
        <f>IF('Supp. Result Entry'!AI41="","",'Supp. Result Entry'!$AI$4)</f>
        <v/>
      </c>
      <c r="IY43" s="110" t="str">
        <f>IF('Supp. Result Entry'!AI41="","",'Supp. Result Entry'!$AL$4)</f>
        <v/>
      </c>
      <c r="IZ43" s="110" t="str">
        <f>IF('Supp. Result Entry'!U41="","",'Supp. Result Entry'!U41)</f>
        <v/>
      </c>
      <c r="JA43" s="110" t="str">
        <f>IF('Supp. Result Entry'!X41="","",'Supp. Result Entry'!X41)</f>
        <v/>
      </c>
      <c r="JB43" s="110" t="str">
        <f>IF('Supp. Result Entry'!AA41="","",'Supp. Result Entry'!AA41)</f>
        <v/>
      </c>
      <c r="JC43" s="110" t="str">
        <f>IF('Supp. Result Entry'!AD41="","",'Supp. Result Entry'!AD41)</f>
        <v/>
      </c>
      <c r="JD43" s="110" t="str">
        <f>IF('Supp. Result Entry'!AG41="","",'Supp. Result Entry'!AG41)</f>
        <v/>
      </c>
      <c r="JE43" s="110" t="str">
        <f>IF('Supp. Result Entry'!AJ41="","",'Supp. Result Entry'!AJ41)</f>
        <v/>
      </c>
      <c r="JF43" s="110" t="str">
        <f>IF('Supp. Result Entry'!AM41="","",'Supp. Result Entry'!AM41)</f>
        <v/>
      </c>
      <c r="JG43" s="110" t="str">
        <f>IF('Supp. Result Entry'!V41="","",'Supp. Result Entry'!V41)</f>
        <v/>
      </c>
      <c r="JH43" s="110" t="str">
        <f>IF('Supp. Result Entry'!Y41="","",'Supp. Result Entry'!Y41)</f>
        <v/>
      </c>
      <c r="JI43" s="110" t="str">
        <f>IF('Supp. Result Entry'!AB41="","",'Supp. Result Entry'!AB41)</f>
        <v/>
      </c>
      <c r="JJ43" s="110" t="str">
        <f>IF('Supp. Result Entry'!AE41="","",'Supp. Result Entry'!AE41)</f>
        <v/>
      </c>
      <c r="JK43" s="110" t="str">
        <f>IF('Supp. Result Entry'!AH41="","",'Supp. Result Entry'!AH41)</f>
        <v/>
      </c>
      <c r="JL43" s="110" t="str">
        <f>IF('Supp. Result Entry'!AK41="","",'Supp. Result Entry'!AK41)</f>
        <v/>
      </c>
      <c r="JM43" s="110" t="str">
        <f>IF('Supp. Result Entry'!AN41="","",'Supp. Result Entry'!AN41)</f>
        <v/>
      </c>
      <c r="JN43" s="110">
        <f>COUNTIF('Supp. Result Entry'!K41:Q41,"S")</f>
        <v>0</v>
      </c>
      <c r="JO43" s="110">
        <f t="shared" si="155"/>
        <v>0</v>
      </c>
      <c r="JP43" s="110">
        <f t="shared" si="156"/>
        <v>0</v>
      </c>
      <c r="JQ43" s="110" t="str">
        <f t="shared" si="75"/>
        <v/>
      </c>
      <c r="JR43" s="110" t="str">
        <f t="shared" si="76"/>
        <v/>
      </c>
      <c r="JS43" s="110" t="str">
        <f t="shared" si="77"/>
        <v/>
      </c>
      <c r="JT43" s="110" t="str">
        <f t="shared" si="78"/>
        <v/>
      </c>
      <c r="JU43" s="110" t="str">
        <f t="shared" si="79"/>
        <v/>
      </c>
      <c r="JV43" s="110" t="str">
        <f t="shared" si="80"/>
        <v/>
      </c>
      <c r="JW43" s="110" t="str">
        <f t="shared" si="81"/>
        <v/>
      </c>
      <c r="JX43" s="110" t="str">
        <f t="shared" si="157"/>
        <v/>
      </c>
      <c r="JY43" s="110" t="str">
        <f t="shared" si="158"/>
        <v/>
      </c>
      <c r="JZ43" s="110" t="str">
        <f t="shared" si="82"/>
        <v/>
      </c>
      <c r="KA43" s="108" t="str">
        <f t="shared" si="159"/>
        <v/>
      </c>
    </row>
    <row r="44" spans="1:287" s="108" customFormat="1" ht="21.95" customHeight="1">
      <c r="A44" s="89">
        <v>38</v>
      </c>
      <c r="B44" s="90" t="str">
        <f>IF('Marks Entry'!B44="","",'Marks Entry'!B44)</f>
        <v/>
      </c>
      <c r="C44" s="94" t="str">
        <f>IF('Marks Entry'!D44="","",'Marks Entry'!D44)</f>
        <v/>
      </c>
      <c r="D44" s="91" t="str">
        <f>IF('Marks Entry'!E44="","",'Marks Entry'!E44)</f>
        <v/>
      </c>
      <c r="E44" s="92" t="str">
        <f>IF('Marks Entry'!F44="","",'Marks Entry'!F44)</f>
        <v/>
      </c>
      <c r="F44" s="93" t="str">
        <f>IF('Marks Entry'!G44="","",'Marks Entry'!G44)</f>
        <v/>
      </c>
      <c r="G44" s="93" t="str">
        <f>IF('Marks Entry'!H44="","",'Marks Entry'!H44)</f>
        <v/>
      </c>
      <c r="H44" s="93" t="str">
        <f>IF('Marks Entry'!I44="","",'Marks Entry'!I44)</f>
        <v/>
      </c>
      <c r="I44" s="94" t="str">
        <f>IF('Marks Entry'!J44="","",'Marks Entry'!J44)</f>
        <v/>
      </c>
      <c r="J44" s="95" t="str">
        <f>IF('Marks Entry'!K44="","",'Marks Entry'!K44)</f>
        <v/>
      </c>
      <c r="K44" s="68" t="str">
        <f>IF('Marks Entry'!L44="","",'Marks Entry'!L44)</f>
        <v/>
      </c>
      <c r="L44" s="68" t="str">
        <f>IF('Marks Entry'!M44="","",'Marks Entry'!M44)</f>
        <v/>
      </c>
      <c r="M44" s="68" t="str">
        <f>IF('Marks Entry'!N44="","",'Marks Entry'!N44)</f>
        <v/>
      </c>
      <c r="N44" s="514" t="str">
        <f t="shared" si="83"/>
        <v/>
      </c>
      <c r="O44" s="68" t="str">
        <f>IF('Marks Entry'!O44="","",'Marks Entry'!O44)</f>
        <v/>
      </c>
      <c r="P44" s="515" t="str">
        <f t="shared" si="84"/>
        <v/>
      </c>
      <c r="Q44" s="68" t="str">
        <f>IF('Marks Entry'!P44="","",'Marks Entry'!P44)</f>
        <v/>
      </c>
      <c r="R44" s="96" t="str">
        <f t="shared" si="85"/>
        <v/>
      </c>
      <c r="S44" s="65">
        <f t="shared" si="86"/>
        <v>0</v>
      </c>
      <c r="T44" s="65">
        <f t="shared" si="87"/>
        <v>0</v>
      </c>
      <c r="U44" s="66" t="str">
        <f t="shared" si="88"/>
        <v/>
      </c>
      <c r="V44" s="65" t="str">
        <f t="shared" si="89"/>
        <v/>
      </c>
      <c r="W44" s="65" t="str">
        <f t="shared" si="90"/>
        <v/>
      </c>
      <c r="X44" s="65" t="str">
        <f t="shared" si="91"/>
        <v/>
      </c>
      <c r="Y44" s="68" t="str">
        <f>IF('Marks Entry'!Q44="","",'Marks Entry'!Q44)</f>
        <v/>
      </c>
      <c r="Z44" s="68" t="str">
        <f>IF('Marks Entry'!R44="","",'Marks Entry'!R44)</f>
        <v/>
      </c>
      <c r="AA44" s="68" t="str">
        <f>IF('Marks Entry'!S44="","",'Marks Entry'!S44)</f>
        <v/>
      </c>
      <c r="AB44" s="514" t="str">
        <f t="shared" si="2"/>
        <v/>
      </c>
      <c r="AC44" s="68" t="str">
        <f>IF('Marks Entry'!T44="","",'Marks Entry'!T44)</f>
        <v/>
      </c>
      <c r="AD44" s="515" t="str">
        <f t="shared" si="3"/>
        <v/>
      </c>
      <c r="AE44" s="68" t="str">
        <f>IF('Marks Entry'!U44="","",'Marks Entry'!U44)</f>
        <v/>
      </c>
      <c r="AF44" s="96" t="str">
        <f t="shared" si="4"/>
        <v/>
      </c>
      <c r="AG44" s="65">
        <f t="shared" si="5"/>
        <v>0</v>
      </c>
      <c r="AH44" s="65">
        <f t="shared" si="6"/>
        <v>0</v>
      </c>
      <c r="AI44" s="66" t="str">
        <f t="shared" si="7"/>
        <v/>
      </c>
      <c r="AJ44" s="65" t="str">
        <f t="shared" si="8"/>
        <v/>
      </c>
      <c r="AK44" s="65" t="str">
        <f t="shared" si="9"/>
        <v/>
      </c>
      <c r="AL44" s="65" t="str">
        <f t="shared" si="10"/>
        <v/>
      </c>
      <c r="AM44" s="524" t="str">
        <f>IF('Marks Entry'!V44="","",IF('Marks Entry'!V44=1,'School Profile'!$I$9,IF('Marks Entry'!V44=2,'School Profile'!$I$10,IF('Marks Entry'!V44=3,'School Profile'!$I$11,IF('Marks Entry'!V44=4,'School Profile'!$I$12,IF('Marks Entry'!V44=5,'School Profile'!$I$13,IF('Marks Entry'!V44=6,'School Profile'!$I$14,"")))))))</f>
        <v/>
      </c>
      <c r="AN44" s="68" t="str">
        <f>IF('Marks Entry'!W44="","",'Marks Entry'!W44)</f>
        <v/>
      </c>
      <c r="AO44" s="68" t="str">
        <f>IF('Marks Entry'!X44="","",'Marks Entry'!X44)</f>
        <v/>
      </c>
      <c r="AP44" s="68" t="str">
        <f>IF('Marks Entry'!Y44="","",'Marks Entry'!Y44)</f>
        <v/>
      </c>
      <c r="AQ44" s="514" t="str">
        <f t="shared" si="11"/>
        <v/>
      </c>
      <c r="AR44" s="68" t="str">
        <f>IF('Marks Entry'!Z44="","",'Marks Entry'!Z44)</f>
        <v/>
      </c>
      <c r="AS44" s="515" t="str">
        <f t="shared" si="12"/>
        <v/>
      </c>
      <c r="AT44" s="68" t="str">
        <f>IF('Marks Entry'!AA44="","",'Marks Entry'!AA44)</f>
        <v/>
      </c>
      <c r="AU44" s="96" t="str">
        <f t="shared" si="13"/>
        <v/>
      </c>
      <c r="AV44" s="65">
        <f t="shared" si="14"/>
        <v>0</v>
      </c>
      <c r="AW44" s="65">
        <f t="shared" si="15"/>
        <v>0</v>
      </c>
      <c r="AX44" s="66" t="str">
        <f t="shared" si="16"/>
        <v/>
      </c>
      <c r="AY44" s="65" t="str">
        <f t="shared" si="17"/>
        <v/>
      </c>
      <c r="AZ44" s="65" t="str">
        <f t="shared" si="18"/>
        <v/>
      </c>
      <c r="BA44" s="65" t="str">
        <f t="shared" si="19"/>
        <v/>
      </c>
      <c r="BB44" s="68" t="str">
        <f>IF('Marks Entry'!AB44="","",'Marks Entry'!AB44)</f>
        <v/>
      </c>
      <c r="BC44" s="68" t="str">
        <f>IF('Marks Entry'!AC44="","",'Marks Entry'!AC44)</f>
        <v/>
      </c>
      <c r="BD44" s="68" t="str">
        <f>IF('Marks Entry'!AD44="","",'Marks Entry'!AD44)</f>
        <v/>
      </c>
      <c r="BE44" s="514" t="str">
        <f t="shared" si="20"/>
        <v/>
      </c>
      <c r="BF44" s="68" t="str">
        <f>IF('Marks Entry'!AE44="","",'Marks Entry'!AE44)</f>
        <v/>
      </c>
      <c r="BG44" s="515" t="str">
        <f t="shared" si="21"/>
        <v/>
      </c>
      <c r="BH44" s="68" t="str">
        <f>IF('Marks Entry'!AF44="","",'Marks Entry'!AF44)</f>
        <v/>
      </c>
      <c r="BI44" s="96" t="str">
        <f t="shared" si="22"/>
        <v/>
      </c>
      <c r="BJ44" s="65">
        <f t="shared" si="23"/>
        <v>0</v>
      </c>
      <c r="BK44" s="65">
        <f t="shared" si="92"/>
        <v>0</v>
      </c>
      <c r="BL44" s="66" t="str">
        <f t="shared" si="24"/>
        <v/>
      </c>
      <c r="BM44" s="65" t="str">
        <f t="shared" si="25"/>
        <v/>
      </c>
      <c r="BN44" s="65" t="str">
        <f t="shared" si="26"/>
        <v/>
      </c>
      <c r="BO44" s="65" t="str">
        <f t="shared" si="27"/>
        <v/>
      </c>
      <c r="BP44" s="68" t="str">
        <f>IF('Marks Entry'!AG44="","",'Marks Entry'!AG44)</f>
        <v/>
      </c>
      <c r="BQ44" s="68" t="str">
        <f>IF('Marks Entry'!AH44="","",'Marks Entry'!AH44)</f>
        <v/>
      </c>
      <c r="BR44" s="68" t="str">
        <f>IF('Marks Entry'!AI44="","",'Marks Entry'!AI44)</f>
        <v/>
      </c>
      <c r="BS44" s="514" t="str">
        <f t="shared" si="28"/>
        <v/>
      </c>
      <c r="BT44" s="68" t="str">
        <f>IF('Marks Entry'!AJ44="","",'Marks Entry'!AJ44)</f>
        <v/>
      </c>
      <c r="BU44" s="515" t="str">
        <f t="shared" si="29"/>
        <v/>
      </c>
      <c r="BV44" s="68" t="str">
        <f>IF('Marks Entry'!AK44="","",'Marks Entry'!AK44)</f>
        <v/>
      </c>
      <c r="BW44" s="96" t="str">
        <f t="shared" si="30"/>
        <v/>
      </c>
      <c r="BX44" s="65">
        <f t="shared" si="31"/>
        <v>0</v>
      </c>
      <c r="BY44" s="65">
        <f t="shared" si="32"/>
        <v>0</v>
      </c>
      <c r="BZ44" s="66" t="str">
        <f t="shared" si="33"/>
        <v/>
      </c>
      <c r="CA44" s="65" t="str">
        <f t="shared" si="34"/>
        <v/>
      </c>
      <c r="CB44" s="65" t="str">
        <f t="shared" si="35"/>
        <v/>
      </c>
      <c r="CC44" s="65" t="str">
        <f t="shared" si="36"/>
        <v/>
      </c>
      <c r="CD44" s="66">
        <f t="shared" si="161"/>
        <v>0</v>
      </c>
      <c r="CE44" s="68" t="str">
        <f>IF('Marks Entry'!AL44="","",'Marks Entry'!AL44)</f>
        <v/>
      </c>
      <c r="CF44" s="68" t="str">
        <f>IF('Marks Entry'!AM44="","",'Marks Entry'!AM44)</f>
        <v/>
      </c>
      <c r="CG44" s="68" t="str">
        <f>IF('Marks Entry'!AN44="","",'Marks Entry'!AN44)</f>
        <v/>
      </c>
      <c r="CH44" s="514" t="str">
        <f t="shared" si="37"/>
        <v/>
      </c>
      <c r="CI44" s="68" t="str">
        <f>IF('Marks Entry'!AO44="","",'Marks Entry'!AO44)</f>
        <v/>
      </c>
      <c r="CJ44" s="515" t="str">
        <f t="shared" si="38"/>
        <v/>
      </c>
      <c r="CK44" s="68" t="str">
        <f>IF('Marks Entry'!AP44="","",'Marks Entry'!AP44)</f>
        <v/>
      </c>
      <c r="CL44" s="96" t="str">
        <f t="shared" si="39"/>
        <v/>
      </c>
      <c r="CM44" s="65">
        <f t="shared" si="40"/>
        <v>0</v>
      </c>
      <c r="CN44" s="65">
        <f t="shared" si="41"/>
        <v>0</v>
      </c>
      <c r="CO44" s="66" t="str">
        <f t="shared" si="42"/>
        <v/>
      </c>
      <c r="CP44" s="65" t="str">
        <f t="shared" si="43"/>
        <v/>
      </c>
      <c r="CQ44" s="65" t="str">
        <f t="shared" si="44"/>
        <v/>
      </c>
      <c r="CR44" s="65" t="str">
        <f t="shared" si="45"/>
        <v/>
      </c>
      <c r="CS44" s="616"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8" t="str">
        <f>IF('School Profile'!$D$20="NO","",IF('Marks Entry'!AR44="","",'Marks Entry'!AR44))</f>
        <v/>
      </c>
      <c r="CU44" s="68" t="str">
        <f>IF('School Profile'!$D$20="NO","",IF('Marks Entry'!AS44="","",'Marks Entry'!AS44))</f>
        <v/>
      </c>
      <c r="CV44" s="68" t="str">
        <f>IF('School Profile'!$D$20="NO","",IF('Marks Entry'!AT44="","",'Marks Entry'!AT44))</f>
        <v/>
      </c>
      <c r="CW44" s="514" t="str">
        <f>IF('School Profile'!$D$20="NO","",IF(AND(CT44="",CU44="",CV44=""),"",SUM(CT44:CV44)))</f>
        <v/>
      </c>
      <c r="CX44" s="68" t="str">
        <f>IF('School Profile'!$D$20="NO","",IF('Marks Entry'!AU44="","",'Marks Entry'!AU44))</f>
        <v/>
      </c>
      <c r="CY44" s="68" t="str">
        <f>IF('School Profile'!$D$20="NO","",IF('Marks Entry'!AV44="","",'Marks Entry'!AV44))</f>
        <v/>
      </c>
      <c r="CZ44" s="515" t="str">
        <f>IF('School Profile'!$D$20="NO","",IF(AND(CX44="",CY44=""),"",SUM(CX44,CY44)))</f>
        <v/>
      </c>
      <c r="DA44" s="69" t="str">
        <f>IF('School Profile'!$D$20="NO","",IF(AND(CW44="",CZ44=""),"",SUM(CW44+CZ44)))</f>
        <v/>
      </c>
      <c r="DB44" s="68" t="str">
        <f>IF('School Profile'!$D$20="NO","",IF('Marks Entry'!AW44="","",'Marks Entry'!AW44))</f>
        <v/>
      </c>
      <c r="DC44" s="68" t="str">
        <f>IF('School Profile'!$D$20="NO","",IF('Marks Entry'!AX44="","",'Marks Entry'!AX44))</f>
        <v/>
      </c>
      <c r="DD44" s="515" t="str">
        <f>IF('School Profile'!$D$20="NO","",IF(AND(DB44="",DC44=""),"",SUM(DB44,DC44)))</f>
        <v/>
      </c>
      <c r="DE44" s="96" t="str">
        <f>IF('School Profile'!$D$20="NO","",IF(AND(DA44="",DD44=""),"",SUM(DA44,DD44)))</f>
        <v/>
      </c>
      <c r="DF44" s="532">
        <f t="shared" si="46"/>
        <v>0</v>
      </c>
      <c r="DG44" s="65">
        <f t="shared" si="47"/>
        <v>0</v>
      </c>
      <c r="DH44" s="66" t="str">
        <f t="shared" si="48"/>
        <v/>
      </c>
      <c r="DI44" s="65" t="str">
        <f t="shared" si="49"/>
        <v/>
      </c>
      <c r="DJ44" s="65" t="str">
        <f t="shared" si="50"/>
        <v/>
      </c>
      <c r="DK44" s="65" t="str">
        <f t="shared" si="51"/>
        <v/>
      </c>
      <c r="DL44" s="97" t="str">
        <f t="shared" si="94"/>
        <v/>
      </c>
      <c r="DM44" s="97" t="str">
        <f t="shared" si="95"/>
        <v/>
      </c>
      <c r="DN44" s="97" t="str">
        <f t="shared" si="96"/>
        <v/>
      </c>
      <c r="DO44" s="97" t="str">
        <f t="shared" si="97"/>
        <v/>
      </c>
      <c r="DP44" s="97" t="str">
        <f t="shared" si="98"/>
        <v/>
      </c>
      <c r="DQ44" s="97" t="str">
        <f t="shared" si="99"/>
        <v/>
      </c>
      <c r="DR44" s="97" t="str">
        <f t="shared" si="100"/>
        <v/>
      </c>
      <c r="DS44" s="98">
        <f t="shared" si="101"/>
        <v>0</v>
      </c>
      <c r="DT44" s="98">
        <f t="shared" si="102"/>
        <v>0</v>
      </c>
      <c r="DU44" s="98">
        <f t="shared" si="103"/>
        <v>0</v>
      </c>
      <c r="DV44" s="98">
        <f t="shared" si="104"/>
        <v>0</v>
      </c>
      <c r="DW44" s="98">
        <f t="shared" si="105"/>
        <v>0</v>
      </c>
      <c r="DX44" s="98" t="str">
        <f t="shared" si="106"/>
        <v/>
      </c>
      <c r="DY44" s="99" t="str">
        <f t="shared" si="107"/>
        <v/>
      </c>
      <c r="DZ44" s="74" t="str">
        <f>IF('Marks Entry'!AY44="","",'Marks Entry'!AY44)</f>
        <v/>
      </c>
      <c r="EA44" s="74" t="str">
        <f>IF('Marks Entry'!AZ44="","",'Marks Entry'!AZ44)</f>
        <v/>
      </c>
      <c r="EB44" s="74" t="str">
        <f>IF('Marks Entry'!BA44="","",'Marks Entry'!BA44)</f>
        <v/>
      </c>
      <c r="EC44" s="527" t="str">
        <f t="shared" si="52"/>
        <v/>
      </c>
      <c r="ED44" s="74" t="str">
        <f>IF('Marks Entry'!BB44="","",'Marks Entry'!BB44)</f>
        <v/>
      </c>
      <c r="EE44" s="528" t="str">
        <f t="shared" si="53"/>
        <v/>
      </c>
      <c r="EF44" s="74" t="str">
        <f>IF('Marks Entry'!BC44="","",'Marks Entry'!BC44)</f>
        <v/>
      </c>
      <c r="EG44" s="530" t="str">
        <f t="shared" si="54"/>
        <v/>
      </c>
      <c r="EH44" s="368" t="str">
        <f t="shared" si="108"/>
        <v/>
      </c>
      <c r="EI44" s="65">
        <f t="shared" si="109"/>
        <v>0</v>
      </c>
      <c r="EJ44" s="65">
        <f t="shared" si="110"/>
        <v>0</v>
      </c>
      <c r="EK44" s="66" t="str">
        <f t="shared" si="111"/>
        <v/>
      </c>
      <c r="EL44" s="74" t="str">
        <f>IF('Marks Entry'!BD44="","",'Marks Entry'!BD44)</f>
        <v/>
      </c>
      <c r="EM44" s="74" t="str">
        <f>IF('Marks Entry'!BE44="","",'Marks Entry'!BE44)</f>
        <v/>
      </c>
      <c r="EN44" s="74" t="str">
        <f>IF('Marks Entry'!BF44="","",'Marks Entry'!BF44)</f>
        <v/>
      </c>
      <c r="EO44" s="527" t="str">
        <f t="shared" si="55"/>
        <v/>
      </c>
      <c r="EP44" s="74" t="str">
        <f>IF('Marks Entry'!BG44="","",'Marks Entry'!BG44)</f>
        <v/>
      </c>
      <c r="EQ44" s="74" t="str">
        <f>IF('Marks Entry'!BH44="","",'Marks Entry'!BH44)</f>
        <v/>
      </c>
      <c r="ER44" s="528" t="str">
        <f t="shared" si="56"/>
        <v/>
      </c>
      <c r="ES44" s="529" t="str">
        <f t="shared" si="57"/>
        <v/>
      </c>
      <c r="ET44" s="74" t="str">
        <f>IF('Marks Entry'!BI44="","",'Marks Entry'!BI44)</f>
        <v/>
      </c>
      <c r="EU44" s="74" t="str">
        <f>IF('Marks Entry'!BJ44="","",'Marks Entry'!BJ44)</f>
        <v/>
      </c>
      <c r="EV44" s="528" t="str">
        <f t="shared" si="58"/>
        <v/>
      </c>
      <c r="EW44" s="530" t="str">
        <f t="shared" si="59"/>
        <v/>
      </c>
      <c r="EX44" s="368" t="str">
        <f t="shared" si="112"/>
        <v/>
      </c>
      <c r="EY44" s="65">
        <f t="shared" si="113"/>
        <v>0</v>
      </c>
      <c r="EZ44" s="65">
        <f t="shared" si="114"/>
        <v>0</v>
      </c>
      <c r="FA44" s="66" t="str">
        <f t="shared" si="115"/>
        <v/>
      </c>
      <c r="FB44" s="74" t="str">
        <f>IF('Marks Entry'!BK44="","",'Marks Entry'!BK44)</f>
        <v/>
      </c>
      <c r="FC44" s="74" t="str">
        <f>IF('Marks Entry'!BL44="","",'Marks Entry'!BL44)</f>
        <v/>
      </c>
      <c r="FD44" s="74" t="str">
        <f>IF('Marks Entry'!BM44="","",'Marks Entry'!BM44)</f>
        <v/>
      </c>
      <c r="FE44" s="74" t="str">
        <f>IF('Marks Entry'!BN44="","",'Marks Entry'!BN44)</f>
        <v/>
      </c>
      <c r="FF44" s="74" t="str">
        <f>IF('Marks Entry'!BO44="","",'Marks Entry'!BO44)</f>
        <v/>
      </c>
      <c r="FG44" s="74" t="str">
        <f>IF('Marks Entry'!BP44="","",'Marks Entry'!BP44)</f>
        <v/>
      </c>
      <c r="FH44" s="527" t="str">
        <f t="shared" si="60"/>
        <v/>
      </c>
      <c r="FI44" s="74" t="str">
        <f>IF('Marks Entry'!BQ44="","",'Marks Entry'!BQ44)</f>
        <v/>
      </c>
      <c r="FJ44" s="74" t="str">
        <f>IF('Marks Entry'!BR44="","",'Marks Entry'!BR44)</f>
        <v/>
      </c>
      <c r="FK44" s="528" t="str">
        <f t="shared" si="61"/>
        <v/>
      </c>
      <c r="FL44" s="529" t="str">
        <f t="shared" si="62"/>
        <v/>
      </c>
      <c r="FM44" s="74" t="str">
        <f>IF('Marks Entry'!BS44="","",'Marks Entry'!BS44)</f>
        <v/>
      </c>
      <c r="FN44" s="74" t="str">
        <f>IF('Marks Entry'!BT44="","",'Marks Entry'!BT44)</f>
        <v/>
      </c>
      <c r="FO44" s="528" t="str">
        <f t="shared" si="63"/>
        <v/>
      </c>
      <c r="FP44" s="530" t="str">
        <f t="shared" si="64"/>
        <v/>
      </c>
      <c r="FQ44" s="368" t="str">
        <f t="shared" si="116"/>
        <v/>
      </c>
      <c r="FR44" s="65">
        <f t="shared" si="117"/>
        <v>0</v>
      </c>
      <c r="FS44" s="65">
        <f t="shared" si="118"/>
        <v>0</v>
      </c>
      <c r="FT44" s="66" t="str">
        <f t="shared" si="119"/>
        <v/>
      </c>
      <c r="FU44" s="74" t="str">
        <f>IF('Marks Entry'!BU44="","",'Marks Entry'!BU44)</f>
        <v/>
      </c>
      <c r="FV44" s="74" t="str">
        <f>IF('Marks Entry'!BV44="","",'Marks Entry'!BV44)</f>
        <v/>
      </c>
      <c r="FW44" s="74" t="str">
        <f>IF('Marks Entry'!BW44="","",'Marks Entry'!BW44)</f>
        <v/>
      </c>
      <c r="FX44" s="75" t="str">
        <f t="shared" si="65"/>
        <v/>
      </c>
      <c r="FY44" s="368" t="str">
        <f t="shared" si="120"/>
        <v/>
      </c>
      <c r="FZ44" s="65">
        <f t="shared" si="121"/>
        <v>0</v>
      </c>
      <c r="GA44" s="66">
        <f t="shared" si="122"/>
        <v>0</v>
      </c>
      <c r="GB44" s="66" t="str">
        <f t="shared" si="123"/>
        <v/>
      </c>
      <c r="GC44" s="74" t="str">
        <f>IF('Marks Entry'!BX44="","",'Marks Entry'!BX44)</f>
        <v/>
      </c>
      <c r="GD44" s="74" t="str">
        <f>IF('Marks Entry'!BY44="","",'Marks Entry'!BY44)</f>
        <v/>
      </c>
      <c r="GE44" s="74" t="str">
        <f>IF('Marks Entry'!BZ44="","",'Marks Entry'!BZ44)</f>
        <v/>
      </c>
      <c r="GF44" s="75" t="str">
        <f t="shared" si="124"/>
        <v/>
      </c>
      <c r="GG44" s="368" t="str">
        <f t="shared" si="125"/>
        <v/>
      </c>
      <c r="GH44" s="65">
        <f t="shared" si="126"/>
        <v>0</v>
      </c>
      <c r="GI44" s="66">
        <f t="shared" si="127"/>
        <v>0</v>
      </c>
      <c r="GJ44" s="66" t="str">
        <f t="shared" si="128"/>
        <v/>
      </c>
      <c r="GK44" s="100" t="str">
        <f>IF(AND(F44="",B44=""),"",IF('Student DATA Entry'!M41="","",'Student DATA Entry'!M41))</f>
        <v/>
      </c>
      <c r="GL44" s="101" t="str">
        <f>IF(AND(B44="",F44=""),"",IF('Student DATA Entry'!N41="","",'Student DATA Entry'!N41))</f>
        <v/>
      </c>
      <c r="GM44" s="581" t="str">
        <f t="shared" si="129"/>
        <v/>
      </c>
      <c r="GN44" s="94" t="str">
        <f t="shared" si="130"/>
        <v/>
      </c>
      <c r="GO44" s="94" t="str">
        <f t="shared" si="131"/>
        <v/>
      </c>
      <c r="GP44" s="102" t="str">
        <f t="shared" si="162"/>
        <v/>
      </c>
      <c r="GQ44" s="94" t="str">
        <f t="shared" si="132"/>
        <v/>
      </c>
      <c r="GR44" s="103" t="str">
        <f t="shared" si="133"/>
        <v/>
      </c>
      <c r="GS44" s="102" t="str">
        <f t="shared" si="163"/>
        <v/>
      </c>
      <c r="GT44" s="104" t="str">
        <f t="shared" si="134"/>
        <v/>
      </c>
      <c r="GU44" s="94" t="str">
        <f>IF('Marks Entry'!V44=1,GT44,"")</f>
        <v/>
      </c>
      <c r="GV44" s="94" t="str">
        <f>IF('Marks Entry'!V44=2,GT44,"")</f>
        <v/>
      </c>
      <c r="GW44" s="94" t="str">
        <f>IF('Marks Entry'!V44=3,GT44,"")</f>
        <v/>
      </c>
      <c r="GX44" s="94" t="str">
        <f>IF('Marks Entry'!V44=4,GT44,"")</f>
        <v/>
      </c>
      <c r="GY44" s="94" t="str">
        <f>IF('Marks Entry'!V44=5,GT44,"")</f>
        <v/>
      </c>
      <c r="GZ44" s="94" t="str">
        <f t="shared" si="135"/>
        <v/>
      </c>
      <c r="HA44" s="105" t="str">
        <f t="shared" si="164"/>
        <v/>
      </c>
      <c r="HB44" s="94" t="str">
        <f t="shared" si="136"/>
        <v/>
      </c>
      <c r="HC44" s="94" t="str">
        <f t="shared" si="137"/>
        <v/>
      </c>
      <c r="HD44" s="105" t="str">
        <f t="shared" si="165"/>
        <v/>
      </c>
      <c r="HE44" s="94" t="str">
        <f t="shared" si="138"/>
        <v/>
      </c>
      <c r="HF44" s="94" t="str">
        <f t="shared" si="139"/>
        <v/>
      </c>
      <c r="HG44" s="105" t="str">
        <f t="shared" si="166"/>
        <v/>
      </c>
      <c r="HH44" s="94" t="str">
        <f t="shared" si="140"/>
        <v/>
      </c>
      <c r="HI44" s="94" t="str">
        <f t="shared" si="141"/>
        <v/>
      </c>
      <c r="HJ44" s="105" t="str">
        <f t="shared" si="167"/>
        <v/>
      </c>
      <c r="HK44" s="94" t="str">
        <f t="shared" si="142"/>
        <v/>
      </c>
      <c r="HL44" s="94" t="str">
        <f t="shared" si="143"/>
        <v/>
      </c>
      <c r="HM44" s="105" t="str">
        <f t="shared" si="168"/>
        <v/>
      </c>
      <c r="HN44" s="367" t="str">
        <f t="shared" si="144"/>
        <v xml:space="preserve">      </v>
      </c>
      <c r="HO44" s="418" t="str">
        <f t="shared" si="169"/>
        <v xml:space="preserve">      </v>
      </c>
      <c r="HP44" s="367" t="str">
        <f t="shared" si="146"/>
        <v xml:space="preserve">      </v>
      </c>
      <c r="HQ44" s="107" t="str">
        <f t="shared" si="147"/>
        <v xml:space="preserve">      </v>
      </c>
      <c r="HR44" s="366" t="str">
        <f t="shared" si="148"/>
        <v xml:space="preserve">      </v>
      </c>
      <c r="HS44" s="544" t="str">
        <f t="shared" si="170"/>
        <v/>
      </c>
      <c r="HT44" s="542" t="str">
        <f t="shared" si="149"/>
        <v/>
      </c>
      <c r="HU44" s="541" t="str">
        <f t="shared" si="160"/>
        <v/>
      </c>
      <c r="HV44" s="540" t="str">
        <f t="shared" si="150"/>
        <v/>
      </c>
      <c r="HW44" s="537" t="str">
        <f t="shared" si="151"/>
        <v/>
      </c>
      <c r="HX44" s="539" t="str">
        <f t="shared" si="152"/>
        <v/>
      </c>
      <c r="HY44" s="553" t="str">
        <f>IFERROR(IF(OR(HS44="SUPPLEMENTARY",HS44="RE-EXAM"),'Supp. Result Entry'!AQ42,""),"")</f>
        <v/>
      </c>
      <c r="HZ44" s="538" t="str">
        <f t="shared" si="153"/>
        <v/>
      </c>
      <c r="IA44" s="415" t="str">
        <f t="shared" si="154"/>
        <v/>
      </c>
      <c r="IB44" s="415" t="str">
        <f>IF(AND(HZ44="",IA44=""),"",IF(OR(HS44="SUPPLEMENTARY",HS44="RE-EXAM"),'Supp. Result Entry'!AQ42,HS44))</f>
        <v/>
      </c>
      <c r="IC44" s="87"/>
      <c r="ID44" s="111"/>
      <c r="IS44" s="109" t="str">
        <f>IF('Supp. Result Entry'!T42="","",'Supp. Result Entry'!$T$4)</f>
        <v/>
      </c>
      <c r="IT44" s="110" t="str">
        <f>IF('Supp. Result Entry'!W42="","",'Supp. Result Entry'!$W$4)</f>
        <v/>
      </c>
      <c r="IU44" s="110" t="str">
        <f>IF('Supp. Result Entry'!Z42="","",'Supp. Result Entry'!$Z$4)</f>
        <v/>
      </c>
      <c r="IV44" s="110" t="str">
        <f>IF('Supp. Result Entry'!AC42="","",'Supp. Result Entry'!$AC$4)</f>
        <v/>
      </c>
      <c r="IW44" s="110" t="str">
        <f>IF('Supp. Result Entry'!AF42="","",'Supp. Result Entry'!$AF$4)</f>
        <v/>
      </c>
      <c r="IX44" s="110" t="str">
        <f>IF('Supp. Result Entry'!AI42="","",'Supp. Result Entry'!$AI$4)</f>
        <v/>
      </c>
      <c r="IY44" s="110" t="str">
        <f>IF('Supp. Result Entry'!AI42="","",'Supp. Result Entry'!$AL$4)</f>
        <v/>
      </c>
      <c r="IZ44" s="110" t="str">
        <f>IF('Supp. Result Entry'!U42="","",'Supp. Result Entry'!U42)</f>
        <v/>
      </c>
      <c r="JA44" s="110" t="str">
        <f>IF('Supp. Result Entry'!X42="","",'Supp. Result Entry'!X42)</f>
        <v/>
      </c>
      <c r="JB44" s="110" t="str">
        <f>IF('Supp. Result Entry'!AA42="","",'Supp. Result Entry'!AA42)</f>
        <v/>
      </c>
      <c r="JC44" s="110" t="str">
        <f>IF('Supp. Result Entry'!AD42="","",'Supp. Result Entry'!AD42)</f>
        <v/>
      </c>
      <c r="JD44" s="110" t="str">
        <f>IF('Supp. Result Entry'!AG42="","",'Supp. Result Entry'!AG42)</f>
        <v/>
      </c>
      <c r="JE44" s="110" t="str">
        <f>IF('Supp. Result Entry'!AJ42="","",'Supp. Result Entry'!AJ42)</f>
        <v/>
      </c>
      <c r="JF44" s="110" t="str">
        <f>IF('Supp. Result Entry'!AM42="","",'Supp. Result Entry'!AM42)</f>
        <v/>
      </c>
      <c r="JG44" s="110" t="str">
        <f>IF('Supp. Result Entry'!V42="","",'Supp. Result Entry'!V42)</f>
        <v/>
      </c>
      <c r="JH44" s="110" t="str">
        <f>IF('Supp. Result Entry'!Y42="","",'Supp. Result Entry'!Y42)</f>
        <v/>
      </c>
      <c r="JI44" s="110" t="str">
        <f>IF('Supp. Result Entry'!AB42="","",'Supp. Result Entry'!AB42)</f>
        <v/>
      </c>
      <c r="JJ44" s="110" t="str">
        <f>IF('Supp. Result Entry'!AE42="","",'Supp. Result Entry'!AE42)</f>
        <v/>
      </c>
      <c r="JK44" s="110" t="str">
        <f>IF('Supp. Result Entry'!AH42="","",'Supp. Result Entry'!AH42)</f>
        <v/>
      </c>
      <c r="JL44" s="110" t="str">
        <f>IF('Supp. Result Entry'!AK42="","",'Supp. Result Entry'!AK42)</f>
        <v/>
      </c>
      <c r="JM44" s="110" t="str">
        <f>IF('Supp. Result Entry'!AN42="","",'Supp. Result Entry'!AN42)</f>
        <v/>
      </c>
      <c r="JN44" s="110">
        <f>COUNTIF('Supp. Result Entry'!K42:Q42,"S")</f>
        <v>0</v>
      </c>
      <c r="JO44" s="110">
        <f t="shared" si="155"/>
        <v>0</v>
      </c>
      <c r="JP44" s="110">
        <f t="shared" si="156"/>
        <v>0</v>
      </c>
      <c r="JQ44" s="110" t="str">
        <f t="shared" si="75"/>
        <v/>
      </c>
      <c r="JR44" s="110" t="str">
        <f t="shared" si="76"/>
        <v/>
      </c>
      <c r="JS44" s="110" t="str">
        <f t="shared" si="77"/>
        <v/>
      </c>
      <c r="JT44" s="110" t="str">
        <f t="shared" si="78"/>
        <v/>
      </c>
      <c r="JU44" s="110" t="str">
        <f t="shared" si="79"/>
        <v/>
      </c>
      <c r="JV44" s="110" t="str">
        <f t="shared" si="80"/>
        <v/>
      </c>
      <c r="JW44" s="110" t="str">
        <f t="shared" si="81"/>
        <v/>
      </c>
      <c r="JX44" s="110" t="str">
        <f t="shared" si="157"/>
        <v/>
      </c>
      <c r="JY44" s="110" t="str">
        <f t="shared" si="158"/>
        <v/>
      </c>
      <c r="JZ44" s="110" t="str">
        <f t="shared" si="82"/>
        <v/>
      </c>
      <c r="KA44" s="108" t="str">
        <f t="shared" si="159"/>
        <v/>
      </c>
    </row>
    <row r="45" spans="1:287" s="108" customFormat="1" ht="21.95" customHeight="1">
      <c r="A45" s="89">
        <v>39</v>
      </c>
      <c r="B45" s="90" t="str">
        <f>IF('Marks Entry'!B45="","",'Marks Entry'!B45)</f>
        <v/>
      </c>
      <c r="C45" s="94" t="str">
        <f>IF('Marks Entry'!D45="","",'Marks Entry'!D45)</f>
        <v/>
      </c>
      <c r="D45" s="91" t="str">
        <f>IF('Marks Entry'!E45="","",'Marks Entry'!E45)</f>
        <v/>
      </c>
      <c r="E45" s="92" t="str">
        <f>IF('Marks Entry'!F45="","",'Marks Entry'!F45)</f>
        <v/>
      </c>
      <c r="F45" s="93" t="str">
        <f>IF('Marks Entry'!G45="","",'Marks Entry'!G45)</f>
        <v/>
      </c>
      <c r="G45" s="93" t="str">
        <f>IF('Marks Entry'!H45="","",'Marks Entry'!H45)</f>
        <v/>
      </c>
      <c r="H45" s="93" t="str">
        <f>IF('Marks Entry'!I45="","",'Marks Entry'!I45)</f>
        <v/>
      </c>
      <c r="I45" s="94" t="str">
        <f>IF('Marks Entry'!J45="","",'Marks Entry'!J45)</f>
        <v/>
      </c>
      <c r="J45" s="95" t="str">
        <f>IF('Marks Entry'!K45="","",'Marks Entry'!K45)</f>
        <v/>
      </c>
      <c r="K45" s="68" t="str">
        <f>IF('Marks Entry'!L45="","",'Marks Entry'!L45)</f>
        <v/>
      </c>
      <c r="L45" s="68" t="str">
        <f>IF('Marks Entry'!M45="","",'Marks Entry'!M45)</f>
        <v/>
      </c>
      <c r="M45" s="68" t="str">
        <f>IF('Marks Entry'!N45="","",'Marks Entry'!N45)</f>
        <v/>
      </c>
      <c r="N45" s="514" t="str">
        <f t="shared" si="83"/>
        <v/>
      </c>
      <c r="O45" s="68" t="str">
        <f>IF('Marks Entry'!O45="","",'Marks Entry'!O45)</f>
        <v/>
      </c>
      <c r="P45" s="515" t="str">
        <f t="shared" si="84"/>
        <v/>
      </c>
      <c r="Q45" s="68" t="str">
        <f>IF('Marks Entry'!P45="","",'Marks Entry'!P45)</f>
        <v/>
      </c>
      <c r="R45" s="96" t="str">
        <f t="shared" si="85"/>
        <v/>
      </c>
      <c r="S45" s="65">
        <f t="shared" si="86"/>
        <v>0</v>
      </c>
      <c r="T45" s="65">
        <f t="shared" si="87"/>
        <v>0</v>
      </c>
      <c r="U45" s="66" t="str">
        <f t="shared" si="88"/>
        <v/>
      </c>
      <c r="V45" s="65" t="str">
        <f t="shared" si="89"/>
        <v/>
      </c>
      <c r="W45" s="65" t="str">
        <f t="shared" si="90"/>
        <v/>
      </c>
      <c r="X45" s="65" t="str">
        <f t="shared" si="91"/>
        <v/>
      </c>
      <c r="Y45" s="68" t="str">
        <f>IF('Marks Entry'!Q45="","",'Marks Entry'!Q45)</f>
        <v/>
      </c>
      <c r="Z45" s="68" t="str">
        <f>IF('Marks Entry'!R45="","",'Marks Entry'!R45)</f>
        <v/>
      </c>
      <c r="AA45" s="68" t="str">
        <f>IF('Marks Entry'!S45="","",'Marks Entry'!S45)</f>
        <v/>
      </c>
      <c r="AB45" s="514" t="str">
        <f t="shared" si="2"/>
        <v/>
      </c>
      <c r="AC45" s="68" t="str">
        <f>IF('Marks Entry'!T45="","",'Marks Entry'!T45)</f>
        <v/>
      </c>
      <c r="AD45" s="515" t="str">
        <f t="shared" si="3"/>
        <v/>
      </c>
      <c r="AE45" s="68" t="str">
        <f>IF('Marks Entry'!U45="","",'Marks Entry'!U45)</f>
        <v/>
      </c>
      <c r="AF45" s="96" t="str">
        <f t="shared" si="4"/>
        <v/>
      </c>
      <c r="AG45" s="65">
        <f t="shared" si="5"/>
        <v>0</v>
      </c>
      <c r="AH45" s="65">
        <f t="shared" si="6"/>
        <v>0</v>
      </c>
      <c r="AI45" s="66" t="str">
        <f t="shared" si="7"/>
        <v/>
      </c>
      <c r="AJ45" s="65" t="str">
        <f t="shared" si="8"/>
        <v/>
      </c>
      <c r="AK45" s="65" t="str">
        <f t="shared" si="9"/>
        <v/>
      </c>
      <c r="AL45" s="65" t="str">
        <f t="shared" si="10"/>
        <v/>
      </c>
      <c r="AM45" s="524" t="str">
        <f>IF('Marks Entry'!V45="","",IF('Marks Entry'!V45=1,'School Profile'!$I$9,IF('Marks Entry'!V45=2,'School Profile'!$I$10,IF('Marks Entry'!V45=3,'School Profile'!$I$11,IF('Marks Entry'!V45=4,'School Profile'!$I$12,IF('Marks Entry'!V45=5,'School Profile'!$I$13,IF('Marks Entry'!V45=6,'School Profile'!$I$14,"")))))))</f>
        <v/>
      </c>
      <c r="AN45" s="68" t="str">
        <f>IF('Marks Entry'!W45="","",'Marks Entry'!W45)</f>
        <v/>
      </c>
      <c r="AO45" s="68" t="str">
        <f>IF('Marks Entry'!X45="","",'Marks Entry'!X45)</f>
        <v/>
      </c>
      <c r="AP45" s="68" t="str">
        <f>IF('Marks Entry'!Y45="","",'Marks Entry'!Y45)</f>
        <v/>
      </c>
      <c r="AQ45" s="514" t="str">
        <f t="shared" si="11"/>
        <v/>
      </c>
      <c r="AR45" s="68" t="str">
        <f>IF('Marks Entry'!Z45="","",'Marks Entry'!Z45)</f>
        <v/>
      </c>
      <c r="AS45" s="515" t="str">
        <f t="shared" si="12"/>
        <v/>
      </c>
      <c r="AT45" s="68" t="str">
        <f>IF('Marks Entry'!AA45="","",'Marks Entry'!AA45)</f>
        <v/>
      </c>
      <c r="AU45" s="96" t="str">
        <f t="shared" si="13"/>
        <v/>
      </c>
      <c r="AV45" s="65">
        <f t="shared" si="14"/>
        <v>0</v>
      </c>
      <c r="AW45" s="65">
        <f t="shared" si="15"/>
        <v>0</v>
      </c>
      <c r="AX45" s="66" t="str">
        <f t="shared" si="16"/>
        <v/>
      </c>
      <c r="AY45" s="65" t="str">
        <f t="shared" si="17"/>
        <v/>
      </c>
      <c r="AZ45" s="65" t="str">
        <f t="shared" si="18"/>
        <v/>
      </c>
      <c r="BA45" s="65" t="str">
        <f t="shared" si="19"/>
        <v/>
      </c>
      <c r="BB45" s="68" t="str">
        <f>IF('Marks Entry'!AB45="","",'Marks Entry'!AB45)</f>
        <v/>
      </c>
      <c r="BC45" s="68" t="str">
        <f>IF('Marks Entry'!AC45="","",'Marks Entry'!AC45)</f>
        <v/>
      </c>
      <c r="BD45" s="68" t="str">
        <f>IF('Marks Entry'!AD45="","",'Marks Entry'!AD45)</f>
        <v/>
      </c>
      <c r="BE45" s="514" t="str">
        <f t="shared" si="20"/>
        <v/>
      </c>
      <c r="BF45" s="68" t="str">
        <f>IF('Marks Entry'!AE45="","",'Marks Entry'!AE45)</f>
        <v/>
      </c>
      <c r="BG45" s="515" t="str">
        <f t="shared" si="21"/>
        <v/>
      </c>
      <c r="BH45" s="68" t="str">
        <f>IF('Marks Entry'!AF45="","",'Marks Entry'!AF45)</f>
        <v/>
      </c>
      <c r="BI45" s="96" t="str">
        <f t="shared" si="22"/>
        <v/>
      </c>
      <c r="BJ45" s="65">
        <f t="shared" si="23"/>
        <v>0</v>
      </c>
      <c r="BK45" s="65">
        <f t="shared" si="92"/>
        <v>0</v>
      </c>
      <c r="BL45" s="66" t="str">
        <f t="shared" si="24"/>
        <v/>
      </c>
      <c r="BM45" s="65" t="str">
        <f t="shared" si="25"/>
        <v/>
      </c>
      <c r="BN45" s="65" t="str">
        <f t="shared" si="26"/>
        <v/>
      </c>
      <c r="BO45" s="65" t="str">
        <f t="shared" si="27"/>
        <v/>
      </c>
      <c r="BP45" s="68" t="str">
        <f>IF('Marks Entry'!AG45="","",'Marks Entry'!AG45)</f>
        <v/>
      </c>
      <c r="BQ45" s="68" t="str">
        <f>IF('Marks Entry'!AH45="","",'Marks Entry'!AH45)</f>
        <v/>
      </c>
      <c r="BR45" s="68" t="str">
        <f>IF('Marks Entry'!AI45="","",'Marks Entry'!AI45)</f>
        <v/>
      </c>
      <c r="BS45" s="514" t="str">
        <f t="shared" si="28"/>
        <v/>
      </c>
      <c r="BT45" s="68" t="str">
        <f>IF('Marks Entry'!AJ45="","",'Marks Entry'!AJ45)</f>
        <v/>
      </c>
      <c r="BU45" s="515" t="str">
        <f t="shared" si="29"/>
        <v/>
      </c>
      <c r="BV45" s="68" t="str">
        <f>IF('Marks Entry'!AK45="","",'Marks Entry'!AK45)</f>
        <v/>
      </c>
      <c r="BW45" s="96" t="str">
        <f t="shared" si="30"/>
        <v/>
      </c>
      <c r="BX45" s="65">
        <f t="shared" si="31"/>
        <v>0</v>
      </c>
      <c r="BY45" s="65">
        <f t="shared" si="32"/>
        <v>0</v>
      </c>
      <c r="BZ45" s="66" t="str">
        <f t="shared" si="33"/>
        <v/>
      </c>
      <c r="CA45" s="65" t="str">
        <f t="shared" si="34"/>
        <v/>
      </c>
      <c r="CB45" s="65" t="str">
        <f t="shared" si="35"/>
        <v/>
      </c>
      <c r="CC45" s="65" t="str">
        <f t="shared" si="36"/>
        <v/>
      </c>
      <c r="CD45" s="66">
        <f t="shared" si="161"/>
        <v>0</v>
      </c>
      <c r="CE45" s="68" t="str">
        <f>IF('Marks Entry'!AL45="","",'Marks Entry'!AL45)</f>
        <v/>
      </c>
      <c r="CF45" s="68" t="str">
        <f>IF('Marks Entry'!AM45="","",'Marks Entry'!AM45)</f>
        <v/>
      </c>
      <c r="CG45" s="68" t="str">
        <f>IF('Marks Entry'!AN45="","",'Marks Entry'!AN45)</f>
        <v/>
      </c>
      <c r="CH45" s="514" t="str">
        <f t="shared" si="37"/>
        <v/>
      </c>
      <c r="CI45" s="68" t="str">
        <f>IF('Marks Entry'!AO45="","",'Marks Entry'!AO45)</f>
        <v/>
      </c>
      <c r="CJ45" s="515" t="str">
        <f t="shared" si="38"/>
        <v/>
      </c>
      <c r="CK45" s="68" t="str">
        <f>IF('Marks Entry'!AP45="","",'Marks Entry'!AP45)</f>
        <v/>
      </c>
      <c r="CL45" s="96" t="str">
        <f t="shared" si="39"/>
        <v/>
      </c>
      <c r="CM45" s="65">
        <f t="shared" si="40"/>
        <v>0</v>
      </c>
      <c r="CN45" s="65">
        <f t="shared" si="41"/>
        <v>0</v>
      </c>
      <c r="CO45" s="66" t="str">
        <f t="shared" si="42"/>
        <v/>
      </c>
      <c r="CP45" s="65" t="str">
        <f t="shared" si="43"/>
        <v/>
      </c>
      <c r="CQ45" s="65" t="str">
        <f t="shared" si="44"/>
        <v/>
      </c>
      <c r="CR45" s="65" t="str">
        <f t="shared" si="45"/>
        <v/>
      </c>
      <c r="CS45" s="616"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8" t="str">
        <f>IF('School Profile'!$D$20="NO","",IF('Marks Entry'!AR45="","",'Marks Entry'!AR45))</f>
        <v/>
      </c>
      <c r="CU45" s="68" t="str">
        <f>IF('School Profile'!$D$20="NO","",IF('Marks Entry'!AS45="","",'Marks Entry'!AS45))</f>
        <v/>
      </c>
      <c r="CV45" s="68" t="str">
        <f>IF('School Profile'!$D$20="NO","",IF('Marks Entry'!AT45="","",'Marks Entry'!AT45))</f>
        <v/>
      </c>
      <c r="CW45" s="514" t="str">
        <f>IF('School Profile'!$D$20="NO","",IF(AND(CT45="",CU45="",CV45=""),"",SUM(CT45:CV45)))</f>
        <v/>
      </c>
      <c r="CX45" s="68" t="str">
        <f>IF('School Profile'!$D$20="NO","",IF('Marks Entry'!AU45="","",'Marks Entry'!AU45))</f>
        <v/>
      </c>
      <c r="CY45" s="68" t="str">
        <f>IF('School Profile'!$D$20="NO","",IF('Marks Entry'!AV45="","",'Marks Entry'!AV45))</f>
        <v/>
      </c>
      <c r="CZ45" s="515" t="str">
        <f>IF('School Profile'!$D$20="NO","",IF(AND(CX45="",CY45=""),"",SUM(CX45,CY45)))</f>
        <v/>
      </c>
      <c r="DA45" s="69" t="str">
        <f>IF('School Profile'!$D$20="NO","",IF(AND(CW45="",CZ45=""),"",SUM(CW45+CZ45)))</f>
        <v/>
      </c>
      <c r="DB45" s="68" t="str">
        <f>IF('School Profile'!$D$20="NO","",IF('Marks Entry'!AW45="","",'Marks Entry'!AW45))</f>
        <v/>
      </c>
      <c r="DC45" s="68" t="str">
        <f>IF('School Profile'!$D$20="NO","",IF('Marks Entry'!AX45="","",'Marks Entry'!AX45))</f>
        <v/>
      </c>
      <c r="DD45" s="515" t="str">
        <f>IF('School Profile'!$D$20="NO","",IF(AND(DB45="",DC45=""),"",SUM(DB45,DC45)))</f>
        <v/>
      </c>
      <c r="DE45" s="96" t="str">
        <f>IF('School Profile'!$D$20="NO","",IF(AND(DA45="",DD45=""),"",SUM(DA45,DD45)))</f>
        <v/>
      </c>
      <c r="DF45" s="532">
        <f t="shared" si="46"/>
        <v>0</v>
      </c>
      <c r="DG45" s="65">
        <f t="shared" si="47"/>
        <v>0</v>
      </c>
      <c r="DH45" s="66" t="str">
        <f t="shared" si="48"/>
        <v/>
      </c>
      <c r="DI45" s="65" t="str">
        <f t="shared" si="49"/>
        <v/>
      </c>
      <c r="DJ45" s="65" t="str">
        <f t="shared" si="50"/>
        <v/>
      </c>
      <c r="DK45" s="65" t="str">
        <f t="shared" si="51"/>
        <v/>
      </c>
      <c r="DL45" s="97" t="str">
        <f t="shared" si="94"/>
        <v/>
      </c>
      <c r="DM45" s="97" t="str">
        <f t="shared" si="95"/>
        <v/>
      </c>
      <c r="DN45" s="97" t="str">
        <f t="shared" si="96"/>
        <v/>
      </c>
      <c r="DO45" s="97" t="str">
        <f t="shared" si="97"/>
        <v/>
      </c>
      <c r="DP45" s="97" t="str">
        <f t="shared" si="98"/>
        <v/>
      </c>
      <c r="DQ45" s="97" t="str">
        <f t="shared" si="99"/>
        <v/>
      </c>
      <c r="DR45" s="97" t="str">
        <f t="shared" si="100"/>
        <v/>
      </c>
      <c r="DS45" s="98">
        <f t="shared" si="101"/>
        <v>0</v>
      </c>
      <c r="DT45" s="98">
        <f t="shared" si="102"/>
        <v>0</v>
      </c>
      <c r="DU45" s="98">
        <f t="shared" si="103"/>
        <v>0</v>
      </c>
      <c r="DV45" s="98">
        <f t="shared" si="104"/>
        <v>0</v>
      </c>
      <c r="DW45" s="98">
        <f t="shared" si="105"/>
        <v>0</v>
      </c>
      <c r="DX45" s="98" t="str">
        <f t="shared" si="106"/>
        <v/>
      </c>
      <c r="DY45" s="99" t="str">
        <f t="shared" si="107"/>
        <v/>
      </c>
      <c r="DZ45" s="74" t="str">
        <f>IF('Marks Entry'!AY45="","",'Marks Entry'!AY45)</f>
        <v/>
      </c>
      <c r="EA45" s="74" t="str">
        <f>IF('Marks Entry'!AZ45="","",'Marks Entry'!AZ45)</f>
        <v/>
      </c>
      <c r="EB45" s="74" t="str">
        <f>IF('Marks Entry'!BA45="","",'Marks Entry'!BA45)</f>
        <v/>
      </c>
      <c r="EC45" s="527" t="str">
        <f t="shared" si="52"/>
        <v/>
      </c>
      <c r="ED45" s="74" t="str">
        <f>IF('Marks Entry'!BB45="","",'Marks Entry'!BB45)</f>
        <v/>
      </c>
      <c r="EE45" s="528" t="str">
        <f t="shared" si="53"/>
        <v/>
      </c>
      <c r="EF45" s="74" t="str">
        <f>IF('Marks Entry'!BC45="","",'Marks Entry'!BC45)</f>
        <v/>
      </c>
      <c r="EG45" s="530" t="str">
        <f t="shared" si="54"/>
        <v/>
      </c>
      <c r="EH45" s="368" t="str">
        <f t="shared" si="108"/>
        <v/>
      </c>
      <c r="EI45" s="65">
        <f t="shared" si="109"/>
        <v>0</v>
      </c>
      <c r="EJ45" s="65">
        <f t="shared" si="110"/>
        <v>0</v>
      </c>
      <c r="EK45" s="66" t="str">
        <f t="shared" si="111"/>
        <v/>
      </c>
      <c r="EL45" s="74" t="str">
        <f>IF('Marks Entry'!BD45="","",'Marks Entry'!BD45)</f>
        <v/>
      </c>
      <c r="EM45" s="74" t="str">
        <f>IF('Marks Entry'!BE45="","",'Marks Entry'!BE45)</f>
        <v/>
      </c>
      <c r="EN45" s="74" t="str">
        <f>IF('Marks Entry'!BF45="","",'Marks Entry'!BF45)</f>
        <v/>
      </c>
      <c r="EO45" s="527" t="str">
        <f t="shared" si="55"/>
        <v/>
      </c>
      <c r="EP45" s="74" t="str">
        <f>IF('Marks Entry'!BG45="","",'Marks Entry'!BG45)</f>
        <v/>
      </c>
      <c r="EQ45" s="74" t="str">
        <f>IF('Marks Entry'!BH45="","",'Marks Entry'!BH45)</f>
        <v/>
      </c>
      <c r="ER45" s="528" t="str">
        <f t="shared" si="56"/>
        <v/>
      </c>
      <c r="ES45" s="529" t="str">
        <f t="shared" si="57"/>
        <v/>
      </c>
      <c r="ET45" s="74" t="str">
        <f>IF('Marks Entry'!BI45="","",'Marks Entry'!BI45)</f>
        <v/>
      </c>
      <c r="EU45" s="74" t="str">
        <f>IF('Marks Entry'!BJ45="","",'Marks Entry'!BJ45)</f>
        <v/>
      </c>
      <c r="EV45" s="528" t="str">
        <f t="shared" si="58"/>
        <v/>
      </c>
      <c r="EW45" s="530" t="str">
        <f t="shared" si="59"/>
        <v/>
      </c>
      <c r="EX45" s="368" t="str">
        <f t="shared" si="112"/>
        <v/>
      </c>
      <c r="EY45" s="65">
        <f t="shared" si="113"/>
        <v>0</v>
      </c>
      <c r="EZ45" s="65">
        <f t="shared" si="114"/>
        <v>0</v>
      </c>
      <c r="FA45" s="66" t="str">
        <f t="shared" si="115"/>
        <v/>
      </c>
      <c r="FB45" s="74" t="str">
        <f>IF('Marks Entry'!BK45="","",'Marks Entry'!BK45)</f>
        <v/>
      </c>
      <c r="FC45" s="74" t="str">
        <f>IF('Marks Entry'!BL45="","",'Marks Entry'!BL45)</f>
        <v/>
      </c>
      <c r="FD45" s="74" t="str">
        <f>IF('Marks Entry'!BM45="","",'Marks Entry'!BM45)</f>
        <v/>
      </c>
      <c r="FE45" s="74" t="str">
        <f>IF('Marks Entry'!BN45="","",'Marks Entry'!BN45)</f>
        <v/>
      </c>
      <c r="FF45" s="74" t="str">
        <f>IF('Marks Entry'!BO45="","",'Marks Entry'!BO45)</f>
        <v/>
      </c>
      <c r="FG45" s="74" t="str">
        <f>IF('Marks Entry'!BP45="","",'Marks Entry'!BP45)</f>
        <v/>
      </c>
      <c r="FH45" s="527" t="str">
        <f t="shared" si="60"/>
        <v/>
      </c>
      <c r="FI45" s="74" t="str">
        <f>IF('Marks Entry'!BQ45="","",'Marks Entry'!BQ45)</f>
        <v/>
      </c>
      <c r="FJ45" s="74" t="str">
        <f>IF('Marks Entry'!BR45="","",'Marks Entry'!BR45)</f>
        <v/>
      </c>
      <c r="FK45" s="528" t="str">
        <f t="shared" si="61"/>
        <v/>
      </c>
      <c r="FL45" s="529" t="str">
        <f t="shared" si="62"/>
        <v/>
      </c>
      <c r="FM45" s="74" t="str">
        <f>IF('Marks Entry'!BS45="","",'Marks Entry'!BS45)</f>
        <v/>
      </c>
      <c r="FN45" s="74" t="str">
        <f>IF('Marks Entry'!BT45="","",'Marks Entry'!BT45)</f>
        <v/>
      </c>
      <c r="FO45" s="528" t="str">
        <f t="shared" si="63"/>
        <v/>
      </c>
      <c r="FP45" s="530" t="str">
        <f t="shared" si="64"/>
        <v/>
      </c>
      <c r="FQ45" s="368" t="str">
        <f t="shared" si="116"/>
        <v/>
      </c>
      <c r="FR45" s="65">
        <f t="shared" si="117"/>
        <v>0</v>
      </c>
      <c r="FS45" s="65">
        <f t="shared" si="118"/>
        <v>0</v>
      </c>
      <c r="FT45" s="66" t="str">
        <f t="shared" si="119"/>
        <v/>
      </c>
      <c r="FU45" s="74" t="str">
        <f>IF('Marks Entry'!BU45="","",'Marks Entry'!BU45)</f>
        <v/>
      </c>
      <c r="FV45" s="74" t="str">
        <f>IF('Marks Entry'!BV45="","",'Marks Entry'!BV45)</f>
        <v/>
      </c>
      <c r="FW45" s="74" t="str">
        <f>IF('Marks Entry'!BW45="","",'Marks Entry'!BW45)</f>
        <v/>
      </c>
      <c r="FX45" s="75" t="str">
        <f t="shared" si="65"/>
        <v/>
      </c>
      <c r="FY45" s="368" t="str">
        <f t="shared" si="120"/>
        <v/>
      </c>
      <c r="FZ45" s="65">
        <f t="shared" si="121"/>
        <v>0</v>
      </c>
      <c r="GA45" s="66">
        <f t="shared" si="122"/>
        <v>0</v>
      </c>
      <c r="GB45" s="66" t="str">
        <f t="shared" si="123"/>
        <v/>
      </c>
      <c r="GC45" s="74" t="str">
        <f>IF('Marks Entry'!BX45="","",'Marks Entry'!BX45)</f>
        <v/>
      </c>
      <c r="GD45" s="74" t="str">
        <f>IF('Marks Entry'!BY45="","",'Marks Entry'!BY45)</f>
        <v/>
      </c>
      <c r="GE45" s="74" t="str">
        <f>IF('Marks Entry'!BZ45="","",'Marks Entry'!BZ45)</f>
        <v/>
      </c>
      <c r="GF45" s="75" t="str">
        <f t="shared" si="124"/>
        <v/>
      </c>
      <c r="GG45" s="368" t="str">
        <f t="shared" si="125"/>
        <v/>
      </c>
      <c r="GH45" s="65">
        <f t="shared" si="126"/>
        <v>0</v>
      </c>
      <c r="GI45" s="66">
        <f t="shared" si="127"/>
        <v>0</v>
      </c>
      <c r="GJ45" s="66" t="str">
        <f t="shared" si="128"/>
        <v/>
      </c>
      <c r="GK45" s="100" t="str">
        <f>IF(AND(F45="",B45=""),"",IF('Student DATA Entry'!M42="","",'Student DATA Entry'!M42))</f>
        <v/>
      </c>
      <c r="GL45" s="101" t="str">
        <f>IF(AND(B45="",F45=""),"",IF('Student DATA Entry'!N42="","",'Student DATA Entry'!N42))</f>
        <v/>
      </c>
      <c r="GM45" s="581" t="str">
        <f t="shared" si="129"/>
        <v/>
      </c>
      <c r="GN45" s="94" t="str">
        <f t="shared" si="130"/>
        <v/>
      </c>
      <c r="GO45" s="94" t="str">
        <f t="shared" si="131"/>
        <v/>
      </c>
      <c r="GP45" s="102" t="str">
        <f t="shared" si="162"/>
        <v/>
      </c>
      <c r="GQ45" s="94" t="str">
        <f t="shared" si="132"/>
        <v/>
      </c>
      <c r="GR45" s="103" t="str">
        <f t="shared" si="133"/>
        <v/>
      </c>
      <c r="GS45" s="102" t="str">
        <f t="shared" si="163"/>
        <v/>
      </c>
      <c r="GT45" s="104" t="str">
        <f t="shared" si="134"/>
        <v/>
      </c>
      <c r="GU45" s="94" t="str">
        <f>IF('Marks Entry'!V45=1,GT45,"")</f>
        <v/>
      </c>
      <c r="GV45" s="94" t="str">
        <f>IF('Marks Entry'!V45=2,GT45,"")</f>
        <v/>
      </c>
      <c r="GW45" s="94" t="str">
        <f>IF('Marks Entry'!V45=3,GT45,"")</f>
        <v/>
      </c>
      <c r="GX45" s="94" t="str">
        <f>IF('Marks Entry'!V45=4,GT45,"")</f>
        <v/>
      </c>
      <c r="GY45" s="94" t="str">
        <f>IF('Marks Entry'!V45=5,GT45,"")</f>
        <v/>
      </c>
      <c r="GZ45" s="94" t="str">
        <f t="shared" si="135"/>
        <v/>
      </c>
      <c r="HA45" s="105" t="str">
        <f t="shared" si="164"/>
        <v/>
      </c>
      <c r="HB45" s="94" t="str">
        <f t="shared" si="136"/>
        <v/>
      </c>
      <c r="HC45" s="94" t="str">
        <f t="shared" si="137"/>
        <v/>
      </c>
      <c r="HD45" s="105" t="str">
        <f t="shared" si="165"/>
        <v/>
      </c>
      <c r="HE45" s="94" t="str">
        <f t="shared" si="138"/>
        <v/>
      </c>
      <c r="HF45" s="94" t="str">
        <f t="shared" si="139"/>
        <v/>
      </c>
      <c r="HG45" s="105" t="str">
        <f t="shared" si="166"/>
        <v/>
      </c>
      <c r="HH45" s="94" t="str">
        <f t="shared" si="140"/>
        <v/>
      </c>
      <c r="HI45" s="94" t="str">
        <f t="shared" si="141"/>
        <v/>
      </c>
      <c r="HJ45" s="105" t="str">
        <f t="shared" si="167"/>
        <v/>
      </c>
      <c r="HK45" s="94" t="str">
        <f t="shared" si="142"/>
        <v/>
      </c>
      <c r="HL45" s="94" t="str">
        <f t="shared" si="143"/>
        <v/>
      </c>
      <c r="HM45" s="105" t="str">
        <f t="shared" si="168"/>
        <v/>
      </c>
      <c r="HN45" s="367" t="str">
        <f t="shared" si="144"/>
        <v xml:space="preserve">      </v>
      </c>
      <c r="HO45" s="418" t="str">
        <f t="shared" si="169"/>
        <v xml:space="preserve">      </v>
      </c>
      <c r="HP45" s="367" t="str">
        <f t="shared" si="146"/>
        <v xml:space="preserve">      </v>
      </c>
      <c r="HQ45" s="107" t="str">
        <f t="shared" si="147"/>
        <v xml:space="preserve">      </v>
      </c>
      <c r="HR45" s="366" t="str">
        <f t="shared" si="148"/>
        <v xml:space="preserve">      </v>
      </c>
      <c r="HS45" s="544" t="str">
        <f t="shared" si="170"/>
        <v/>
      </c>
      <c r="HT45" s="542" t="str">
        <f t="shared" si="149"/>
        <v/>
      </c>
      <c r="HU45" s="541" t="str">
        <f t="shared" si="160"/>
        <v/>
      </c>
      <c r="HV45" s="540" t="str">
        <f t="shared" si="150"/>
        <v/>
      </c>
      <c r="HW45" s="537" t="str">
        <f t="shared" si="151"/>
        <v/>
      </c>
      <c r="HX45" s="539" t="str">
        <f t="shared" si="152"/>
        <v/>
      </c>
      <c r="HY45" s="553" t="str">
        <f>IFERROR(IF(OR(HS45="SUPPLEMENTARY",HS45="RE-EXAM"),'Supp. Result Entry'!AQ43,""),"")</f>
        <v/>
      </c>
      <c r="HZ45" s="538" t="str">
        <f t="shared" si="153"/>
        <v/>
      </c>
      <c r="IA45" s="415" t="str">
        <f t="shared" si="154"/>
        <v/>
      </c>
      <c r="IB45" s="415" t="str">
        <f>IF(AND(HZ45="",IA45=""),"",IF(OR(HS45="SUPPLEMENTARY",HS45="RE-EXAM"),'Supp. Result Entry'!AQ43,HS45))</f>
        <v/>
      </c>
      <c r="IC45" s="87"/>
      <c r="ID45" s="111"/>
      <c r="IS45" s="109" t="str">
        <f>IF('Supp. Result Entry'!T43="","",'Supp. Result Entry'!$T$4)</f>
        <v/>
      </c>
      <c r="IT45" s="110" t="str">
        <f>IF('Supp. Result Entry'!W43="","",'Supp. Result Entry'!$W$4)</f>
        <v/>
      </c>
      <c r="IU45" s="110" t="str">
        <f>IF('Supp. Result Entry'!Z43="","",'Supp. Result Entry'!$Z$4)</f>
        <v/>
      </c>
      <c r="IV45" s="110" t="str">
        <f>IF('Supp. Result Entry'!AC43="","",'Supp. Result Entry'!$AC$4)</f>
        <v/>
      </c>
      <c r="IW45" s="110" t="str">
        <f>IF('Supp. Result Entry'!AF43="","",'Supp. Result Entry'!$AF$4)</f>
        <v/>
      </c>
      <c r="IX45" s="110" t="str">
        <f>IF('Supp. Result Entry'!AI43="","",'Supp. Result Entry'!$AI$4)</f>
        <v/>
      </c>
      <c r="IY45" s="110" t="str">
        <f>IF('Supp. Result Entry'!AI43="","",'Supp. Result Entry'!$AL$4)</f>
        <v/>
      </c>
      <c r="IZ45" s="110" t="str">
        <f>IF('Supp. Result Entry'!U43="","",'Supp. Result Entry'!U43)</f>
        <v/>
      </c>
      <c r="JA45" s="110" t="str">
        <f>IF('Supp. Result Entry'!X43="","",'Supp. Result Entry'!X43)</f>
        <v/>
      </c>
      <c r="JB45" s="110" t="str">
        <f>IF('Supp. Result Entry'!AA43="","",'Supp. Result Entry'!AA43)</f>
        <v/>
      </c>
      <c r="JC45" s="110" t="str">
        <f>IF('Supp. Result Entry'!AD43="","",'Supp. Result Entry'!AD43)</f>
        <v/>
      </c>
      <c r="JD45" s="110" t="str">
        <f>IF('Supp. Result Entry'!AG43="","",'Supp. Result Entry'!AG43)</f>
        <v/>
      </c>
      <c r="JE45" s="110" t="str">
        <f>IF('Supp. Result Entry'!AJ43="","",'Supp. Result Entry'!AJ43)</f>
        <v/>
      </c>
      <c r="JF45" s="110" t="str">
        <f>IF('Supp. Result Entry'!AM43="","",'Supp. Result Entry'!AM43)</f>
        <v/>
      </c>
      <c r="JG45" s="110" t="str">
        <f>IF('Supp. Result Entry'!V43="","",'Supp. Result Entry'!V43)</f>
        <v/>
      </c>
      <c r="JH45" s="110" t="str">
        <f>IF('Supp. Result Entry'!Y43="","",'Supp. Result Entry'!Y43)</f>
        <v/>
      </c>
      <c r="JI45" s="110" t="str">
        <f>IF('Supp. Result Entry'!AB43="","",'Supp. Result Entry'!AB43)</f>
        <v/>
      </c>
      <c r="JJ45" s="110" t="str">
        <f>IF('Supp. Result Entry'!AE43="","",'Supp. Result Entry'!AE43)</f>
        <v/>
      </c>
      <c r="JK45" s="110" t="str">
        <f>IF('Supp. Result Entry'!AH43="","",'Supp. Result Entry'!AH43)</f>
        <v/>
      </c>
      <c r="JL45" s="110" t="str">
        <f>IF('Supp. Result Entry'!AK43="","",'Supp. Result Entry'!AK43)</f>
        <v/>
      </c>
      <c r="JM45" s="110" t="str">
        <f>IF('Supp. Result Entry'!AN43="","",'Supp. Result Entry'!AN43)</f>
        <v/>
      </c>
      <c r="JN45" s="110">
        <f>COUNTIF('Supp. Result Entry'!K43:Q43,"S")</f>
        <v>0</v>
      </c>
      <c r="JO45" s="110">
        <f t="shared" si="155"/>
        <v>0</v>
      </c>
      <c r="JP45" s="110">
        <f t="shared" si="156"/>
        <v>0</v>
      </c>
      <c r="JQ45" s="110" t="str">
        <f t="shared" si="75"/>
        <v/>
      </c>
      <c r="JR45" s="110" t="str">
        <f t="shared" si="76"/>
        <v/>
      </c>
      <c r="JS45" s="110" t="str">
        <f t="shared" si="77"/>
        <v/>
      </c>
      <c r="JT45" s="110" t="str">
        <f t="shared" si="78"/>
        <v/>
      </c>
      <c r="JU45" s="110" t="str">
        <f t="shared" si="79"/>
        <v/>
      </c>
      <c r="JV45" s="110" t="str">
        <f t="shared" si="80"/>
        <v/>
      </c>
      <c r="JW45" s="110" t="str">
        <f t="shared" si="81"/>
        <v/>
      </c>
      <c r="JX45" s="110" t="str">
        <f t="shared" si="157"/>
        <v/>
      </c>
      <c r="JY45" s="110" t="str">
        <f t="shared" si="158"/>
        <v/>
      </c>
      <c r="JZ45" s="110" t="str">
        <f t="shared" si="82"/>
        <v/>
      </c>
      <c r="KA45" s="108" t="str">
        <f t="shared" si="159"/>
        <v/>
      </c>
    </row>
    <row r="46" spans="1:287" s="108" customFormat="1" ht="21.95" customHeight="1">
      <c r="A46" s="89">
        <v>40</v>
      </c>
      <c r="B46" s="90" t="str">
        <f>IF('Marks Entry'!B46="","",'Marks Entry'!B46)</f>
        <v/>
      </c>
      <c r="C46" s="94" t="str">
        <f>IF('Marks Entry'!D46="","",'Marks Entry'!D46)</f>
        <v/>
      </c>
      <c r="D46" s="91" t="str">
        <f>IF('Marks Entry'!E46="","",'Marks Entry'!E46)</f>
        <v/>
      </c>
      <c r="E46" s="92" t="str">
        <f>IF('Marks Entry'!F46="","",'Marks Entry'!F46)</f>
        <v/>
      </c>
      <c r="F46" s="93" t="str">
        <f>IF('Marks Entry'!G46="","",'Marks Entry'!G46)</f>
        <v/>
      </c>
      <c r="G46" s="93" t="str">
        <f>IF('Marks Entry'!H46="","",'Marks Entry'!H46)</f>
        <v/>
      </c>
      <c r="H46" s="93" t="str">
        <f>IF('Marks Entry'!I46="","",'Marks Entry'!I46)</f>
        <v/>
      </c>
      <c r="I46" s="94" t="str">
        <f>IF('Marks Entry'!J46="","",'Marks Entry'!J46)</f>
        <v/>
      </c>
      <c r="J46" s="95" t="str">
        <f>IF('Marks Entry'!K46="","",'Marks Entry'!K46)</f>
        <v/>
      </c>
      <c r="K46" s="68" t="str">
        <f>IF('Marks Entry'!L46="","",'Marks Entry'!L46)</f>
        <v/>
      </c>
      <c r="L46" s="68" t="str">
        <f>IF('Marks Entry'!M46="","",'Marks Entry'!M46)</f>
        <v/>
      </c>
      <c r="M46" s="68" t="str">
        <f>IF('Marks Entry'!N46="","",'Marks Entry'!N46)</f>
        <v/>
      </c>
      <c r="N46" s="514" t="str">
        <f t="shared" si="83"/>
        <v/>
      </c>
      <c r="O46" s="68" t="str">
        <f>IF('Marks Entry'!O46="","",'Marks Entry'!O46)</f>
        <v/>
      </c>
      <c r="P46" s="515" t="str">
        <f t="shared" si="84"/>
        <v/>
      </c>
      <c r="Q46" s="68" t="str">
        <f>IF('Marks Entry'!P46="","",'Marks Entry'!P46)</f>
        <v/>
      </c>
      <c r="R46" s="96" t="str">
        <f t="shared" si="85"/>
        <v/>
      </c>
      <c r="S46" s="65">
        <f t="shared" si="86"/>
        <v>0</v>
      </c>
      <c r="T46" s="65">
        <f t="shared" si="87"/>
        <v>0</v>
      </c>
      <c r="U46" s="66" t="str">
        <f t="shared" si="88"/>
        <v/>
      </c>
      <c r="V46" s="65" t="str">
        <f t="shared" si="89"/>
        <v/>
      </c>
      <c r="W46" s="65" t="str">
        <f t="shared" si="90"/>
        <v/>
      </c>
      <c r="X46" s="65" t="str">
        <f t="shared" si="91"/>
        <v/>
      </c>
      <c r="Y46" s="68" t="str">
        <f>IF('Marks Entry'!Q46="","",'Marks Entry'!Q46)</f>
        <v/>
      </c>
      <c r="Z46" s="68" t="str">
        <f>IF('Marks Entry'!R46="","",'Marks Entry'!R46)</f>
        <v/>
      </c>
      <c r="AA46" s="68" t="str">
        <f>IF('Marks Entry'!S46="","",'Marks Entry'!S46)</f>
        <v/>
      </c>
      <c r="AB46" s="514" t="str">
        <f t="shared" si="2"/>
        <v/>
      </c>
      <c r="AC46" s="68" t="str">
        <f>IF('Marks Entry'!T46="","",'Marks Entry'!T46)</f>
        <v/>
      </c>
      <c r="AD46" s="515" t="str">
        <f t="shared" si="3"/>
        <v/>
      </c>
      <c r="AE46" s="68" t="str">
        <f>IF('Marks Entry'!U46="","",'Marks Entry'!U46)</f>
        <v/>
      </c>
      <c r="AF46" s="96" t="str">
        <f t="shared" si="4"/>
        <v/>
      </c>
      <c r="AG46" s="65">
        <f t="shared" si="5"/>
        <v>0</v>
      </c>
      <c r="AH46" s="65">
        <f t="shared" si="6"/>
        <v>0</v>
      </c>
      <c r="AI46" s="66" t="str">
        <f t="shared" si="7"/>
        <v/>
      </c>
      <c r="AJ46" s="65" t="str">
        <f t="shared" si="8"/>
        <v/>
      </c>
      <c r="AK46" s="65" t="str">
        <f t="shared" si="9"/>
        <v/>
      </c>
      <c r="AL46" s="65" t="str">
        <f t="shared" si="10"/>
        <v/>
      </c>
      <c r="AM46" s="524" t="str">
        <f>IF('Marks Entry'!V46="","",IF('Marks Entry'!V46=1,'School Profile'!$I$9,IF('Marks Entry'!V46=2,'School Profile'!$I$10,IF('Marks Entry'!V46=3,'School Profile'!$I$11,IF('Marks Entry'!V46=4,'School Profile'!$I$12,IF('Marks Entry'!V46=5,'School Profile'!$I$13,IF('Marks Entry'!V46=6,'School Profile'!$I$14,"")))))))</f>
        <v/>
      </c>
      <c r="AN46" s="68" t="str">
        <f>IF('Marks Entry'!W46="","",'Marks Entry'!W46)</f>
        <v/>
      </c>
      <c r="AO46" s="68" t="str">
        <f>IF('Marks Entry'!X46="","",'Marks Entry'!X46)</f>
        <v/>
      </c>
      <c r="AP46" s="68" t="str">
        <f>IF('Marks Entry'!Y46="","",'Marks Entry'!Y46)</f>
        <v/>
      </c>
      <c r="AQ46" s="514" t="str">
        <f t="shared" si="11"/>
        <v/>
      </c>
      <c r="AR46" s="68" t="str">
        <f>IF('Marks Entry'!Z46="","",'Marks Entry'!Z46)</f>
        <v/>
      </c>
      <c r="AS46" s="515" t="str">
        <f t="shared" si="12"/>
        <v/>
      </c>
      <c r="AT46" s="68" t="str">
        <f>IF('Marks Entry'!AA46="","",'Marks Entry'!AA46)</f>
        <v/>
      </c>
      <c r="AU46" s="96" t="str">
        <f t="shared" si="13"/>
        <v/>
      </c>
      <c r="AV46" s="65">
        <f t="shared" si="14"/>
        <v>0</v>
      </c>
      <c r="AW46" s="65">
        <f t="shared" si="15"/>
        <v>0</v>
      </c>
      <c r="AX46" s="66" t="str">
        <f t="shared" si="16"/>
        <v/>
      </c>
      <c r="AY46" s="65" t="str">
        <f t="shared" si="17"/>
        <v/>
      </c>
      <c r="AZ46" s="65" t="str">
        <f t="shared" si="18"/>
        <v/>
      </c>
      <c r="BA46" s="65" t="str">
        <f t="shared" si="19"/>
        <v/>
      </c>
      <c r="BB46" s="68" t="str">
        <f>IF('Marks Entry'!AB46="","",'Marks Entry'!AB46)</f>
        <v/>
      </c>
      <c r="BC46" s="68" t="str">
        <f>IF('Marks Entry'!AC46="","",'Marks Entry'!AC46)</f>
        <v/>
      </c>
      <c r="BD46" s="68" t="str">
        <f>IF('Marks Entry'!AD46="","",'Marks Entry'!AD46)</f>
        <v/>
      </c>
      <c r="BE46" s="514" t="str">
        <f t="shared" si="20"/>
        <v/>
      </c>
      <c r="BF46" s="68" t="str">
        <f>IF('Marks Entry'!AE46="","",'Marks Entry'!AE46)</f>
        <v/>
      </c>
      <c r="BG46" s="515" t="str">
        <f t="shared" si="21"/>
        <v/>
      </c>
      <c r="BH46" s="68" t="str">
        <f>IF('Marks Entry'!AF46="","",'Marks Entry'!AF46)</f>
        <v/>
      </c>
      <c r="BI46" s="96" t="str">
        <f t="shared" si="22"/>
        <v/>
      </c>
      <c r="BJ46" s="65">
        <f t="shared" si="23"/>
        <v>0</v>
      </c>
      <c r="BK46" s="65">
        <f t="shared" si="92"/>
        <v>0</v>
      </c>
      <c r="BL46" s="66" t="str">
        <f t="shared" si="24"/>
        <v/>
      </c>
      <c r="BM46" s="65" t="str">
        <f t="shared" si="25"/>
        <v/>
      </c>
      <c r="BN46" s="65" t="str">
        <f t="shared" si="26"/>
        <v/>
      </c>
      <c r="BO46" s="65" t="str">
        <f t="shared" si="27"/>
        <v/>
      </c>
      <c r="BP46" s="68" t="str">
        <f>IF('Marks Entry'!AG46="","",'Marks Entry'!AG46)</f>
        <v/>
      </c>
      <c r="BQ46" s="68" t="str">
        <f>IF('Marks Entry'!AH46="","",'Marks Entry'!AH46)</f>
        <v/>
      </c>
      <c r="BR46" s="68" t="str">
        <f>IF('Marks Entry'!AI46="","",'Marks Entry'!AI46)</f>
        <v/>
      </c>
      <c r="BS46" s="514" t="str">
        <f t="shared" si="28"/>
        <v/>
      </c>
      <c r="BT46" s="68" t="str">
        <f>IF('Marks Entry'!AJ46="","",'Marks Entry'!AJ46)</f>
        <v/>
      </c>
      <c r="BU46" s="515" t="str">
        <f t="shared" si="29"/>
        <v/>
      </c>
      <c r="BV46" s="68" t="str">
        <f>IF('Marks Entry'!AK46="","",'Marks Entry'!AK46)</f>
        <v/>
      </c>
      <c r="BW46" s="96" t="str">
        <f t="shared" si="30"/>
        <v/>
      </c>
      <c r="BX46" s="65">
        <f t="shared" si="31"/>
        <v>0</v>
      </c>
      <c r="BY46" s="65">
        <f t="shared" si="32"/>
        <v>0</v>
      </c>
      <c r="BZ46" s="66" t="str">
        <f t="shared" si="33"/>
        <v/>
      </c>
      <c r="CA46" s="65" t="str">
        <f t="shared" si="34"/>
        <v/>
      </c>
      <c r="CB46" s="65" t="str">
        <f t="shared" si="35"/>
        <v/>
      </c>
      <c r="CC46" s="65" t="str">
        <f t="shared" si="36"/>
        <v/>
      </c>
      <c r="CD46" s="66">
        <f t="shared" si="161"/>
        <v>0</v>
      </c>
      <c r="CE46" s="68" t="str">
        <f>IF('Marks Entry'!AL46="","",'Marks Entry'!AL46)</f>
        <v/>
      </c>
      <c r="CF46" s="68" t="str">
        <f>IF('Marks Entry'!AM46="","",'Marks Entry'!AM46)</f>
        <v/>
      </c>
      <c r="CG46" s="68" t="str">
        <f>IF('Marks Entry'!AN46="","",'Marks Entry'!AN46)</f>
        <v/>
      </c>
      <c r="CH46" s="514" t="str">
        <f t="shared" si="37"/>
        <v/>
      </c>
      <c r="CI46" s="68" t="str">
        <f>IF('Marks Entry'!AO46="","",'Marks Entry'!AO46)</f>
        <v/>
      </c>
      <c r="CJ46" s="515" t="str">
        <f t="shared" si="38"/>
        <v/>
      </c>
      <c r="CK46" s="68" t="str">
        <f>IF('Marks Entry'!AP46="","",'Marks Entry'!AP46)</f>
        <v/>
      </c>
      <c r="CL46" s="96" t="str">
        <f t="shared" si="39"/>
        <v/>
      </c>
      <c r="CM46" s="65">
        <f t="shared" si="40"/>
        <v>0</v>
      </c>
      <c r="CN46" s="65">
        <f t="shared" si="41"/>
        <v>0</v>
      </c>
      <c r="CO46" s="66" t="str">
        <f t="shared" si="42"/>
        <v/>
      </c>
      <c r="CP46" s="65" t="str">
        <f t="shared" si="43"/>
        <v/>
      </c>
      <c r="CQ46" s="65" t="str">
        <f t="shared" si="44"/>
        <v/>
      </c>
      <c r="CR46" s="65" t="str">
        <f t="shared" si="45"/>
        <v/>
      </c>
      <c r="CS46" s="616"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8" t="str">
        <f>IF('School Profile'!$D$20="NO","",IF('Marks Entry'!AR46="","",'Marks Entry'!AR46))</f>
        <v/>
      </c>
      <c r="CU46" s="68" t="str">
        <f>IF('School Profile'!$D$20="NO","",IF('Marks Entry'!AS46="","",'Marks Entry'!AS46))</f>
        <v/>
      </c>
      <c r="CV46" s="68" t="str">
        <f>IF('School Profile'!$D$20="NO","",IF('Marks Entry'!AT46="","",'Marks Entry'!AT46))</f>
        <v/>
      </c>
      <c r="CW46" s="514" t="str">
        <f>IF('School Profile'!$D$20="NO","",IF(AND(CT46="",CU46="",CV46=""),"",SUM(CT46:CV46)))</f>
        <v/>
      </c>
      <c r="CX46" s="68" t="str">
        <f>IF('School Profile'!$D$20="NO","",IF('Marks Entry'!AU46="","",'Marks Entry'!AU46))</f>
        <v/>
      </c>
      <c r="CY46" s="68" t="str">
        <f>IF('School Profile'!$D$20="NO","",IF('Marks Entry'!AV46="","",'Marks Entry'!AV46))</f>
        <v/>
      </c>
      <c r="CZ46" s="515" t="str">
        <f>IF('School Profile'!$D$20="NO","",IF(AND(CX46="",CY46=""),"",SUM(CX46,CY46)))</f>
        <v/>
      </c>
      <c r="DA46" s="69" t="str">
        <f>IF('School Profile'!$D$20="NO","",IF(AND(CW46="",CZ46=""),"",SUM(CW46+CZ46)))</f>
        <v/>
      </c>
      <c r="DB46" s="68" t="str">
        <f>IF('School Profile'!$D$20="NO","",IF('Marks Entry'!AW46="","",'Marks Entry'!AW46))</f>
        <v/>
      </c>
      <c r="DC46" s="68" t="str">
        <f>IF('School Profile'!$D$20="NO","",IF('Marks Entry'!AX46="","",'Marks Entry'!AX46))</f>
        <v/>
      </c>
      <c r="DD46" s="515" t="str">
        <f>IF('School Profile'!$D$20="NO","",IF(AND(DB46="",DC46=""),"",SUM(DB46,DC46)))</f>
        <v/>
      </c>
      <c r="DE46" s="96" t="str">
        <f>IF('School Profile'!$D$20="NO","",IF(AND(DA46="",DD46=""),"",SUM(DA46,DD46)))</f>
        <v/>
      </c>
      <c r="DF46" s="532">
        <f t="shared" si="46"/>
        <v>0</v>
      </c>
      <c r="DG46" s="65">
        <f t="shared" si="47"/>
        <v>0</v>
      </c>
      <c r="DH46" s="66" t="str">
        <f t="shared" si="48"/>
        <v/>
      </c>
      <c r="DI46" s="65" t="str">
        <f t="shared" si="49"/>
        <v/>
      </c>
      <c r="DJ46" s="65" t="str">
        <f t="shared" si="50"/>
        <v/>
      </c>
      <c r="DK46" s="65" t="str">
        <f t="shared" si="51"/>
        <v/>
      </c>
      <c r="DL46" s="97" t="str">
        <f t="shared" si="94"/>
        <v/>
      </c>
      <c r="DM46" s="97" t="str">
        <f t="shared" si="95"/>
        <v/>
      </c>
      <c r="DN46" s="97" t="str">
        <f t="shared" si="96"/>
        <v/>
      </c>
      <c r="DO46" s="97" t="str">
        <f t="shared" si="97"/>
        <v/>
      </c>
      <c r="DP46" s="97" t="str">
        <f t="shared" si="98"/>
        <v/>
      </c>
      <c r="DQ46" s="97" t="str">
        <f t="shared" si="99"/>
        <v/>
      </c>
      <c r="DR46" s="97" t="str">
        <f t="shared" si="100"/>
        <v/>
      </c>
      <c r="DS46" s="98">
        <f t="shared" si="101"/>
        <v>0</v>
      </c>
      <c r="DT46" s="98">
        <f t="shared" si="102"/>
        <v>0</v>
      </c>
      <c r="DU46" s="98">
        <f t="shared" si="103"/>
        <v>0</v>
      </c>
      <c r="DV46" s="98">
        <f t="shared" si="104"/>
        <v>0</v>
      </c>
      <c r="DW46" s="98">
        <f t="shared" si="105"/>
        <v>0</v>
      </c>
      <c r="DX46" s="98" t="str">
        <f t="shared" si="106"/>
        <v/>
      </c>
      <c r="DY46" s="99" t="str">
        <f t="shared" si="107"/>
        <v/>
      </c>
      <c r="DZ46" s="74" t="str">
        <f>IF('Marks Entry'!AY46="","",'Marks Entry'!AY46)</f>
        <v/>
      </c>
      <c r="EA46" s="74" t="str">
        <f>IF('Marks Entry'!AZ46="","",'Marks Entry'!AZ46)</f>
        <v/>
      </c>
      <c r="EB46" s="74" t="str">
        <f>IF('Marks Entry'!BA46="","",'Marks Entry'!BA46)</f>
        <v/>
      </c>
      <c r="EC46" s="527" t="str">
        <f t="shared" si="52"/>
        <v/>
      </c>
      <c r="ED46" s="74" t="str">
        <f>IF('Marks Entry'!BB46="","",'Marks Entry'!BB46)</f>
        <v/>
      </c>
      <c r="EE46" s="528" t="str">
        <f t="shared" si="53"/>
        <v/>
      </c>
      <c r="EF46" s="74" t="str">
        <f>IF('Marks Entry'!BC46="","",'Marks Entry'!BC46)</f>
        <v/>
      </c>
      <c r="EG46" s="530" t="str">
        <f t="shared" si="54"/>
        <v/>
      </c>
      <c r="EH46" s="368" t="str">
        <f t="shared" si="108"/>
        <v/>
      </c>
      <c r="EI46" s="65">
        <f t="shared" si="109"/>
        <v>0</v>
      </c>
      <c r="EJ46" s="65">
        <f t="shared" si="110"/>
        <v>0</v>
      </c>
      <c r="EK46" s="66" t="str">
        <f t="shared" si="111"/>
        <v/>
      </c>
      <c r="EL46" s="74" t="str">
        <f>IF('Marks Entry'!BD46="","",'Marks Entry'!BD46)</f>
        <v/>
      </c>
      <c r="EM46" s="74" t="str">
        <f>IF('Marks Entry'!BE46="","",'Marks Entry'!BE46)</f>
        <v/>
      </c>
      <c r="EN46" s="74" t="str">
        <f>IF('Marks Entry'!BF46="","",'Marks Entry'!BF46)</f>
        <v/>
      </c>
      <c r="EO46" s="527" t="str">
        <f t="shared" si="55"/>
        <v/>
      </c>
      <c r="EP46" s="74" t="str">
        <f>IF('Marks Entry'!BG46="","",'Marks Entry'!BG46)</f>
        <v/>
      </c>
      <c r="EQ46" s="74" t="str">
        <f>IF('Marks Entry'!BH46="","",'Marks Entry'!BH46)</f>
        <v/>
      </c>
      <c r="ER46" s="528" t="str">
        <f t="shared" si="56"/>
        <v/>
      </c>
      <c r="ES46" s="529" t="str">
        <f t="shared" si="57"/>
        <v/>
      </c>
      <c r="ET46" s="74" t="str">
        <f>IF('Marks Entry'!BI46="","",'Marks Entry'!BI46)</f>
        <v/>
      </c>
      <c r="EU46" s="74" t="str">
        <f>IF('Marks Entry'!BJ46="","",'Marks Entry'!BJ46)</f>
        <v/>
      </c>
      <c r="EV46" s="528" t="str">
        <f t="shared" si="58"/>
        <v/>
      </c>
      <c r="EW46" s="530" t="str">
        <f t="shared" si="59"/>
        <v/>
      </c>
      <c r="EX46" s="368" t="str">
        <f t="shared" si="112"/>
        <v/>
      </c>
      <c r="EY46" s="65">
        <f t="shared" si="113"/>
        <v>0</v>
      </c>
      <c r="EZ46" s="65">
        <f t="shared" si="114"/>
        <v>0</v>
      </c>
      <c r="FA46" s="66" t="str">
        <f t="shared" si="115"/>
        <v/>
      </c>
      <c r="FB46" s="74" t="str">
        <f>IF('Marks Entry'!BK46="","",'Marks Entry'!BK46)</f>
        <v/>
      </c>
      <c r="FC46" s="74" t="str">
        <f>IF('Marks Entry'!BL46="","",'Marks Entry'!BL46)</f>
        <v/>
      </c>
      <c r="FD46" s="74" t="str">
        <f>IF('Marks Entry'!BM46="","",'Marks Entry'!BM46)</f>
        <v/>
      </c>
      <c r="FE46" s="74" t="str">
        <f>IF('Marks Entry'!BN46="","",'Marks Entry'!BN46)</f>
        <v/>
      </c>
      <c r="FF46" s="74" t="str">
        <f>IF('Marks Entry'!BO46="","",'Marks Entry'!BO46)</f>
        <v/>
      </c>
      <c r="FG46" s="74" t="str">
        <f>IF('Marks Entry'!BP46="","",'Marks Entry'!BP46)</f>
        <v/>
      </c>
      <c r="FH46" s="527" t="str">
        <f t="shared" si="60"/>
        <v/>
      </c>
      <c r="FI46" s="74" t="str">
        <f>IF('Marks Entry'!BQ46="","",'Marks Entry'!BQ46)</f>
        <v/>
      </c>
      <c r="FJ46" s="74" t="str">
        <f>IF('Marks Entry'!BR46="","",'Marks Entry'!BR46)</f>
        <v/>
      </c>
      <c r="FK46" s="528" t="str">
        <f t="shared" si="61"/>
        <v/>
      </c>
      <c r="FL46" s="529" t="str">
        <f t="shared" si="62"/>
        <v/>
      </c>
      <c r="FM46" s="74" t="str">
        <f>IF('Marks Entry'!BS46="","",'Marks Entry'!BS46)</f>
        <v/>
      </c>
      <c r="FN46" s="74" t="str">
        <f>IF('Marks Entry'!BT46="","",'Marks Entry'!BT46)</f>
        <v/>
      </c>
      <c r="FO46" s="528" t="str">
        <f t="shared" si="63"/>
        <v/>
      </c>
      <c r="FP46" s="530" t="str">
        <f t="shared" si="64"/>
        <v/>
      </c>
      <c r="FQ46" s="368" t="str">
        <f t="shared" si="116"/>
        <v/>
      </c>
      <c r="FR46" s="65">
        <f t="shared" si="117"/>
        <v>0</v>
      </c>
      <c r="FS46" s="65">
        <f t="shared" si="118"/>
        <v>0</v>
      </c>
      <c r="FT46" s="66" t="str">
        <f t="shared" si="119"/>
        <v/>
      </c>
      <c r="FU46" s="74" t="str">
        <f>IF('Marks Entry'!BU46="","",'Marks Entry'!BU46)</f>
        <v/>
      </c>
      <c r="FV46" s="74" t="str">
        <f>IF('Marks Entry'!BV46="","",'Marks Entry'!BV46)</f>
        <v/>
      </c>
      <c r="FW46" s="74" t="str">
        <f>IF('Marks Entry'!BW46="","",'Marks Entry'!BW46)</f>
        <v/>
      </c>
      <c r="FX46" s="75" t="str">
        <f t="shared" si="65"/>
        <v/>
      </c>
      <c r="FY46" s="368" t="str">
        <f t="shared" si="120"/>
        <v/>
      </c>
      <c r="FZ46" s="65">
        <f t="shared" si="121"/>
        <v>0</v>
      </c>
      <c r="GA46" s="66">
        <f t="shared" si="122"/>
        <v>0</v>
      </c>
      <c r="GB46" s="66" t="str">
        <f t="shared" si="123"/>
        <v/>
      </c>
      <c r="GC46" s="74" t="str">
        <f>IF('Marks Entry'!BX46="","",'Marks Entry'!BX46)</f>
        <v/>
      </c>
      <c r="GD46" s="74" t="str">
        <f>IF('Marks Entry'!BY46="","",'Marks Entry'!BY46)</f>
        <v/>
      </c>
      <c r="GE46" s="74" t="str">
        <f>IF('Marks Entry'!BZ46="","",'Marks Entry'!BZ46)</f>
        <v/>
      </c>
      <c r="GF46" s="75" t="str">
        <f t="shared" si="124"/>
        <v/>
      </c>
      <c r="GG46" s="368" t="str">
        <f t="shared" si="125"/>
        <v/>
      </c>
      <c r="GH46" s="65">
        <f t="shared" si="126"/>
        <v>0</v>
      </c>
      <c r="GI46" s="66">
        <f t="shared" si="127"/>
        <v>0</v>
      </c>
      <c r="GJ46" s="66" t="str">
        <f t="shared" si="128"/>
        <v/>
      </c>
      <c r="GK46" s="100" t="str">
        <f>IF(AND(F46="",B46=""),"",IF('Student DATA Entry'!M43="","",'Student DATA Entry'!M43))</f>
        <v/>
      </c>
      <c r="GL46" s="101" t="str">
        <f>IF(AND(B46="",F46=""),"",IF('Student DATA Entry'!N43="","",'Student DATA Entry'!N43))</f>
        <v/>
      </c>
      <c r="GM46" s="581" t="str">
        <f t="shared" si="129"/>
        <v/>
      </c>
      <c r="GN46" s="94" t="str">
        <f t="shared" si="130"/>
        <v/>
      </c>
      <c r="GO46" s="94" t="str">
        <f t="shared" si="131"/>
        <v/>
      </c>
      <c r="GP46" s="102" t="str">
        <f t="shared" si="162"/>
        <v/>
      </c>
      <c r="GQ46" s="94" t="str">
        <f t="shared" si="132"/>
        <v/>
      </c>
      <c r="GR46" s="103" t="str">
        <f t="shared" si="133"/>
        <v/>
      </c>
      <c r="GS46" s="102" t="str">
        <f t="shared" si="163"/>
        <v/>
      </c>
      <c r="GT46" s="104" t="str">
        <f t="shared" si="134"/>
        <v/>
      </c>
      <c r="GU46" s="94" t="str">
        <f>IF('Marks Entry'!V46=1,GT46,"")</f>
        <v/>
      </c>
      <c r="GV46" s="94" t="str">
        <f>IF('Marks Entry'!V46=2,GT46,"")</f>
        <v/>
      </c>
      <c r="GW46" s="94" t="str">
        <f>IF('Marks Entry'!V46=3,GT46,"")</f>
        <v/>
      </c>
      <c r="GX46" s="94" t="str">
        <f>IF('Marks Entry'!V46=4,GT46,"")</f>
        <v/>
      </c>
      <c r="GY46" s="94" t="str">
        <f>IF('Marks Entry'!V46=5,GT46,"")</f>
        <v/>
      </c>
      <c r="GZ46" s="94" t="str">
        <f t="shared" si="135"/>
        <v/>
      </c>
      <c r="HA46" s="105" t="str">
        <f t="shared" si="164"/>
        <v/>
      </c>
      <c r="HB46" s="94" t="str">
        <f t="shared" si="136"/>
        <v/>
      </c>
      <c r="HC46" s="94" t="str">
        <f t="shared" si="137"/>
        <v/>
      </c>
      <c r="HD46" s="105" t="str">
        <f t="shared" si="165"/>
        <v/>
      </c>
      <c r="HE46" s="94" t="str">
        <f t="shared" si="138"/>
        <v/>
      </c>
      <c r="HF46" s="94" t="str">
        <f t="shared" si="139"/>
        <v/>
      </c>
      <c r="HG46" s="105" t="str">
        <f t="shared" si="166"/>
        <v/>
      </c>
      <c r="HH46" s="94" t="str">
        <f t="shared" si="140"/>
        <v/>
      </c>
      <c r="HI46" s="94" t="str">
        <f t="shared" si="141"/>
        <v/>
      </c>
      <c r="HJ46" s="105" t="str">
        <f t="shared" si="167"/>
        <v/>
      </c>
      <c r="HK46" s="94" t="str">
        <f t="shared" si="142"/>
        <v/>
      </c>
      <c r="HL46" s="94" t="str">
        <f t="shared" si="143"/>
        <v/>
      </c>
      <c r="HM46" s="105" t="str">
        <f t="shared" si="168"/>
        <v/>
      </c>
      <c r="HN46" s="367" t="str">
        <f t="shared" si="144"/>
        <v xml:space="preserve">      </v>
      </c>
      <c r="HO46" s="418" t="str">
        <f t="shared" si="169"/>
        <v xml:space="preserve">      </v>
      </c>
      <c r="HP46" s="367" t="str">
        <f t="shared" si="146"/>
        <v xml:space="preserve">      </v>
      </c>
      <c r="HQ46" s="107" t="str">
        <f t="shared" si="147"/>
        <v xml:space="preserve">      </v>
      </c>
      <c r="HR46" s="366" t="str">
        <f t="shared" si="148"/>
        <v xml:space="preserve">      </v>
      </c>
      <c r="HS46" s="544" t="str">
        <f t="shared" si="170"/>
        <v/>
      </c>
      <c r="HT46" s="542" t="str">
        <f t="shared" si="149"/>
        <v/>
      </c>
      <c r="HU46" s="541" t="str">
        <f t="shared" si="160"/>
        <v/>
      </c>
      <c r="HV46" s="540" t="str">
        <f t="shared" si="150"/>
        <v/>
      </c>
      <c r="HW46" s="537" t="str">
        <f t="shared" si="151"/>
        <v/>
      </c>
      <c r="HX46" s="539" t="str">
        <f t="shared" si="152"/>
        <v/>
      </c>
      <c r="HY46" s="553" t="str">
        <f>IFERROR(IF(OR(HS46="SUPPLEMENTARY",HS46="RE-EXAM"),'Supp. Result Entry'!AQ44,""),"")</f>
        <v/>
      </c>
      <c r="HZ46" s="538" t="str">
        <f t="shared" si="153"/>
        <v/>
      </c>
      <c r="IA46" s="415" t="str">
        <f t="shared" si="154"/>
        <v/>
      </c>
      <c r="IB46" s="415" t="str">
        <f>IF(AND(HZ46="",IA46=""),"",IF(OR(HS46="SUPPLEMENTARY",HS46="RE-EXAM"),'Supp. Result Entry'!AQ44,HS46))</f>
        <v/>
      </c>
      <c r="IC46" s="87"/>
      <c r="ID46" s="111"/>
      <c r="IS46" s="109" t="str">
        <f>IF('Supp. Result Entry'!T44="","",'Supp. Result Entry'!$T$4)</f>
        <v/>
      </c>
      <c r="IT46" s="110" t="str">
        <f>IF('Supp. Result Entry'!W44="","",'Supp. Result Entry'!$W$4)</f>
        <v/>
      </c>
      <c r="IU46" s="110" t="str">
        <f>IF('Supp. Result Entry'!Z44="","",'Supp. Result Entry'!$Z$4)</f>
        <v/>
      </c>
      <c r="IV46" s="110" t="str">
        <f>IF('Supp. Result Entry'!AC44="","",'Supp. Result Entry'!$AC$4)</f>
        <v/>
      </c>
      <c r="IW46" s="110" t="str">
        <f>IF('Supp. Result Entry'!AF44="","",'Supp. Result Entry'!$AF$4)</f>
        <v/>
      </c>
      <c r="IX46" s="110" t="str">
        <f>IF('Supp. Result Entry'!AI44="","",'Supp. Result Entry'!$AI$4)</f>
        <v/>
      </c>
      <c r="IY46" s="110" t="str">
        <f>IF('Supp. Result Entry'!AI44="","",'Supp. Result Entry'!$AL$4)</f>
        <v/>
      </c>
      <c r="IZ46" s="110" t="str">
        <f>IF('Supp. Result Entry'!U44="","",'Supp. Result Entry'!U44)</f>
        <v/>
      </c>
      <c r="JA46" s="110" t="str">
        <f>IF('Supp. Result Entry'!X44="","",'Supp. Result Entry'!X44)</f>
        <v/>
      </c>
      <c r="JB46" s="110" t="str">
        <f>IF('Supp. Result Entry'!AA44="","",'Supp. Result Entry'!AA44)</f>
        <v/>
      </c>
      <c r="JC46" s="110" t="str">
        <f>IF('Supp. Result Entry'!AD44="","",'Supp. Result Entry'!AD44)</f>
        <v/>
      </c>
      <c r="JD46" s="110" t="str">
        <f>IF('Supp. Result Entry'!AG44="","",'Supp. Result Entry'!AG44)</f>
        <v/>
      </c>
      <c r="JE46" s="110" t="str">
        <f>IF('Supp. Result Entry'!AJ44="","",'Supp. Result Entry'!AJ44)</f>
        <v/>
      </c>
      <c r="JF46" s="110" t="str">
        <f>IF('Supp. Result Entry'!AM44="","",'Supp. Result Entry'!AM44)</f>
        <v/>
      </c>
      <c r="JG46" s="110" t="str">
        <f>IF('Supp. Result Entry'!V44="","",'Supp. Result Entry'!V44)</f>
        <v/>
      </c>
      <c r="JH46" s="110" t="str">
        <f>IF('Supp. Result Entry'!Y44="","",'Supp. Result Entry'!Y44)</f>
        <v/>
      </c>
      <c r="JI46" s="110" t="str">
        <f>IF('Supp. Result Entry'!AB44="","",'Supp. Result Entry'!AB44)</f>
        <v/>
      </c>
      <c r="JJ46" s="110" t="str">
        <f>IF('Supp. Result Entry'!AE44="","",'Supp. Result Entry'!AE44)</f>
        <v/>
      </c>
      <c r="JK46" s="110" t="str">
        <f>IF('Supp. Result Entry'!AH44="","",'Supp. Result Entry'!AH44)</f>
        <v/>
      </c>
      <c r="JL46" s="110" t="str">
        <f>IF('Supp. Result Entry'!AK44="","",'Supp. Result Entry'!AK44)</f>
        <v/>
      </c>
      <c r="JM46" s="110" t="str">
        <f>IF('Supp. Result Entry'!AN44="","",'Supp. Result Entry'!AN44)</f>
        <v/>
      </c>
      <c r="JN46" s="110">
        <f>COUNTIF('Supp. Result Entry'!K44:Q44,"S")</f>
        <v>0</v>
      </c>
      <c r="JO46" s="110">
        <f t="shared" si="155"/>
        <v>0</v>
      </c>
      <c r="JP46" s="110">
        <f t="shared" si="156"/>
        <v>0</v>
      </c>
      <c r="JQ46" s="110" t="str">
        <f t="shared" si="75"/>
        <v/>
      </c>
      <c r="JR46" s="110" t="str">
        <f t="shared" si="76"/>
        <v/>
      </c>
      <c r="JS46" s="110" t="str">
        <f t="shared" si="77"/>
        <v/>
      </c>
      <c r="JT46" s="110" t="str">
        <f t="shared" si="78"/>
        <v/>
      </c>
      <c r="JU46" s="110" t="str">
        <f t="shared" si="79"/>
        <v/>
      </c>
      <c r="JV46" s="110" t="str">
        <f t="shared" si="80"/>
        <v/>
      </c>
      <c r="JW46" s="110" t="str">
        <f t="shared" si="81"/>
        <v/>
      </c>
      <c r="JX46" s="110" t="str">
        <f t="shared" si="157"/>
        <v/>
      </c>
      <c r="JY46" s="110" t="str">
        <f t="shared" si="158"/>
        <v/>
      </c>
      <c r="JZ46" s="110" t="str">
        <f t="shared" si="82"/>
        <v/>
      </c>
      <c r="KA46" s="108" t="str">
        <f t="shared" si="159"/>
        <v/>
      </c>
    </row>
    <row r="47" spans="1:287" s="108" customFormat="1" ht="21.95" customHeight="1">
      <c r="A47" s="89">
        <v>41</v>
      </c>
      <c r="B47" s="90" t="str">
        <f>IF('Marks Entry'!B47="","",'Marks Entry'!B47)</f>
        <v/>
      </c>
      <c r="C47" s="94" t="str">
        <f>IF('Marks Entry'!D47="","",'Marks Entry'!D47)</f>
        <v/>
      </c>
      <c r="D47" s="91" t="str">
        <f>IF('Marks Entry'!E47="","",'Marks Entry'!E47)</f>
        <v/>
      </c>
      <c r="E47" s="92" t="str">
        <f>IF('Marks Entry'!F47="","",'Marks Entry'!F47)</f>
        <v/>
      </c>
      <c r="F47" s="93" t="str">
        <f>IF('Marks Entry'!G47="","",'Marks Entry'!G47)</f>
        <v/>
      </c>
      <c r="G47" s="93" t="str">
        <f>IF('Marks Entry'!H47="","",'Marks Entry'!H47)</f>
        <v/>
      </c>
      <c r="H47" s="93" t="str">
        <f>IF('Marks Entry'!I47="","",'Marks Entry'!I47)</f>
        <v/>
      </c>
      <c r="I47" s="94" t="str">
        <f>IF('Marks Entry'!J47="","",'Marks Entry'!J47)</f>
        <v/>
      </c>
      <c r="J47" s="95" t="str">
        <f>IF('Marks Entry'!K47="","",'Marks Entry'!K47)</f>
        <v/>
      </c>
      <c r="K47" s="68" t="str">
        <f>IF('Marks Entry'!L47="","",'Marks Entry'!L47)</f>
        <v/>
      </c>
      <c r="L47" s="68" t="str">
        <f>IF('Marks Entry'!M47="","",'Marks Entry'!M47)</f>
        <v/>
      </c>
      <c r="M47" s="68" t="str">
        <f>IF('Marks Entry'!N47="","",'Marks Entry'!N47)</f>
        <v/>
      </c>
      <c r="N47" s="514" t="str">
        <f t="shared" si="83"/>
        <v/>
      </c>
      <c r="O47" s="68" t="str">
        <f>IF('Marks Entry'!O47="","",'Marks Entry'!O47)</f>
        <v/>
      </c>
      <c r="P47" s="515" t="str">
        <f t="shared" si="84"/>
        <v/>
      </c>
      <c r="Q47" s="68" t="str">
        <f>IF('Marks Entry'!P47="","",'Marks Entry'!P47)</f>
        <v/>
      </c>
      <c r="R47" s="96" t="str">
        <f t="shared" si="85"/>
        <v/>
      </c>
      <c r="S47" s="65">
        <f t="shared" si="86"/>
        <v>0</v>
      </c>
      <c r="T47" s="65">
        <f t="shared" si="87"/>
        <v>0</v>
      </c>
      <c r="U47" s="66" t="str">
        <f t="shared" si="88"/>
        <v/>
      </c>
      <c r="V47" s="65" t="str">
        <f t="shared" si="89"/>
        <v/>
      </c>
      <c r="W47" s="65" t="str">
        <f t="shared" si="90"/>
        <v/>
      </c>
      <c r="X47" s="65" t="str">
        <f t="shared" si="91"/>
        <v/>
      </c>
      <c r="Y47" s="68" t="str">
        <f>IF('Marks Entry'!Q47="","",'Marks Entry'!Q47)</f>
        <v/>
      </c>
      <c r="Z47" s="68" t="str">
        <f>IF('Marks Entry'!R47="","",'Marks Entry'!R47)</f>
        <v/>
      </c>
      <c r="AA47" s="68" t="str">
        <f>IF('Marks Entry'!S47="","",'Marks Entry'!S47)</f>
        <v/>
      </c>
      <c r="AB47" s="514" t="str">
        <f t="shared" si="2"/>
        <v/>
      </c>
      <c r="AC47" s="68" t="str">
        <f>IF('Marks Entry'!T47="","",'Marks Entry'!T47)</f>
        <v/>
      </c>
      <c r="AD47" s="515" t="str">
        <f t="shared" si="3"/>
        <v/>
      </c>
      <c r="AE47" s="68" t="str">
        <f>IF('Marks Entry'!U47="","",'Marks Entry'!U47)</f>
        <v/>
      </c>
      <c r="AF47" s="96" t="str">
        <f t="shared" si="4"/>
        <v/>
      </c>
      <c r="AG47" s="65">
        <f t="shared" si="5"/>
        <v>0</v>
      </c>
      <c r="AH47" s="65">
        <f t="shared" si="6"/>
        <v>0</v>
      </c>
      <c r="AI47" s="66" t="str">
        <f t="shared" si="7"/>
        <v/>
      </c>
      <c r="AJ47" s="65" t="str">
        <f t="shared" si="8"/>
        <v/>
      </c>
      <c r="AK47" s="65" t="str">
        <f t="shared" si="9"/>
        <v/>
      </c>
      <c r="AL47" s="65" t="str">
        <f t="shared" si="10"/>
        <v/>
      </c>
      <c r="AM47" s="524" t="str">
        <f>IF('Marks Entry'!V47="","",IF('Marks Entry'!V47=1,'School Profile'!$I$9,IF('Marks Entry'!V47=2,'School Profile'!$I$10,IF('Marks Entry'!V47=3,'School Profile'!$I$11,IF('Marks Entry'!V47=4,'School Profile'!$I$12,IF('Marks Entry'!V47=5,'School Profile'!$I$13,IF('Marks Entry'!V47=6,'School Profile'!$I$14,"")))))))</f>
        <v/>
      </c>
      <c r="AN47" s="68" t="str">
        <f>IF('Marks Entry'!W47="","",'Marks Entry'!W47)</f>
        <v/>
      </c>
      <c r="AO47" s="68" t="str">
        <f>IF('Marks Entry'!X47="","",'Marks Entry'!X47)</f>
        <v/>
      </c>
      <c r="AP47" s="68" t="str">
        <f>IF('Marks Entry'!Y47="","",'Marks Entry'!Y47)</f>
        <v/>
      </c>
      <c r="AQ47" s="514" t="str">
        <f t="shared" si="11"/>
        <v/>
      </c>
      <c r="AR47" s="68" t="str">
        <f>IF('Marks Entry'!Z47="","",'Marks Entry'!Z47)</f>
        <v/>
      </c>
      <c r="AS47" s="515" t="str">
        <f t="shared" si="12"/>
        <v/>
      </c>
      <c r="AT47" s="68" t="str">
        <f>IF('Marks Entry'!AA47="","",'Marks Entry'!AA47)</f>
        <v/>
      </c>
      <c r="AU47" s="96" t="str">
        <f t="shared" si="13"/>
        <v/>
      </c>
      <c r="AV47" s="65">
        <f t="shared" si="14"/>
        <v>0</v>
      </c>
      <c r="AW47" s="65">
        <f t="shared" si="15"/>
        <v>0</v>
      </c>
      <c r="AX47" s="66" t="str">
        <f t="shared" si="16"/>
        <v/>
      </c>
      <c r="AY47" s="65" t="str">
        <f t="shared" si="17"/>
        <v/>
      </c>
      <c r="AZ47" s="65" t="str">
        <f t="shared" si="18"/>
        <v/>
      </c>
      <c r="BA47" s="65" t="str">
        <f t="shared" si="19"/>
        <v/>
      </c>
      <c r="BB47" s="68" t="str">
        <f>IF('Marks Entry'!AB47="","",'Marks Entry'!AB47)</f>
        <v/>
      </c>
      <c r="BC47" s="68" t="str">
        <f>IF('Marks Entry'!AC47="","",'Marks Entry'!AC47)</f>
        <v/>
      </c>
      <c r="BD47" s="68" t="str">
        <f>IF('Marks Entry'!AD47="","",'Marks Entry'!AD47)</f>
        <v/>
      </c>
      <c r="BE47" s="514" t="str">
        <f t="shared" si="20"/>
        <v/>
      </c>
      <c r="BF47" s="68" t="str">
        <f>IF('Marks Entry'!AE47="","",'Marks Entry'!AE47)</f>
        <v/>
      </c>
      <c r="BG47" s="515" t="str">
        <f t="shared" si="21"/>
        <v/>
      </c>
      <c r="BH47" s="68" t="str">
        <f>IF('Marks Entry'!AF47="","",'Marks Entry'!AF47)</f>
        <v/>
      </c>
      <c r="BI47" s="96" t="str">
        <f t="shared" si="22"/>
        <v/>
      </c>
      <c r="BJ47" s="65">
        <f t="shared" si="23"/>
        <v>0</v>
      </c>
      <c r="BK47" s="65">
        <f t="shared" si="92"/>
        <v>0</v>
      </c>
      <c r="BL47" s="66" t="str">
        <f t="shared" si="24"/>
        <v/>
      </c>
      <c r="BM47" s="65" t="str">
        <f t="shared" si="25"/>
        <v/>
      </c>
      <c r="BN47" s="65" t="str">
        <f t="shared" si="26"/>
        <v/>
      </c>
      <c r="BO47" s="65" t="str">
        <f t="shared" si="27"/>
        <v/>
      </c>
      <c r="BP47" s="68" t="str">
        <f>IF('Marks Entry'!AG47="","",'Marks Entry'!AG47)</f>
        <v/>
      </c>
      <c r="BQ47" s="68" t="str">
        <f>IF('Marks Entry'!AH47="","",'Marks Entry'!AH47)</f>
        <v/>
      </c>
      <c r="BR47" s="68" t="str">
        <f>IF('Marks Entry'!AI47="","",'Marks Entry'!AI47)</f>
        <v/>
      </c>
      <c r="BS47" s="514" t="str">
        <f t="shared" si="28"/>
        <v/>
      </c>
      <c r="BT47" s="68" t="str">
        <f>IF('Marks Entry'!AJ47="","",'Marks Entry'!AJ47)</f>
        <v/>
      </c>
      <c r="BU47" s="515" t="str">
        <f t="shared" si="29"/>
        <v/>
      </c>
      <c r="BV47" s="68" t="str">
        <f>IF('Marks Entry'!AK47="","",'Marks Entry'!AK47)</f>
        <v/>
      </c>
      <c r="BW47" s="96" t="str">
        <f t="shared" si="30"/>
        <v/>
      </c>
      <c r="BX47" s="65">
        <f t="shared" si="31"/>
        <v>0</v>
      </c>
      <c r="BY47" s="65">
        <f t="shared" si="32"/>
        <v>0</v>
      </c>
      <c r="BZ47" s="66" t="str">
        <f t="shared" si="33"/>
        <v/>
      </c>
      <c r="CA47" s="65" t="str">
        <f t="shared" si="34"/>
        <v/>
      </c>
      <c r="CB47" s="65" t="str">
        <f t="shared" si="35"/>
        <v/>
      </c>
      <c r="CC47" s="65" t="str">
        <f t="shared" si="36"/>
        <v/>
      </c>
      <c r="CD47" s="66">
        <f t="shared" si="161"/>
        <v>0</v>
      </c>
      <c r="CE47" s="68" t="str">
        <f>IF('Marks Entry'!AL47="","",'Marks Entry'!AL47)</f>
        <v/>
      </c>
      <c r="CF47" s="68" t="str">
        <f>IF('Marks Entry'!AM47="","",'Marks Entry'!AM47)</f>
        <v/>
      </c>
      <c r="CG47" s="68" t="str">
        <f>IF('Marks Entry'!AN47="","",'Marks Entry'!AN47)</f>
        <v/>
      </c>
      <c r="CH47" s="514" t="str">
        <f t="shared" si="37"/>
        <v/>
      </c>
      <c r="CI47" s="68" t="str">
        <f>IF('Marks Entry'!AO47="","",'Marks Entry'!AO47)</f>
        <v/>
      </c>
      <c r="CJ47" s="515" t="str">
        <f t="shared" si="38"/>
        <v/>
      </c>
      <c r="CK47" s="68" t="str">
        <f>IF('Marks Entry'!AP47="","",'Marks Entry'!AP47)</f>
        <v/>
      </c>
      <c r="CL47" s="96" t="str">
        <f t="shared" si="39"/>
        <v/>
      </c>
      <c r="CM47" s="65">
        <f t="shared" si="40"/>
        <v>0</v>
      </c>
      <c r="CN47" s="65">
        <f t="shared" si="41"/>
        <v>0</v>
      </c>
      <c r="CO47" s="66" t="str">
        <f t="shared" si="42"/>
        <v/>
      </c>
      <c r="CP47" s="65" t="str">
        <f t="shared" si="43"/>
        <v/>
      </c>
      <c r="CQ47" s="65" t="str">
        <f t="shared" si="44"/>
        <v/>
      </c>
      <c r="CR47" s="65" t="str">
        <f t="shared" si="45"/>
        <v/>
      </c>
      <c r="CS47" s="616"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8" t="str">
        <f>IF('School Profile'!$D$20="NO","",IF('Marks Entry'!AR47="","",'Marks Entry'!AR47))</f>
        <v/>
      </c>
      <c r="CU47" s="68" t="str">
        <f>IF('School Profile'!$D$20="NO","",IF('Marks Entry'!AS47="","",'Marks Entry'!AS47))</f>
        <v/>
      </c>
      <c r="CV47" s="68" t="str">
        <f>IF('School Profile'!$D$20="NO","",IF('Marks Entry'!AT47="","",'Marks Entry'!AT47))</f>
        <v/>
      </c>
      <c r="CW47" s="514" t="str">
        <f>IF('School Profile'!$D$20="NO","",IF(AND(CT47="",CU47="",CV47=""),"",SUM(CT47:CV47)))</f>
        <v/>
      </c>
      <c r="CX47" s="68" t="str">
        <f>IF('School Profile'!$D$20="NO","",IF('Marks Entry'!AU47="","",'Marks Entry'!AU47))</f>
        <v/>
      </c>
      <c r="CY47" s="68" t="str">
        <f>IF('School Profile'!$D$20="NO","",IF('Marks Entry'!AV47="","",'Marks Entry'!AV47))</f>
        <v/>
      </c>
      <c r="CZ47" s="515" t="str">
        <f>IF('School Profile'!$D$20="NO","",IF(AND(CX47="",CY47=""),"",SUM(CX47,CY47)))</f>
        <v/>
      </c>
      <c r="DA47" s="69" t="str">
        <f>IF('School Profile'!$D$20="NO","",IF(AND(CW47="",CZ47=""),"",SUM(CW47+CZ47)))</f>
        <v/>
      </c>
      <c r="DB47" s="68" t="str">
        <f>IF('School Profile'!$D$20="NO","",IF('Marks Entry'!AW47="","",'Marks Entry'!AW47))</f>
        <v/>
      </c>
      <c r="DC47" s="68" t="str">
        <f>IF('School Profile'!$D$20="NO","",IF('Marks Entry'!AX47="","",'Marks Entry'!AX47))</f>
        <v/>
      </c>
      <c r="DD47" s="515" t="str">
        <f>IF('School Profile'!$D$20="NO","",IF(AND(DB47="",DC47=""),"",SUM(DB47,DC47)))</f>
        <v/>
      </c>
      <c r="DE47" s="96" t="str">
        <f>IF('School Profile'!$D$20="NO","",IF(AND(DA47="",DD47=""),"",SUM(DA47,DD47)))</f>
        <v/>
      </c>
      <c r="DF47" s="532">
        <f t="shared" si="46"/>
        <v>0</v>
      </c>
      <c r="DG47" s="65">
        <f t="shared" si="47"/>
        <v>0</v>
      </c>
      <c r="DH47" s="66" t="str">
        <f t="shared" si="48"/>
        <v/>
      </c>
      <c r="DI47" s="65" t="str">
        <f t="shared" si="49"/>
        <v/>
      </c>
      <c r="DJ47" s="65" t="str">
        <f t="shared" si="50"/>
        <v/>
      </c>
      <c r="DK47" s="65" t="str">
        <f t="shared" si="51"/>
        <v/>
      </c>
      <c r="DL47" s="97" t="str">
        <f t="shared" si="94"/>
        <v/>
      </c>
      <c r="DM47" s="97" t="str">
        <f t="shared" si="95"/>
        <v/>
      </c>
      <c r="DN47" s="97" t="str">
        <f t="shared" si="96"/>
        <v/>
      </c>
      <c r="DO47" s="97" t="str">
        <f t="shared" si="97"/>
        <v/>
      </c>
      <c r="DP47" s="97" t="str">
        <f t="shared" si="98"/>
        <v/>
      </c>
      <c r="DQ47" s="97" t="str">
        <f t="shared" si="99"/>
        <v/>
      </c>
      <c r="DR47" s="97" t="str">
        <f t="shared" si="100"/>
        <v/>
      </c>
      <c r="DS47" s="98">
        <f t="shared" si="101"/>
        <v>0</v>
      </c>
      <c r="DT47" s="98">
        <f t="shared" si="102"/>
        <v>0</v>
      </c>
      <c r="DU47" s="98">
        <f t="shared" si="103"/>
        <v>0</v>
      </c>
      <c r="DV47" s="98">
        <f t="shared" si="104"/>
        <v>0</v>
      </c>
      <c r="DW47" s="98">
        <f t="shared" si="105"/>
        <v>0</v>
      </c>
      <c r="DX47" s="98" t="str">
        <f t="shared" si="106"/>
        <v/>
      </c>
      <c r="DY47" s="99" t="str">
        <f t="shared" si="107"/>
        <v/>
      </c>
      <c r="DZ47" s="74" t="str">
        <f>IF('Marks Entry'!AY47="","",'Marks Entry'!AY47)</f>
        <v/>
      </c>
      <c r="EA47" s="74" t="str">
        <f>IF('Marks Entry'!AZ47="","",'Marks Entry'!AZ47)</f>
        <v/>
      </c>
      <c r="EB47" s="74" t="str">
        <f>IF('Marks Entry'!BA47="","",'Marks Entry'!BA47)</f>
        <v/>
      </c>
      <c r="EC47" s="527" t="str">
        <f t="shared" si="52"/>
        <v/>
      </c>
      <c r="ED47" s="74" t="str">
        <f>IF('Marks Entry'!BB47="","",'Marks Entry'!BB47)</f>
        <v/>
      </c>
      <c r="EE47" s="528" t="str">
        <f t="shared" si="53"/>
        <v/>
      </c>
      <c r="EF47" s="74" t="str">
        <f>IF('Marks Entry'!BC47="","",'Marks Entry'!BC47)</f>
        <v/>
      </c>
      <c r="EG47" s="530" t="str">
        <f t="shared" si="54"/>
        <v/>
      </c>
      <c r="EH47" s="368" t="str">
        <f t="shared" si="108"/>
        <v/>
      </c>
      <c r="EI47" s="65">
        <f t="shared" si="109"/>
        <v>0</v>
      </c>
      <c r="EJ47" s="65">
        <f t="shared" si="110"/>
        <v>0</v>
      </c>
      <c r="EK47" s="66" t="str">
        <f t="shared" si="111"/>
        <v/>
      </c>
      <c r="EL47" s="74" t="str">
        <f>IF('Marks Entry'!BD47="","",'Marks Entry'!BD47)</f>
        <v/>
      </c>
      <c r="EM47" s="74" t="str">
        <f>IF('Marks Entry'!BE47="","",'Marks Entry'!BE47)</f>
        <v/>
      </c>
      <c r="EN47" s="74" t="str">
        <f>IF('Marks Entry'!BF47="","",'Marks Entry'!BF47)</f>
        <v/>
      </c>
      <c r="EO47" s="527" t="str">
        <f t="shared" si="55"/>
        <v/>
      </c>
      <c r="EP47" s="74" t="str">
        <f>IF('Marks Entry'!BG47="","",'Marks Entry'!BG47)</f>
        <v/>
      </c>
      <c r="EQ47" s="74" t="str">
        <f>IF('Marks Entry'!BH47="","",'Marks Entry'!BH47)</f>
        <v/>
      </c>
      <c r="ER47" s="528" t="str">
        <f t="shared" si="56"/>
        <v/>
      </c>
      <c r="ES47" s="529" t="str">
        <f t="shared" si="57"/>
        <v/>
      </c>
      <c r="ET47" s="74" t="str">
        <f>IF('Marks Entry'!BI47="","",'Marks Entry'!BI47)</f>
        <v/>
      </c>
      <c r="EU47" s="74" t="str">
        <f>IF('Marks Entry'!BJ47="","",'Marks Entry'!BJ47)</f>
        <v/>
      </c>
      <c r="EV47" s="528" t="str">
        <f t="shared" si="58"/>
        <v/>
      </c>
      <c r="EW47" s="530" t="str">
        <f t="shared" si="59"/>
        <v/>
      </c>
      <c r="EX47" s="368" t="str">
        <f t="shared" si="112"/>
        <v/>
      </c>
      <c r="EY47" s="65">
        <f t="shared" si="113"/>
        <v>0</v>
      </c>
      <c r="EZ47" s="65">
        <f t="shared" si="114"/>
        <v>0</v>
      </c>
      <c r="FA47" s="66" t="str">
        <f t="shared" si="115"/>
        <v/>
      </c>
      <c r="FB47" s="74" t="str">
        <f>IF('Marks Entry'!BK47="","",'Marks Entry'!BK47)</f>
        <v/>
      </c>
      <c r="FC47" s="74" t="str">
        <f>IF('Marks Entry'!BL47="","",'Marks Entry'!BL47)</f>
        <v/>
      </c>
      <c r="FD47" s="74" t="str">
        <f>IF('Marks Entry'!BM47="","",'Marks Entry'!BM47)</f>
        <v/>
      </c>
      <c r="FE47" s="74" t="str">
        <f>IF('Marks Entry'!BN47="","",'Marks Entry'!BN47)</f>
        <v/>
      </c>
      <c r="FF47" s="74" t="str">
        <f>IF('Marks Entry'!BO47="","",'Marks Entry'!BO47)</f>
        <v/>
      </c>
      <c r="FG47" s="74" t="str">
        <f>IF('Marks Entry'!BP47="","",'Marks Entry'!BP47)</f>
        <v/>
      </c>
      <c r="FH47" s="527" t="str">
        <f t="shared" si="60"/>
        <v/>
      </c>
      <c r="FI47" s="74" t="str">
        <f>IF('Marks Entry'!BQ47="","",'Marks Entry'!BQ47)</f>
        <v/>
      </c>
      <c r="FJ47" s="74" t="str">
        <f>IF('Marks Entry'!BR47="","",'Marks Entry'!BR47)</f>
        <v/>
      </c>
      <c r="FK47" s="528" t="str">
        <f t="shared" si="61"/>
        <v/>
      </c>
      <c r="FL47" s="529" t="str">
        <f t="shared" si="62"/>
        <v/>
      </c>
      <c r="FM47" s="74" t="str">
        <f>IF('Marks Entry'!BS47="","",'Marks Entry'!BS47)</f>
        <v/>
      </c>
      <c r="FN47" s="74" t="str">
        <f>IF('Marks Entry'!BT47="","",'Marks Entry'!BT47)</f>
        <v/>
      </c>
      <c r="FO47" s="528" t="str">
        <f t="shared" si="63"/>
        <v/>
      </c>
      <c r="FP47" s="530" t="str">
        <f t="shared" si="64"/>
        <v/>
      </c>
      <c r="FQ47" s="368" t="str">
        <f t="shared" si="116"/>
        <v/>
      </c>
      <c r="FR47" s="65">
        <f t="shared" si="117"/>
        <v>0</v>
      </c>
      <c r="FS47" s="65">
        <f t="shared" si="118"/>
        <v>0</v>
      </c>
      <c r="FT47" s="66" t="str">
        <f t="shared" si="119"/>
        <v/>
      </c>
      <c r="FU47" s="74" t="str">
        <f>IF('Marks Entry'!BU47="","",'Marks Entry'!BU47)</f>
        <v/>
      </c>
      <c r="FV47" s="74" t="str">
        <f>IF('Marks Entry'!BV47="","",'Marks Entry'!BV47)</f>
        <v/>
      </c>
      <c r="FW47" s="74" t="str">
        <f>IF('Marks Entry'!BW47="","",'Marks Entry'!BW47)</f>
        <v/>
      </c>
      <c r="FX47" s="75" t="str">
        <f t="shared" si="65"/>
        <v/>
      </c>
      <c r="FY47" s="368" t="str">
        <f t="shared" si="120"/>
        <v/>
      </c>
      <c r="FZ47" s="65">
        <f t="shared" si="121"/>
        <v>0</v>
      </c>
      <c r="GA47" s="66">
        <f t="shared" si="122"/>
        <v>0</v>
      </c>
      <c r="GB47" s="66" t="str">
        <f t="shared" si="123"/>
        <v/>
      </c>
      <c r="GC47" s="74" t="str">
        <f>IF('Marks Entry'!BX47="","",'Marks Entry'!BX47)</f>
        <v/>
      </c>
      <c r="GD47" s="74" t="str">
        <f>IF('Marks Entry'!BY47="","",'Marks Entry'!BY47)</f>
        <v/>
      </c>
      <c r="GE47" s="74" t="str">
        <f>IF('Marks Entry'!BZ47="","",'Marks Entry'!BZ47)</f>
        <v/>
      </c>
      <c r="GF47" s="75" t="str">
        <f t="shared" si="124"/>
        <v/>
      </c>
      <c r="GG47" s="368" t="str">
        <f t="shared" si="125"/>
        <v/>
      </c>
      <c r="GH47" s="65">
        <f t="shared" si="126"/>
        <v>0</v>
      </c>
      <c r="GI47" s="66">
        <f t="shared" si="127"/>
        <v>0</v>
      </c>
      <c r="GJ47" s="66" t="str">
        <f t="shared" si="128"/>
        <v/>
      </c>
      <c r="GK47" s="100" t="str">
        <f>IF(AND(F47="",B47=""),"",IF('Student DATA Entry'!M44="","",'Student DATA Entry'!M44))</f>
        <v/>
      </c>
      <c r="GL47" s="101" t="str">
        <f>IF(AND(B47="",F47=""),"",IF('Student DATA Entry'!N44="","",'Student DATA Entry'!N44))</f>
        <v/>
      </c>
      <c r="GM47" s="581" t="str">
        <f t="shared" si="129"/>
        <v/>
      </c>
      <c r="GN47" s="94" t="str">
        <f t="shared" si="130"/>
        <v/>
      </c>
      <c r="GO47" s="94" t="str">
        <f t="shared" si="131"/>
        <v/>
      </c>
      <c r="GP47" s="102" t="str">
        <f t="shared" si="162"/>
        <v/>
      </c>
      <c r="GQ47" s="94" t="str">
        <f t="shared" si="132"/>
        <v/>
      </c>
      <c r="GR47" s="103" t="str">
        <f t="shared" si="133"/>
        <v/>
      </c>
      <c r="GS47" s="102" t="str">
        <f t="shared" si="163"/>
        <v/>
      </c>
      <c r="GT47" s="104" t="str">
        <f t="shared" si="134"/>
        <v/>
      </c>
      <c r="GU47" s="94" t="str">
        <f>IF('Marks Entry'!V47=1,GT47,"")</f>
        <v/>
      </c>
      <c r="GV47" s="94" t="str">
        <f>IF('Marks Entry'!V47=2,GT47,"")</f>
        <v/>
      </c>
      <c r="GW47" s="94" t="str">
        <f>IF('Marks Entry'!V47=3,GT47,"")</f>
        <v/>
      </c>
      <c r="GX47" s="94" t="str">
        <f>IF('Marks Entry'!V47=4,GT47,"")</f>
        <v/>
      </c>
      <c r="GY47" s="94" t="str">
        <f>IF('Marks Entry'!V47=5,GT47,"")</f>
        <v/>
      </c>
      <c r="GZ47" s="94" t="str">
        <f t="shared" si="135"/>
        <v/>
      </c>
      <c r="HA47" s="105" t="str">
        <f t="shared" si="164"/>
        <v/>
      </c>
      <c r="HB47" s="94" t="str">
        <f t="shared" si="136"/>
        <v/>
      </c>
      <c r="HC47" s="94" t="str">
        <f t="shared" si="137"/>
        <v/>
      </c>
      <c r="HD47" s="105" t="str">
        <f t="shared" si="165"/>
        <v/>
      </c>
      <c r="HE47" s="94" t="str">
        <f t="shared" si="138"/>
        <v/>
      </c>
      <c r="HF47" s="94" t="str">
        <f t="shared" si="139"/>
        <v/>
      </c>
      <c r="HG47" s="105" t="str">
        <f t="shared" si="166"/>
        <v/>
      </c>
      <c r="HH47" s="94" t="str">
        <f t="shared" si="140"/>
        <v/>
      </c>
      <c r="HI47" s="94" t="str">
        <f t="shared" si="141"/>
        <v/>
      </c>
      <c r="HJ47" s="105" t="str">
        <f t="shared" si="167"/>
        <v/>
      </c>
      <c r="HK47" s="94" t="str">
        <f t="shared" si="142"/>
        <v/>
      </c>
      <c r="HL47" s="94" t="str">
        <f t="shared" si="143"/>
        <v/>
      </c>
      <c r="HM47" s="105" t="str">
        <f t="shared" si="168"/>
        <v/>
      </c>
      <c r="HN47" s="367" t="str">
        <f t="shared" si="144"/>
        <v xml:space="preserve">      </v>
      </c>
      <c r="HO47" s="418" t="str">
        <f t="shared" si="169"/>
        <v xml:space="preserve">      </v>
      </c>
      <c r="HP47" s="367" t="str">
        <f t="shared" si="146"/>
        <v xml:space="preserve">      </v>
      </c>
      <c r="HQ47" s="107" t="str">
        <f t="shared" si="147"/>
        <v xml:space="preserve">      </v>
      </c>
      <c r="HR47" s="366" t="str">
        <f t="shared" si="148"/>
        <v xml:space="preserve">      </v>
      </c>
      <c r="HS47" s="544" t="str">
        <f t="shared" si="170"/>
        <v/>
      </c>
      <c r="HT47" s="542" t="str">
        <f t="shared" si="149"/>
        <v/>
      </c>
      <c r="HU47" s="541" t="str">
        <f t="shared" si="160"/>
        <v/>
      </c>
      <c r="HV47" s="540" t="str">
        <f t="shared" si="150"/>
        <v/>
      </c>
      <c r="HW47" s="537" t="str">
        <f t="shared" si="151"/>
        <v/>
      </c>
      <c r="HX47" s="539" t="str">
        <f t="shared" si="152"/>
        <v/>
      </c>
      <c r="HY47" s="553" t="str">
        <f>IFERROR(IF(OR(HS47="SUPPLEMENTARY",HS47="RE-EXAM"),'Supp. Result Entry'!AQ45,""),"")</f>
        <v/>
      </c>
      <c r="HZ47" s="538" t="str">
        <f t="shared" si="153"/>
        <v/>
      </c>
      <c r="IA47" s="415" t="str">
        <f t="shared" si="154"/>
        <v/>
      </c>
      <c r="IB47" s="415" t="str">
        <f>IF(AND(HZ47="",IA47=""),"",IF(OR(HS47="SUPPLEMENTARY",HS47="RE-EXAM"),'Supp. Result Entry'!AQ45,HS47))</f>
        <v/>
      </c>
      <c r="IC47" s="87"/>
      <c r="ID47" s="111"/>
      <c r="IS47" s="109" t="str">
        <f>IF('Supp. Result Entry'!T45="","",'Supp. Result Entry'!$T$4)</f>
        <v/>
      </c>
      <c r="IT47" s="110" t="str">
        <f>IF('Supp. Result Entry'!W45="","",'Supp. Result Entry'!$W$4)</f>
        <v/>
      </c>
      <c r="IU47" s="110" t="str">
        <f>IF('Supp. Result Entry'!Z45="","",'Supp. Result Entry'!$Z$4)</f>
        <v/>
      </c>
      <c r="IV47" s="110" t="str">
        <f>IF('Supp. Result Entry'!AC45="","",'Supp. Result Entry'!$AC$4)</f>
        <v/>
      </c>
      <c r="IW47" s="110" t="str">
        <f>IF('Supp. Result Entry'!AF45="","",'Supp. Result Entry'!$AF$4)</f>
        <v/>
      </c>
      <c r="IX47" s="110" t="str">
        <f>IF('Supp. Result Entry'!AI45="","",'Supp. Result Entry'!$AI$4)</f>
        <v/>
      </c>
      <c r="IY47" s="110" t="str">
        <f>IF('Supp. Result Entry'!AI45="","",'Supp. Result Entry'!$AL$4)</f>
        <v/>
      </c>
      <c r="IZ47" s="110" t="str">
        <f>IF('Supp. Result Entry'!U45="","",'Supp. Result Entry'!U45)</f>
        <v/>
      </c>
      <c r="JA47" s="110" t="str">
        <f>IF('Supp. Result Entry'!X45="","",'Supp. Result Entry'!X45)</f>
        <v/>
      </c>
      <c r="JB47" s="110" t="str">
        <f>IF('Supp. Result Entry'!AA45="","",'Supp. Result Entry'!AA45)</f>
        <v/>
      </c>
      <c r="JC47" s="110" t="str">
        <f>IF('Supp. Result Entry'!AD45="","",'Supp. Result Entry'!AD45)</f>
        <v/>
      </c>
      <c r="JD47" s="110" t="str">
        <f>IF('Supp. Result Entry'!AG45="","",'Supp. Result Entry'!AG45)</f>
        <v/>
      </c>
      <c r="JE47" s="110" t="str">
        <f>IF('Supp. Result Entry'!AJ45="","",'Supp. Result Entry'!AJ45)</f>
        <v/>
      </c>
      <c r="JF47" s="110" t="str">
        <f>IF('Supp. Result Entry'!AM45="","",'Supp. Result Entry'!AM45)</f>
        <v/>
      </c>
      <c r="JG47" s="110" t="str">
        <f>IF('Supp. Result Entry'!V45="","",'Supp. Result Entry'!V45)</f>
        <v/>
      </c>
      <c r="JH47" s="110" t="str">
        <f>IF('Supp. Result Entry'!Y45="","",'Supp. Result Entry'!Y45)</f>
        <v/>
      </c>
      <c r="JI47" s="110" t="str">
        <f>IF('Supp. Result Entry'!AB45="","",'Supp. Result Entry'!AB45)</f>
        <v/>
      </c>
      <c r="JJ47" s="110" t="str">
        <f>IF('Supp. Result Entry'!AE45="","",'Supp. Result Entry'!AE45)</f>
        <v/>
      </c>
      <c r="JK47" s="110" t="str">
        <f>IF('Supp. Result Entry'!AH45="","",'Supp. Result Entry'!AH45)</f>
        <v/>
      </c>
      <c r="JL47" s="110" t="str">
        <f>IF('Supp. Result Entry'!AK45="","",'Supp. Result Entry'!AK45)</f>
        <v/>
      </c>
      <c r="JM47" s="110" t="str">
        <f>IF('Supp. Result Entry'!AN45="","",'Supp. Result Entry'!AN45)</f>
        <v/>
      </c>
      <c r="JN47" s="110">
        <f>COUNTIF('Supp. Result Entry'!K45:Q45,"S")</f>
        <v>0</v>
      </c>
      <c r="JO47" s="110">
        <f t="shared" si="155"/>
        <v>0</v>
      </c>
      <c r="JP47" s="110">
        <f t="shared" si="156"/>
        <v>0</v>
      </c>
      <c r="JQ47" s="110" t="str">
        <f t="shared" si="75"/>
        <v/>
      </c>
      <c r="JR47" s="110" t="str">
        <f t="shared" si="76"/>
        <v/>
      </c>
      <c r="JS47" s="110" t="str">
        <f t="shared" si="77"/>
        <v/>
      </c>
      <c r="JT47" s="110" t="str">
        <f t="shared" si="78"/>
        <v/>
      </c>
      <c r="JU47" s="110" t="str">
        <f t="shared" si="79"/>
        <v/>
      </c>
      <c r="JV47" s="110" t="str">
        <f t="shared" si="80"/>
        <v/>
      </c>
      <c r="JW47" s="110" t="str">
        <f t="shared" si="81"/>
        <v/>
      </c>
      <c r="JX47" s="110" t="str">
        <f t="shared" si="157"/>
        <v/>
      </c>
      <c r="JY47" s="110" t="str">
        <f t="shared" si="158"/>
        <v/>
      </c>
      <c r="JZ47" s="110" t="str">
        <f t="shared" si="82"/>
        <v/>
      </c>
      <c r="KA47" s="108" t="str">
        <f t="shared" si="159"/>
        <v/>
      </c>
    </row>
    <row r="48" spans="1:287" s="108" customFormat="1" ht="21.95" customHeight="1">
      <c r="A48" s="89">
        <v>42</v>
      </c>
      <c r="B48" s="90" t="str">
        <f>IF('Marks Entry'!B48="","",'Marks Entry'!B48)</f>
        <v/>
      </c>
      <c r="C48" s="94" t="str">
        <f>IF('Marks Entry'!D48="","",'Marks Entry'!D48)</f>
        <v/>
      </c>
      <c r="D48" s="91" t="str">
        <f>IF('Marks Entry'!E48="","",'Marks Entry'!E48)</f>
        <v/>
      </c>
      <c r="E48" s="92" t="str">
        <f>IF('Marks Entry'!F48="","",'Marks Entry'!F48)</f>
        <v/>
      </c>
      <c r="F48" s="93" t="str">
        <f>IF('Marks Entry'!G48="","",'Marks Entry'!G48)</f>
        <v/>
      </c>
      <c r="G48" s="93" t="str">
        <f>IF('Marks Entry'!H48="","",'Marks Entry'!H48)</f>
        <v/>
      </c>
      <c r="H48" s="93" t="str">
        <f>IF('Marks Entry'!I48="","",'Marks Entry'!I48)</f>
        <v/>
      </c>
      <c r="I48" s="94" t="str">
        <f>IF('Marks Entry'!J48="","",'Marks Entry'!J48)</f>
        <v/>
      </c>
      <c r="J48" s="95" t="str">
        <f>IF('Marks Entry'!K48="","",'Marks Entry'!K48)</f>
        <v/>
      </c>
      <c r="K48" s="68" t="str">
        <f>IF('Marks Entry'!L48="","",'Marks Entry'!L48)</f>
        <v/>
      </c>
      <c r="L48" s="68" t="str">
        <f>IF('Marks Entry'!M48="","",'Marks Entry'!M48)</f>
        <v/>
      </c>
      <c r="M48" s="68" t="str">
        <f>IF('Marks Entry'!N48="","",'Marks Entry'!N48)</f>
        <v/>
      </c>
      <c r="N48" s="514" t="str">
        <f t="shared" si="83"/>
        <v/>
      </c>
      <c r="O48" s="68" t="str">
        <f>IF('Marks Entry'!O48="","",'Marks Entry'!O48)</f>
        <v/>
      </c>
      <c r="P48" s="515" t="str">
        <f t="shared" si="84"/>
        <v/>
      </c>
      <c r="Q48" s="68" t="str">
        <f>IF('Marks Entry'!P48="","",'Marks Entry'!P48)</f>
        <v/>
      </c>
      <c r="R48" s="96" t="str">
        <f t="shared" si="85"/>
        <v/>
      </c>
      <c r="S48" s="65">
        <f t="shared" si="86"/>
        <v>0</v>
      </c>
      <c r="T48" s="65">
        <f t="shared" si="87"/>
        <v>0</v>
      </c>
      <c r="U48" s="66" t="str">
        <f t="shared" si="88"/>
        <v/>
      </c>
      <c r="V48" s="65" t="str">
        <f t="shared" si="89"/>
        <v/>
      </c>
      <c r="W48" s="65" t="str">
        <f t="shared" si="90"/>
        <v/>
      </c>
      <c r="X48" s="65" t="str">
        <f t="shared" si="91"/>
        <v/>
      </c>
      <c r="Y48" s="68" t="str">
        <f>IF('Marks Entry'!Q48="","",'Marks Entry'!Q48)</f>
        <v/>
      </c>
      <c r="Z48" s="68" t="str">
        <f>IF('Marks Entry'!R48="","",'Marks Entry'!R48)</f>
        <v/>
      </c>
      <c r="AA48" s="68" t="str">
        <f>IF('Marks Entry'!S48="","",'Marks Entry'!S48)</f>
        <v/>
      </c>
      <c r="AB48" s="514" t="str">
        <f t="shared" si="2"/>
        <v/>
      </c>
      <c r="AC48" s="68" t="str">
        <f>IF('Marks Entry'!T48="","",'Marks Entry'!T48)</f>
        <v/>
      </c>
      <c r="AD48" s="515" t="str">
        <f t="shared" si="3"/>
        <v/>
      </c>
      <c r="AE48" s="68" t="str">
        <f>IF('Marks Entry'!U48="","",'Marks Entry'!U48)</f>
        <v/>
      </c>
      <c r="AF48" s="96" t="str">
        <f t="shared" si="4"/>
        <v/>
      </c>
      <c r="AG48" s="65">
        <f t="shared" si="5"/>
        <v>0</v>
      </c>
      <c r="AH48" s="65">
        <f t="shared" si="6"/>
        <v>0</v>
      </c>
      <c r="AI48" s="66" t="str">
        <f t="shared" si="7"/>
        <v/>
      </c>
      <c r="AJ48" s="65" t="str">
        <f t="shared" si="8"/>
        <v/>
      </c>
      <c r="AK48" s="65" t="str">
        <f t="shared" si="9"/>
        <v/>
      </c>
      <c r="AL48" s="65" t="str">
        <f t="shared" si="10"/>
        <v/>
      </c>
      <c r="AM48" s="524" t="str">
        <f>IF('Marks Entry'!V48="","",IF('Marks Entry'!V48=1,'School Profile'!$I$9,IF('Marks Entry'!V48=2,'School Profile'!$I$10,IF('Marks Entry'!V48=3,'School Profile'!$I$11,IF('Marks Entry'!V48=4,'School Profile'!$I$12,IF('Marks Entry'!V48=5,'School Profile'!$I$13,IF('Marks Entry'!V48=6,'School Profile'!$I$14,"")))))))</f>
        <v/>
      </c>
      <c r="AN48" s="68" t="str">
        <f>IF('Marks Entry'!W48="","",'Marks Entry'!W48)</f>
        <v/>
      </c>
      <c r="AO48" s="68" t="str">
        <f>IF('Marks Entry'!X48="","",'Marks Entry'!X48)</f>
        <v/>
      </c>
      <c r="AP48" s="68" t="str">
        <f>IF('Marks Entry'!Y48="","",'Marks Entry'!Y48)</f>
        <v/>
      </c>
      <c r="AQ48" s="514" t="str">
        <f t="shared" si="11"/>
        <v/>
      </c>
      <c r="AR48" s="68" t="str">
        <f>IF('Marks Entry'!Z48="","",'Marks Entry'!Z48)</f>
        <v/>
      </c>
      <c r="AS48" s="515" t="str">
        <f t="shared" si="12"/>
        <v/>
      </c>
      <c r="AT48" s="68" t="str">
        <f>IF('Marks Entry'!AA48="","",'Marks Entry'!AA48)</f>
        <v/>
      </c>
      <c r="AU48" s="96" t="str">
        <f t="shared" si="13"/>
        <v/>
      </c>
      <c r="AV48" s="65">
        <f t="shared" si="14"/>
        <v>0</v>
      </c>
      <c r="AW48" s="65">
        <f t="shared" si="15"/>
        <v>0</v>
      </c>
      <c r="AX48" s="66" t="str">
        <f t="shared" si="16"/>
        <v/>
      </c>
      <c r="AY48" s="65" t="str">
        <f t="shared" si="17"/>
        <v/>
      </c>
      <c r="AZ48" s="65" t="str">
        <f t="shared" si="18"/>
        <v/>
      </c>
      <c r="BA48" s="65" t="str">
        <f t="shared" si="19"/>
        <v/>
      </c>
      <c r="BB48" s="68" t="str">
        <f>IF('Marks Entry'!AB48="","",'Marks Entry'!AB48)</f>
        <v/>
      </c>
      <c r="BC48" s="68" t="str">
        <f>IF('Marks Entry'!AC48="","",'Marks Entry'!AC48)</f>
        <v/>
      </c>
      <c r="BD48" s="68" t="str">
        <f>IF('Marks Entry'!AD48="","",'Marks Entry'!AD48)</f>
        <v/>
      </c>
      <c r="BE48" s="514" t="str">
        <f t="shared" si="20"/>
        <v/>
      </c>
      <c r="BF48" s="68" t="str">
        <f>IF('Marks Entry'!AE48="","",'Marks Entry'!AE48)</f>
        <v/>
      </c>
      <c r="BG48" s="515" t="str">
        <f t="shared" si="21"/>
        <v/>
      </c>
      <c r="BH48" s="68" t="str">
        <f>IF('Marks Entry'!AF48="","",'Marks Entry'!AF48)</f>
        <v/>
      </c>
      <c r="BI48" s="96" t="str">
        <f t="shared" si="22"/>
        <v/>
      </c>
      <c r="BJ48" s="65">
        <f t="shared" si="23"/>
        <v>0</v>
      </c>
      <c r="BK48" s="65">
        <f t="shared" si="92"/>
        <v>0</v>
      </c>
      <c r="BL48" s="66" t="str">
        <f t="shared" si="24"/>
        <v/>
      </c>
      <c r="BM48" s="65" t="str">
        <f t="shared" si="25"/>
        <v/>
      </c>
      <c r="BN48" s="65" t="str">
        <f t="shared" si="26"/>
        <v/>
      </c>
      <c r="BO48" s="65" t="str">
        <f t="shared" si="27"/>
        <v/>
      </c>
      <c r="BP48" s="68" t="str">
        <f>IF('Marks Entry'!AG48="","",'Marks Entry'!AG48)</f>
        <v/>
      </c>
      <c r="BQ48" s="68" t="str">
        <f>IF('Marks Entry'!AH48="","",'Marks Entry'!AH48)</f>
        <v/>
      </c>
      <c r="BR48" s="68" t="str">
        <f>IF('Marks Entry'!AI48="","",'Marks Entry'!AI48)</f>
        <v/>
      </c>
      <c r="BS48" s="514" t="str">
        <f t="shared" si="28"/>
        <v/>
      </c>
      <c r="BT48" s="68" t="str">
        <f>IF('Marks Entry'!AJ48="","",'Marks Entry'!AJ48)</f>
        <v/>
      </c>
      <c r="BU48" s="515" t="str">
        <f t="shared" si="29"/>
        <v/>
      </c>
      <c r="BV48" s="68" t="str">
        <f>IF('Marks Entry'!AK48="","",'Marks Entry'!AK48)</f>
        <v/>
      </c>
      <c r="BW48" s="96" t="str">
        <f t="shared" si="30"/>
        <v/>
      </c>
      <c r="BX48" s="65">
        <f t="shared" si="31"/>
        <v>0</v>
      </c>
      <c r="BY48" s="65">
        <f t="shared" si="32"/>
        <v>0</v>
      </c>
      <c r="BZ48" s="66" t="str">
        <f t="shared" si="33"/>
        <v/>
      </c>
      <c r="CA48" s="65" t="str">
        <f t="shared" si="34"/>
        <v/>
      </c>
      <c r="CB48" s="65" t="str">
        <f t="shared" si="35"/>
        <v/>
      </c>
      <c r="CC48" s="65" t="str">
        <f t="shared" si="36"/>
        <v/>
      </c>
      <c r="CD48" s="66">
        <f t="shared" si="161"/>
        <v>0</v>
      </c>
      <c r="CE48" s="68" t="str">
        <f>IF('Marks Entry'!AL48="","",'Marks Entry'!AL48)</f>
        <v/>
      </c>
      <c r="CF48" s="68" t="str">
        <f>IF('Marks Entry'!AM48="","",'Marks Entry'!AM48)</f>
        <v/>
      </c>
      <c r="CG48" s="68" t="str">
        <f>IF('Marks Entry'!AN48="","",'Marks Entry'!AN48)</f>
        <v/>
      </c>
      <c r="CH48" s="514" t="str">
        <f t="shared" si="37"/>
        <v/>
      </c>
      <c r="CI48" s="68" t="str">
        <f>IF('Marks Entry'!AO48="","",'Marks Entry'!AO48)</f>
        <v/>
      </c>
      <c r="CJ48" s="515" t="str">
        <f t="shared" si="38"/>
        <v/>
      </c>
      <c r="CK48" s="68" t="str">
        <f>IF('Marks Entry'!AP48="","",'Marks Entry'!AP48)</f>
        <v/>
      </c>
      <c r="CL48" s="96" t="str">
        <f t="shared" si="39"/>
        <v/>
      </c>
      <c r="CM48" s="65">
        <f t="shared" si="40"/>
        <v>0</v>
      </c>
      <c r="CN48" s="65">
        <f t="shared" si="41"/>
        <v>0</v>
      </c>
      <c r="CO48" s="66" t="str">
        <f t="shared" si="42"/>
        <v/>
      </c>
      <c r="CP48" s="65" t="str">
        <f t="shared" si="43"/>
        <v/>
      </c>
      <c r="CQ48" s="65" t="str">
        <f t="shared" si="44"/>
        <v/>
      </c>
      <c r="CR48" s="65" t="str">
        <f t="shared" si="45"/>
        <v/>
      </c>
      <c r="CS48" s="616"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8" t="str">
        <f>IF('School Profile'!$D$20="NO","",IF('Marks Entry'!AR48="","",'Marks Entry'!AR48))</f>
        <v/>
      </c>
      <c r="CU48" s="68" t="str">
        <f>IF('School Profile'!$D$20="NO","",IF('Marks Entry'!AS48="","",'Marks Entry'!AS48))</f>
        <v/>
      </c>
      <c r="CV48" s="68" t="str">
        <f>IF('School Profile'!$D$20="NO","",IF('Marks Entry'!AT48="","",'Marks Entry'!AT48))</f>
        <v/>
      </c>
      <c r="CW48" s="514" t="str">
        <f>IF('School Profile'!$D$20="NO","",IF(AND(CT48="",CU48="",CV48=""),"",SUM(CT48:CV48)))</f>
        <v/>
      </c>
      <c r="CX48" s="68" t="str">
        <f>IF('School Profile'!$D$20="NO","",IF('Marks Entry'!AU48="","",'Marks Entry'!AU48))</f>
        <v/>
      </c>
      <c r="CY48" s="68" t="str">
        <f>IF('School Profile'!$D$20="NO","",IF('Marks Entry'!AV48="","",'Marks Entry'!AV48))</f>
        <v/>
      </c>
      <c r="CZ48" s="515" t="str">
        <f>IF('School Profile'!$D$20="NO","",IF(AND(CX48="",CY48=""),"",SUM(CX48,CY48)))</f>
        <v/>
      </c>
      <c r="DA48" s="69" t="str">
        <f>IF('School Profile'!$D$20="NO","",IF(AND(CW48="",CZ48=""),"",SUM(CW48+CZ48)))</f>
        <v/>
      </c>
      <c r="DB48" s="68" t="str">
        <f>IF('School Profile'!$D$20="NO","",IF('Marks Entry'!AW48="","",'Marks Entry'!AW48))</f>
        <v/>
      </c>
      <c r="DC48" s="68" t="str">
        <f>IF('School Profile'!$D$20="NO","",IF('Marks Entry'!AX48="","",'Marks Entry'!AX48))</f>
        <v/>
      </c>
      <c r="DD48" s="515" t="str">
        <f>IF('School Profile'!$D$20="NO","",IF(AND(DB48="",DC48=""),"",SUM(DB48,DC48)))</f>
        <v/>
      </c>
      <c r="DE48" s="96" t="str">
        <f>IF('School Profile'!$D$20="NO","",IF(AND(DA48="",DD48=""),"",SUM(DA48,DD48)))</f>
        <v/>
      </c>
      <c r="DF48" s="532">
        <f t="shared" si="46"/>
        <v>0</v>
      </c>
      <c r="DG48" s="65">
        <f t="shared" si="47"/>
        <v>0</v>
      </c>
      <c r="DH48" s="66" t="str">
        <f t="shared" si="48"/>
        <v/>
      </c>
      <c r="DI48" s="65" t="str">
        <f t="shared" si="49"/>
        <v/>
      </c>
      <c r="DJ48" s="65" t="str">
        <f t="shared" si="50"/>
        <v/>
      </c>
      <c r="DK48" s="65" t="str">
        <f t="shared" si="51"/>
        <v/>
      </c>
      <c r="DL48" s="97" t="str">
        <f t="shared" si="94"/>
        <v/>
      </c>
      <c r="DM48" s="97" t="str">
        <f t="shared" si="95"/>
        <v/>
      </c>
      <c r="DN48" s="97" t="str">
        <f t="shared" si="96"/>
        <v/>
      </c>
      <c r="DO48" s="97" t="str">
        <f t="shared" si="97"/>
        <v/>
      </c>
      <c r="DP48" s="97" t="str">
        <f t="shared" si="98"/>
        <v/>
      </c>
      <c r="DQ48" s="97" t="str">
        <f t="shared" si="99"/>
        <v/>
      </c>
      <c r="DR48" s="97" t="str">
        <f t="shared" si="100"/>
        <v/>
      </c>
      <c r="DS48" s="98">
        <f t="shared" si="101"/>
        <v>0</v>
      </c>
      <c r="DT48" s="98">
        <f t="shared" si="102"/>
        <v>0</v>
      </c>
      <c r="DU48" s="98">
        <f t="shared" si="103"/>
        <v>0</v>
      </c>
      <c r="DV48" s="98">
        <f t="shared" si="104"/>
        <v>0</v>
      </c>
      <c r="DW48" s="98">
        <f t="shared" si="105"/>
        <v>0</v>
      </c>
      <c r="DX48" s="98" t="str">
        <f t="shared" si="106"/>
        <v/>
      </c>
      <c r="DY48" s="99" t="str">
        <f t="shared" si="107"/>
        <v/>
      </c>
      <c r="DZ48" s="74" t="str">
        <f>IF('Marks Entry'!AY48="","",'Marks Entry'!AY48)</f>
        <v/>
      </c>
      <c r="EA48" s="74" t="str">
        <f>IF('Marks Entry'!AZ48="","",'Marks Entry'!AZ48)</f>
        <v/>
      </c>
      <c r="EB48" s="74" t="str">
        <f>IF('Marks Entry'!BA48="","",'Marks Entry'!BA48)</f>
        <v/>
      </c>
      <c r="EC48" s="527" t="str">
        <f t="shared" si="52"/>
        <v/>
      </c>
      <c r="ED48" s="74" t="str">
        <f>IF('Marks Entry'!BB48="","",'Marks Entry'!BB48)</f>
        <v/>
      </c>
      <c r="EE48" s="528" t="str">
        <f t="shared" si="53"/>
        <v/>
      </c>
      <c r="EF48" s="74" t="str">
        <f>IF('Marks Entry'!BC48="","",'Marks Entry'!BC48)</f>
        <v/>
      </c>
      <c r="EG48" s="530" t="str">
        <f t="shared" si="54"/>
        <v/>
      </c>
      <c r="EH48" s="368" t="str">
        <f t="shared" si="108"/>
        <v/>
      </c>
      <c r="EI48" s="65">
        <f t="shared" si="109"/>
        <v>0</v>
      </c>
      <c r="EJ48" s="65">
        <f t="shared" si="110"/>
        <v>0</v>
      </c>
      <c r="EK48" s="66" t="str">
        <f t="shared" si="111"/>
        <v/>
      </c>
      <c r="EL48" s="74" t="str">
        <f>IF('Marks Entry'!BD48="","",'Marks Entry'!BD48)</f>
        <v/>
      </c>
      <c r="EM48" s="74" t="str">
        <f>IF('Marks Entry'!BE48="","",'Marks Entry'!BE48)</f>
        <v/>
      </c>
      <c r="EN48" s="74" t="str">
        <f>IF('Marks Entry'!BF48="","",'Marks Entry'!BF48)</f>
        <v/>
      </c>
      <c r="EO48" s="527" t="str">
        <f t="shared" si="55"/>
        <v/>
      </c>
      <c r="EP48" s="74" t="str">
        <f>IF('Marks Entry'!BG48="","",'Marks Entry'!BG48)</f>
        <v/>
      </c>
      <c r="EQ48" s="74" t="str">
        <f>IF('Marks Entry'!BH48="","",'Marks Entry'!BH48)</f>
        <v/>
      </c>
      <c r="ER48" s="528" t="str">
        <f t="shared" si="56"/>
        <v/>
      </c>
      <c r="ES48" s="529" t="str">
        <f t="shared" si="57"/>
        <v/>
      </c>
      <c r="ET48" s="74" t="str">
        <f>IF('Marks Entry'!BI48="","",'Marks Entry'!BI48)</f>
        <v/>
      </c>
      <c r="EU48" s="74" t="str">
        <f>IF('Marks Entry'!BJ48="","",'Marks Entry'!BJ48)</f>
        <v/>
      </c>
      <c r="EV48" s="528" t="str">
        <f t="shared" si="58"/>
        <v/>
      </c>
      <c r="EW48" s="530" t="str">
        <f t="shared" si="59"/>
        <v/>
      </c>
      <c r="EX48" s="368" t="str">
        <f t="shared" si="112"/>
        <v/>
      </c>
      <c r="EY48" s="65">
        <f t="shared" si="113"/>
        <v>0</v>
      </c>
      <c r="EZ48" s="65">
        <f t="shared" si="114"/>
        <v>0</v>
      </c>
      <c r="FA48" s="66" t="str">
        <f t="shared" si="115"/>
        <v/>
      </c>
      <c r="FB48" s="74" t="str">
        <f>IF('Marks Entry'!BK48="","",'Marks Entry'!BK48)</f>
        <v/>
      </c>
      <c r="FC48" s="74" t="str">
        <f>IF('Marks Entry'!BL48="","",'Marks Entry'!BL48)</f>
        <v/>
      </c>
      <c r="FD48" s="74" t="str">
        <f>IF('Marks Entry'!BM48="","",'Marks Entry'!BM48)</f>
        <v/>
      </c>
      <c r="FE48" s="74" t="str">
        <f>IF('Marks Entry'!BN48="","",'Marks Entry'!BN48)</f>
        <v/>
      </c>
      <c r="FF48" s="74" t="str">
        <f>IF('Marks Entry'!BO48="","",'Marks Entry'!BO48)</f>
        <v/>
      </c>
      <c r="FG48" s="74" t="str">
        <f>IF('Marks Entry'!BP48="","",'Marks Entry'!BP48)</f>
        <v/>
      </c>
      <c r="FH48" s="527" t="str">
        <f t="shared" si="60"/>
        <v/>
      </c>
      <c r="FI48" s="74" t="str">
        <f>IF('Marks Entry'!BQ48="","",'Marks Entry'!BQ48)</f>
        <v/>
      </c>
      <c r="FJ48" s="74" t="str">
        <f>IF('Marks Entry'!BR48="","",'Marks Entry'!BR48)</f>
        <v/>
      </c>
      <c r="FK48" s="528" t="str">
        <f t="shared" si="61"/>
        <v/>
      </c>
      <c r="FL48" s="529" t="str">
        <f t="shared" si="62"/>
        <v/>
      </c>
      <c r="FM48" s="74" t="str">
        <f>IF('Marks Entry'!BS48="","",'Marks Entry'!BS48)</f>
        <v/>
      </c>
      <c r="FN48" s="74" t="str">
        <f>IF('Marks Entry'!BT48="","",'Marks Entry'!BT48)</f>
        <v/>
      </c>
      <c r="FO48" s="528" t="str">
        <f t="shared" si="63"/>
        <v/>
      </c>
      <c r="FP48" s="530" t="str">
        <f t="shared" si="64"/>
        <v/>
      </c>
      <c r="FQ48" s="368" t="str">
        <f t="shared" si="116"/>
        <v/>
      </c>
      <c r="FR48" s="65">
        <f t="shared" si="117"/>
        <v>0</v>
      </c>
      <c r="FS48" s="65">
        <f t="shared" si="118"/>
        <v>0</v>
      </c>
      <c r="FT48" s="66" t="str">
        <f t="shared" si="119"/>
        <v/>
      </c>
      <c r="FU48" s="74" t="str">
        <f>IF('Marks Entry'!BU48="","",'Marks Entry'!BU48)</f>
        <v/>
      </c>
      <c r="FV48" s="74" t="str">
        <f>IF('Marks Entry'!BV48="","",'Marks Entry'!BV48)</f>
        <v/>
      </c>
      <c r="FW48" s="74" t="str">
        <f>IF('Marks Entry'!BW48="","",'Marks Entry'!BW48)</f>
        <v/>
      </c>
      <c r="FX48" s="75" t="str">
        <f t="shared" si="65"/>
        <v/>
      </c>
      <c r="FY48" s="368" t="str">
        <f t="shared" si="120"/>
        <v/>
      </c>
      <c r="FZ48" s="65">
        <f t="shared" si="121"/>
        <v>0</v>
      </c>
      <c r="GA48" s="66">
        <f t="shared" si="122"/>
        <v>0</v>
      </c>
      <c r="GB48" s="66" t="str">
        <f t="shared" si="123"/>
        <v/>
      </c>
      <c r="GC48" s="74" t="str">
        <f>IF('Marks Entry'!BX48="","",'Marks Entry'!BX48)</f>
        <v/>
      </c>
      <c r="GD48" s="74" t="str">
        <f>IF('Marks Entry'!BY48="","",'Marks Entry'!BY48)</f>
        <v/>
      </c>
      <c r="GE48" s="74" t="str">
        <f>IF('Marks Entry'!BZ48="","",'Marks Entry'!BZ48)</f>
        <v/>
      </c>
      <c r="GF48" s="75" t="str">
        <f t="shared" si="124"/>
        <v/>
      </c>
      <c r="GG48" s="368" t="str">
        <f t="shared" si="125"/>
        <v/>
      </c>
      <c r="GH48" s="65">
        <f t="shared" si="126"/>
        <v>0</v>
      </c>
      <c r="GI48" s="66">
        <f t="shared" si="127"/>
        <v>0</v>
      </c>
      <c r="GJ48" s="66" t="str">
        <f t="shared" si="128"/>
        <v/>
      </c>
      <c r="GK48" s="100" t="str">
        <f>IF(AND(F48="",B48=""),"",IF('Student DATA Entry'!M45="","",'Student DATA Entry'!M45))</f>
        <v/>
      </c>
      <c r="GL48" s="101" t="str">
        <f>IF(AND(B48="",F48=""),"",IF('Student DATA Entry'!N45="","",'Student DATA Entry'!N45))</f>
        <v/>
      </c>
      <c r="GM48" s="581" t="str">
        <f t="shared" si="129"/>
        <v/>
      </c>
      <c r="GN48" s="94" t="str">
        <f t="shared" si="130"/>
        <v/>
      </c>
      <c r="GO48" s="94" t="str">
        <f t="shared" si="131"/>
        <v/>
      </c>
      <c r="GP48" s="102" t="str">
        <f t="shared" si="162"/>
        <v/>
      </c>
      <c r="GQ48" s="94" t="str">
        <f t="shared" si="132"/>
        <v/>
      </c>
      <c r="GR48" s="103" t="str">
        <f t="shared" si="133"/>
        <v/>
      </c>
      <c r="GS48" s="102" t="str">
        <f t="shared" si="163"/>
        <v/>
      </c>
      <c r="GT48" s="104" t="str">
        <f t="shared" si="134"/>
        <v/>
      </c>
      <c r="GU48" s="94" t="str">
        <f>IF('Marks Entry'!V48=1,GT48,"")</f>
        <v/>
      </c>
      <c r="GV48" s="94" t="str">
        <f>IF('Marks Entry'!V48=2,GT48,"")</f>
        <v/>
      </c>
      <c r="GW48" s="94" t="str">
        <f>IF('Marks Entry'!V48=3,GT48,"")</f>
        <v/>
      </c>
      <c r="GX48" s="94" t="str">
        <f>IF('Marks Entry'!V48=4,GT48,"")</f>
        <v/>
      </c>
      <c r="GY48" s="94" t="str">
        <f>IF('Marks Entry'!V48=5,GT48,"")</f>
        <v/>
      </c>
      <c r="GZ48" s="94" t="str">
        <f t="shared" si="135"/>
        <v/>
      </c>
      <c r="HA48" s="105" t="str">
        <f t="shared" si="164"/>
        <v/>
      </c>
      <c r="HB48" s="94" t="str">
        <f t="shared" si="136"/>
        <v/>
      </c>
      <c r="HC48" s="94" t="str">
        <f t="shared" si="137"/>
        <v/>
      </c>
      <c r="HD48" s="105" t="str">
        <f t="shared" si="165"/>
        <v/>
      </c>
      <c r="HE48" s="94" t="str">
        <f t="shared" si="138"/>
        <v/>
      </c>
      <c r="HF48" s="94" t="str">
        <f t="shared" si="139"/>
        <v/>
      </c>
      <c r="HG48" s="105" t="str">
        <f t="shared" si="166"/>
        <v/>
      </c>
      <c r="HH48" s="94" t="str">
        <f t="shared" si="140"/>
        <v/>
      </c>
      <c r="HI48" s="94" t="str">
        <f t="shared" si="141"/>
        <v/>
      </c>
      <c r="HJ48" s="105" t="str">
        <f t="shared" si="167"/>
        <v/>
      </c>
      <c r="HK48" s="94" t="str">
        <f t="shared" si="142"/>
        <v/>
      </c>
      <c r="HL48" s="94" t="str">
        <f t="shared" si="143"/>
        <v/>
      </c>
      <c r="HM48" s="105" t="str">
        <f t="shared" si="168"/>
        <v/>
      </c>
      <c r="HN48" s="367" t="str">
        <f t="shared" si="144"/>
        <v xml:space="preserve">      </v>
      </c>
      <c r="HO48" s="418" t="str">
        <f t="shared" si="169"/>
        <v xml:space="preserve">      </v>
      </c>
      <c r="HP48" s="367" t="str">
        <f t="shared" si="146"/>
        <v xml:space="preserve">      </v>
      </c>
      <c r="HQ48" s="107" t="str">
        <f t="shared" si="147"/>
        <v xml:space="preserve">      </v>
      </c>
      <c r="HR48" s="366" t="str">
        <f t="shared" si="148"/>
        <v xml:space="preserve">      </v>
      </c>
      <c r="HS48" s="544" t="str">
        <f t="shared" si="170"/>
        <v/>
      </c>
      <c r="HT48" s="542" t="str">
        <f t="shared" si="149"/>
        <v/>
      </c>
      <c r="HU48" s="541" t="str">
        <f t="shared" si="160"/>
        <v/>
      </c>
      <c r="HV48" s="540" t="str">
        <f t="shared" si="150"/>
        <v/>
      </c>
      <c r="HW48" s="537" t="str">
        <f t="shared" si="151"/>
        <v/>
      </c>
      <c r="HX48" s="539" t="str">
        <f t="shared" si="152"/>
        <v/>
      </c>
      <c r="HY48" s="553" t="str">
        <f>IFERROR(IF(OR(HS48="SUPPLEMENTARY",HS48="RE-EXAM"),'Supp. Result Entry'!AQ46,""),"")</f>
        <v/>
      </c>
      <c r="HZ48" s="538" t="str">
        <f t="shared" si="153"/>
        <v/>
      </c>
      <c r="IA48" s="415" t="str">
        <f t="shared" si="154"/>
        <v/>
      </c>
      <c r="IB48" s="415" t="str">
        <f>IF(AND(HZ48="",IA48=""),"",IF(OR(HS48="SUPPLEMENTARY",HS48="RE-EXAM"),'Supp. Result Entry'!AQ46,HS48))</f>
        <v/>
      </c>
      <c r="IC48" s="87"/>
      <c r="ID48" s="111"/>
      <c r="IS48" s="109" t="str">
        <f>IF('Supp. Result Entry'!T46="","",'Supp. Result Entry'!$T$4)</f>
        <v/>
      </c>
      <c r="IT48" s="110" t="str">
        <f>IF('Supp. Result Entry'!W46="","",'Supp. Result Entry'!$W$4)</f>
        <v/>
      </c>
      <c r="IU48" s="110" t="str">
        <f>IF('Supp. Result Entry'!Z46="","",'Supp. Result Entry'!$Z$4)</f>
        <v/>
      </c>
      <c r="IV48" s="110" t="str">
        <f>IF('Supp. Result Entry'!AC46="","",'Supp. Result Entry'!$AC$4)</f>
        <v/>
      </c>
      <c r="IW48" s="110" t="str">
        <f>IF('Supp. Result Entry'!AF46="","",'Supp. Result Entry'!$AF$4)</f>
        <v/>
      </c>
      <c r="IX48" s="110" t="str">
        <f>IF('Supp. Result Entry'!AI46="","",'Supp. Result Entry'!$AI$4)</f>
        <v/>
      </c>
      <c r="IY48" s="110" t="str">
        <f>IF('Supp. Result Entry'!AI46="","",'Supp. Result Entry'!$AL$4)</f>
        <v/>
      </c>
      <c r="IZ48" s="110" t="str">
        <f>IF('Supp. Result Entry'!U46="","",'Supp. Result Entry'!U46)</f>
        <v/>
      </c>
      <c r="JA48" s="110" t="str">
        <f>IF('Supp. Result Entry'!X46="","",'Supp. Result Entry'!X46)</f>
        <v/>
      </c>
      <c r="JB48" s="110" t="str">
        <f>IF('Supp. Result Entry'!AA46="","",'Supp. Result Entry'!AA46)</f>
        <v/>
      </c>
      <c r="JC48" s="110" t="str">
        <f>IF('Supp. Result Entry'!AD46="","",'Supp. Result Entry'!AD46)</f>
        <v/>
      </c>
      <c r="JD48" s="110" t="str">
        <f>IF('Supp. Result Entry'!AG46="","",'Supp. Result Entry'!AG46)</f>
        <v/>
      </c>
      <c r="JE48" s="110" t="str">
        <f>IF('Supp. Result Entry'!AJ46="","",'Supp. Result Entry'!AJ46)</f>
        <v/>
      </c>
      <c r="JF48" s="110" t="str">
        <f>IF('Supp. Result Entry'!AM46="","",'Supp. Result Entry'!AM46)</f>
        <v/>
      </c>
      <c r="JG48" s="110" t="str">
        <f>IF('Supp. Result Entry'!V46="","",'Supp. Result Entry'!V46)</f>
        <v/>
      </c>
      <c r="JH48" s="110" t="str">
        <f>IF('Supp. Result Entry'!Y46="","",'Supp. Result Entry'!Y46)</f>
        <v/>
      </c>
      <c r="JI48" s="110" t="str">
        <f>IF('Supp. Result Entry'!AB46="","",'Supp. Result Entry'!AB46)</f>
        <v/>
      </c>
      <c r="JJ48" s="110" t="str">
        <f>IF('Supp. Result Entry'!AE46="","",'Supp. Result Entry'!AE46)</f>
        <v/>
      </c>
      <c r="JK48" s="110" t="str">
        <f>IF('Supp. Result Entry'!AH46="","",'Supp. Result Entry'!AH46)</f>
        <v/>
      </c>
      <c r="JL48" s="110" t="str">
        <f>IF('Supp. Result Entry'!AK46="","",'Supp. Result Entry'!AK46)</f>
        <v/>
      </c>
      <c r="JM48" s="110" t="str">
        <f>IF('Supp. Result Entry'!AN46="","",'Supp. Result Entry'!AN46)</f>
        <v/>
      </c>
      <c r="JN48" s="110">
        <f>COUNTIF('Supp. Result Entry'!K46:Q46,"S")</f>
        <v>0</v>
      </c>
      <c r="JO48" s="110">
        <f t="shared" si="155"/>
        <v>0</v>
      </c>
      <c r="JP48" s="110">
        <f t="shared" si="156"/>
        <v>0</v>
      </c>
      <c r="JQ48" s="110" t="str">
        <f t="shared" si="75"/>
        <v/>
      </c>
      <c r="JR48" s="110" t="str">
        <f t="shared" si="76"/>
        <v/>
      </c>
      <c r="JS48" s="110" t="str">
        <f t="shared" si="77"/>
        <v/>
      </c>
      <c r="JT48" s="110" t="str">
        <f t="shared" si="78"/>
        <v/>
      </c>
      <c r="JU48" s="110" t="str">
        <f t="shared" si="79"/>
        <v/>
      </c>
      <c r="JV48" s="110" t="str">
        <f t="shared" si="80"/>
        <v/>
      </c>
      <c r="JW48" s="110" t="str">
        <f t="shared" si="81"/>
        <v/>
      </c>
      <c r="JX48" s="110" t="str">
        <f t="shared" si="157"/>
        <v/>
      </c>
      <c r="JY48" s="110" t="str">
        <f t="shared" si="158"/>
        <v/>
      </c>
      <c r="JZ48" s="110" t="str">
        <f t="shared" si="82"/>
        <v/>
      </c>
      <c r="KA48" s="108" t="str">
        <f t="shared" si="159"/>
        <v/>
      </c>
    </row>
    <row r="49" spans="1:287" s="108" customFormat="1" ht="21.95" customHeight="1">
      <c r="A49" s="89">
        <v>43</v>
      </c>
      <c r="B49" s="90" t="str">
        <f>IF('Marks Entry'!B49="","",'Marks Entry'!B49)</f>
        <v/>
      </c>
      <c r="C49" s="94" t="str">
        <f>IF('Marks Entry'!D49="","",'Marks Entry'!D49)</f>
        <v/>
      </c>
      <c r="D49" s="91" t="str">
        <f>IF('Marks Entry'!E49="","",'Marks Entry'!E49)</f>
        <v/>
      </c>
      <c r="E49" s="92" t="str">
        <f>IF('Marks Entry'!F49="","",'Marks Entry'!F49)</f>
        <v/>
      </c>
      <c r="F49" s="93" t="str">
        <f>IF('Marks Entry'!G49="","",'Marks Entry'!G49)</f>
        <v/>
      </c>
      <c r="G49" s="93" t="str">
        <f>IF('Marks Entry'!H49="","",'Marks Entry'!H49)</f>
        <v/>
      </c>
      <c r="H49" s="93" t="str">
        <f>IF('Marks Entry'!I49="","",'Marks Entry'!I49)</f>
        <v/>
      </c>
      <c r="I49" s="94" t="str">
        <f>IF('Marks Entry'!J49="","",'Marks Entry'!J49)</f>
        <v/>
      </c>
      <c r="J49" s="95" t="str">
        <f>IF('Marks Entry'!K49="","",'Marks Entry'!K49)</f>
        <v/>
      </c>
      <c r="K49" s="68" t="str">
        <f>IF('Marks Entry'!L49="","",'Marks Entry'!L49)</f>
        <v/>
      </c>
      <c r="L49" s="68" t="str">
        <f>IF('Marks Entry'!M49="","",'Marks Entry'!M49)</f>
        <v/>
      </c>
      <c r="M49" s="68" t="str">
        <f>IF('Marks Entry'!N49="","",'Marks Entry'!N49)</f>
        <v/>
      </c>
      <c r="N49" s="514" t="str">
        <f t="shared" si="83"/>
        <v/>
      </c>
      <c r="O49" s="68" t="str">
        <f>IF('Marks Entry'!O49="","",'Marks Entry'!O49)</f>
        <v/>
      </c>
      <c r="P49" s="515" t="str">
        <f t="shared" si="84"/>
        <v/>
      </c>
      <c r="Q49" s="68" t="str">
        <f>IF('Marks Entry'!P49="","",'Marks Entry'!P49)</f>
        <v/>
      </c>
      <c r="R49" s="96" t="str">
        <f t="shared" si="85"/>
        <v/>
      </c>
      <c r="S49" s="65">
        <f t="shared" si="86"/>
        <v>0</v>
      </c>
      <c r="T49" s="65">
        <f t="shared" si="87"/>
        <v>0</v>
      </c>
      <c r="U49" s="66" t="str">
        <f t="shared" si="88"/>
        <v/>
      </c>
      <c r="V49" s="65" t="str">
        <f t="shared" si="89"/>
        <v/>
      </c>
      <c r="W49" s="65" t="str">
        <f t="shared" si="90"/>
        <v/>
      </c>
      <c r="X49" s="65" t="str">
        <f t="shared" si="91"/>
        <v/>
      </c>
      <c r="Y49" s="68" t="str">
        <f>IF('Marks Entry'!Q49="","",'Marks Entry'!Q49)</f>
        <v/>
      </c>
      <c r="Z49" s="68" t="str">
        <f>IF('Marks Entry'!R49="","",'Marks Entry'!R49)</f>
        <v/>
      </c>
      <c r="AA49" s="68" t="str">
        <f>IF('Marks Entry'!S49="","",'Marks Entry'!S49)</f>
        <v/>
      </c>
      <c r="AB49" s="514" t="str">
        <f t="shared" si="2"/>
        <v/>
      </c>
      <c r="AC49" s="68" t="str">
        <f>IF('Marks Entry'!T49="","",'Marks Entry'!T49)</f>
        <v/>
      </c>
      <c r="AD49" s="515" t="str">
        <f t="shared" si="3"/>
        <v/>
      </c>
      <c r="AE49" s="68" t="str">
        <f>IF('Marks Entry'!U49="","",'Marks Entry'!U49)</f>
        <v/>
      </c>
      <c r="AF49" s="96" t="str">
        <f t="shared" si="4"/>
        <v/>
      </c>
      <c r="AG49" s="65">
        <f t="shared" si="5"/>
        <v>0</v>
      </c>
      <c r="AH49" s="65">
        <f t="shared" si="6"/>
        <v>0</v>
      </c>
      <c r="AI49" s="66" t="str">
        <f t="shared" si="7"/>
        <v/>
      </c>
      <c r="AJ49" s="65" t="str">
        <f t="shared" si="8"/>
        <v/>
      </c>
      <c r="AK49" s="65" t="str">
        <f t="shared" si="9"/>
        <v/>
      </c>
      <c r="AL49" s="65" t="str">
        <f t="shared" si="10"/>
        <v/>
      </c>
      <c r="AM49" s="524" t="str">
        <f>IF('Marks Entry'!V49="","",IF('Marks Entry'!V49=1,'School Profile'!$I$9,IF('Marks Entry'!V49=2,'School Profile'!$I$10,IF('Marks Entry'!V49=3,'School Profile'!$I$11,IF('Marks Entry'!V49=4,'School Profile'!$I$12,IF('Marks Entry'!V49=5,'School Profile'!$I$13,IF('Marks Entry'!V49=6,'School Profile'!$I$14,"")))))))</f>
        <v/>
      </c>
      <c r="AN49" s="68" t="str">
        <f>IF('Marks Entry'!W49="","",'Marks Entry'!W49)</f>
        <v/>
      </c>
      <c r="AO49" s="68" t="str">
        <f>IF('Marks Entry'!X49="","",'Marks Entry'!X49)</f>
        <v/>
      </c>
      <c r="AP49" s="68" t="str">
        <f>IF('Marks Entry'!Y49="","",'Marks Entry'!Y49)</f>
        <v/>
      </c>
      <c r="AQ49" s="514" t="str">
        <f t="shared" si="11"/>
        <v/>
      </c>
      <c r="AR49" s="68" t="str">
        <f>IF('Marks Entry'!Z49="","",'Marks Entry'!Z49)</f>
        <v/>
      </c>
      <c r="AS49" s="515" t="str">
        <f t="shared" si="12"/>
        <v/>
      </c>
      <c r="AT49" s="68" t="str">
        <f>IF('Marks Entry'!AA49="","",'Marks Entry'!AA49)</f>
        <v/>
      </c>
      <c r="AU49" s="96" t="str">
        <f t="shared" si="13"/>
        <v/>
      </c>
      <c r="AV49" s="65">
        <f t="shared" si="14"/>
        <v>0</v>
      </c>
      <c r="AW49" s="65">
        <f t="shared" si="15"/>
        <v>0</v>
      </c>
      <c r="AX49" s="66" t="str">
        <f t="shared" si="16"/>
        <v/>
      </c>
      <c r="AY49" s="65" t="str">
        <f t="shared" si="17"/>
        <v/>
      </c>
      <c r="AZ49" s="65" t="str">
        <f t="shared" si="18"/>
        <v/>
      </c>
      <c r="BA49" s="65" t="str">
        <f t="shared" si="19"/>
        <v/>
      </c>
      <c r="BB49" s="68" t="str">
        <f>IF('Marks Entry'!AB49="","",'Marks Entry'!AB49)</f>
        <v/>
      </c>
      <c r="BC49" s="68" t="str">
        <f>IF('Marks Entry'!AC49="","",'Marks Entry'!AC49)</f>
        <v/>
      </c>
      <c r="BD49" s="68" t="str">
        <f>IF('Marks Entry'!AD49="","",'Marks Entry'!AD49)</f>
        <v/>
      </c>
      <c r="BE49" s="514" t="str">
        <f t="shared" si="20"/>
        <v/>
      </c>
      <c r="BF49" s="68" t="str">
        <f>IF('Marks Entry'!AE49="","",'Marks Entry'!AE49)</f>
        <v/>
      </c>
      <c r="BG49" s="515" t="str">
        <f t="shared" si="21"/>
        <v/>
      </c>
      <c r="BH49" s="68" t="str">
        <f>IF('Marks Entry'!AF49="","",'Marks Entry'!AF49)</f>
        <v/>
      </c>
      <c r="BI49" s="96" t="str">
        <f t="shared" si="22"/>
        <v/>
      </c>
      <c r="BJ49" s="65">
        <f t="shared" si="23"/>
        <v>0</v>
      </c>
      <c r="BK49" s="65">
        <f t="shared" si="92"/>
        <v>0</v>
      </c>
      <c r="BL49" s="66" t="str">
        <f t="shared" si="24"/>
        <v/>
      </c>
      <c r="BM49" s="65" t="str">
        <f t="shared" si="25"/>
        <v/>
      </c>
      <c r="BN49" s="65" t="str">
        <f t="shared" si="26"/>
        <v/>
      </c>
      <c r="BO49" s="65" t="str">
        <f t="shared" si="27"/>
        <v/>
      </c>
      <c r="BP49" s="68" t="str">
        <f>IF('Marks Entry'!AG49="","",'Marks Entry'!AG49)</f>
        <v/>
      </c>
      <c r="BQ49" s="68" t="str">
        <f>IF('Marks Entry'!AH49="","",'Marks Entry'!AH49)</f>
        <v/>
      </c>
      <c r="BR49" s="68" t="str">
        <f>IF('Marks Entry'!AI49="","",'Marks Entry'!AI49)</f>
        <v/>
      </c>
      <c r="BS49" s="514" t="str">
        <f t="shared" si="28"/>
        <v/>
      </c>
      <c r="BT49" s="68" t="str">
        <f>IF('Marks Entry'!AJ49="","",'Marks Entry'!AJ49)</f>
        <v/>
      </c>
      <c r="BU49" s="515" t="str">
        <f t="shared" si="29"/>
        <v/>
      </c>
      <c r="BV49" s="68" t="str">
        <f>IF('Marks Entry'!AK49="","",'Marks Entry'!AK49)</f>
        <v/>
      </c>
      <c r="BW49" s="96" t="str">
        <f t="shared" si="30"/>
        <v/>
      </c>
      <c r="BX49" s="65">
        <f t="shared" si="31"/>
        <v>0</v>
      </c>
      <c r="BY49" s="65">
        <f t="shared" si="32"/>
        <v>0</v>
      </c>
      <c r="BZ49" s="66" t="str">
        <f t="shared" si="33"/>
        <v/>
      </c>
      <c r="CA49" s="65" t="str">
        <f t="shared" si="34"/>
        <v/>
      </c>
      <c r="CB49" s="65" t="str">
        <f t="shared" si="35"/>
        <v/>
      </c>
      <c r="CC49" s="65" t="str">
        <f t="shared" si="36"/>
        <v/>
      </c>
      <c r="CD49" s="66">
        <f t="shared" si="161"/>
        <v>0</v>
      </c>
      <c r="CE49" s="68" t="str">
        <f>IF('Marks Entry'!AL49="","",'Marks Entry'!AL49)</f>
        <v/>
      </c>
      <c r="CF49" s="68" t="str">
        <f>IF('Marks Entry'!AM49="","",'Marks Entry'!AM49)</f>
        <v/>
      </c>
      <c r="CG49" s="68" t="str">
        <f>IF('Marks Entry'!AN49="","",'Marks Entry'!AN49)</f>
        <v/>
      </c>
      <c r="CH49" s="514" t="str">
        <f t="shared" si="37"/>
        <v/>
      </c>
      <c r="CI49" s="68" t="str">
        <f>IF('Marks Entry'!AO49="","",'Marks Entry'!AO49)</f>
        <v/>
      </c>
      <c r="CJ49" s="515" t="str">
        <f t="shared" si="38"/>
        <v/>
      </c>
      <c r="CK49" s="68" t="str">
        <f>IF('Marks Entry'!AP49="","",'Marks Entry'!AP49)</f>
        <v/>
      </c>
      <c r="CL49" s="96" t="str">
        <f t="shared" si="39"/>
        <v/>
      </c>
      <c r="CM49" s="65">
        <f t="shared" si="40"/>
        <v>0</v>
      </c>
      <c r="CN49" s="65">
        <f t="shared" si="41"/>
        <v>0</v>
      </c>
      <c r="CO49" s="66" t="str">
        <f t="shared" si="42"/>
        <v/>
      </c>
      <c r="CP49" s="65" t="str">
        <f t="shared" si="43"/>
        <v/>
      </c>
      <c r="CQ49" s="65" t="str">
        <f t="shared" si="44"/>
        <v/>
      </c>
      <c r="CR49" s="65" t="str">
        <f t="shared" si="45"/>
        <v/>
      </c>
      <c r="CS49" s="616"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8" t="str">
        <f>IF('School Profile'!$D$20="NO","",IF('Marks Entry'!AR49="","",'Marks Entry'!AR49))</f>
        <v/>
      </c>
      <c r="CU49" s="68" t="str">
        <f>IF('School Profile'!$D$20="NO","",IF('Marks Entry'!AS49="","",'Marks Entry'!AS49))</f>
        <v/>
      </c>
      <c r="CV49" s="68" t="str">
        <f>IF('School Profile'!$D$20="NO","",IF('Marks Entry'!AT49="","",'Marks Entry'!AT49))</f>
        <v/>
      </c>
      <c r="CW49" s="514" t="str">
        <f>IF('School Profile'!$D$20="NO","",IF(AND(CT49="",CU49="",CV49=""),"",SUM(CT49:CV49)))</f>
        <v/>
      </c>
      <c r="CX49" s="68" t="str">
        <f>IF('School Profile'!$D$20="NO","",IF('Marks Entry'!AU49="","",'Marks Entry'!AU49))</f>
        <v/>
      </c>
      <c r="CY49" s="68" t="str">
        <f>IF('School Profile'!$D$20="NO","",IF('Marks Entry'!AV49="","",'Marks Entry'!AV49))</f>
        <v/>
      </c>
      <c r="CZ49" s="515" t="str">
        <f>IF('School Profile'!$D$20="NO","",IF(AND(CX49="",CY49=""),"",SUM(CX49,CY49)))</f>
        <v/>
      </c>
      <c r="DA49" s="69" t="str">
        <f>IF('School Profile'!$D$20="NO","",IF(AND(CW49="",CZ49=""),"",SUM(CW49+CZ49)))</f>
        <v/>
      </c>
      <c r="DB49" s="68" t="str">
        <f>IF('School Profile'!$D$20="NO","",IF('Marks Entry'!AW49="","",'Marks Entry'!AW49))</f>
        <v/>
      </c>
      <c r="DC49" s="68" t="str">
        <f>IF('School Profile'!$D$20="NO","",IF('Marks Entry'!AX49="","",'Marks Entry'!AX49))</f>
        <v/>
      </c>
      <c r="DD49" s="515" t="str">
        <f>IF('School Profile'!$D$20="NO","",IF(AND(DB49="",DC49=""),"",SUM(DB49,DC49)))</f>
        <v/>
      </c>
      <c r="DE49" s="96" t="str">
        <f>IF('School Profile'!$D$20="NO","",IF(AND(DA49="",DD49=""),"",SUM(DA49,DD49)))</f>
        <v/>
      </c>
      <c r="DF49" s="532">
        <f t="shared" si="46"/>
        <v>0</v>
      </c>
      <c r="DG49" s="65">
        <f t="shared" si="47"/>
        <v>0</v>
      </c>
      <c r="DH49" s="66" t="str">
        <f t="shared" si="48"/>
        <v/>
      </c>
      <c r="DI49" s="65" t="str">
        <f t="shared" si="49"/>
        <v/>
      </c>
      <c r="DJ49" s="65" t="str">
        <f t="shared" si="50"/>
        <v/>
      </c>
      <c r="DK49" s="65" t="str">
        <f t="shared" si="51"/>
        <v/>
      </c>
      <c r="DL49" s="97" t="str">
        <f t="shared" si="94"/>
        <v/>
      </c>
      <c r="DM49" s="97" t="str">
        <f t="shared" si="95"/>
        <v/>
      </c>
      <c r="DN49" s="97" t="str">
        <f t="shared" si="96"/>
        <v/>
      </c>
      <c r="DO49" s="97" t="str">
        <f t="shared" si="97"/>
        <v/>
      </c>
      <c r="DP49" s="97" t="str">
        <f t="shared" si="98"/>
        <v/>
      </c>
      <c r="DQ49" s="97" t="str">
        <f t="shared" si="99"/>
        <v/>
      </c>
      <c r="DR49" s="97" t="str">
        <f t="shared" si="100"/>
        <v/>
      </c>
      <c r="DS49" s="98">
        <f t="shared" si="101"/>
        <v>0</v>
      </c>
      <c r="DT49" s="98">
        <f t="shared" si="102"/>
        <v>0</v>
      </c>
      <c r="DU49" s="98">
        <f t="shared" si="103"/>
        <v>0</v>
      </c>
      <c r="DV49" s="98">
        <f t="shared" si="104"/>
        <v>0</v>
      </c>
      <c r="DW49" s="98">
        <f t="shared" si="105"/>
        <v>0</v>
      </c>
      <c r="DX49" s="98" t="str">
        <f t="shared" si="106"/>
        <v/>
      </c>
      <c r="DY49" s="99" t="str">
        <f t="shared" si="107"/>
        <v/>
      </c>
      <c r="DZ49" s="74" t="str">
        <f>IF('Marks Entry'!AY49="","",'Marks Entry'!AY49)</f>
        <v/>
      </c>
      <c r="EA49" s="74" t="str">
        <f>IF('Marks Entry'!AZ49="","",'Marks Entry'!AZ49)</f>
        <v/>
      </c>
      <c r="EB49" s="74" t="str">
        <f>IF('Marks Entry'!BA49="","",'Marks Entry'!BA49)</f>
        <v/>
      </c>
      <c r="EC49" s="527" t="str">
        <f t="shared" si="52"/>
        <v/>
      </c>
      <c r="ED49" s="74" t="str">
        <f>IF('Marks Entry'!BB49="","",'Marks Entry'!BB49)</f>
        <v/>
      </c>
      <c r="EE49" s="528" t="str">
        <f t="shared" si="53"/>
        <v/>
      </c>
      <c r="EF49" s="74" t="str">
        <f>IF('Marks Entry'!BC49="","",'Marks Entry'!BC49)</f>
        <v/>
      </c>
      <c r="EG49" s="530" t="str">
        <f t="shared" si="54"/>
        <v/>
      </c>
      <c r="EH49" s="368" t="str">
        <f t="shared" si="108"/>
        <v/>
      </c>
      <c r="EI49" s="65">
        <f t="shared" si="109"/>
        <v>0</v>
      </c>
      <c r="EJ49" s="65">
        <f t="shared" si="110"/>
        <v>0</v>
      </c>
      <c r="EK49" s="66" t="str">
        <f t="shared" si="111"/>
        <v/>
      </c>
      <c r="EL49" s="74" t="str">
        <f>IF('Marks Entry'!BD49="","",'Marks Entry'!BD49)</f>
        <v/>
      </c>
      <c r="EM49" s="74" t="str">
        <f>IF('Marks Entry'!BE49="","",'Marks Entry'!BE49)</f>
        <v/>
      </c>
      <c r="EN49" s="74" t="str">
        <f>IF('Marks Entry'!BF49="","",'Marks Entry'!BF49)</f>
        <v/>
      </c>
      <c r="EO49" s="527" t="str">
        <f t="shared" si="55"/>
        <v/>
      </c>
      <c r="EP49" s="74" t="str">
        <f>IF('Marks Entry'!BG49="","",'Marks Entry'!BG49)</f>
        <v/>
      </c>
      <c r="EQ49" s="74" t="str">
        <f>IF('Marks Entry'!BH49="","",'Marks Entry'!BH49)</f>
        <v/>
      </c>
      <c r="ER49" s="528" t="str">
        <f t="shared" si="56"/>
        <v/>
      </c>
      <c r="ES49" s="529" t="str">
        <f t="shared" si="57"/>
        <v/>
      </c>
      <c r="ET49" s="74" t="str">
        <f>IF('Marks Entry'!BI49="","",'Marks Entry'!BI49)</f>
        <v/>
      </c>
      <c r="EU49" s="74" t="str">
        <f>IF('Marks Entry'!BJ49="","",'Marks Entry'!BJ49)</f>
        <v/>
      </c>
      <c r="EV49" s="528" t="str">
        <f t="shared" si="58"/>
        <v/>
      </c>
      <c r="EW49" s="530" t="str">
        <f t="shared" si="59"/>
        <v/>
      </c>
      <c r="EX49" s="368" t="str">
        <f t="shared" si="112"/>
        <v/>
      </c>
      <c r="EY49" s="65">
        <f t="shared" si="113"/>
        <v>0</v>
      </c>
      <c r="EZ49" s="65">
        <f t="shared" si="114"/>
        <v>0</v>
      </c>
      <c r="FA49" s="66" t="str">
        <f t="shared" si="115"/>
        <v/>
      </c>
      <c r="FB49" s="74" t="str">
        <f>IF('Marks Entry'!BK49="","",'Marks Entry'!BK49)</f>
        <v/>
      </c>
      <c r="FC49" s="74" t="str">
        <f>IF('Marks Entry'!BL49="","",'Marks Entry'!BL49)</f>
        <v/>
      </c>
      <c r="FD49" s="74" t="str">
        <f>IF('Marks Entry'!BM49="","",'Marks Entry'!BM49)</f>
        <v/>
      </c>
      <c r="FE49" s="74" t="str">
        <f>IF('Marks Entry'!BN49="","",'Marks Entry'!BN49)</f>
        <v/>
      </c>
      <c r="FF49" s="74" t="str">
        <f>IF('Marks Entry'!BO49="","",'Marks Entry'!BO49)</f>
        <v/>
      </c>
      <c r="FG49" s="74" t="str">
        <f>IF('Marks Entry'!BP49="","",'Marks Entry'!BP49)</f>
        <v/>
      </c>
      <c r="FH49" s="527" t="str">
        <f t="shared" si="60"/>
        <v/>
      </c>
      <c r="FI49" s="74" t="str">
        <f>IF('Marks Entry'!BQ49="","",'Marks Entry'!BQ49)</f>
        <v/>
      </c>
      <c r="FJ49" s="74" t="str">
        <f>IF('Marks Entry'!BR49="","",'Marks Entry'!BR49)</f>
        <v/>
      </c>
      <c r="FK49" s="528" t="str">
        <f t="shared" si="61"/>
        <v/>
      </c>
      <c r="FL49" s="529" t="str">
        <f t="shared" si="62"/>
        <v/>
      </c>
      <c r="FM49" s="74" t="str">
        <f>IF('Marks Entry'!BS49="","",'Marks Entry'!BS49)</f>
        <v/>
      </c>
      <c r="FN49" s="74" t="str">
        <f>IF('Marks Entry'!BT49="","",'Marks Entry'!BT49)</f>
        <v/>
      </c>
      <c r="FO49" s="528" t="str">
        <f t="shared" si="63"/>
        <v/>
      </c>
      <c r="FP49" s="530" t="str">
        <f t="shared" si="64"/>
        <v/>
      </c>
      <c r="FQ49" s="368" t="str">
        <f t="shared" si="116"/>
        <v/>
      </c>
      <c r="FR49" s="65">
        <f t="shared" si="117"/>
        <v>0</v>
      </c>
      <c r="FS49" s="65">
        <f t="shared" si="118"/>
        <v>0</v>
      </c>
      <c r="FT49" s="66" t="str">
        <f t="shared" si="119"/>
        <v/>
      </c>
      <c r="FU49" s="74" t="str">
        <f>IF('Marks Entry'!BU49="","",'Marks Entry'!BU49)</f>
        <v/>
      </c>
      <c r="FV49" s="74" t="str">
        <f>IF('Marks Entry'!BV49="","",'Marks Entry'!BV49)</f>
        <v/>
      </c>
      <c r="FW49" s="74" t="str">
        <f>IF('Marks Entry'!BW49="","",'Marks Entry'!BW49)</f>
        <v/>
      </c>
      <c r="FX49" s="75" t="str">
        <f t="shared" si="65"/>
        <v/>
      </c>
      <c r="FY49" s="368" t="str">
        <f t="shared" si="120"/>
        <v/>
      </c>
      <c r="FZ49" s="65">
        <f t="shared" si="121"/>
        <v>0</v>
      </c>
      <c r="GA49" s="66">
        <f t="shared" si="122"/>
        <v>0</v>
      </c>
      <c r="GB49" s="66" t="str">
        <f t="shared" si="123"/>
        <v/>
      </c>
      <c r="GC49" s="74" t="str">
        <f>IF('Marks Entry'!BX49="","",'Marks Entry'!BX49)</f>
        <v/>
      </c>
      <c r="GD49" s="74" t="str">
        <f>IF('Marks Entry'!BY49="","",'Marks Entry'!BY49)</f>
        <v/>
      </c>
      <c r="GE49" s="74" t="str">
        <f>IF('Marks Entry'!BZ49="","",'Marks Entry'!BZ49)</f>
        <v/>
      </c>
      <c r="GF49" s="75" t="str">
        <f t="shared" si="124"/>
        <v/>
      </c>
      <c r="GG49" s="368" t="str">
        <f t="shared" si="125"/>
        <v/>
      </c>
      <c r="GH49" s="65">
        <f t="shared" si="126"/>
        <v>0</v>
      </c>
      <c r="GI49" s="66">
        <f t="shared" si="127"/>
        <v>0</v>
      </c>
      <c r="GJ49" s="66" t="str">
        <f t="shared" si="128"/>
        <v/>
      </c>
      <c r="GK49" s="100" t="str">
        <f>IF(AND(F49="",B49=""),"",IF('Student DATA Entry'!M46="","",'Student DATA Entry'!M46))</f>
        <v/>
      </c>
      <c r="GL49" s="101" t="str">
        <f>IF(AND(B49="",F49=""),"",IF('Student DATA Entry'!N46="","",'Student DATA Entry'!N46))</f>
        <v/>
      </c>
      <c r="GM49" s="581" t="str">
        <f t="shared" si="129"/>
        <v/>
      </c>
      <c r="GN49" s="94" t="str">
        <f t="shared" si="130"/>
        <v/>
      </c>
      <c r="GO49" s="94" t="str">
        <f t="shared" si="131"/>
        <v/>
      </c>
      <c r="GP49" s="102" t="str">
        <f t="shared" si="162"/>
        <v/>
      </c>
      <c r="GQ49" s="94" t="str">
        <f t="shared" si="132"/>
        <v/>
      </c>
      <c r="GR49" s="103" t="str">
        <f t="shared" si="133"/>
        <v/>
      </c>
      <c r="GS49" s="102" t="str">
        <f t="shared" si="163"/>
        <v/>
      </c>
      <c r="GT49" s="104" t="str">
        <f t="shared" si="134"/>
        <v/>
      </c>
      <c r="GU49" s="94" t="str">
        <f>IF('Marks Entry'!V49=1,GT49,"")</f>
        <v/>
      </c>
      <c r="GV49" s="94" t="str">
        <f>IF('Marks Entry'!V49=2,GT49,"")</f>
        <v/>
      </c>
      <c r="GW49" s="94" t="str">
        <f>IF('Marks Entry'!V49=3,GT49,"")</f>
        <v/>
      </c>
      <c r="GX49" s="94" t="str">
        <f>IF('Marks Entry'!V49=4,GT49,"")</f>
        <v/>
      </c>
      <c r="GY49" s="94" t="str">
        <f>IF('Marks Entry'!V49=5,GT49,"")</f>
        <v/>
      </c>
      <c r="GZ49" s="94" t="str">
        <f t="shared" si="135"/>
        <v/>
      </c>
      <c r="HA49" s="105" t="str">
        <f t="shared" si="164"/>
        <v/>
      </c>
      <c r="HB49" s="94" t="str">
        <f t="shared" si="136"/>
        <v/>
      </c>
      <c r="HC49" s="94" t="str">
        <f t="shared" si="137"/>
        <v/>
      </c>
      <c r="HD49" s="105" t="str">
        <f t="shared" si="165"/>
        <v/>
      </c>
      <c r="HE49" s="94" t="str">
        <f t="shared" si="138"/>
        <v/>
      </c>
      <c r="HF49" s="94" t="str">
        <f t="shared" si="139"/>
        <v/>
      </c>
      <c r="HG49" s="105" t="str">
        <f t="shared" si="166"/>
        <v/>
      </c>
      <c r="HH49" s="94" t="str">
        <f t="shared" si="140"/>
        <v/>
      </c>
      <c r="HI49" s="94" t="str">
        <f t="shared" si="141"/>
        <v/>
      </c>
      <c r="HJ49" s="105" t="str">
        <f t="shared" si="167"/>
        <v/>
      </c>
      <c r="HK49" s="94" t="str">
        <f t="shared" si="142"/>
        <v/>
      </c>
      <c r="HL49" s="94" t="str">
        <f t="shared" si="143"/>
        <v/>
      </c>
      <c r="HM49" s="105" t="str">
        <f t="shared" si="168"/>
        <v/>
      </c>
      <c r="HN49" s="367" t="str">
        <f t="shared" si="144"/>
        <v xml:space="preserve">      </v>
      </c>
      <c r="HO49" s="418" t="str">
        <f t="shared" si="169"/>
        <v xml:space="preserve">      </v>
      </c>
      <c r="HP49" s="367" t="str">
        <f t="shared" si="146"/>
        <v xml:space="preserve">      </v>
      </c>
      <c r="HQ49" s="107" t="str">
        <f t="shared" si="147"/>
        <v xml:space="preserve">      </v>
      </c>
      <c r="HR49" s="366" t="str">
        <f t="shared" si="148"/>
        <v xml:space="preserve">      </v>
      </c>
      <c r="HS49" s="544" t="str">
        <f t="shared" si="170"/>
        <v/>
      </c>
      <c r="HT49" s="542" t="str">
        <f t="shared" si="149"/>
        <v/>
      </c>
      <c r="HU49" s="541" t="str">
        <f t="shared" si="160"/>
        <v/>
      </c>
      <c r="HV49" s="540" t="str">
        <f t="shared" si="150"/>
        <v/>
      </c>
      <c r="HW49" s="537" t="str">
        <f t="shared" si="151"/>
        <v/>
      </c>
      <c r="HX49" s="539" t="str">
        <f t="shared" si="152"/>
        <v/>
      </c>
      <c r="HY49" s="553" t="str">
        <f>IFERROR(IF(OR(HS49="SUPPLEMENTARY",HS49="RE-EXAM"),'Supp. Result Entry'!AQ47,""),"")</f>
        <v/>
      </c>
      <c r="HZ49" s="538" t="str">
        <f t="shared" si="153"/>
        <v/>
      </c>
      <c r="IA49" s="415" t="str">
        <f t="shared" si="154"/>
        <v/>
      </c>
      <c r="IB49" s="415" t="str">
        <f>IF(AND(HZ49="",IA49=""),"",IF(OR(HS49="SUPPLEMENTARY",HS49="RE-EXAM"),'Supp. Result Entry'!AQ47,HS49))</f>
        <v/>
      </c>
      <c r="IC49" s="87"/>
      <c r="ID49" s="111"/>
      <c r="IS49" s="109" t="str">
        <f>IF('Supp. Result Entry'!T47="","",'Supp. Result Entry'!$T$4)</f>
        <v/>
      </c>
      <c r="IT49" s="110" t="str">
        <f>IF('Supp. Result Entry'!W47="","",'Supp. Result Entry'!$W$4)</f>
        <v/>
      </c>
      <c r="IU49" s="110" t="str">
        <f>IF('Supp. Result Entry'!Z47="","",'Supp. Result Entry'!$Z$4)</f>
        <v/>
      </c>
      <c r="IV49" s="110" t="str">
        <f>IF('Supp. Result Entry'!AC47="","",'Supp. Result Entry'!$AC$4)</f>
        <v/>
      </c>
      <c r="IW49" s="110" t="str">
        <f>IF('Supp. Result Entry'!AF47="","",'Supp. Result Entry'!$AF$4)</f>
        <v/>
      </c>
      <c r="IX49" s="110" t="str">
        <f>IF('Supp. Result Entry'!AI47="","",'Supp. Result Entry'!$AI$4)</f>
        <v/>
      </c>
      <c r="IY49" s="110" t="str">
        <f>IF('Supp. Result Entry'!AI47="","",'Supp. Result Entry'!$AL$4)</f>
        <v/>
      </c>
      <c r="IZ49" s="110" t="str">
        <f>IF('Supp. Result Entry'!U47="","",'Supp. Result Entry'!U47)</f>
        <v/>
      </c>
      <c r="JA49" s="110" t="str">
        <f>IF('Supp. Result Entry'!X47="","",'Supp. Result Entry'!X47)</f>
        <v/>
      </c>
      <c r="JB49" s="110" t="str">
        <f>IF('Supp. Result Entry'!AA47="","",'Supp. Result Entry'!AA47)</f>
        <v/>
      </c>
      <c r="JC49" s="110" t="str">
        <f>IF('Supp. Result Entry'!AD47="","",'Supp. Result Entry'!AD47)</f>
        <v/>
      </c>
      <c r="JD49" s="110" t="str">
        <f>IF('Supp. Result Entry'!AG47="","",'Supp. Result Entry'!AG47)</f>
        <v/>
      </c>
      <c r="JE49" s="110" t="str">
        <f>IF('Supp. Result Entry'!AJ47="","",'Supp. Result Entry'!AJ47)</f>
        <v/>
      </c>
      <c r="JF49" s="110" t="str">
        <f>IF('Supp. Result Entry'!AM47="","",'Supp. Result Entry'!AM47)</f>
        <v/>
      </c>
      <c r="JG49" s="110" t="str">
        <f>IF('Supp. Result Entry'!V47="","",'Supp. Result Entry'!V47)</f>
        <v/>
      </c>
      <c r="JH49" s="110" t="str">
        <f>IF('Supp. Result Entry'!Y47="","",'Supp. Result Entry'!Y47)</f>
        <v/>
      </c>
      <c r="JI49" s="110" t="str">
        <f>IF('Supp. Result Entry'!AB47="","",'Supp. Result Entry'!AB47)</f>
        <v/>
      </c>
      <c r="JJ49" s="110" t="str">
        <f>IF('Supp. Result Entry'!AE47="","",'Supp. Result Entry'!AE47)</f>
        <v/>
      </c>
      <c r="JK49" s="110" t="str">
        <f>IF('Supp. Result Entry'!AH47="","",'Supp. Result Entry'!AH47)</f>
        <v/>
      </c>
      <c r="JL49" s="110" t="str">
        <f>IF('Supp. Result Entry'!AK47="","",'Supp. Result Entry'!AK47)</f>
        <v/>
      </c>
      <c r="JM49" s="110" t="str">
        <f>IF('Supp. Result Entry'!AN47="","",'Supp. Result Entry'!AN47)</f>
        <v/>
      </c>
      <c r="JN49" s="110">
        <f>COUNTIF('Supp. Result Entry'!K47:Q47,"S")</f>
        <v>0</v>
      </c>
      <c r="JO49" s="110">
        <f t="shared" si="155"/>
        <v>0</v>
      </c>
      <c r="JP49" s="110">
        <f t="shared" si="156"/>
        <v>0</v>
      </c>
      <c r="JQ49" s="110" t="str">
        <f t="shared" si="75"/>
        <v/>
      </c>
      <c r="JR49" s="110" t="str">
        <f t="shared" si="76"/>
        <v/>
      </c>
      <c r="JS49" s="110" t="str">
        <f t="shared" si="77"/>
        <v/>
      </c>
      <c r="JT49" s="110" t="str">
        <f t="shared" si="78"/>
        <v/>
      </c>
      <c r="JU49" s="110" t="str">
        <f t="shared" si="79"/>
        <v/>
      </c>
      <c r="JV49" s="110" t="str">
        <f t="shared" si="80"/>
        <v/>
      </c>
      <c r="JW49" s="110" t="str">
        <f t="shared" si="81"/>
        <v/>
      </c>
      <c r="JX49" s="110" t="str">
        <f t="shared" si="157"/>
        <v/>
      </c>
      <c r="JY49" s="110" t="str">
        <f t="shared" si="158"/>
        <v/>
      </c>
      <c r="JZ49" s="110" t="str">
        <f t="shared" si="82"/>
        <v/>
      </c>
      <c r="KA49" s="108" t="str">
        <f t="shared" si="159"/>
        <v/>
      </c>
    </row>
    <row r="50" spans="1:287" s="108" customFormat="1" ht="21.95" customHeight="1">
      <c r="A50" s="89">
        <v>44</v>
      </c>
      <c r="B50" s="90" t="str">
        <f>IF('Marks Entry'!B50="","",'Marks Entry'!B50)</f>
        <v/>
      </c>
      <c r="C50" s="94" t="str">
        <f>IF('Marks Entry'!D50="","",'Marks Entry'!D50)</f>
        <v/>
      </c>
      <c r="D50" s="91" t="str">
        <f>IF('Marks Entry'!E50="","",'Marks Entry'!E50)</f>
        <v/>
      </c>
      <c r="E50" s="92" t="str">
        <f>IF('Marks Entry'!F50="","",'Marks Entry'!F50)</f>
        <v/>
      </c>
      <c r="F50" s="93" t="str">
        <f>IF('Marks Entry'!G50="","",'Marks Entry'!G50)</f>
        <v/>
      </c>
      <c r="G50" s="93" t="str">
        <f>IF('Marks Entry'!H50="","",'Marks Entry'!H50)</f>
        <v/>
      </c>
      <c r="H50" s="93" t="str">
        <f>IF('Marks Entry'!I50="","",'Marks Entry'!I50)</f>
        <v/>
      </c>
      <c r="I50" s="94" t="str">
        <f>IF('Marks Entry'!J50="","",'Marks Entry'!J50)</f>
        <v/>
      </c>
      <c r="J50" s="95" t="str">
        <f>IF('Marks Entry'!K50="","",'Marks Entry'!K50)</f>
        <v/>
      </c>
      <c r="K50" s="68" t="str">
        <f>IF('Marks Entry'!L50="","",'Marks Entry'!L50)</f>
        <v/>
      </c>
      <c r="L50" s="68" t="str">
        <f>IF('Marks Entry'!M50="","",'Marks Entry'!M50)</f>
        <v/>
      </c>
      <c r="M50" s="68" t="str">
        <f>IF('Marks Entry'!N50="","",'Marks Entry'!N50)</f>
        <v/>
      </c>
      <c r="N50" s="514" t="str">
        <f t="shared" si="83"/>
        <v/>
      </c>
      <c r="O50" s="68" t="str">
        <f>IF('Marks Entry'!O50="","",'Marks Entry'!O50)</f>
        <v/>
      </c>
      <c r="P50" s="515" t="str">
        <f t="shared" si="84"/>
        <v/>
      </c>
      <c r="Q50" s="68" t="str">
        <f>IF('Marks Entry'!P50="","",'Marks Entry'!P50)</f>
        <v/>
      </c>
      <c r="R50" s="96" t="str">
        <f t="shared" si="85"/>
        <v/>
      </c>
      <c r="S50" s="65">
        <f t="shared" si="86"/>
        <v>0</v>
      </c>
      <c r="T50" s="65">
        <f t="shared" si="87"/>
        <v>0</v>
      </c>
      <c r="U50" s="66" t="str">
        <f t="shared" si="88"/>
        <v/>
      </c>
      <c r="V50" s="65" t="str">
        <f t="shared" si="89"/>
        <v/>
      </c>
      <c r="W50" s="65" t="str">
        <f t="shared" si="90"/>
        <v/>
      </c>
      <c r="X50" s="65" t="str">
        <f t="shared" si="91"/>
        <v/>
      </c>
      <c r="Y50" s="68" t="str">
        <f>IF('Marks Entry'!Q50="","",'Marks Entry'!Q50)</f>
        <v/>
      </c>
      <c r="Z50" s="68" t="str">
        <f>IF('Marks Entry'!R50="","",'Marks Entry'!R50)</f>
        <v/>
      </c>
      <c r="AA50" s="68" t="str">
        <f>IF('Marks Entry'!S50="","",'Marks Entry'!S50)</f>
        <v/>
      </c>
      <c r="AB50" s="514" t="str">
        <f t="shared" si="2"/>
        <v/>
      </c>
      <c r="AC50" s="68" t="str">
        <f>IF('Marks Entry'!T50="","",'Marks Entry'!T50)</f>
        <v/>
      </c>
      <c r="AD50" s="515" t="str">
        <f t="shared" si="3"/>
        <v/>
      </c>
      <c r="AE50" s="68" t="str">
        <f>IF('Marks Entry'!U50="","",'Marks Entry'!U50)</f>
        <v/>
      </c>
      <c r="AF50" s="96" t="str">
        <f t="shared" si="4"/>
        <v/>
      </c>
      <c r="AG50" s="65">
        <f t="shared" si="5"/>
        <v>0</v>
      </c>
      <c r="AH50" s="65">
        <f t="shared" si="6"/>
        <v>0</v>
      </c>
      <c r="AI50" s="66" t="str">
        <f t="shared" si="7"/>
        <v/>
      </c>
      <c r="AJ50" s="65" t="str">
        <f t="shared" si="8"/>
        <v/>
      </c>
      <c r="AK50" s="65" t="str">
        <f t="shared" si="9"/>
        <v/>
      </c>
      <c r="AL50" s="65" t="str">
        <f t="shared" si="10"/>
        <v/>
      </c>
      <c r="AM50" s="524" t="str">
        <f>IF('Marks Entry'!V50="","",IF('Marks Entry'!V50=1,'School Profile'!$I$9,IF('Marks Entry'!V50=2,'School Profile'!$I$10,IF('Marks Entry'!V50=3,'School Profile'!$I$11,IF('Marks Entry'!V50=4,'School Profile'!$I$12,IF('Marks Entry'!V50=5,'School Profile'!$I$13,IF('Marks Entry'!V50=6,'School Profile'!$I$14,"")))))))</f>
        <v/>
      </c>
      <c r="AN50" s="68" t="str">
        <f>IF('Marks Entry'!W50="","",'Marks Entry'!W50)</f>
        <v/>
      </c>
      <c r="AO50" s="68" t="str">
        <f>IF('Marks Entry'!X50="","",'Marks Entry'!X50)</f>
        <v/>
      </c>
      <c r="AP50" s="68" t="str">
        <f>IF('Marks Entry'!Y50="","",'Marks Entry'!Y50)</f>
        <v/>
      </c>
      <c r="AQ50" s="514" t="str">
        <f t="shared" si="11"/>
        <v/>
      </c>
      <c r="AR50" s="68" t="str">
        <f>IF('Marks Entry'!Z50="","",'Marks Entry'!Z50)</f>
        <v/>
      </c>
      <c r="AS50" s="515" t="str">
        <f t="shared" si="12"/>
        <v/>
      </c>
      <c r="AT50" s="68" t="str">
        <f>IF('Marks Entry'!AA50="","",'Marks Entry'!AA50)</f>
        <v/>
      </c>
      <c r="AU50" s="96" t="str">
        <f t="shared" si="13"/>
        <v/>
      </c>
      <c r="AV50" s="65">
        <f t="shared" si="14"/>
        <v>0</v>
      </c>
      <c r="AW50" s="65">
        <f t="shared" si="15"/>
        <v>0</v>
      </c>
      <c r="AX50" s="66" t="str">
        <f t="shared" si="16"/>
        <v/>
      </c>
      <c r="AY50" s="65" t="str">
        <f t="shared" si="17"/>
        <v/>
      </c>
      <c r="AZ50" s="65" t="str">
        <f t="shared" si="18"/>
        <v/>
      </c>
      <c r="BA50" s="65" t="str">
        <f t="shared" si="19"/>
        <v/>
      </c>
      <c r="BB50" s="68" t="str">
        <f>IF('Marks Entry'!AB50="","",'Marks Entry'!AB50)</f>
        <v/>
      </c>
      <c r="BC50" s="68" t="str">
        <f>IF('Marks Entry'!AC50="","",'Marks Entry'!AC50)</f>
        <v/>
      </c>
      <c r="BD50" s="68" t="str">
        <f>IF('Marks Entry'!AD50="","",'Marks Entry'!AD50)</f>
        <v/>
      </c>
      <c r="BE50" s="514" t="str">
        <f t="shared" si="20"/>
        <v/>
      </c>
      <c r="BF50" s="68" t="str">
        <f>IF('Marks Entry'!AE50="","",'Marks Entry'!AE50)</f>
        <v/>
      </c>
      <c r="BG50" s="515" t="str">
        <f t="shared" si="21"/>
        <v/>
      </c>
      <c r="BH50" s="68" t="str">
        <f>IF('Marks Entry'!AF50="","",'Marks Entry'!AF50)</f>
        <v/>
      </c>
      <c r="BI50" s="96" t="str">
        <f t="shared" si="22"/>
        <v/>
      </c>
      <c r="BJ50" s="65">
        <f t="shared" si="23"/>
        <v>0</v>
      </c>
      <c r="BK50" s="65">
        <f t="shared" si="92"/>
        <v>0</v>
      </c>
      <c r="BL50" s="66" t="str">
        <f t="shared" si="24"/>
        <v/>
      </c>
      <c r="BM50" s="65" t="str">
        <f t="shared" si="25"/>
        <v/>
      </c>
      <c r="BN50" s="65" t="str">
        <f t="shared" si="26"/>
        <v/>
      </c>
      <c r="BO50" s="65" t="str">
        <f t="shared" si="27"/>
        <v/>
      </c>
      <c r="BP50" s="68" t="str">
        <f>IF('Marks Entry'!AG50="","",'Marks Entry'!AG50)</f>
        <v/>
      </c>
      <c r="BQ50" s="68" t="str">
        <f>IF('Marks Entry'!AH50="","",'Marks Entry'!AH50)</f>
        <v/>
      </c>
      <c r="BR50" s="68" t="str">
        <f>IF('Marks Entry'!AI50="","",'Marks Entry'!AI50)</f>
        <v/>
      </c>
      <c r="BS50" s="514" t="str">
        <f t="shared" si="28"/>
        <v/>
      </c>
      <c r="BT50" s="68" t="str">
        <f>IF('Marks Entry'!AJ50="","",'Marks Entry'!AJ50)</f>
        <v/>
      </c>
      <c r="BU50" s="515" t="str">
        <f t="shared" si="29"/>
        <v/>
      </c>
      <c r="BV50" s="68" t="str">
        <f>IF('Marks Entry'!AK50="","",'Marks Entry'!AK50)</f>
        <v/>
      </c>
      <c r="BW50" s="96" t="str">
        <f t="shared" si="30"/>
        <v/>
      </c>
      <c r="BX50" s="65">
        <f t="shared" si="31"/>
        <v>0</v>
      </c>
      <c r="BY50" s="65">
        <f t="shared" si="32"/>
        <v>0</v>
      </c>
      <c r="BZ50" s="66" t="str">
        <f t="shared" si="33"/>
        <v/>
      </c>
      <c r="CA50" s="65" t="str">
        <f t="shared" si="34"/>
        <v/>
      </c>
      <c r="CB50" s="65" t="str">
        <f t="shared" si="35"/>
        <v/>
      </c>
      <c r="CC50" s="65" t="str">
        <f t="shared" si="36"/>
        <v/>
      </c>
      <c r="CD50" s="66">
        <f t="shared" si="161"/>
        <v>0</v>
      </c>
      <c r="CE50" s="68" t="str">
        <f>IF('Marks Entry'!AL50="","",'Marks Entry'!AL50)</f>
        <v/>
      </c>
      <c r="CF50" s="68" t="str">
        <f>IF('Marks Entry'!AM50="","",'Marks Entry'!AM50)</f>
        <v/>
      </c>
      <c r="CG50" s="68" t="str">
        <f>IF('Marks Entry'!AN50="","",'Marks Entry'!AN50)</f>
        <v/>
      </c>
      <c r="CH50" s="514" t="str">
        <f t="shared" si="37"/>
        <v/>
      </c>
      <c r="CI50" s="68" t="str">
        <f>IF('Marks Entry'!AO50="","",'Marks Entry'!AO50)</f>
        <v/>
      </c>
      <c r="CJ50" s="515" t="str">
        <f t="shared" si="38"/>
        <v/>
      </c>
      <c r="CK50" s="68" t="str">
        <f>IF('Marks Entry'!AP50="","",'Marks Entry'!AP50)</f>
        <v/>
      </c>
      <c r="CL50" s="96" t="str">
        <f t="shared" si="39"/>
        <v/>
      </c>
      <c r="CM50" s="65">
        <f t="shared" si="40"/>
        <v>0</v>
      </c>
      <c r="CN50" s="65">
        <f t="shared" si="41"/>
        <v>0</v>
      </c>
      <c r="CO50" s="66" t="str">
        <f t="shared" si="42"/>
        <v/>
      </c>
      <c r="CP50" s="65" t="str">
        <f t="shared" si="43"/>
        <v/>
      </c>
      <c r="CQ50" s="65" t="str">
        <f t="shared" si="44"/>
        <v/>
      </c>
      <c r="CR50" s="65" t="str">
        <f t="shared" si="45"/>
        <v/>
      </c>
      <c r="CS50" s="616"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8" t="str">
        <f>IF('School Profile'!$D$20="NO","",IF('Marks Entry'!AR50="","",'Marks Entry'!AR50))</f>
        <v/>
      </c>
      <c r="CU50" s="68" t="str">
        <f>IF('School Profile'!$D$20="NO","",IF('Marks Entry'!AS50="","",'Marks Entry'!AS50))</f>
        <v/>
      </c>
      <c r="CV50" s="68" t="str">
        <f>IF('School Profile'!$D$20="NO","",IF('Marks Entry'!AT50="","",'Marks Entry'!AT50))</f>
        <v/>
      </c>
      <c r="CW50" s="514" t="str">
        <f>IF('School Profile'!$D$20="NO","",IF(AND(CT50="",CU50="",CV50=""),"",SUM(CT50:CV50)))</f>
        <v/>
      </c>
      <c r="CX50" s="68" t="str">
        <f>IF('School Profile'!$D$20="NO","",IF('Marks Entry'!AU50="","",'Marks Entry'!AU50))</f>
        <v/>
      </c>
      <c r="CY50" s="68" t="str">
        <f>IF('School Profile'!$D$20="NO","",IF('Marks Entry'!AV50="","",'Marks Entry'!AV50))</f>
        <v/>
      </c>
      <c r="CZ50" s="515" t="str">
        <f>IF('School Profile'!$D$20="NO","",IF(AND(CX50="",CY50=""),"",SUM(CX50,CY50)))</f>
        <v/>
      </c>
      <c r="DA50" s="69" t="str">
        <f>IF('School Profile'!$D$20="NO","",IF(AND(CW50="",CZ50=""),"",SUM(CW50+CZ50)))</f>
        <v/>
      </c>
      <c r="DB50" s="68" t="str">
        <f>IF('School Profile'!$D$20="NO","",IF('Marks Entry'!AW50="","",'Marks Entry'!AW50))</f>
        <v/>
      </c>
      <c r="DC50" s="68" t="str">
        <f>IF('School Profile'!$D$20="NO","",IF('Marks Entry'!AX50="","",'Marks Entry'!AX50))</f>
        <v/>
      </c>
      <c r="DD50" s="515" t="str">
        <f>IF('School Profile'!$D$20="NO","",IF(AND(DB50="",DC50=""),"",SUM(DB50,DC50)))</f>
        <v/>
      </c>
      <c r="DE50" s="96" t="str">
        <f>IF('School Profile'!$D$20="NO","",IF(AND(DA50="",DD50=""),"",SUM(DA50,DD50)))</f>
        <v/>
      </c>
      <c r="DF50" s="532">
        <f t="shared" si="46"/>
        <v>0</v>
      </c>
      <c r="DG50" s="65">
        <f t="shared" si="47"/>
        <v>0</v>
      </c>
      <c r="DH50" s="66" t="str">
        <f t="shared" si="48"/>
        <v/>
      </c>
      <c r="DI50" s="65" t="str">
        <f t="shared" si="49"/>
        <v/>
      </c>
      <c r="DJ50" s="65" t="str">
        <f t="shared" si="50"/>
        <v/>
      </c>
      <c r="DK50" s="65" t="str">
        <f t="shared" si="51"/>
        <v/>
      </c>
      <c r="DL50" s="97" t="str">
        <f t="shared" si="94"/>
        <v/>
      </c>
      <c r="DM50" s="97" t="str">
        <f t="shared" si="95"/>
        <v/>
      </c>
      <c r="DN50" s="97" t="str">
        <f t="shared" si="96"/>
        <v/>
      </c>
      <c r="DO50" s="97" t="str">
        <f t="shared" si="97"/>
        <v/>
      </c>
      <c r="DP50" s="97" t="str">
        <f t="shared" si="98"/>
        <v/>
      </c>
      <c r="DQ50" s="97" t="str">
        <f t="shared" si="99"/>
        <v/>
      </c>
      <c r="DR50" s="97" t="str">
        <f t="shared" si="100"/>
        <v/>
      </c>
      <c r="DS50" s="98">
        <f t="shared" si="101"/>
        <v>0</v>
      </c>
      <c r="DT50" s="98">
        <f t="shared" si="102"/>
        <v>0</v>
      </c>
      <c r="DU50" s="98">
        <f t="shared" si="103"/>
        <v>0</v>
      </c>
      <c r="DV50" s="98">
        <f t="shared" si="104"/>
        <v>0</v>
      </c>
      <c r="DW50" s="98">
        <f t="shared" si="105"/>
        <v>0</v>
      </c>
      <c r="DX50" s="98" t="str">
        <f t="shared" si="106"/>
        <v/>
      </c>
      <c r="DY50" s="99" t="str">
        <f t="shared" si="107"/>
        <v/>
      </c>
      <c r="DZ50" s="74" t="str">
        <f>IF('Marks Entry'!AY50="","",'Marks Entry'!AY50)</f>
        <v/>
      </c>
      <c r="EA50" s="74" t="str">
        <f>IF('Marks Entry'!AZ50="","",'Marks Entry'!AZ50)</f>
        <v/>
      </c>
      <c r="EB50" s="74" t="str">
        <f>IF('Marks Entry'!BA50="","",'Marks Entry'!BA50)</f>
        <v/>
      </c>
      <c r="EC50" s="527" t="str">
        <f t="shared" si="52"/>
        <v/>
      </c>
      <c r="ED50" s="74" t="str">
        <f>IF('Marks Entry'!BB50="","",'Marks Entry'!BB50)</f>
        <v/>
      </c>
      <c r="EE50" s="528" t="str">
        <f t="shared" si="53"/>
        <v/>
      </c>
      <c r="EF50" s="74" t="str">
        <f>IF('Marks Entry'!BC50="","",'Marks Entry'!BC50)</f>
        <v/>
      </c>
      <c r="EG50" s="530" t="str">
        <f t="shared" si="54"/>
        <v/>
      </c>
      <c r="EH50" s="368" t="str">
        <f t="shared" si="108"/>
        <v/>
      </c>
      <c r="EI50" s="65">
        <f t="shared" si="109"/>
        <v>0</v>
      </c>
      <c r="EJ50" s="65">
        <f t="shared" si="110"/>
        <v>0</v>
      </c>
      <c r="EK50" s="66" t="str">
        <f t="shared" si="111"/>
        <v/>
      </c>
      <c r="EL50" s="74" t="str">
        <f>IF('Marks Entry'!BD50="","",'Marks Entry'!BD50)</f>
        <v/>
      </c>
      <c r="EM50" s="74" t="str">
        <f>IF('Marks Entry'!BE50="","",'Marks Entry'!BE50)</f>
        <v/>
      </c>
      <c r="EN50" s="74" t="str">
        <f>IF('Marks Entry'!BF50="","",'Marks Entry'!BF50)</f>
        <v/>
      </c>
      <c r="EO50" s="527" t="str">
        <f t="shared" si="55"/>
        <v/>
      </c>
      <c r="EP50" s="74" t="str">
        <f>IF('Marks Entry'!BG50="","",'Marks Entry'!BG50)</f>
        <v/>
      </c>
      <c r="EQ50" s="74" t="str">
        <f>IF('Marks Entry'!BH50="","",'Marks Entry'!BH50)</f>
        <v/>
      </c>
      <c r="ER50" s="528" t="str">
        <f t="shared" si="56"/>
        <v/>
      </c>
      <c r="ES50" s="529" t="str">
        <f t="shared" si="57"/>
        <v/>
      </c>
      <c r="ET50" s="74" t="str">
        <f>IF('Marks Entry'!BI50="","",'Marks Entry'!BI50)</f>
        <v/>
      </c>
      <c r="EU50" s="74" t="str">
        <f>IF('Marks Entry'!BJ50="","",'Marks Entry'!BJ50)</f>
        <v/>
      </c>
      <c r="EV50" s="528" t="str">
        <f t="shared" si="58"/>
        <v/>
      </c>
      <c r="EW50" s="530" t="str">
        <f t="shared" si="59"/>
        <v/>
      </c>
      <c r="EX50" s="368" t="str">
        <f t="shared" si="112"/>
        <v/>
      </c>
      <c r="EY50" s="65">
        <f t="shared" si="113"/>
        <v>0</v>
      </c>
      <c r="EZ50" s="65">
        <f t="shared" si="114"/>
        <v>0</v>
      </c>
      <c r="FA50" s="66" t="str">
        <f t="shared" si="115"/>
        <v/>
      </c>
      <c r="FB50" s="74" t="str">
        <f>IF('Marks Entry'!BK50="","",'Marks Entry'!BK50)</f>
        <v/>
      </c>
      <c r="FC50" s="74" t="str">
        <f>IF('Marks Entry'!BL50="","",'Marks Entry'!BL50)</f>
        <v/>
      </c>
      <c r="FD50" s="74" t="str">
        <f>IF('Marks Entry'!BM50="","",'Marks Entry'!BM50)</f>
        <v/>
      </c>
      <c r="FE50" s="74" t="str">
        <f>IF('Marks Entry'!BN50="","",'Marks Entry'!BN50)</f>
        <v/>
      </c>
      <c r="FF50" s="74" t="str">
        <f>IF('Marks Entry'!BO50="","",'Marks Entry'!BO50)</f>
        <v/>
      </c>
      <c r="FG50" s="74" t="str">
        <f>IF('Marks Entry'!BP50="","",'Marks Entry'!BP50)</f>
        <v/>
      </c>
      <c r="FH50" s="527" t="str">
        <f t="shared" si="60"/>
        <v/>
      </c>
      <c r="FI50" s="74" t="str">
        <f>IF('Marks Entry'!BQ50="","",'Marks Entry'!BQ50)</f>
        <v/>
      </c>
      <c r="FJ50" s="74" t="str">
        <f>IF('Marks Entry'!BR50="","",'Marks Entry'!BR50)</f>
        <v/>
      </c>
      <c r="FK50" s="528" t="str">
        <f t="shared" si="61"/>
        <v/>
      </c>
      <c r="FL50" s="529" t="str">
        <f t="shared" si="62"/>
        <v/>
      </c>
      <c r="FM50" s="74" t="str">
        <f>IF('Marks Entry'!BS50="","",'Marks Entry'!BS50)</f>
        <v/>
      </c>
      <c r="FN50" s="74" t="str">
        <f>IF('Marks Entry'!BT50="","",'Marks Entry'!BT50)</f>
        <v/>
      </c>
      <c r="FO50" s="528" t="str">
        <f t="shared" si="63"/>
        <v/>
      </c>
      <c r="FP50" s="530" t="str">
        <f t="shared" si="64"/>
        <v/>
      </c>
      <c r="FQ50" s="368" t="str">
        <f t="shared" si="116"/>
        <v/>
      </c>
      <c r="FR50" s="65">
        <f t="shared" si="117"/>
        <v>0</v>
      </c>
      <c r="FS50" s="65">
        <f t="shared" si="118"/>
        <v>0</v>
      </c>
      <c r="FT50" s="66" t="str">
        <f t="shared" si="119"/>
        <v/>
      </c>
      <c r="FU50" s="74" t="str">
        <f>IF('Marks Entry'!BU50="","",'Marks Entry'!BU50)</f>
        <v/>
      </c>
      <c r="FV50" s="74" t="str">
        <f>IF('Marks Entry'!BV50="","",'Marks Entry'!BV50)</f>
        <v/>
      </c>
      <c r="FW50" s="74" t="str">
        <f>IF('Marks Entry'!BW50="","",'Marks Entry'!BW50)</f>
        <v/>
      </c>
      <c r="FX50" s="75" t="str">
        <f t="shared" si="65"/>
        <v/>
      </c>
      <c r="FY50" s="368" t="str">
        <f t="shared" si="120"/>
        <v/>
      </c>
      <c r="FZ50" s="65">
        <f t="shared" si="121"/>
        <v>0</v>
      </c>
      <c r="GA50" s="66">
        <f t="shared" si="122"/>
        <v>0</v>
      </c>
      <c r="GB50" s="66" t="str">
        <f t="shared" si="123"/>
        <v/>
      </c>
      <c r="GC50" s="74" t="str">
        <f>IF('Marks Entry'!BX50="","",'Marks Entry'!BX50)</f>
        <v/>
      </c>
      <c r="GD50" s="74" t="str">
        <f>IF('Marks Entry'!BY50="","",'Marks Entry'!BY50)</f>
        <v/>
      </c>
      <c r="GE50" s="74" t="str">
        <f>IF('Marks Entry'!BZ50="","",'Marks Entry'!BZ50)</f>
        <v/>
      </c>
      <c r="GF50" s="75" t="str">
        <f t="shared" si="124"/>
        <v/>
      </c>
      <c r="GG50" s="368" t="str">
        <f t="shared" si="125"/>
        <v/>
      </c>
      <c r="GH50" s="65">
        <f t="shared" si="126"/>
        <v>0</v>
      </c>
      <c r="GI50" s="66">
        <f t="shared" si="127"/>
        <v>0</v>
      </c>
      <c r="GJ50" s="66" t="str">
        <f t="shared" si="128"/>
        <v/>
      </c>
      <c r="GK50" s="100" t="str">
        <f>IF(AND(F50="",B50=""),"",IF('Student DATA Entry'!M47="","",'Student DATA Entry'!M47))</f>
        <v/>
      </c>
      <c r="GL50" s="101" t="str">
        <f>IF(AND(B50="",F50=""),"",IF('Student DATA Entry'!N47="","",'Student DATA Entry'!N47))</f>
        <v/>
      </c>
      <c r="GM50" s="581" t="str">
        <f t="shared" si="129"/>
        <v/>
      </c>
      <c r="GN50" s="94" t="str">
        <f t="shared" si="130"/>
        <v/>
      </c>
      <c r="GO50" s="94" t="str">
        <f t="shared" si="131"/>
        <v/>
      </c>
      <c r="GP50" s="102" t="str">
        <f t="shared" si="162"/>
        <v/>
      </c>
      <c r="GQ50" s="94" t="str">
        <f t="shared" si="132"/>
        <v/>
      </c>
      <c r="GR50" s="103" t="str">
        <f t="shared" si="133"/>
        <v/>
      </c>
      <c r="GS50" s="102" t="str">
        <f t="shared" si="163"/>
        <v/>
      </c>
      <c r="GT50" s="104" t="str">
        <f t="shared" si="134"/>
        <v/>
      </c>
      <c r="GU50" s="94" t="str">
        <f>IF('Marks Entry'!V50=1,GT50,"")</f>
        <v/>
      </c>
      <c r="GV50" s="94" t="str">
        <f>IF('Marks Entry'!V50=2,GT50,"")</f>
        <v/>
      </c>
      <c r="GW50" s="94" t="str">
        <f>IF('Marks Entry'!V50=3,GT50,"")</f>
        <v/>
      </c>
      <c r="GX50" s="94" t="str">
        <f>IF('Marks Entry'!V50=4,GT50,"")</f>
        <v/>
      </c>
      <c r="GY50" s="94" t="str">
        <f>IF('Marks Entry'!V50=5,GT50,"")</f>
        <v/>
      </c>
      <c r="GZ50" s="94" t="str">
        <f t="shared" si="135"/>
        <v/>
      </c>
      <c r="HA50" s="105" t="str">
        <f t="shared" si="164"/>
        <v/>
      </c>
      <c r="HB50" s="94" t="str">
        <f t="shared" si="136"/>
        <v/>
      </c>
      <c r="HC50" s="94" t="str">
        <f t="shared" si="137"/>
        <v/>
      </c>
      <c r="HD50" s="105" t="str">
        <f t="shared" si="165"/>
        <v/>
      </c>
      <c r="HE50" s="94" t="str">
        <f t="shared" si="138"/>
        <v/>
      </c>
      <c r="HF50" s="94" t="str">
        <f t="shared" si="139"/>
        <v/>
      </c>
      <c r="HG50" s="105" t="str">
        <f t="shared" si="166"/>
        <v/>
      </c>
      <c r="HH50" s="94" t="str">
        <f t="shared" si="140"/>
        <v/>
      </c>
      <c r="HI50" s="94" t="str">
        <f t="shared" si="141"/>
        <v/>
      </c>
      <c r="HJ50" s="105" t="str">
        <f t="shared" si="167"/>
        <v/>
      </c>
      <c r="HK50" s="94" t="str">
        <f t="shared" si="142"/>
        <v/>
      </c>
      <c r="HL50" s="94" t="str">
        <f t="shared" si="143"/>
        <v/>
      </c>
      <c r="HM50" s="105" t="str">
        <f t="shared" si="168"/>
        <v/>
      </c>
      <c r="HN50" s="367" t="str">
        <f t="shared" si="144"/>
        <v xml:space="preserve">      </v>
      </c>
      <c r="HO50" s="418" t="str">
        <f t="shared" si="169"/>
        <v xml:space="preserve">      </v>
      </c>
      <c r="HP50" s="367" t="str">
        <f t="shared" si="146"/>
        <v xml:space="preserve">      </v>
      </c>
      <c r="HQ50" s="107" t="str">
        <f t="shared" si="147"/>
        <v xml:space="preserve">      </v>
      </c>
      <c r="HR50" s="366" t="str">
        <f t="shared" si="148"/>
        <v xml:space="preserve">      </v>
      </c>
      <c r="HS50" s="544" t="str">
        <f t="shared" si="170"/>
        <v/>
      </c>
      <c r="HT50" s="542" t="str">
        <f t="shared" si="149"/>
        <v/>
      </c>
      <c r="HU50" s="541" t="str">
        <f t="shared" si="160"/>
        <v/>
      </c>
      <c r="HV50" s="540" t="str">
        <f t="shared" si="150"/>
        <v/>
      </c>
      <c r="HW50" s="537" t="str">
        <f t="shared" si="151"/>
        <v/>
      </c>
      <c r="HX50" s="539" t="str">
        <f t="shared" si="152"/>
        <v/>
      </c>
      <c r="HY50" s="553" t="str">
        <f>IFERROR(IF(OR(HS50="SUPPLEMENTARY",HS50="RE-EXAM"),'Supp. Result Entry'!AQ48,""),"")</f>
        <v/>
      </c>
      <c r="HZ50" s="538" t="str">
        <f t="shared" si="153"/>
        <v/>
      </c>
      <c r="IA50" s="415" t="str">
        <f t="shared" si="154"/>
        <v/>
      </c>
      <c r="IB50" s="415" t="str">
        <f>IF(AND(HZ50="",IA50=""),"",IF(OR(HS50="SUPPLEMENTARY",HS50="RE-EXAM"),'Supp. Result Entry'!AQ48,HS50))</f>
        <v/>
      </c>
      <c r="IC50" s="87"/>
      <c r="ID50" s="111"/>
      <c r="IS50" s="109" t="str">
        <f>IF('Supp. Result Entry'!T48="","",'Supp. Result Entry'!$T$4)</f>
        <v/>
      </c>
      <c r="IT50" s="110" t="str">
        <f>IF('Supp. Result Entry'!W48="","",'Supp. Result Entry'!$W$4)</f>
        <v/>
      </c>
      <c r="IU50" s="110" t="str">
        <f>IF('Supp. Result Entry'!Z48="","",'Supp. Result Entry'!$Z$4)</f>
        <v/>
      </c>
      <c r="IV50" s="110" t="str">
        <f>IF('Supp. Result Entry'!AC48="","",'Supp. Result Entry'!$AC$4)</f>
        <v/>
      </c>
      <c r="IW50" s="110" t="str">
        <f>IF('Supp. Result Entry'!AF48="","",'Supp. Result Entry'!$AF$4)</f>
        <v/>
      </c>
      <c r="IX50" s="110" t="str">
        <f>IF('Supp. Result Entry'!AI48="","",'Supp. Result Entry'!$AI$4)</f>
        <v/>
      </c>
      <c r="IY50" s="110" t="str">
        <f>IF('Supp. Result Entry'!AI48="","",'Supp. Result Entry'!$AL$4)</f>
        <v/>
      </c>
      <c r="IZ50" s="110" t="str">
        <f>IF('Supp. Result Entry'!U48="","",'Supp. Result Entry'!U48)</f>
        <v/>
      </c>
      <c r="JA50" s="110" t="str">
        <f>IF('Supp. Result Entry'!X48="","",'Supp. Result Entry'!X48)</f>
        <v/>
      </c>
      <c r="JB50" s="110" t="str">
        <f>IF('Supp. Result Entry'!AA48="","",'Supp. Result Entry'!AA48)</f>
        <v/>
      </c>
      <c r="JC50" s="110" t="str">
        <f>IF('Supp. Result Entry'!AD48="","",'Supp. Result Entry'!AD48)</f>
        <v/>
      </c>
      <c r="JD50" s="110" t="str">
        <f>IF('Supp. Result Entry'!AG48="","",'Supp. Result Entry'!AG48)</f>
        <v/>
      </c>
      <c r="JE50" s="110" t="str">
        <f>IF('Supp. Result Entry'!AJ48="","",'Supp. Result Entry'!AJ48)</f>
        <v/>
      </c>
      <c r="JF50" s="110" t="str">
        <f>IF('Supp. Result Entry'!AM48="","",'Supp. Result Entry'!AM48)</f>
        <v/>
      </c>
      <c r="JG50" s="110" t="str">
        <f>IF('Supp. Result Entry'!V48="","",'Supp. Result Entry'!V48)</f>
        <v/>
      </c>
      <c r="JH50" s="110" t="str">
        <f>IF('Supp. Result Entry'!Y48="","",'Supp. Result Entry'!Y48)</f>
        <v/>
      </c>
      <c r="JI50" s="110" t="str">
        <f>IF('Supp. Result Entry'!AB48="","",'Supp. Result Entry'!AB48)</f>
        <v/>
      </c>
      <c r="JJ50" s="110" t="str">
        <f>IF('Supp. Result Entry'!AE48="","",'Supp. Result Entry'!AE48)</f>
        <v/>
      </c>
      <c r="JK50" s="110" t="str">
        <f>IF('Supp. Result Entry'!AH48="","",'Supp. Result Entry'!AH48)</f>
        <v/>
      </c>
      <c r="JL50" s="110" t="str">
        <f>IF('Supp. Result Entry'!AK48="","",'Supp. Result Entry'!AK48)</f>
        <v/>
      </c>
      <c r="JM50" s="110" t="str">
        <f>IF('Supp. Result Entry'!AN48="","",'Supp. Result Entry'!AN48)</f>
        <v/>
      </c>
      <c r="JN50" s="110">
        <f>COUNTIF('Supp. Result Entry'!K48:Q48,"S")</f>
        <v>0</v>
      </c>
      <c r="JO50" s="110">
        <f t="shared" si="155"/>
        <v>0</v>
      </c>
      <c r="JP50" s="110">
        <f t="shared" si="156"/>
        <v>0</v>
      </c>
      <c r="JQ50" s="110" t="str">
        <f t="shared" si="75"/>
        <v/>
      </c>
      <c r="JR50" s="110" t="str">
        <f t="shared" si="76"/>
        <v/>
      </c>
      <c r="JS50" s="110" t="str">
        <f t="shared" si="77"/>
        <v/>
      </c>
      <c r="JT50" s="110" t="str">
        <f t="shared" si="78"/>
        <v/>
      </c>
      <c r="JU50" s="110" t="str">
        <f t="shared" si="79"/>
        <v/>
      </c>
      <c r="JV50" s="110" t="str">
        <f t="shared" si="80"/>
        <v/>
      </c>
      <c r="JW50" s="110" t="str">
        <f t="shared" si="81"/>
        <v/>
      </c>
      <c r="JX50" s="110" t="str">
        <f t="shared" si="157"/>
        <v/>
      </c>
      <c r="JY50" s="110" t="str">
        <f t="shared" si="158"/>
        <v/>
      </c>
      <c r="JZ50" s="110" t="str">
        <f t="shared" si="82"/>
        <v/>
      </c>
      <c r="KA50" s="108" t="str">
        <f t="shared" si="159"/>
        <v/>
      </c>
    </row>
    <row r="51" spans="1:287" s="108" customFormat="1" ht="21.95" customHeight="1">
      <c r="A51" s="89">
        <v>45</v>
      </c>
      <c r="B51" s="90" t="str">
        <f>IF('Marks Entry'!B51="","",'Marks Entry'!B51)</f>
        <v/>
      </c>
      <c r="C51" s="94" t="str">
        <f>IF('Marks Entry'!D51="","",'Marks Entry'!D51)</f>
        <v/>
      </c>
      <c r="D51" s="91" t="str">
        <f>IF('Marks Entry'!E51="","",'Marks Entry'!E51)</f>
        <v/>
      </c>
      <c r="E51" s="92" t="str">
        <f>IF('Marks Entry'!F51="","",'Marks Entry'!F51)</f>
        <v/>
      </c>
      <c r="F51" s="93" t="str">
        <f>IF('Marks Entry'!G51="","",'Marks Entry'!G51)</f>
        <v/>
      </c>
      <c r="G51" s="93" t="str">
        <f>IF('Marks Entry'!H51="","",'Marks Entry'!H51)</f>
        <v/>
      </c>
      <c r="H51" s="93" t="str">
        <f>IF('Marks Entry'!I51="","",'Marks Entry'!I51)</f>
        <v/>
      </c>
      <c r="I51" s="94" t="str">
        <f>IF('Marks Entry'!J51="","",'Marks Entry'!J51)</f>
        <v/>
      </c>
      <c r="J51" s="95" t="str">
        <f>IF('Marks Entry'!K51="","",'Marks Entry'!K51)</f>
        <v/>
      </c>
      <c r="K51" s="68" t="str">
        <f>IF('Marks Entry'!L51="","",'Marks Entry'!L51)</f>
        <v/>
      </c>
      <c r="L51" s="68" t="str">
        <f>IF('Marks Entry'!M51="","",'Marks Entry'!M51)</f>
        <v/>
      </c>
      <c r="M51" s="68" t="str">
        <f>IF('Marks Entry'!N51="","",'Marks Entry'!N51)</f>
        <v/>
      </c>
      <c r="N51" s="514" t="str">
        <f t="shared" si="83"/>
        <v/>
      </c>
      <c r="O51" s="68" t="str">
        <f>IF('Marks Entry'!O51="","",'Marks Entry'!O51)</f>
        <v/>
      </c>
      <c r="P51" s="515" t="str">
        <f t="shared" si="84"/>
        <v/>
      </c>
      <c r="Q51" s="68" t="str">
        <f>IF('Marks Entry'!P51="","",'Marks Entry'!P51)</f>
        <v/>
      </c>
      <c r="R51" s="96" t="str">
        <f t="shared" si="85"/>
        <v/>
      </c>
      <c r="S51" s="65">
        <f t="shared" si="86"/>
        <v>0</v>
      </c>
      <c r="T51" s="65">
        <f t="shared" si="87"/>
        <v>0</v>
      </c>
      <c r="U51" s="66" t="str">
        <f t="shared" si="88"/>
        <v/>
      </c>
      <c r="V51" s="65" t="str">
        <f t="shared" si="89"/>
        <v/>
      </c>
      <c r="W51" s="65" t="str">
        <f t="shared" si="90"/>
        <v/>
      </c>
      <c r="X51" s="65" t="str">
        <f t="shared" si="91"/>
        <v/>
      </c>
      <c r="Y51" s="68" t="str">
        <f>IF('Marks Entry'!Q51="","",'Marks Entry'!Q51)</f>
        <v/>
      </c>
      <c r="Z51" s="68" t="str">
        <f>IF('Marks Entry'!R51="","",'Marks Entry'!R51)</f>
        <v/>
      </c>
      <c r="AA51" s="68" t="str">
        <f>IF('Marks Entry'!S51="","",'Marks Entry'!S51)</f>
        <v/>
      </c>
      <c r="AB51" s="514" t="str">
        <f t="shared" si="2"/>
        <v/>
      </c>
      <c r="AC51" s="68" t="str">
        <f>IF('Marks Entry'!T51="","",'Marks Entry'!T51)</f>
        <v/>
      </c>
      <c r="AD51" s="515" t="str">
        <f t="shared" si="3"/>
        <v/>
      </c>
      <c r="AE51" s="68" t="str">
        <f>IF('Marks Entry'!U51="","",'Marks Entry'!U51)</f>
        <v/>
      </c>
      <c r="AF51" s="96" t="str">
        <f t="shared" si="4"/>
        <v/>
      </c>
      <c r="AG51" s="65">
        <f t="shared" si="5"/>
        <v>0</v>
      </c>
      <c r="AH51" s="65">
        <f t="shared" si="6"/>
        <v>0</v>
      </c>
      <c r="AI51" s="66" t="str">
        <f t="shared" si="7"/>
        <v/>
      </c>
      <c r="AJ51" s="65" t="str">
        <f t="shared" si="8"/>
        <v/>
      </c>
      <c r="AK51" s="65" t="str">
        <f t="shared" si="9"/>
        <v/>
      </c>
      <c r="AL51" s="65" t="str">
        <f t="shared" si="10"/>
        <v/>
      </c>
      <c r="AM51" s="524" t="str">
        <f>IF('Marks Entry'!V51="","",IF('Marks Entry'!V51=1,'School Profile'!$I$9,IF('Marks Entry'!V51=2,'School Profile'!$I$10,IF('Marks Entry'!V51=3,'School Profile'!$I$11,IF('Marks Entry'!V51=4,'School Profile'!$I$12,IF('Marks Entry'!V51=5,'School Profile'!$I$13,IF('Marks Entry'!V51=6,'School Profile'!$I$14,"")))))))</f>
        <v/>
      </c>
      <c r="AN51" s="68" t="str">
        <f>IF('Marks Entry'!W51="","",'Marks Entry'!W51)</f>
        <v/>
      </c>
      <c r="AO51" s="68" t="str">
        <f>IF('Marks Entry'!X51="","",'Marks Entry'!X51)</f>
        <v/>
      </c>
      <c r="AP51" s="68" t="str">
        <f>IF('Marks Entry'!Y51="","",'Marks Entry'!Y51)</f>
        <v/>
      </c>
      <c r="AQ51" s="514" t="str">
        <f t="shared" si="11"/>
        <v/>
      </c>
      <c r="AR51" s="68" t="str">
        <f>IF('Marks Entry'!Z51="","",'Marks Entry'!Z51)</f>
        <v/>
      </c>
      <c r="AS51" s="515" t="str">
        <f t="shared" si="12"/>
        <v/>
      </c>
      <c r="AT51" s="68" t="str">
        <f>IF('Marks Entry'!AA51="","",'Marks Entry'!AA51)</f>
        <v/>
      </c>
      <c r="AU51" s="96" t="str">
        <f t="shared" si="13"/>
        <v/>
      </c>
      <c r="AV51" s="65">
        <f t="shared" si="14"/>
        <v>0</v>
      </c>
      <c r="AW51" s="65">
        <f t="shared" si="15"/>
        <v>0</v>
      </c>
      <c r="AX51" s="66" t="str">
        <f t="shared" si="16"/>
        <v/>
      </c>
      <c r="AY51" s="65" t="str">
        <f t="shared" si="17"/>
        <v/>
      </c>
      <c r="AZ51" s="65" t="str">
        <f t="shared" si="18"/>
        <v/>
      </c>
      <c r="BA51" s="65" t="str">
        <f t="shared" si="19"/>
        <v/>
      </c>
      <c r="BB51" s="68" t="str">
        <f>IF('Marks Entry'!AB51="","",'Marks Entry'!AB51)</f>
        <v/>
      </c>
      <c r="BC51" s="68" t="str">
        <f>IF('Marks Entry'!AC51="","",'Marks Entry'!AC51)</f>
        <v/>
      </c>
      <c r="BD51" s="68" t="str">
        <f>IF('Marks Entry'!AD51="","",'Marks Entry'!AD51)</f>
        <v/>
      </c>
      <c r="BE51" s="514" t="str">
        <f t="shared" si="20"/>
        <v/>
      </c>
      <c r="BF51" s="68" t="str">
        <f>IF('Marks Entry'!AE51="","",'Marks Entry'!AE51)</f>
        <v/>
      </c>
      <c r="BG51" s="515" t="str">
        <f t="shared" si="21"/>
        <v/>
      </c>
      <c r="BH51" s="68" t="str">
        <f>IF('Marks Entry'!AF51="","",'Marks Entry'!AF51)</f>
        <v/>
      </c>
      <c r="BI51" s="96" t="str">
        <f t="shared" si="22"/>
        <v/>
      </c>
      <c r="BJ51" s="65">
        <f t="shared" si="23"/>
        <v>0</v>
      </c>
      <c r="BK51" s="65">
        <f t="shared" si="92"/>
        <v>0</v>
      </c>
      <c r="BL51" s="66" t="str">
        <f t="shared" si="24"/>
        <v/>
      </c>
      <c r="BM51" s="65" t="str">
        <f t="shared" si="25"/>
        <v/>
      </c>
      <c r="BN51" s="65" t="str">
        <f t="shared" si="26"/>
        <v/>
      </c>
      <c r="BO51" s="65" t="str">
        <f t="shared" si="27"/>
        <v/>
      </c>
      <c r="BP51" s="68" t="str">
        <f>IF('Marks Entry'!AG51="","",'Marks Entry'!AG51)</f>
        <v/>
      </c>
      <c r="BQ51" s="68" t="str">
        <f>IF('Marks Entry'!AH51="","",'Marks Entry'!AH51)</f>
        <v/>
      </c>
      <c r="BR51" s="68" t="str">
        <f>IF('Marks Entry'!AI51="","",'Marks Entry'!AI51)</f>
        <v/>
      </c>
      <c r="BS51" s="514" t="str">
        <f t="shared" si="28"/>
        <v/>
      </c>
      <c r="BT51" s="68" t="str">
        <f>IF('Marks Entry'!AJ51="","",'Marks Entry'!AJ51)</f>
        <v/>
      </c>
      <c r="BU51" s="515" t="str">
        <f t="shared" si="29"/>
        <v/>
      </c>
      <c r="BV51" s="68" t="str">
        <f>IF('Marks Entry'!AK51="","",'Marks Entry'!AK51)</f>
        <v/>
      </c>
      <c r="BW51" s="96" t="str">
        <f t="shared" si="30"/>
        <v/>
      </c>
      <c r="BX51" s="65">
        <f t="shared" si="31"/>
        <v>0</v>
      </c>
      <c r="BY51" s="65">
        <f t="shared" si="32"/>
        <v>0</v>
      </c>
      <c r="BZ51" s="66" t="str">
        <f t="shared" si="33"/>
        <v/>
      </c>
      <c r="CA51" s="65" t="str">
        <f t="shared" si="34"/>
        <v/>
      </c>
      <c r="CB51" s="65" t="str">
        <f t="shared" si="35"/>
        <v/>
      </c>
      <c r="CC51" s="65" t="str">
        <f t="shared" si="36"/>
        <v/>
      </c>
      <c r="CD51" s="66">
        <f t="shared" si="161"/>
        <v>0</v>
      </c>
      <c r="CE51" s="68" t="str">
        <f>IF('Marks Entry'!AL51="","",'Marks Entry'!AL51)</f>
        <v/>
      </c>
      <c r="CF51" s="68" t="str">
        <f>IF('Marks Entry'!AM51="","",'Marks Entry'!AM51)</f>
        <v/>
      </c>
      <c r="CG51" s="68" t="str">
        <f>IF('Marks Entry'!AN51="","",'Marks Entry'!AN51)</f>
        <v/>
      </c>
      <c r="CH51" s="514" t="str">
        <f t="shared" si="37"/>
        <v/>
      </c>
      <c r="CI51" s="68" t="str">
        <f>IF('Marks Entry'!AO51="","",'Marks Entry'!AO51)</f>
        <v/>
      </c>
      <c r="CJ51" s="515" t="str">
        <f t="shared" si="38"/>
        <v/>
      </c>
      <c r="CK51" s="68" t="str">
        <f>IF('Marks Entry'!AP51="","",'Marks Entry'!AP51)</f>
        <v/>
      </c>
      <c r="CL51" s="96" t="str">
        <f t="shared" si="39"/>
        <v/>
      </c>
      <c r="CM51" s="65">
        <f t="shared" si="40"/>
        <v>0</v>
      </c>
      <c r="CN51" s="65">
        <f t="shared" si="41"/>
        <v>0</v>
      </c>
      <c r="CO51" s="66" t="str">
        <f t="shared" si="42"/>
        <v/>
      </c>
      <c r="CP51" s="65" t="str">
        <f t="shared" si="43"/>
        <v/>
      </c>
      <c r="CQ51" s="65" t="str">
        <f t="shared" si="44"/>
        <v/>
      </c>
      <c r="CR51" s="65" t="str">
        <f t="shared" si="45"/>
        <v/>
      </c>
      <c r="CS51" s="616"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8" t="str">
        <f>IF('School Profile'!$D$20="NO","",IF('Marks Entry'!AR51="","",'Marks Entry'!AR51))</f>
        <v/>
      </c>
      <c r="CU51" s="68" t="str">
        <f>IF('School Profile'!$D$20="NO","",IF('Marks Entry'!AS51="","",'Marks Entry'!AS51))</f>
        <v/>
      </c>
      <c r="CV51" s="68" t="str">
        <f>IF('School Profile'!$D$20="NO","",IF('Marks Entry'!AT51="","",'Marks Entry'!AT51))</f>
        <v/>
      </c>
      <c r="CW51" s="514" t="str">
        <f>IF('School Profile'!$D$20="NO","",IF(AND(CT51="",CU51="",CV51=""),"",SUM(CT51:CV51)))</f>
        <v/>
      </c>
      <c r="CX51" s="68" t="str">
        <f>IF('School Profile'!$D$20="NO","",IF('Marks Entry'!AU51="","",'Marks Entry'!AU51))</f>
        <v/>
      </c>
      <c r="CY51" s="68" t="str">
        <f>IF('School Profile'!$D$20="NO","",IF('Marks Entry'!AV51="","",'Marks Entry'!AV51))</f>
        <v/>
      </c>
      <c r="CZ51" s="515" t="str">
        <f>IF('School Profile'!$D$20="NO","",IF(AND(CX51="",CY51=""),"",SUM(CX51,CY51)))</f>
        <v/>
      </c>
      <c r="DA51" s="69" t="str">
        <f>IF('School Profile'!$D$20="NO","",IF(AND(CW51="",CZ51=""),"",SUM(CW51+CZ51)))</f>
        <v/>
      </c>
      <c r="DB51" s="68" t="str">
        <f>IF('School Profile'!$D$20="NO","",IF('Marks Entry'!AW51="","",'Marks Entry'!AW51))</f>
        <v/>
      </c>
      <c r="DC51" s="68" t="str">
        <f>IF('School Profile'!$D$20="NO","",IF('Marks Entry'!AX51="","",'Marks Entry'!AX51))</f>
        <v/>
      </c>
      <c r="DD51" s="515" t="str">
        <f>IF('School Profile'!$D$20="NO","",IF(AND(DB51="",DC51=""),"",SUM(DB51,DC51)))</f>
        <v/>
      </c>
      <c r="DE51" s="96" t="str">
        <f>IF('School Profile'!$D$20="NO","",IF(AND(DA51="",DD51=""),"",SUM(DA51,DD51)))</f>
        <v/>
      </c>
      <c r="DF51" s="532">
        <f t="shared" si="46"/>
        <v>0</v>
      </c>
      <c r="DG51" s="65">
        <f t="shared" si="47"/>
        <v>0</v>
      </c>
      <c r="DH51" s="66" t="str">
        <f t="shared" si="48"/>
        <v/>
      </c>
      <c r="DI51" s="65" t="str">
        <f t="shared" si="49"/>
        <v/>
      </c>
      <c r="DJ51" s="65" t="str">
        <f t="shared" si="50"/>
        <v/>
      </c>
      <c r="DK51" s="65" t="str">
        <f t="shared" si="51"/>
        <v/>
      </c>
      <c r="DL51" s="97" t="str">
        <f t="shared" si="94"/>
        <v/>
      </c>
      <c r="DM51" s="97" t="str">
        <f t="shared" si="95"/>
        <v/>
      </c>
      <c r="DN51" s="97" t="str">
        <f t="shared" si="96"/>
        <v/>
      </c>
      <c r="DO51" s="97" t="str">
        <f t="shared" si="97"/>
        <v/>
      </c>
      <c r="DP51" s="97" t="str">
        <f t="shared" si="98"/>
        <v/>
      </c>
      <c r="DQ51" s="97" t="str">
        <f t="shared" si="99"/>
        <v/>
      </c>
      <c r="DR51" s="97" t="str">
        <f t="shared" si="100"/>
        <v/>
      </c>
      <c r="DS51" s="98">
        <f t="shared" si="101"/>
        <v>0</v>
      </c>
      <c r="DT51" s="98">
        <f t="shared" si="102"/>
        <v>0</v>
      </c>
      <c r="DU51" s="98">
        <f t="shared" si="103"/>
        <v>0</v>
      </c>
      <c r="DV51" s="98">
        <f t="shared" si="104"/>
        <v>0</v>
      </c>
      <c r="DW51" s="98">
        <f t="shared" si="105"/>
        <v>0</v>
      </c>
      <c r="DX51" s="98" t="str">
        <f t="shared" si="106"/>
        <v/>
      </c>
      <c r="DY51" s="99" t="str">
        <f t="shared" si="107"/>
        <v/>
      </c>
      <c r="DZ51" s="74" t="str">
        <f>IF('Marks Entry'!AY51="","",'Marks Entry'!AY51)</f>
        <v/>
      </c>
      <c r="EA51" s="74" t="str">
        <f>IF('Marks Entry'!AZ51="","",'Marks Entry'!AZ51)</f>
        <v/>
      </c>
      <c r="EB51" s="74" t="str">
        <f>IF('Marks Entry'!BA51="","",'Marks Entry'!BA51)</f>
        <v/>
      </c>
      <c r="EC51" s="527" t="str">
        <f t="shared" si="52"/>
        <v/>
      </c>
      <c r="ED51" s="74" t="str">
        <f>IF('Marks Entry'!BB51="","",'Marks Entry'!BB51)</f>
        <v/>
      </c>
      <c r="EE51" s="528" t="str">
        <f t="shared" si="53"/>
        <v/>
      </c>
      <c r="EF51" s="74" t="str">
        <f>IF('Marks Entry'!BC51="","",'Marks Entry'!BC51)</f>
        <v/>
      </c>
      <c r="EG51" s="530" t="str">
        <f t="shared" si="54"/>
        <v/>
      </c>
      <c r="EH51" s="368" t="str">
        <f t="shared" si="108"/>
        <v/>
      </c>
      <c r="EI51" s="65">
        <f t="shared" si="109"/>
        <v>0</v>
      </c>
      <c r="EJ51" s="65">
        <f t="shared" si="110"/>
        <v>0</v>
      </c>
      <c r="EK51" s="66" t="str">
        <f t="shared" si="111"/>
        <v/>
      </c>
      <c r="EL51" s="74" t="str">
        <f>IF('Marks Entry'!BD51="","",'Marks Entry'!BD51)</f>
        <v/>
      </c>
      <c r="EM51" s="74" t="str">
        <f>IF('Marks Entry'!BE51="","",'Marks Entry'!BE51)</f>
        <v/>
      </c>
      <c r="EN51" s="74" t="str">
        <f>IF('Marks Entry'!BF51="","",'Marks Entry'!BF51)</f>
        <v/>
      </c>
      <c r="EO51" s="527" t="str">
        <f t="shared" si="55"/>
        <v/>
      </c>
      <c r="EP51" s="74" t="str">
        <f>IF('Marks Entry'!BG51="","",'Marks Entry'!BG51)</f>
        <v/>
      </c>
      <c r="EQ51" s="74" t="str">
        <f>IF('Marks Entry'!BH51="","",'Marks Entry'!BH51)</f>
        <v/>
      </c>
      <c r="ER51" s="528" t="str">
        <f t="shared" si="56"/>
        <v/>
      </c>
      <c r="ES51" s="529" t="str">
        <f t="shared" si="57"/>
        <v/>
      </c>
      <c r="ET51" s="74" t="str">
        <f>IF('Marks Entry'!BI51="","",'Marks Entry'!BI51)</f>
        <v/>
      </c>
      <c r="EU51" s="74" t="str">
        <f>IF('Marks Entry'!BJ51="","",'Marks Entry'!BJ51)</f>
        <v/>
      </c>
      <c r="EV51" s="528" t="str">
        <f t="shared" si="58"/>
        <v/>
      </c>
      <c r="EW51" s="530" t="str">
        <f t="shared" si="59"/>
        <v/>
      </c>
      <c r="EX51" s="368" t="str">
        <f t="shared" si="112"/>
        <v/>
      </c>
      <c r="EY51" s="65">
        <f t="shared" si="113"/>
        <v>0</v>
      </c>
      <c r="EZ51" s="65">
        <f t="shared" si="114"/>
        <v>0</v>
      </c>
      <c r="FA51" s="66" t="str">
        <f t="shared" si="115"/>
        <v/>
      </c>
      <c r="FB51" s="74" t="str">
        <f>IF('Marks Entry'!BK51="","",'Marks Entry'!BK51)</f>
        <v/>
      </c>
      <c r="FC51" s="74" t="str">
        <f>IF('Marks Entry'!BL51="","",'Marks Entry'!BL51)</f>
        <v/>
      </c>
      <c r="FD51" s="74" t="str">
        <f>IF('Marks Entry'!BM51="","",'Marks Entry'!BM51)</f>
        <v/>
      </c>
      <c r="FE51" s="74" t="str">
        <f>IF('Marks Entry'!BN51="","",'Marks Entry'!BN51)</f>
        <v/>
      </c>
      <c r="FF51" s="74" t="str">
        <f>IF('Marks Entry'!BO51="","",'Marks Entry'!BO51)</f>
        <v/>
      </c>
      <c r="FG51" s="74" t="str">
        <f>IF('Marks Entry'!BP51="","",'Marks Entry'!BP51)</f>
        <v/>
      </c>
      <c r="FH51" s="527" t="str">
        <f t="shared" si="60"/>
        <v/>
      </c>
      <c r="FI51" s="74" t="str">
        <f>IF('Marks Entry'!BQ51="","",'Marks Entry'!BQ51)</f>
        <v/>
      </c>
      <c r="FJ51" s="74" t="str">
        <f>IF('Marks Entry'!BR51="","",'Marks Entry'!BR51)</f>
        <v/>
      </c>
      <c r="FK51" s="528" t="str">
        <f t="shared" si="61"/>
        <v/>
      </c>
      <c r="FL51" s="529" t="str">
        <f t="shared" si="62"/>
        <v/>
      </c>
      <c r="FM51" s="74" t="str">
        <f>IF('Marks Entry'!BS51="","",'Marks Entry'!BS51)</f>
        <v/>
      </c>
      <c r="FN51" s="74" t="str">
        <f>IF('Marks Entry'!BT51="","",'Marks Entry'!BT51)</f>
        <v/>
      </c>
      <c r="FO51" s="528" t="str">
        <f t="shared" si="63"/>
        <v/>
      </c>
      <c r="FP51" s="530" t="str">
        <f t="shared" si="64"/>
        <v/>
      </c>
      <c r="FQ51" s="368" t="str">
        <f t="shared" si="116"/>
        <v/>
      </c>
      <c r="FR51" s="65">
        <f t="shared" si="117"/>
        <v>0</v>
      </c>
      <c r="FS51" s="65">
        <f t="shared" si="118"/>
        <v>0</v>
      </c>
      <c r="FT51" s="66" t="str">
        <f t="shared" si="119"/>
        <v/>
      </c>
      <c r="FU51" s="74" t="str">
        <f>IF('Marks Entry'!BU51="","",'Marks Entry'!BU51)</f>
        <v/>
      </c>
      <c r="FV51" s="74" t="str">
        <f>IF('Marks Entry'!BV51="","",'Marks Entry'!BV51)</f>
        <v/>
      </c>
      <c r="FW51" s="74" t="str">
        <f>IF('Marks Entry'!BW51="","",'Marks Entry'!BW51)</f>
        <v/>
      </c>
      <c r="FX51" s="75" t="str">
        <f t="shared" si="65"/>
        <v/>
      </c>
      <c r="FY51" s="368" t="str">
        <f t="shared" si="120"/>
        <v/>
      </c>
      <c r="FZ51" s="65">
        <f t="shared" si="121"/>
        <v>0</v>
      </c>
      <c r="GA51" s="66">
        <f t="shared" si="122"/>
        <v>0</v>
      </c>
      <c r="GB51" s="66" t="str">
        <f t="shared" si="123"/>
        <v/>
      </c>
      <c r="GC51" s="74" t="str">
        <f>IF('Marks Entry'!BX51="","",'Marks Entry'!BX51)</f>
        <v/>
      </c>
      <c r="GD51" s="74" t="str">
        <f>IF('Marks Entry'!BY51="","",'Marks Entry'!BY51)</f>
        <v/>
      </c>
      <c r="GE51" s="74" t="str">
        <f>IF('Marks Entry'!BZ51="","",'Marks Entry'!BZ51)</f>
        <v/>
      </c>
      <c r="GF51" s="75" t="str">
        <f t="shared" si="124"/>
        <v/>
      </c>
      <c r="GG51" s="368" t="str">
        <f t="shared" si="125"/>
        <v/>
      </c>
      <c r="GH51" s="65">
        <f t="shared" si="126"/>
        <v>0</v>
      </c>
      <c r="GI51" s="66">
        <f t="shared" si="127"/>
        <v>0</v>
      </c>
      <c r="GJ51" s="66" t="str">
        <f t="shared" si="128"/>
        <v/>
      </c>
      <c r="GK51" s="100" t="str">
        <f>IF(AND(F51="",B51=""),"",IF('Student DATA Entry'!M48="","",'Student DATA Entry'!M48))</f>
        <v/>
      </c>
      <c r="GL51" s="101" t="str">
        <f>IF(AND(B51="",F51=""),"",IF('Student DATA Entry'!N48="","",'Student DATA Entry'!N48))</f>
        <v/>
      </c>
      <c r="GM51" s="581" t="str">
        <f t="shared" si="129"/>
        <v/>
      </c>
      <c r="GN51" s="94" t="str">
        <f t="shared" si="130"/>
        <v/>
      </c>
      <c r="GO51" s="94" t="str">
        <f t="shared" si="131"/>
        <v/>
      </c>
      <c r="GP51" s="102" t="str">
        <f t="shared" si="162"/>
        <v/>
      </c>
      <c r="GQ51" s="94" t="str">
        <f t="shared" si="132"/>
        <v/>
      </c>
      <c r="GR51" s="103" t="str">
        <f t="shared" si="133"/>
        <v/>
      </c>
      <c r="GS51" s="102" t="str">
        <f t="shared" si="163"/>
        <v/>
      </c>
      <c r="GT51" s="104" t="str">
        <f t="shared" si="134"/>
        <v/>
      </c>
      <c r="GU51" s="94" t="str">
        <f>IF('Marks Entry'!V51=1,GT51,"")</f>
        <v/>
      </c>
      <c r="GV51" s="94" t="str">
        <f>IF('Marks Entry'!V51=2,GT51,"")</f>
        <v/>
      </c>
      <c r="GW51" s="94" t="str">
        <f>IF('Marks Entry'!V51=3,GT51,"")</f>
        <v/>
      </c>
      <c r="GX51" s="94" t="str">
        <f>IF('Marks Entry'!V51=4,GT51,"")</f>
        <v/>
      </c>
      <c r="GY51" s="94" t="str">
        <f>IF('Marks Entry'!V51=5,GT51,"")</f>
        <v/>
      </c>
      <c r="GZ51" s="94" t="str">
        <f t="shared" si="135"/>
        <v/>
      </c>
      <c r="HA51" s="105" t="str">
        <f t="shared" si="164"/>
        <v/>
      </c>
      <c r="HB51" s="94" t="str">
        <f t="shared" si="136"/>
        <v/>
      </c>
      <c r="HC51" s="94" t="str">
        <f t="shared" si="137"/>
        <v/>
      </c>
      <c r="HD51" s="105" t="str">
        <f t="shared" si="165"/>
        <v/>
      </c>
      <c r="HE51" s="94" t="str">
        <f t="shared" si="138"/>
        <v/>
      </c>
      <c r="HF51" s="94" t="str">
        <f t="shared" si="139"/>
        <v/>
      </c>
      <c r="HG51" s="105" t="str">
        <f t="shared" si="166"/>
        <v/>
      </c>
      <c r="HH51" s="94" t="str">
        <f t="shared" si="140"/>
        <v/>
      </c>
      <c r="HI51" s="94" t="str">
        <f t="shared" si="141"/>
        <v/>
      </c>
      <c r="HJ51" s="105" t="str">
        <f t="shared" si="167"/>
        <v/>
      </c>
      <c r="HK51" s="94" t="str">
        <f t="shared" si="142"/>
        <v/>
      </c>
      <c r="HL51" s="94" t="str">
        <f t="shared" si="143"/>
        <v/>
      </c>
      <c r="HM51" s="105" t="str">
        <f t="shared" si="168"/>
        <v/>
      </c>
      <c r="HN51" s="367" t="str">
        <f t="shared" si="144"/>
        <v xml:space="preserve">      </v>
      </c>
      <c r="HO51" s="418" t="str">
        <f t="shared" si="169"/>
        <v xml:space="preserve">      </v>
      </c>
      <c r="HP51" s="367" t="str">
        <f t="shared" si="146"/>
        <v xml:space="preserve">      </v>
      </c>
      <c r="HQ51" s="107" t="str">
        <f t="shared" si="147"/>
        <v xml:space="preserve">      </v>
      </c>
      <c r="HR51" s="366" t="str">
        <f t="shared" si="148"/>
        <v xml:space="preserve">      </v>
      </c>
      <c r="HS51" s="544" t="str">
        <f t="shared" si="170"/>
        <v/>
      </c>
      <c r="HT51" s="542" t="str">
        <f t="shared" si="149"/>
        <v/>
      </c>
      <c r="HU51" s="541" t="str">
        <f t="shared" si="160"/>
        <v/>
      </c>
      <c r="HV51" s="540" t="str">
        <f t="shared" si="150"/>
        <v/>
      </c>
      <c r="HW51" s="537" t="str">
        <f t="shared" si="151"/>
        <v/>
      </c>
      <c r="HX51" s="539" t="str">
        <f t="shared" si="152"/>
        <v/>
      </c>
      <c r="HY51" s="553" t="str">
        <f>IFERROR(IF(OR(HS51="SUPPLEMENTARY",HS51="RE-EXAM"),'Supp. Result Entry'!AQ49,""),"")</f>
        <v/>
      </c>
      <c r="HZ51" s="538" t="str">
        <f t="shared" si="153"/>
        <v/>
      </c>
      <c r="IA51" s="415" t="str">
        <f t="shared" si="154"/>
        <v/>
      </c>
      <c r="IB51" s="415" t="str">
        <f>IF(AND(HZ51="",IA51=""),"",IF(OR(HS51="SUPPLEMENTARY",HS51="RE-EXAM"),'Supp. Result Entry'!AQ49,HS51))</f>
        <v/>
      </c>
      <c r="IC51" s="87"/>
      <c r="ID51" s="111"/>
      <c r="IS51" s="109" t="str">
        <f>IF('Supp. Result Entry'!T49="","",'Supp. Result Entry'!$T$4)</f>
        <v/>
      </c>
      <c r="IT51" s="110" t="str">
        <f>IF('Supp. Result Entry'!W49="","",'Supp. Result Entry'!$W$4)</f>
        <v/>
      </c>
      <c r="IU51" s="110" t="str">
        <f>IF('Supp. Result Entry'!Z49="","",'Supp. Result Entry'!$Z$4)</f>
        <v/>
      </c>
      <c r="IV51" s="110" t="str">
        <f>IF('Supp. Result Entry'!AC49="","",'Supp. Result Entry'!$AC$4)</f>
        <v/>
      </c>
      <c r="IW51" s="110" t="str">
        <f>IF('Supp. Result Entry'!AF49="","",'Supp. Result Entry'!$AF$4)</f>
        <v/>
      </c>
      <c r="IX51" s="110" t="str">
        <f>IF('Supp. Result Entry'!AI49="","",'Supp. Result Entry'!$AI$4)</f>
        <v/>
      </c>
      <c r="IY51" s="110" t="str">
        <f>IF('Supp. Result Entry'!AI49="","",'Supp. Result Entry'!$AL$4)</f>
        <v/>
      </c>
      <c r="IZ51" s="110" t="str">
        <f>IF('Supp. Result Entry'!U49="","",'Supp. Result Entry'!U49)</f>
        <v/>
      </c>
      <c r="JA51" s="110" t="str">
        <f>IF('Supp. Result Entry'!X49="","",'Supp. Result Entry'!X49)</f>
        <v/>
      </c>
      <c r="JB51" s="110" t="str">
        <f>IF('Supp. Result Entry'!AA49="","",'Supp. Result Entry'!AA49)</f>
        <v/>
      </c>
      <c r="JC51" s="110" t="str">
        <f>IF('Supp. Result Entry'!AD49="","",'Supp. Result Entry'!AD49)</f>
        <v/>
      </c>
      <c r="JD51" s="110" t="str">
        <f>IF('Supp. Result Entry'!AG49="","",'Supp. Result Entry'!AG49)</f>
        <v/>
      </c>
      <c r="JE51" s="110" t="str">
        <f>IF('Supp. Result Entry'!AJ49="","",'Supp. Result Entry'!AJ49)</f>
        <v/>
      </c>
      <c r="JF51" s="110" t="str">
        <f>IF('Supp. Result Entry'!AM49="","",'Supp. Result Entry'!AM49)</f>
        <v/>
      </c>
      <c r="JG51" s="110" t="str">
        <f>IF('Supp. Result Entry'!V49="","",'Supp. Result Entry'!V49)</f>
        <v/>
      </c>
      <c r="JH51" s="110" t="str">
        <f>IF('Supp. Result Entry'!Y49="","",'Supp. Result Entry'!Y49)</f>
        <v/>
      </c>
      <c r="JI51" s="110" t="str">
        <f>IF('Supp. Result Entry'!AB49="","",'Supp. Result Entry'!AB49)</f>
        <v/>
      </c>
      <c r="JJ51" s="110" t="str">
        <f>IF('Supp. Result Entry'!AE49="","",'Supp. Result Entry'!AE49)</f>
        <v/>
      </c>
      <c r="JK51" s="110" t="str">
        <f>IF('Supp. Result Entry'!AH49="","",'Supp. Result Entry'!AH49)</f>
        <v/>
      </c>
      <c r="JL51" s="110" t="str">
        <f>IF('Supp. Result Entry'!AK49="","",'Supp. Result Entry'!AK49)</f>
        <v/>
      </c>
      <c r="JM51" s="110" t="str">
        <f>IF('Supp. Result Entry'!AN49="","",'Supp. Result Entry'!AN49)</f>
        <v/>
      </c>
      <c r="JN51" s="110">
        <f>COUNTIF('Supp. Result Entry'!K49:Q49,"S")</f>
        <v>0</v>
      </c>
      <c r="JO51" s="110">
        <f t="shared" si="155"/>
        <v>0</v>
      </c>
      <c r="JP51" s="110">
        <f t="shared" si="156"/>
        <v>0</v>
      </c>
      <c r="JQ51" s="110" t="str">
        <f t="shared" si="75"/>
        <v/>
      </c>
      <c r="JR51" s="110" t="str">
        <f t="shared" si="76"/>
        <v/>
      </c>
      <c r="JS51" s="110" t="str">
        <f t="shared" si="77"/>
        <v/>
      </c>
      <c r="JT51" s="110" t="str">
        <f t="shared" si="78"/>
        <v/>
      </c>
      <c r="JU51" s="110" t="str">
        <f t="shared" si="79"/>
        <v/>
      </c>
      <c r="JV51" s="110" t="str">
        <f t="shared" si="80"/>
        <v/>
      </c>
      <c r="JW51" s="110" t="str">
        <f t="shared" si="81"/>
        <v/>
      </c>
      <c r="JX51" s="110" t="str">
        <f t="shared" si="157"/>
        <v/>
      </c>
      <c r="JY51" s="110" t="str">
        <f t="shared" si="158"/>
        <v/>
      </c>
      <c r="JZ51" s="110" t="str">
        <f t="shared" si="82"/>
        <v/>
      </c>
      <c r="KA51" s="108" t="str">
        <f t="shared" si="159"/>
        <v/>
      </c>
    </row>
    <row r="52" spans="1:287" s="108" customFormat="1" ht="21.95" customHeight="1">
      <c r="A52" s="89">
        <v>46</v>
      </c>
      <c r="B52" s="90" t="str">
        <f>IF('Marks Entry'!B52="","",'Marks Entry'!B52)</f>
        <v/>
      </c>
      <c r="C52" s="94" t="str">
        <f>IF('Marks Entry'!D52="","",'Marks Entry'!D52)</f>
        <v/>
      </c>
      <c r="D52" s="91" t="str">
        <f>IF('Marks Entry'!E52="","",'Marks Entry'!E52)</f>
        <v/>
      </c>
      <c r="E52" s="92" t="str">
        <f>IF('Marks Entry'!F52="","",'Marks Entry'!F52)</f>
        <v/>
      </c>
      <c r="F52" s="93" t="str">
        <f>IF('Marks Entry'!G52="","",'Marks Entry'!G52)</f>
        <v/>
      </c>
      <c r="G52" s="93" t="str">
        <f>IF('Marks Entry'!H52="","",'Marks Entry'!H52)</f>
        <v/>
      </c>
      <c r="H52" s="93" t="str">
        <f>IF('Marks Entry'!I52="","",'Marks Entry'!I52)</f>
        <v/>
      </c>
      <c r="I52" s="94" t="str">
        <f>IF('Marks Entry'!J52="","",'Marks Entry'!J52)</f>
        <v/>
      </c>
      <c r="J52" s="95" t="str">
        <f>IF('Marks Entry'!K52="","",'Marks Entry'!K52)</f>
        <v/>
      </c>
      <c r="K52" s="68" t="str">
        <f>IF('Marks Entry'!L52="","",'Marks Entry'!L52)</f>
        <v/>
      </c>
      <c r="L52" s="68" t="str">
        <f>IF('Marks Entry'!M52="","",'Marks Entry'!M52)</f>
        <v/>
      </c>
      <c r="M52" s="68" t="str">
        <f>IF('Marks Entry'!N52="","",'Marks Entry'!N52)</f>
        <v/>
      </c>
      <c r="N52" s="514" t="str">
        <f t="shared" si="83"/>
        <v/>
      </c>
      <c r="O52" s="68" t="str">
        <f>IF('Marks Entry'!O52="","",'Marks Entry'!O52)</f>
        <v/>
      </c>
      <c r="P52" s="515" t="str">
        <f t="shared" si="84"/>
        <v/>
      </c>
      <c r="Q52" s="68" t="str">
        <f>IF('Marks Entry'!P52="","",'Marks Entry'!P52)</f>
        <v/>
      </c>
      <c r="R52" s="96" t="str">
        <f t="shared" si="85"/>
        <v/>
      </c>
      <c r="S52" s="65">
        <f t="shared" si="86"/>
        <v>0</v>
      </c>
      <c r="T52" s="65">
        <f t="shared" si="87"/>
        <v>0</v>
      </c>
      <c r="U52" s="66" t="str">
        <f t="shared" si="88"/>
        <v/>
      </c>
      <c r="V52" s="65" t="str">
        <f t="shared" si="89"/>
        <v/>
      </c>
      <c r="W52" s="65" t="str">
        <f t="shared" si="90"/>
        <v/>
      </c>
      <c r="X52" s="65" t="str">
        <f t="shared" si="91"/>
        <v/>
      </c>
      <c r="Y52" s="68" t="str">
        <f>IF('Marks Entry'!Q52="","",'Marks Entry'!Q52)</f>
        <v/>
      </c>
      <c r="Z52" s="68" t="str">
        <f>IF('Marks Entry'!R52="","",'Marks Entry'!R52)</f>
        <v/>
      </c>
      <c r="AA52" s="68" t="str">
        <f>IF('Marks Entry'!S52="","",'Marks Entry'!S52)</f>
        <v/>
      </c>
      <c r="AB52" s="514" t="str">
        <f t="shared" si="2"/>
        <v/>
      </c>
      <c r="AC52" s="68" t="str">
        <f>IF('Marks Entry'!T52="","",'Marks Entry'!T52)</f>
        <v/>
      </c>
      <c r="AD52" s="515" t="str">
        <f t="shared" si="3"/>
        <v/>
      </c>
      <c r="AE52" s="68" t="str">
        <f>IF('Marks Entry'!U52="","",'Marks Entry'!U52)</f>
        <v/>
      </c>
      <c r="AF52" s="96" t="str">
        <f t="shared" si="4"/>
        <v/>
      </c>
      <c r="AG52" s="65">
        <f t="shared" si="5"/>
        <v>0</v>
      </c>
      <c r="AH52" s="65">
        <f t="shared" si="6"/>
        <v>0</v>
      </c>
      <c r="AI52" s="66" t="str">
        <f t="shared" si="7"/>
        <v/>
      </c>
      <c r="AJ52" s="65" t="str">
        <f t="shared" si="8"/>
        <v/>
      </c>
      <c r="AK52" s="65" t="str">
        <f t="shared" si="9"/>
        <v/>
      </c>
      <c r="AL52" s="65" t="str">
        <f t="shared" si="10"/>
        <v/>
      </c>
      <c r="AM52" s="524" t="str">
        <f>IF('Marks Entry'!V52="","",IF('Marks Entry'!V52=1,'School Profile'!$I$9,IF('Marks Entry'!V52=2,'School Profile'!$I$10,IF('Marks Entry'!V52=3,'School Profile'!$I$11,IF('Marks Entry'!V52=4,'School Profile'!$I$12,IF('Marks Entry'!V52=5,'School Profile'!$I$13,IF('Marks Entry'!V52=6,'School Profile'!$I$14,"")))))))</f>
        <v/>
      </c>
      <c r="AN52" s="68" t="str">
        <f>IF('Marks Entry'!W52="","",'Marks Entry'!W52)</f>
        <v/>
      </c>
      <c r="AO52" s="68" t="str">
        <f>IF('Marks Entry'!X52="","",'Marks Entry'!X52)</f>
        <v/>
      </c>
      <c r="AP52" s="68" t="str">
        <f>IF('Marks Entry'!Y52="","",'Marks Entry'!Y52)</f>
        <v/>
      </c>
      <c r="AQ52" s="514" t="str">
        <f t="shared" si="11"/>
        <v/>
      </c>
      <c r="AR52" s="68" t="str">
        <f>IF('Marks Entry'!Z52="","",'Marks Entry'!Z52)</f>
        <v/>
      </c>
      <c r="AS52" s="515" t="str">
        <f t="shared" si="12"/>
        <v/>
      </c>
      <c r="AT52" s="68" t="str">
        <f>IF('Marks Entry'!AA52="","",'Marks Entry'!AA52)</f>
        <v/>
      </c>
      <c r="AU52" s="96" t="str">
        <f t="shared" si="13"/>
        <v/>
      </c>
      <c r="AV52" s="65">
        <f t="shared" si="14"/>
        <v>0</v>
      </c>
      <c r="AW52" s="65">
        <f t="shared" si="15"/>
        <v>0</v>
      </c>
      <c r="AX52" s="66" t="str">
        <f t="shared" si="16"/>
        <v/>
      </c>
      <c r="AY52" s="65" t="str">
        <f t="shared" si="17"/>
        <v/>
      </c>
      <c r="AZ52" s="65" t="str">
        <f t="shared" si="18"/>
        <v/>
      </c>
      <c r="BA52" s="65" t="str">
        <f t="shared" si="19"/>
        <v/>
      </c>
      <c r="BB52" s="68" t="str">
        <f>IF('Marks Entry'!AB52="","",'Marks Entry'!AB52)</f>
        <v/>
      </c>
      <c r="BC52" s="68" t="str">
        <f>IF('Marks Entry'!AC52="","",'Marks Entry'!AC52)</f>
        <v/>
      </c>
      <c r="BD52" s="68" t="str">
        <f>IF('Marks Entry'!AD52="","",'Marks Entry'!AD52)</f>
        <v/>
      </c>
      <c r="BE52" s="514" t="str">
        <f t="shared" si="20"/>
        <v/>
      </c>
      <c r="BF52" s="68" t="str">
        <f>IF('Marks Entry'!AE52="","",'Marks Entry'!AE52)</f>
        <v/>
      </c>
      <c r="BG52" s="515" t="str">
        <f t="shared" si="21"/>
        <v/>
      </c>
      <c r="BH52" s="68" t="str">
        <f>IF('Marks Entry'!AF52="","",'Marks Entry'!AF52)</f>
        <v/>
      </c>
      <c r="BI52" s="96" t="str">
        <f t="shared" si="22"/>
        <v/>
      </c>
      <c r="BJ52" s="65">
        <f t="shared" si="23"/>
        <v>0</v>
      </c>
      <c r="BK52" s="65">
        <f t="shared" si="92"/>
        <v>0</v>
      </c>
      <c r="BL52" s="66" t="str">
        <f t="shared" si="24"/>
        <v/>
      </c>
      <c r="BM52" s="65" t="str">
        <f t="shared" si="25"/>
        <v/>
      </c>
      <c r="BN52" s="65" t="str">
        <f t="shared" si="26"/>
        <v/>
      </c>
      <c r="BO52" s="65" t="str">
        <f t="shared" si="27"/>
        <v/>
      </c>
      <c r="BP52" s="68" t="str">
        <f>IF('Marks Entry'!AG52="","",'Marks Entry'!AG52)</f>
        <v/>
      </c>
      <c r="BQ52" s="68" t="str">
        <f>IF('Marks Entry'!AH52="","",'Marks Entry'!AH52)</f>
        <v/>
      </c>
      <c r="BR52" s="68" t="str">
        <f>IF('Marks Entry'!AI52="","",'Marks Entry'!AI52)</f>
        <v/>
      </c>
      <c r="BS52" s="514" t="str">
        <f t="shared" si="28"/>
        <v/>
      </c>
      <c r="BT52" s="68" t="str">
        <f>IF('Marks Entry'!AJ52="","",'Marks Entry'!AJ52)</f>
        <v/>
      </c>
      <c r="BU52" s="515" t="str">
        <f t="shared" si="29"/>
        <v/>
      </c>
      <c r="BV52" s="68" t="str">
        <f>IF('Marks Entry'!AK52="","",'Marks Entry'!AK52)</f>
        <v/>
      </c>
      <c r="BW52" s="96" t="str">
        <f t="shared" si="30"/>
        <v/>
      </c>
      <c r="BX52" s="65">
        <f t="shared" si="31"/>
        <v>0</v>
      </c>
      <c r="BY52" s="65">
        <f t="shared" si="32"/>
        <v>0</v>
      </c>
      <c r="BZ52" s="66" t="str">
        <f t="shared" si="33"/>
        <v/>
      </c>
      <c r="CA52" s="65" t="str">
        <f t="shared" si="34"/>
        <v/>
      </c>
      <c r="CB52" s="65" t="str">
        <f t="shared" si="35"/>
        <v/>
      </c>
      <c r="CC52" s="65" t="str">
        <f t="shared" si="36"/>
        <v/>
      </c>
      <c r="CD52" s="66">
        <f t="shared" si="161"/>
        <v>0</v>
      </c>
      <c r="CE52" s="68" t="str">
        <f>IF('Marks Entry'!AL52="","",'Marks Entry'!AL52)</f>
        <v/>
      </c>
      <c r="CF52" s="68" t="str">
        <f>IF('Marks Entry'!AM52="","",'Marks Entry'!AM52)</f>
        <v/>
      </c>
      <c r="CG52" s="68" t="str">
        <f>IF('Marks Entry'!AN52="","",'Marks Entry'!AN52)</f>
        <v/>
      </c>
      <c r="CH52" s="514" t="str">
        <f t="shared" si="37"/>
        <v/>
      </c>
      <c r="CI52" s="68" t="str">
        <f>IF('Marks Entry'!AO52="","",'Marks Entry'!AO52)</f>
        <v/>
      </c>
      <c r="CJ52" s="515" t="str">
        <f t="shared" si="38"/>
        <v/>
      </c>
      <c r="CK52" s="68" t="str">
        <f>IF('Marks Entry'!AP52="","",'Marks Entry'!AP52)</f>
        <v/>
      </c>
      <c r="CL52" s="96" t="str">
        <f t="shared" si="39"/>
        <v/>
      </c>
      <c r="CM52" s="65">
        <f t="shared" si="40"/>
        <v>0</v>
      </c>
      <c r="CN52" s="65">
        <f t="shared" si="41"/>
        <v>0</v>
      </c>
      <c r="CO52" s="66" t="str">
        <f t="shared" si="42"/>
        <v/>
      </c>
      <c r="CP52" s="65" t="str">
        <f t="shared" si="43"/>
        <v/>
      </c>
      <c r="CQ52" s="65" t="str">
        <f t="shared" si="44"/>
        <v/>
      </c>
      <c r="CR52" s="65" t="str">
        <f t="shared" si="45"/>
        <v/>
      </c>
      <c r="CS52" s="616"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8" t="str">
        <f>IF('School Profile'!$D$20="NO","",IF('Marks Entry'!AR52="","",'Marks Entry'!AR52))</f>
        <v/>
      </c>
      <c r="CU52" s="68" t="str">
        <f>IF('School Profile'!$D$20="NO","",IF('Marks Entry'!AS52="","",'Marks Entry'!AS52))</f>
        <v/>
      </c>
      <c r="CV52" s="68" t="str">
        <f>IF('School Profile'!$D$20="NO","",IF('Marks Entry'!AT52="","",'Marks Entry'!AT52))</f>
        <v/>
      </c>
      <c r="CW52" s="514" t="str">
        <f>IF('School Profile'!$D$20="NO","",IF(AND(CT52="",CU52="",CV52=""),"",SUM(CT52:CV52)))</f>
        <v/>
      </c>
      <c r="CX52" s="68" t="str">
        <f>IF('School Profile'!$D$20="NO","",IF('Marks Entry'!AU52="","",'Marks Entry'!AU52))</f>
        <v/>
      </c>
      <c r="CY52" s="68" t="str">
        <f>IF('School Profile'!$D$20="NO","",IF('Marks Entry'!AV52="","",'Marks Entry'!AV52))</f>
        <v/>
      </c>
      <c r="CZ52" s="515" t="str">
        <f>IF('School Profile'!$D$20="NO","",IF(AND(CX52="",CY52=""),"",SUM(CX52,CY52)))</f>
        <v/>
      </c>
      <c r="DA52" s="69" t="str">
        <f>IF('School Profile'!$D$20="NO","",IF(AND(CW52="",CZ52=""),"",SUM(CW52+CZ52)))</f>
        <v/>
      </c>
      <c r="DB52" s="68" t="str">
        <f>IF('School Profile'!$D$20="NO","",IF('Marks Entry'!AW52="","",'Marks Entry'!AW52))</f>
        <v/>
      </c>
      <c r="DC52" s="68" t="str">
        <f>IF('School Profile'!$D$20="NO","",IF('Marks Entry'!AX52="","",'Marks Entry'!AX52))</f>
        <v/>
      </c>
      <c r="DD52" s="515" t="str">
        <f>IF('School Profile'!$D$20="NO","",IF(AND(DB52="",DC52=""),"",SUM(DB52,DC52)))</f>
        <v/>
      </c>
      <c r="DE52" s="96" t="str">
        <f>IF('School Profile'!$D$20="NO","",IF(AND(DA52="",DD52=""),"",SUM(DA52,DD52)))</f>
        <v/>
      </c>
      <c r="DF52" s="532">
        <f t="shared" si="46"/>
        <v>0</v>
      </c>
      <c r="DG52" s="65">
        <f t="shared" si="47"/>
        <v>0</v>
      </c>
      <c r="DH52" s="66" t="str">
        <f t="shared" si="48"/>
        <v/>
      </c>
      <c r="DI52" s="65" t="str">
        <f t="shared" si="49"/>
        <v/>
      </c>
      <c r="DJ52" s="65" t="str">
        <f t="shared" si="50"/>
        <v/>
      </c>
      <c r="DK52" s="65" t="str">
        <f t="shared" si="51"/>
        <v/>
      </c>
      <c r="DL52" s="97" t="str">
        <f t="shared" si="94"/>
        <v/>
      </c>
      <c r="DM52" s="97" t="str">
        <f t="shared" si="95"/>
        <v/>
      </c>
      <c r="DN52" s="97" t="str">
        <f t="shared" si="96"/>
        <v/>
      </c>
      <c r="DO52" s="97" t="str">
        <f t="shared" si="97"/>
        <v/>
      </c>
      <c r="DP52" s="97" t="str">
        <f t="shared" si="98"/>
        <v/>
      </c>
      <c r="DQ52" s="97" t="str">
        <f t="shared" si="99"/>
        <v/>
      </c>
      <c r="DR52" s="97" t="str">
        <f t="shared" si="100"/>
        <v/>
      </c>
      <c r="DS52" s="98">
        <f t="shared" si="101"/>
        <v>0</v>
      </c>
      <c r="DT52" s="98">
        <f t="shared" si="102"/>
        <v>0</v>
      </c>
      <c r="DU52" s="98">
        <f t="shared" si="103"/>
        <v>0</v>
      </c>
      <c r="DV52" s="98">
        <f t="shared" si="104"/>
        <v>0</v>
      </c>
      <c r="DW52" s="98">
        <f t="shared" si="105"/>
        <v>0</v>
      </c>
      <c r="DX52" s="98" t="str">
        <f t="shared" si="106"/>
        <v/>
      </c>
      <c r="DY52" s="99" t="str">
        <f t="shared" si="107"/>
        <v/>
      </c>
      <c r="DZ52" s="74" t="str">
        <f>IF('Marks Entry'!AY52="","",'Marks Entry'!AY52)</f>
        <v/>
      </c>
      <c r="EA52" s="74" t="str">
        <f>IF('Marks Entry'!AZ52="","",'Marks Entry'!AZ52)</f>
        <v/>
      </c>
      <c r="EB52" s="74" t="str">
        <f>IF('Marks Entry'!BA52="","",'Marks Entry'!BA52)</f>
        <v/>
      </c>
      <c r="EC52" s="527" t="str">
        <f t="shared" si="52"/>
        <v/>
      </c>
      <c r="ED52" s="74" t="str">
        <f>IF('Marks Entry'!BB52="","",'Marks Entry'!BB52)</f>
        <v/>
      </c>
      <c r="EE52" s="528" t="str">
        <f t="shared" si="53"/>
        <v/>
      </c>
      <c r="EF52" s="74" t="str">
        <f>IF('Marks Entry'!BC52="","",'Marks Entry'!BC52)</f>
        <v/>
      </c>
      <c r="EG52" s="530" t="str">
        <f t="shared" si="54"/>
        <v/>
      </c>
      <c r="EH52" s="368" t="str">
        <f t="shared" si="108"/>
        <v/>
      </c>
      <c r="EI52" s="65">
        <f t="shared" si="109"/>
        <v>0</v>
      </c>
      <c r="EJ52" s="65">
        <f t="shared" si="110"/>
        <v>0</v>
      </c>
      <c r="EK52" s="66" t="str">
        <f t="shared" si="111"/>
        <v/>
      </c>
      <c r="EL52" s="74" t="str">
        <f>IF('Marks Entry'!BD52="","",'Marks Entry'!BD52)</f>
        <v/>
      </c>
      <c r="EM52" s="74" t="str">
        <f>IF('Marks Entry'!BE52="","",'Marks Entry'!BE52)</f>
        <v/>
      </c>
      <c r="EN52" s="74" t="str">
        <f>IF('Marks Entry'!BF52="","",'Marks Entry'!BF52)</f>
        <v/>
      </c>
      <c r="EO52" s="527" t="str">
        <f t="shared" si="55"/>
        <v/>
      </c>
      <c r="EP52" s="74" t="str">
        <f>IF('Marks Entry'!BG52="","",'Marks Entry'!BG52)</f>
        <v/>
      </c>
      <c r="EQ52" s="74" t="str">
        <f>IF('Marks Entry'!BH52="","",'Marks Entry'!BH52)</f>
        <v/>
      </c>
      <c r="ER52" s="528" t="str">
        <f t="shared" si="56"/>
        <v/>
      </c>
      <c r="ES52" s="529" t="str">
        <f t="shared" si="57"/>
        <v/>
      </c>
      <c r="ET52" s="74" t="str">
        <f>IF('Marks Entry'!BI52="","",'Marks Entry'!BI52)</f>
        <v/>
      </c>
      <c r="EU52" s="74" t="str">
        <f>IF('Marks Entry'!BJ52="","",'Marks Entry'!BJ52)</f>
        <v/>
      </c>
      <c r="EV52" s="528" t="str">
        <f t="shared" si="58"/>
        <v/>
      </c>
      <c r="EW52" s="530" t="str">
        <f t="shared" si="59"/>
        <v/>
      </c>
      <c r="EX52" s="368" t="str">
        <f t="shared" si="112"/>
        <v/>
      </c>
      <c r="EY52" s="65">
        <f t="shared" si="113"/>
        <v>0</v>
      </c>
      <c r="EZ52" s="65">
        <f t="shared" si="114"/>
        <v>0</v>
      </c>
      <c r="FA52" s="66" t="str">
        <f t="shared" si="115"/>
        <v/>
      </c>
      <c r="FB52" s="74" t="str">
        <f>IF('Marks Entry'!BK52="","",'Marks Entry'!BK52)</f>
        <v/>
      </c>
      <c r="FC52" s="74" t="str">
        <f>IF('Marks Entry'!BL52="","",'Marks Entry'!BL52)</f>
        <v/>
      </c>
      <c r="FD52" s="74" t="str">
        <f>IF('Marks Entry'!BM52="","",'Marks Entry'!BM52)</f>
        <v/>
      </c>
      <c r="FE52" s="74" t="str">
        <f>IF('Marks Entry'!BN52="","",'Marks Entry'!BN52)</f>
        <v/>
      </c>
      <c r="FF52" s="74" t="str">
        <f>IF('Marks Entry'!BO52="","",'Marks Entry'!BO52)</f>
        <v/>
      </c>
      <c r="FG52" s="74" t="str">
        <f>IF('Marks Entry'!BP52="","",'Marks Entry'!BP52)</f>
        <v/>
      </c>
      <c r="FH52" s="527" t="str">
        <f t="shared" si="60"/>
        <v/>
      </c>
      <c r="FI52" s="74" t="str">
        <f>IF('Marks Entry'!BQ52="","",'Marks Entry'!BQ52)</f>
        <v/>
      </c>
      <c r="FJ52" s="74" t="str">
        <f>IF('Marks Entry'!BR52="","",'Marks Entry'!BR52)</f>
        <v/>
      </c>
      <c r="FK52" s="528" t="str">
        <f t="shared" si="61"/>
        <v/>
      </c>
      <c r="FL52" s="529" t="str">
        <f t="shared" si="62"/>
        <v/>
      </c>
      <c r="FM52" s="74" t="str">
        <f>IF('Marks Entry'!BS52="","",'Marks Entry'!BS52)</f>
        <v/>
      </c>
      <c r="FN52" s="74" t="str">
        <f>IF('Marks Entry'!BT52="","",'Marks Entry'!BT52)</f>
        <v/>
      </c>
      <c r="FO52" s="528" t="str">
        <f t="shared" si="63"/>
        <v/>
      </c>
      <c r="FP52" s="530" t="str">
        <f t="shared" si="64"/>
        <v/>
      </c>
      <c r="FQ52" s="368" t="str">
        <f t="shared" si="116"/>
        <v/>
      </c>
      <c r="FR52" s="65">
        <f t="shared" si="117"/>
        <v>0</v>
      </c>
      <c r="FS52" s="65">
        <f t="shared" si="118"/>
        <v>0</v>
      </c>
      <c r="FT52" s="66" t="str">
        <f t="shared" si="119"/>
        <v/>
      </c>
      <c r="FU52" s="74" t="str">
        <f>IF('Marks Entry'!BU52="","",'Marks Entry'!BU52)</f>
        <v/>
      </c>
      <c r="FV52" s="74" t="str">
        <f>IF('Marks Entry'!BV52="","",'Marks Entry'!BV52)</f>
        <v/>
      </c>
      <c r="FW52" s="74" t="str">
        <f>IF('Marks Entry'!BW52="","",'Marks Entry'!BW52)</f>
        <v/>
      </c>
      <c r="FX52" s="75" t="str">
        <f t="shared" si="65"/>
        <v/>
      </c>
      <c r="FY52" s="368" t="str">
        <f t="shared" si="120"/>
        <v/>
      </c>
      <c r="FZ52" s="65">
        <f t="shared" si="121"/>
        <v>0</v>
      </c>
      <c r="GA52" s="66">
        <f t="shared" si="122"/>
        <v>0</v>
      </c>
      <c r="GB52" s="66" t="str">
        <f t="shared" si="123"/>
        <v/>
      </c>
      <c r="GC52" s="74" t="str">
        <f>IF('Marks Entry'!BX52="","",'Marks Entry'!BX52)</f>
        <v/>
      </c>
      <c r="GD52" s="74" t="str">
        <f>IF('Marks Entry'!BY52="","",'Marks Entry'!BY52)</f>
        <v/>
      </c>
      <c r="GE52" s="74" t="str">
        <f>IF('Marks Entry'!BZ52="","",'Marks Entry'!BZ52)</f>
        <v/>
      </c>
      <c r="GF52" s="75" t="str">
        <f t="shared" si="124"/>
        <v/>
      </c>
      <c r="GG52" s="368" t="str">
        <f t="shared" si="125"/>
        <v/>
      </c>
      <c r="GH52" s="65">
        <f t="shared" si="126"/>
        <v>0</v>
      </c>
      <c r="GI52" s="66">
        <f t="shared" si="127"/>
        <v>0</v>
      </c>
      <c r="GJ52" s="66" t="str">
        <f t="shared" si="128"/>
        <v/>
      </c>
      <c r="GK52" s="100" t="str">
        <f>IF(AND(F52="",B52=""),"",IF('Student DATA Entry'!M49="","",'Student DATA Entry'!M49))</f>
        <v/>
      </c>
      <c r="GL52" s="101" t="str">
        <f>IF(AND(B52="",F52=""),"",IF('Student DATA Entry'!N49="","",'Student DATA Entry'!N49))</f>
        <v/>
      </c>
      <c r="GM52" s="581" t="str">
        <f t="shared" si="129"/>
        <v/>
      </c>
      <c r="GN52" s="94" t="str">
        <f t="shared" si="130"/>
        <v/>
      </c>
      <c r="GO52" s="94" t="str">
        <f t="shared" si="131"/>
        <v/>
      </c>
      <c r="GP52" s="102" t="str">
        <f t="shared" si="162"/>
        <v/>
      </c>
      <c r="GQ52" s="94" t="str">
        <f t="shared" si="132"/>
        <v/>
      </c>
      <c r="GR52" s="103" t="str">
        <f t="shared" si="133"/>
        <v/>
      </c>
      <c r="GS52" s="102" t="str">
        <f t="shared" si="163"/>
        <v/>
      </c>
      <c r="GT52" s="104" t="str">
        <f t="shared" si="134"/>
        <v/>
      </c>
      <c r="GU52" s="94" t="str">
        <f>IF('Marks Entry'!V52=1,GT52,"")</f>
        <v/>
      </c>
      <c r="GV52" s="94" t="str">
        <f>IF('Marks Entry'!V52=2,GT52,"")</f>
        <v/>
      </c>
      <c r="GW52" s="94" t="str">
        <f>IF('Marks Entry'!V52=3,GT52,"")</f>
        <v/>
      </c>
      <c r="GX52" s="94" t="str">
        <f>IF('Marks Entry'!V52=4,GT52,"")</f>
        <v/>
      </c>
      <c r="GY52" s="94" t="str">
        <f>IF('Marks Entry'!V52=5,GT52,"")</f>
        <v/>
      </c>
      <c r="GZ52" s="94" t="str">
        <f t="shared" si="135"/>
        <v/>
      </c>
      <c r="HA52" s="105" t="str">
        <f t="shared" si="164"/>
        <v/>
      </c>
      <c r="HB52" s="94" t="str">
        <f t="shared" si="136"/>
        <v/>
      </c>
      <c r="HC52" s="94" t="str">
        <f t="shared" si="137"/>
        <v/>
      </c>
      <c r="HD52" s="105" t="str">
        <f t="shared" si="165"/>
        <v/>
      </c>
      <c r="HE52" s="94" t="str">
        <f t="shared" si="138"/>
        <v/>
      </c>
      <c r="HF52" s="94" t="str">
        <f t="shared" si="139"/>
        <v/>
      </c>
      <c r="HG52" s="105" t="str">
        <f t="shared" si="166"/>
        <v/>
      </c>
      <c r="HH52" s="94" t="str">
        <f t="shared" si="140"/>
        <v/>
      </c>
      <c r="HI52" s="94" t="str">
        <f t="shared" si="141"/>
        <v/>
      </c>
      <c r="HJ52" s="105" t="str">
        <f t="shared" si="167"/>
        <v/>
      </c>
      <c r="HK52" s="94" t="str">
        <f t="shared" si="142"/>
        <v/>
      </c>
      <c r="HL52" s="94" t="str">
        <f t="shared" si="143"/>
        <v/>
      </c>
      <c r="HM52" s="105" t="str">
        <f t="shared" si="168"/>
        <v/>
      </c>
      <c r="HN52" s="367" t="str">
        <f t="shared" si="144"/>
        <v xml:space="preserve">      </v>
      </c>
      <c r="HO52" s="418" t="str">
        <f t="shared" si="169"/>
        <v xml:space="preserve">      </v>
      </c>
      <c r="HP52" s="367" t="str">
        <f t="shared" si="146"/>
        <v xml:space="preserve">      </v>
      </c>
      <c r="HQ52" s="107" t="str">
        <f t="shared" si="147"/>
        <v xml:space="preserve">      </v>
      </c>
      <c r="HR52" s="366" t="str">
        <f t="shared" si="148"/>
        <v xml:space="preserve">      </v>
      </c>
      <c r="HS52" s="544" t="str">
        <f t="shared" si="170"/>
        <v/>
      </c>
      <c r="HT52" s="542" t="str">
        <f t="shared" si="149"/>
        <v/>
      </c>
      <c r="HU52" s="541" t="str">
        <f t="shared" si="160"/>
        <v/>
      </c>
      <c r="HV52" s="540" t="str">
        <f t="shared" si="150"/>
        <v/>
      </c>
      <c r="HW52" s="537" t="str">
        <f t="shared" si="151"/>
        <v/>
      </c>
      <c r="HX52" s="539" t="str">
        <f t="shared" si="152"/>
        <v/>
      </c>
      <c r="HY52" s="553" t="str">
        <f>IFERROR(IF(OR(HS52="SUPPLEMENTARY",HS52="RE-EXAM"),'Supp. Result Entry'!AQ50,""),"")</f>
        <v/>
      </c>
      <c r="HZ52" s="538" t="str">
        <f t="shared" si="153"/>
        <v/>
      </c>
      <c r="IA52" s="415" t="str">
        <f t="shared" si="154"/>
        <v/>
      </c>
      <c r="IB52" s="415" t="str">
        <f>IF(AND(HZ52="",IA52=""),"",IF(OR(HS52="SUPPLEMENTARY",HS52="RE-EXAM"),'Supp. Result Entry'!AQ50,HS52))</f>
        <v/>
      </c>
      <c r="IC52" s="87"/>
      <c r="ID52" s="111"/>
      <c r="IS52" s="109" t="str">
        <f>IF('Supp. Result Entry'!T50="","",'Supp. Result Entry'!$T$4)</f>
        <v/>
      </c>
      <c r="IT52" s="110" t="str">
        <f>IF('Supp. Result Entry'!W50="","",'Supp. Result Entry'!$W$4)</f>
        <v/>
      </c>
      <c r="IU52" s="110" t="str">
        <f>IF('Supp. Result Entry'!Z50="","",'Supp. Result Entry'!$Z$4)</f>
        <v/>
      </c>
      <c r="IV52" s="110" t="str">
        <f>IF('Supp. Result Entry'!AC50="","",'Supp. Result Entry'!$AC$4)</f>
        <v/>
      </c>
      <c r="IW52" s="110" t="str">
        <f>IF('Supp. Result Entry'!AF50="","",'Supp. Result Entry'!$AF$4)</f>
        <v/>
      </c>
      <c r="IX52" s="110" t="str">
        <f>IF('Supp. Result Entry'!AI50="","",'Supp. Result Entry'!$AI$4)</f>
        <v/>
      </c>
      <c r="IY52" s="110" t="str">
        <f>IF('Supp. Result Entry'!AI50="","",'Supp. Result Entry'!$AL$4)</f>
        <v/>
      </c>
      <c r="IZ52" s="110" t="str">
        <f>IF('Supp. Result Entry'!U50="","",'Supp. Result Entry'!U50)</f>
        <v/>
      </c>
      <c r="JA52" s="110" t="str">
        <f>IF('Supp. Result Entry'!X50="","",'Supp. Result Entry'!X50)</f>
        <v/>
      </c>
      <c r="JB52" s="110" t="str">
        <f>IF('Supp. Result Entry'!AA50="","",'Supp. Result Entry'!AA50)</f>
        <v/>
      </c>
      <c r="JC52" s="110" t="str">
        <f>IF('Supp. Result Entry'!AD50="","",'Supp. Result Entry'!AD50)</f>
        <v/>
      </c>
      <c r="JD52" s="110" t="str">
        <f>IF('Supp. Result Entry'!AG50="","",'Supp. Result Entry'!AG50)</f>
        <v/>
      </c>
      <c r="JE52" s="110" t="str">
        <f>IF('Supp. Result Entry'!AJ50="","",'Supp. Result Entry'!AJ50)</f>
        <v/>
      </c>
      <c r="JF52" s="110" t="str">
        <f>IF('Supp. Result Entry'!AM50="","",'Supp. Result Entry'!AM50)</f>
        <v/>
      </c>
      <c r="JG52" s="110" t="str">
        <f>IF('Supp. Result Entry'!V50="","",'Supp. Result Entry'!V50)</f>
        <v/>
      </c>
      <c r="JH52" s="110" t="str">
        <f>IF('Supp. Result Entry'!Y50="","",'Supp. Result Entry'!Y50)</f>
        <v/>
      </c>
      <c r="JI52" s="110" t="str">
        <f>IF('Supp. Result Entry'!AB50="","",'Supp. Result Entry'!AB50)</f>
        <v/>
      </c>
      <c r="JJ52" s="110" t="str">
        <f>IF('Supp. Result Entry'!AE50="","",'Supp. Result Entry'!AE50)</f>
        <v/>
      </c>
      <c r="JK52" s="110" t="str">
        <f>IF('Supp. Result Entry'!AH50="","",'Supp. Result Entry'!AH50)</f>
        <v/>
      </c>
      <c r="JL52" s="110" t="str">
        <f>IF('Supp. Result Entry'!AK50="","",'Supp. Result Entry'!AK50)</f>
        <v/>
      </c>
      <c r="JM52" s="110" t="str">
        <f>IF('Supp. Result Entry'!AN50="","",'Supp. Result Entry'!AN50)</f>
        <v/>
      </c>
      <c r="JN52" s="110">
        <f>COUNTIF('Supp. Result Entry'!K50:Q50,"S")</f>
        <v>0</v>
      </c>
      <c r="JO52" s="110">
        <f t="shared" si="155"/>
        <v>0</v>
      </c>
      <c r="JP52" s="110">
        <f t="shared" si="156"/>
        <v>0</v>
      </c>
      <c r="JQ52" s="110" t="str">
        <f t="shared" si="75"/>
        <v/>
      </c>
      <c r="JR52" s="110" t="str">
        <f t="shared" si="76"/>
        <v/>
      </c>
      <c r="JS52" s="110" t="str">
        <f t="shared" si="77"/>
        <v/>
      </c>
      <c r="JT52" s="110" t="str">
        <f t="shared" si="78"/>
        <v/>
      </c>
      <c r="JU52" s="110" t="str">
        <f t="shared" si="79"/>
        <v/>
      </c>
      <c r="JV52" s="110" t="str">
        <f t="shared" si="80"/>
        <v/>
      </c>
      <c r="JW52" s="110" t="str">
        <f t="shared" si="81"/>
        <v/>
      </c>
      <c r="JX52" s="110" t="str">
        <f t="shared" si="157"/>
        <v/>
      </c>
      <c r="JY52" s="110" t="str">
        <f t="shared" si="158"/>
        <v/>
      </c>
      <c r="JZ52" s="110" t="str">
        <f t="shared" si="82"/>
        <v/>
      </c>
      <c r="KA52" s="108" t="str">
        <f t="shared" si="159"/>
        <v/>
      </c>
    </row>
    <row r="53" spans="1:287" s="108" customFormat="1" ht="21.95" customHeight="1">
      <c r="A53" s="89">
        <v>47</v>
      </c>
      <c r="B53" s="90" t="str">
        <f>IF('Marks Entry'!B53="","",'Marks Entry'!B53)</f>
        <v/>
      </c>
      <c r="C53" s="94" t="str">
        <f>IF('Marks Entry'!D53="","",'Marks Entry'!D53)</f>
        <v/>
      </c>
      <c r="D53" s="91" t="str">
        <f>IF('Marks Entry'!E53="","",'Marks Entry'!E53)</f>
        <v/>
      </c>
      <c r="E53" s="92" t="str">
        <f>IF('Marks Entry'!F53="","",'Marks Entry'!F53)</f>
        <v/>
      </c>
      <c r="F53" s="93" t="str">
        <f>IF('Marks Entry'!G53="","",'Marks Entry'!G53)</f>
        <v/>
      </c>
      <c r="G53" s="93" t="str">
        <f>IF('Marks Entry'!H53="","",'Marks Entry'!H53)</f>
        <v/>
      </c>
      <c r="H53" s="93" t="str">
        <f>IF('Marks Entry'!I53="","",'Marks Entry'!I53)</f>
        <v/>
      </c>
      <c r="I53" s="94" t="str">
        <f>IF('Marks Entry'!J53="","",'Marks Entry'!J53)</f>
        <v/>
      </c>
      <c r="J53" s="95" t="str">
        <f>IF('Marks Entry'!K53="","",'Marks Entry'!K53)</f>
        <v/>
      </c>
      <c r="K53" s="68" t="str">
        <f>IF('Marks Entry'!L53="","",'Marks Entry'!L53)</f>
        <v/>
      </c>
      <c r="L53" s="68" t="str">
        <f>IF('Marks Entry'!M53="","",'Marks Entry'!M53)</f>
        <v/>
      </c>
      <c r="M53" s="68" t="str">
        <f>IF('Marks Entry'!N53="","",'Marks Entry'!N53)</f>
        <v/>
      </c>
      <c r="N53" s="514" t="str">
        <f t="shared" si="83"/>
        <v/>
      </c>
      <c r="O53" s="68" t="str">
        <f>IF('Marks Entry'!O53="","",'Marks Entry'!O53)</f>
        <v/>
      </c>
      <c r="P53" s="515" t="str">
        <f t="shared" si="84"/>
        <v/>
      </c>
      <c r="Q53" s="68" t="str">
        <f>IF('Marks Entry'!P53="","",'Marks Entry'!P53)</f>
        <v/>
      </c>
      <c r="R53" s="96" t="str">
        <f t="shared" si="85"/>
        <v/>
      </c>
      <c r="S53" s="65">
        <f t="shared" si="86"/>
        <v>0</v>
      </c>
      <c r="T53" s="65">
        <f t="shared" si="87"/>
        <v>0</v>
      </c>
      <c r="U53" s="66" t="str">
        <f t="shared" si="88"/>
        <v/>
      </c>
      <c r="V53" s="65" t="str">
        <f t="shared" si="89"/>
        <v/>
      </c>
      <c r="W53" s="65" t="str">
        <f t="shared" si="90"/>
        <v/>
      </c>
      <c r="X53" s="65" t="str">
        <f t="shared" si="91"/>
        <v/>
      </c>
      <c r="Y53" s="68" t="str">
        <f>IF('Marks Entry'!Q53="","",'Marks Entry'!Q53)</f>
        <v/>
      </c>
      <c r="Z53" s="68" t="str">
        <f>IF('Marks Entry'!R53="","",'Marks Entry'!R53)</f>
        <v/>
      </c>
      <c r="AA53" s="68" t="str">
        <f>IF('Marks Entry'!S53="","",'Marks Entry'!S53)</f>
        <v/>
      </c>
      <c r="AB53" s="514" t="str">
        <f t="shared" si="2"/>
        <v/>
      </c>
      <c r="AC53" s="68" t="str">
        <f>IF('Marks Entry'!T53="","",'Marks Entry'!T53)</f>
        <v/>
      </c>
      <c r="AD53" s="515" t="str">
        <f t="shared" si="3"/>
        <v/>
      </c>
      <c r="AE53" s="68" t="str">
        <f>IF('Marks Entry'!U53="","",'Marks Entry'!U53)</f>
        <v/>
      </c>
      <c r="AF53" s="96" t="str">
        <f t="shared" si="4"/>
        <v/>
      </c>
      <c r="AG53" s="65">
        <f t="shared" si="5"/>
        <v>0</v>
      </c>
      <c r="AH53" s="65">
        <f t="shared" si="6"/>
        <v>0</v>
      </c>
      <c r="AI53" s="66" t="str">
        <f t="shared" si="7"/>
        <v/>
      </c>
      <c r="AJ53" s="65" t="str">
        <f t="shared" si="8"/>
        <v/>
      </c>
      <c r="AK53" s="65" t="str">
        <f t="shared" si="9"/>
        <v/>
      </c>
      <c r="AL53" s="65" t="str">
        <f t="shared" si="10"/>
        <v/>
      </c>
      <c r="AM53" s="524" t="str">
        <f>IF('Marks Entry'!V53="","",IF('Marks Entry'!V53=1,'School Profile'!$I$9,IF('Marks Entry'!V53=2,'School Profile'!$I$10,IF('Marks Entry'!V53=3,'School Profile'!$I$11,IF('Marks Entry'!V53=4,'School Profile'!$I$12,IF('Marks Entry'!V53=5,'School Profile'!$I$13,IF('Marks Entry'!V53=6,'School Profile'!$I$14,"")))))))</f>
        <v/>
      </c>
      <c r="AN53" s="68" t="str">
        <f>IF('Marks Entry'!W53="","",'Marks Entry'!W53)</f>
        <v/>
      </c>
      <c r="AO53" s="68" t="str">
        <f>IF('Marks Entry'!X53="","",'Marks Entry'!X53)</f>
        <v/>
      </c>
      <c r="AP53" s="68" t="str">
        <f>IF('Marks Entry'!Y53="","",'Marks Entry'!Y53)</f>
        <v/>
      </c>
      <c r="AQ53" s="514" t="str">
        <f t="shared" si="11"/>
        <v/>
      </c>
      <c r="AR53" s="68" t="str">
        <f>IF('Marks Entry'!Z53="","",'Marks Entry'!Z53)</f>
        <v/>
      </c>
      <c r="AS53" s="515" t="str">
        <f t="shared" si="12"/>
        <v/>
      </c>
      <c r="AT53" s="68" t="str">
        <f>IF('Marks Entry'!AA53="","",'Marks Entry'!AA53)</f>
        <v/>
      </c>
      <c r="AU53" s="96" t="str">
        <f t="shared" si="13"/>
        <v/>
      </c>
      <c r="AV53" s="65">
        <f t="shared" si="14"/>
        <v>0</v>
      </c>
      <c r="AW53" s="65">
        <f t="shared" si="15"/>
        <v>0</v>
      </c>
      <c r="AX53" s="66" t="str">
        <f t="shared" si="16"/>
        <v/>
      </c>
      <c r="AY53" s="65" t="str">
        <f t="shared" si="17"/>
        <v/>
      </c>
      <c r="AZ53" s="65" t="str">
        <f t="shared" si="18"/>
        <v/>
      </c>
      <c r="BA53" s="65" t="str">
        <f t="shared" si="19"/>
        <v/>
      </c>
      <c r="BB53" s="68" t="str">
        <f>IF('Marks Entry'!AB53="","",'Marks Entry'!AB53)</f>
        <v/>
      </c>
      <c r="BC53" s="68" t="str">
        <f>IF('Marks Entry'!AC53="","",'Marks Entry'!AC53)</f>
        <v/>
      </c>
      <c r="BD53" s="68" t="str">
        <f>IF('Marks Entry'!AD53="","",'Marks Entry'!AD53)</f>
        <v/>
      </c>
      <c r="BE53" s="514" t="str">
        <f t="shared" si="20"/>
        <v/>
      </c>
      <c r="BF53" s="68" t="str">
        <f>IF('Marks Entry'!AE53="","",'Marks Entry'!AE53)</f>
        <v/>
      </c>
      <c r="BG53" s="515" t="str">
        <f t="shared" si="21"/>
        <v/>
      </c>
      <c r="BH53" s="68" t="str">
        <f>IF('Marks Entry'!AF53="","",'Marks Entry'!AF53)</f>
        <v/>
      </c>
      <c r="BI53" s="96" t="str">
        <f t="shared" si="22"/>
        <v/>
      </c>
      <c r="BJ53" s="65">
        <f t="shared" si="23"/>
        <v>0</v>
      </c>
      <c r="BK53" s="65">
        <f t="shared" si="92"/>
        <v>0</v>
      </c>
      <c r="BL53" s="66" t="str">
        <f t="shared" si="24"/>
        <v/>
      </c>
      <c r="BM53" s="65" t="str">
        <f t="shared" si="25"/>
        <v/>
      </c>
      <c r="BN53" s="65" t="str">
        <f t="shared" si="26"/>
        <v/>
      </c>
      <c r="BO53" s="65" t="str">
        <f t="shared" si="27"/>
        <v/>
      </c>
      <c r="BP53" s="68" t="str">
        <f>IF('Marks Entry'!AG53="","",'Marks Entry'!AG53)</f>
        <v/>
      </c>
      <c r="BQ53" s="68" t="str">
        <f>IF('Marks Entry'!AH53="","",'Marks Entry'!AH53)</f>
        <v/>
      </c>
      <c r="BR53" s="68" t="str">
        <f>IF('Marks Entry'!AI53="","",'Marks Entry'!AI53)</f>
        <v/>
      </c>
      <c r="BS53" s="514" t="str">
        <f t="shared" si="28"/>
        <v/>
      </c>
      <c r="BT53" s="68" t="str">
        <f>IF('Marks Entry'!AJ53="","",'Marks Entry'!AJ53)</f>
        <v/>
      </c>
      <c r="BU53" s="515" t="str">
        <f t="shared" si="29"/>
        <v/>
      </c>
      <c r="BV53" s="68" t="str">
        <f>IF('Marks Entry'!AK53="","",'Marks Entry'!AK53)</f>
        <v/>
      </c>
      <c r="BW53" s="96" t="str">
        <f t="shared" si="30"/>
        <v/>
      </c>
      <c r="BX53" s="65">
        <f t="shared" si="31"/>
        <v>0</v>
      </c>
      <c r="BY53" s="65">
        <f t="shared" si="32"/>
        <v>0</v>
      </c>
      <c r="BZ53" s="66" t="str">
        <f t="shared" si="33"/>
        <v/>
      </c>
      <c r="CA53" s="65" t="str">
        <f t="shared" si="34"/>
        <v/>
      </c>
      <c r="CB53" s="65" t="str">
        <f t="shared" si="35"/>
        <v/>
      </c>
      <c r="CC53" s="65" t="str">
        <f t="shared" si="36"/>
        <v/>
      </c>
      <c r="CD53" s="66">
        <f t="shared" si="161"/>
        <v>0</v>
      </c>
      <c r="CE53" s="68" t="str">
        <f>IF('Marks Entry'!AL53="","",'Marks Entry'!AL53)</f>
        <v/>
      </c>
      <c r="CF53" s="68" t="str">
        <f>IF('Marks Entry'!AM53="","",'Marks Entry'!AM53)</f>
        <v/>
      </c>
      <c r="CG53" s="68" t="str">
        <f>IF('Marks Entry'!AN53="","",'Marks Entry'!AN53)</f>
        <v/>
      </c>
      <c r="CH53" s="514" t="str">
        <f t="shared" si="37"/>
        <v/>
      </c>
      <c r="CI53" s="68" t="str">
        <f>IF('Marks Entry'!AO53="","",'Marks Entry'!AO53)</f>
        <v/>
      </c>
      <c r="CJ53" s="515" t="str">
        <f t="shared" si="38"/>
        <v/>
      </c>
      <c r="CK53" s="68" t="str">
        <f>IF('Marks Entry'!AP53="","",'Marks Entry'!AP53)</f>
        <v/>
      </c>
      <c r="CL53" s="96" t="str">
        <f t="shared" si="39"/>
        <v/>
      </c>
      <c r="CM53" s="65">
        <f t="shared" si="40"/>
        <v>0</v>
      </c>
      <c r="CN53" s="65">
        <f t="shared" si="41"/>
        <v>0</v>
      </c>
      <c r="CO53" s="66" t="str">
        <f t="shared" si="42"/>
        <v/>
      </c>
      <c r="CP53" s="65" t="str">
        <f t="shared" si="43"/>
        <v/>
      </c>
      <c r="CQ53" s="65" t="str">
        <f t="shared" si="44"/>
        <v/>
      </c>
      <c r="CR53" s="65" t="str">
        <f t="shared" si="45"/>
        <v/>
      </c>
      <c r="CS53" s="616"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8" t="str">
        <f>IF('School Profile'!$D$20="NO","",IF('Marks Entry'!AR53="","",'Marks Entry'!AR53))</f>
        <v/>
      </c>
      <c r="CU53" s="68" t="str">
        <f>IF('School Profile'!$D$20="NO","",IF('Marks Entry'!AS53="","",'Marks Entry'!AS53))</f>
        <v/>
      </c>
      <c r="CV53" s="68" t="str">
        <f>IF('School Profile'!$D$20="NO","",IF('Marks Entry'!AT53="","",'Marks Entry'!AT53))</f>
        <v/>
      </c>
      <c r="CW53" s="514" t="str">
        <f>IF('School Profile'!$D$20="NO","",IF(AND(CT53="",CU53="",CV53=""),"",SUM(CT53:CV53)))</f>
        <v/>
      </c>
      <c r="CX53" s="68" t="str">
        <f>IF('School Profile'!$D$20="NO","",IF('Marks Entry'!AU53="","",'Marks Entry'!AU53))</f>
        <v/>
      </c>
      <c r="CY53" s="68" t="str">
        <f>IF('School Profile'!$D$20="NO","",IF('Marks Entry'!AV53="","",'Marks Entry'!AV53))</f>
        <v/>
      </c>
      <c r="CZ53" s="515" t="str">
        <f>IF('School Profile'!$D$20="NO","",IF(AND(CX53="",CY53=""),"",SUM(CX53,CY53)))</f>
        <v/>
      </c>
      <c r="DA53" s="69" t="str">
        <f>IF('School Profile'!$D$20="NO","",IF(AND(CW53="",CZ53=""),"",SUM(CW53+CZ53)))</f>
        <v/>
      </c>
      <c r="DB53" s="68" t="str">
        <f>IF('School Profile'!$D$20="NO","",IF('Marks Entry'!AW53="","",'Marks Entry'!AW53))</f>
        <v/>
      </c>
      <c r="DC53" s="68" t="str">
        <f>IF('School Profile'!$D$20="NO","",IF('Marks Entry'!AX53="","",'Marks Entry'!AX53))</f>
        <v/>
      </c>
      <c r="DD53" s="515" t="str">
        <f>IF('School Profile'!$D$20="NO","",IF(AND(DB53="",DC53=""),"",SUM(DB53,DC53)))</f>
        <v/>
      </c>
      <c r="DE53" s="96" t="str">
        <f>IF('School Profile'!$D$20="NO","",IF(AND(DA53="",DD53=""),"",SUM(DA53,DD53)))</f>
        <v/>
      </c>
      <c r="DF53" s="532">
        <f t="shared" si="46"/>
        <v>0</v>
      </c>
      <c r="DG53" s="65">
        <f t="shared" si="47"/>
        <v>0</v>
      </c>
      <c r="DH53" s="66" t="str">
        <f t="shared" si="48"/>
        <v/>
      </c>
      <c r="DI53" s="65" t="str">
        <f t="shared" si="49"/>
        <v/>
      </c>
      <c r="DJ53" s="65" t="str">
        <f t="shared" si="50"/>
        <v/>
      </c>
      <c r="DK53" s="65" t="str">
        <f t="shared" si="51"/>
        <v/>
      </c>
      <c r="DL53" s="97" t="str">
        <f t="shared" si="94"/>
        <v/>
      </c>
      <c r="DM53" s="97" t="str">
        <f t="shared" si="95"/>
        <v/>
      </c>
      <c r="DN53" s="97" t="str">
        <f t="shared" si="96"/>
        <v/>
      </c>
      <c r="DO53" s="97" t="str">
        <f t="shared" si="97"/>
        <v/>
      </c>
      <c r="DP53" s="97" t="str">
        <f t="shared" si="98"/>
        <v/>
      </c>
      <c r="DQ53" s="97" t="str">
        <f t="shared" si="99"/>
        <v/>
      </c>
      <c r="DR53" s="97" t="str">
        <f t="shared" si="100"/>
        <v/>
      </c>
      <c r="DS53" s="98">
        <f t="shared" si="101"/>
        <v>0</v>
      </c>
      <c r="DT53" s="98">
        <f t="shared" si="102"/>
        <v>0</v>
      </c>
      <c r="DU53" s="98">
        <f t="shared" si="103"/>
        <v>0</v>
      </c>
      <c r="DV53" s="98">
        <f t="shared" si="104"/>
        <v>0</v>
      </c>
      <c r="DW53" s="98">
        <f t="shared" si="105"/>
        <v>0</v>
      </c>
      <c r="DX53" s="98" t="str">
        <f t="shared" si="106"/>
        <v/>
      </c>
      <c r="DY53" s="99" t="str">
        <f t="shared" si="107"/>
        <v/>
      </c>
      <c r="DZ53" s="74" t="str">
        <f>IF('Marks Entry'!AY53="","",'Marks Entry'!AY53)</f>
        <v/>
      </c>
      <c r="EA53" s="74" t="str">
        <f>IF('Marks Entry'!AZ53="","",'Marks Entry'!AZ53)</f>
        <v/>
      </c>
      <c r="EB53" s="74" t="str">
        <f>IF('Marks Entry'!BA53="","",'Marks Entry'!BA53)</f>
        <v/>
      </c>
      <c r="EC53" s="527" t="str">
        <f t="shared" si="52"/>
        <v/>
      </c>
      <c r="ED53" s="74" t="str">
        <f>IF('Marks Entry'!BB53="","",'Marks Entry'!BB53)</f>
        <v/>
      </c>
      <c r="EE53" s="528" t="str">
        <f t="shared" si="53"/>
        <v/>
      </c>
      <c r="EF53" s="74" t="str">
        <f>IF('Marks Entry'!BC53="","",'Marks Entry'!BC53)</f>
        <v/>
      </c>
      <c r="EG53" s="530" t="str">
        <f t="shared" si="54"/>
        <v/>
      </c>
      <c r="EH53" s="368" t="str">
        <f t="shared" si="108"/>
        <v/>
      </c>
      <c r="EI53" s="65">
        <f t="shared" si="109"/>
        <v>0</v>
      </c>
      <c r="EJ53" s="65">
        <f t="shared" si="110"/>
        <v>0</v>
      </c>
      <c r="EK53" s="66" t="str">
        <f t="shared" si="111"/>
        <v/>
      </c>
      <c r="EL53" s="74" t="str">
        <f>IF('Marks Entry'!BD53="","",'Marks Entry'!BD53)</f>
        <v/>
      </c>
      <c r="EM53" s="74" t="str">
        <f>IF('Marks Entry'!BE53="","",'Marks Entry'!BE53)</f>
        <v/>
      </c>
      <c r="EN53" s="74" t="str">
        <f>IF('Marks Entry'!BF53="","",'Marks Entry'!BF53)</f>
        <v/>
      </c>
      <c r="EO53" s="527" t="str">
        <f t="shared" si="55"/>
        <v/>
      </c>
      <c r="EP53" s="74" t="str">
        <f>IF('Marks Entry'!BG53="","",'Marks Entry'!BG53)</f>
        <v/>
      </c>
      <c r="EQ53" s="74" t="str">
        <f>IF('Marks Entry'!BH53="","",'Marks Entry'!BH53)</f>
        <v/>
      </c>
      <c r="ER53" s="528" t="str">
        <f t="shared" si="56"/>
        <v/>
      </c>
      <c r="ES53" s="529" t="str">
        <f t="shared" si="57"/>
        <v/>
      </c>
      <c r="ET53" s="74" t="str">
        <f>IF('Marks Entry'!BI53="","",'Marks Entry'!BI53)</f>
        <v/>
      </c>
      <c r="EU53" s="74" t="str">
        <f>IF('Marks Entry'!BJ53="","",'Marks Entry'!BJ53)</f>
        <v/>
      </c>
      <c r="EV53" s="528" t="str">
        <f t="shared" si="58"/>
        <v/>
      </c>
      <c r="EW53" s="530" t="str">
        <f t="shared" si="59"/>
        <v/>
      </c>
      <c r="EX53" s="368" t="str">
        <f t="shared" si="112"/>
        <v/>
      </c>
      <c r="EY53" s="65">
        <f t="shared" si="113"/>
        <v>0</v>
      </c>
      <c r="EZ53" s="65">
        <f t="shared" si="114"/>
        <v>0</v>
      </c>
      <c r="FA53" s="66" t="str">
        <f t="shared" si="115"/>
        <v/>
      </c>
      <c r="FB53" s="74" t="str">
        <f>IF('Marks Entry'!BK53="","",'Marks Entry'!BK53)</f>
        <v/>
      </c>
      <c r="FC53" s="74" t="str">
        <f>IF('Marks Entry'!BL53="","",'Marks Entry'!BL53)</f>
        <v/>
      </c>
      <c r="FD53" s="74" t="str">
        <f>IF('Marks Entry'!BM53="","",'Marks Entry'!BM53)</f>
        <v/>
      </c>
      <c r="FE53" s="74" t="str">
        <f>IF('Marks Entry'!BN53="","",'Marks Entry'!BN53)</f>
        <v/>
      </c>
      <c r="FF53" s="74" t="str">
        <f>IF('Marks Entry'!BO53="","",'Marks Entry'!BO53)</f>
        <v/>
      </c>
      <c r="FG53" s="74" t="str">
        <f>IF('Marks Entry'!BP53="","",'Marks Entry'!BP53)</f>
        <v/>
      </c>
      <c r="FH53" s="527" t="str">
        <f t="shared" si="60"/>
        <v/>
      </c>
      <c r="FI53" s="74" t="str">
        <f>IF('Marks Entry'!BQ53="","",'Marks Entry'!BQ53)</f>
        <v/>
      </c>
      <c r="FJ53" s="74" t="str">
        <f>IF('Marks Entry'!BR53="","",'Marks Entry'!BR53)</f>
        <v/>
      </c>
      <c r="FK53" s="528" t="str">
        <f t="shared" si="61"/>
        <v/>
      </c>
      <c r="FL53" s="529" t="str">
        <f t="shared" si="62"/>
        <v/>
      </c>
      <c r="FM53" s="74" t="str">
        <f>IF('Marks Entry'!BS53="","",'Marks Entry'!BS53)</f>
        <v/>
      </c>
      <c r="FN53" s="74" t="str">
        <f>IF('Marks Entry'!BT53="","",'Marks Entry'!BT53)</f>
        <v/>
      </c>
      <c r="FO53" s="528" t="str">
        <f t="shared" si="63"/>
        <v/>
      </c>
      <c r="FP53" s="530" t="str">
        <f t="shared" si="64"/>
        <v/>
      </c>
      <c r="FQ53" s="368" t="str">
        <f t="shared" si="116"/>
        <v/>
      </c>
      <c r="FR53" s="65">
        <f t="shared" si="117"/>
        <v>0</v>
      </c>
      <c r="FS53" s="65">
        <f t="shared" si="118"/>
        <v>0</v>
      </c>
      <c r="FT53" s="66" t="str">
        <f t="shared" si="119"/>
        <v/>
      </c>
      <c r="FU53" s="74" t="str">
        <f>IF('Marks Entry'!BU53="","",'Marks Entry'!BU53)</f>
        <v/>
      </c>
      <c r="FV53" s="74" t="str">
        <f>IF('Marks Entry'!BV53="","",'Marks Entry'!BV53)</f>
        <v/>
      </c>
      <c r="FW53" s="74" t="str">
        <f>IF('Marks Entry'!BW53="","",'Marks Entry'!BW53)</f>
        <v/>
      </c>
      <c r="FX53" s="75" t="str">
        <f t="shared" si="65"/>
        <v/>
      </c>
      <c r="FY53" s="368" t="str">
        <f t="shared" si="120"/>
        <v/>
      </c>
      <c r="FZ53" s="65">
        <f t="shared" si="121"/>
        <v>0</v>
      </c>
      <c r="GA53" s="66">
        <f t="shared" si="122"/>
        <v>0</v>
      </c>
      <c r="GB53" s="66" t="str">
        <f t="shared" si="123"/>
        <v/>
      </c>
      <c r="GC53" s="74" t="str">
        <f>IF('Marks Entry'!BX53="","",'Marks Entry'!BX53)</f>
        <v/>
      </c>
      <c r="GD53" s="74" t="str">
        <f>IF('Marks Entry'!BY53="","",'Marks Entry'!BY53)</f>
        <v/>
      </c>
      <c r="GE53" s="74" t="str">
        <f>IF('Marks Entry'!BZ53="","",'Marks Entry'!BZ53)</f>
        <v/>
      </c>
      <c r="GF53" s="75" t="str">
        <f t="shared" si="124"/>
        <v/>
      </c>
      <c r="GG53" s="368" t="str">
        <f t="shared" si="125"/>
        <v/>
      </c>
      <c r="GH53" s="65">
        <f t="shared" si="126"/>
        <v>0</v>
      </c>
      <c r="GI53" s="66">
        <f t="shared" si="127"/>
        <v>0</v>
      </c>
      <c r="GJ53" s="66" t="str">
        <f t="shared" si="128"/>
        <v/>
      </c>
      <c r="GK53" s="100" t="str">
        <f>IF(AND(F53="",B53=""),"",IF('Student DATA Entry'!M50="","",'Student DATA Entry'!M50))</f>
        <v/>
      </c>
      <c r="GL53" s="101" t="str">
        <f>IF(AND(B53="",F53=""),"",IF('Student DATA Entry'!N50="","",'Student DATA Entry'!N50))</f>
        <v/>
      </c>
      <c r="GM53" s="581" t="str">
        <f t="shared" si="129"/>
        <v/>
      </c>
      <c r="GN53" s="94" t="str">
        <f t="shared" si="130"/>
        <v/>
      </c>
      <c r="GO53" s="94" t="str">
        <f t="shared" si="131"/>
        <v/>
      </c>
      <c r="GP53" s="102" t="str">
        <f t="shared" si="162"/>
        <v/>
      </c>
      <c r="GQ53" s="94" t="str">
        <f t="shared" si="132"/>
        <v/>
      </c>
      <c r="GR53" s="103" t="str">
        <f t="shared" si="133"/>
        <v/>
      </c>
      <c r="GS53" s="102" t="str">
        <f t="shared" si="163"/>
        <v/>
      </c>
      <c r="GT53" s="104" t="str">
        <f t="shared" si="134"/>
        <v/>
      </c>
      <c r="GU53" s="94" t="str">
        <f>IF('Marks Entry'!V53=1,GT53,"")</f>
        <v/>
      </c>
      <c r="GV53" s="94" t="str">
        <f>IF('Marks Entry'!V53=2,GT53,"")</f>
        <v/>
      </c>
      <c r="GW53" s="94" t="str">
        <f>IF('Marks Entry'!V53=3,GT53,"")</f>
        <v/>
      </c>
      <c r="GX53" s="94" t="str">
        <f>IF('Marks Entry'!V53=4,GT53,"")</f>
        <v/>
      </c>
      <c r="GY53" s="94" t="str">
        <f>IF('Marks Entry'!V53=5,GT53,"")</f>
        <v/>
      </c>
      <c r="GZ53" s="94" t="str">
        <f t="shared" si="135"/>
        <v/>
      </c>
      <c r="HA53" s="105" t="str">
        <f t="shared" si="164"/>
        <v/>
      </c>
      <c r="HB53" s="94" t="str">
        <f t="shared" si="136"/>
        <v/>
      </c>
      <c r="HC53" s="94" t="str">
        <f t="shared" si="137"/>
        <v/>
      </c>
      <c r="HD53" s="105" t="str">
        <f t="shared" si="165"/>
        <v/>
      </c>
      <c r="HE53" s="94" t="str">
        <f t="shared" si="138"/>
        <v/>
      </c>
      <c r="HF53" s="94" t="str">
        <f t="shared" si="139"/>
        <v/>
      </c>
      <c r="HG53" s="105" t="str">
        <f t="shared" si="166"/>
        <v/>
      </c>
      <c r="HH53" s="94" t="str">
        <f t="shared" si="140"/>
        <v/>
      </c>
      <c r="HI53" s="94" t="str">
        <f t="shared" si="141"/>
        <v/>
      </c>
      <c r="HJ53" s="105" t="str">
        <f t="shared" si="167"/>
        <v/>
      </c>
      <c r="HK53" s="94" t="str">
        <f t="shared" si="142"/>
        <v/>
      </c>
      <c r="HL53" s="94" t="str">
        <f t="shared" si="143"/>
        <v/>
      </c>
      <c r="HM53" s="105" t="str">
        <f t="shared" si="168"/>
        <v/>
      </c>
      <c r="HN53" s="367" t="str">
        <f t="shared" si="144"/>
        <v xml:space="preserve">      </v>
      </c>
      <c r="HO53" s="418" t="str">
        <f t="shared" si="169"/>
        <v xml:space="preserve">      </v>
      </c>
      <c r="HP53" s="367" t="str">
        <f t="shared" si="146"/>
        <v xml:space="preserve">      </v>
      </c>
      <c r="HQ53" s="107" t="str">
        <f t="shared" si="147"/>
        <v xml:space="preserve">      </v>
      </c>
      <c r="HR53" s="366" t="str">
        <f t="shared" si="148"/>
        <v xml:space="preserve">      </v>
      </c>
      <c r="HS53" s="544" t="str">
        <f t="shared" si="170"/>
        <v/>
      </c>
      <c r="HT53" s="542" t="str">
        <f t="shared" si="149"/>
        <v/>
      </c>
      <c r="HU53" s="541" t="str">
        <f t="shared" si="160"/>
        <v/>
      </c>
      <c r="HV53" s="540" t="str">
        <f t="shared" si="150"/>
        <v/>
      </c>
      <c r="HW53" s="537" t="str">
        <f t="shared" si="151"/>
        <v/>
      </c>
      <c r="HX53" s="539" t="str">
        <f t="shared" si="152"/>
        <v/>
      </c>
      <c r="HY53" s="553" t="str">
        <f>IFERROR(IF(OR(HS53="SUPPLEMENTARY",HS53="RE-EXAM"),'Supp. Result Entry'!AQ51,""),"")</f>
        <v/>
      </c>
      <c r="HZ53" s="538" t="str">
        <f t="shared" si="153"/>
        <v/>
      </c>
      <c r="IA53" s="415" t="str">
        <f t="shared" si="154"/>
        <v/>
      </c>
      <c r="IB53" s="415" t="str">
        <f>IF(AND(HZ53="",IA53=""),"",IF(OR(HS53="SUPPLEMENTARY",HS53="RE-EXAM"),'Supp. Result Entry'!AQ51,HS53))</f>
        <v/>
      </c>
      <c r="IC53" s="87"/>
      <c r="ID53" s="111"/>
      <c r="IS53" s="109" t="str">
        <f>IF('Supp. Result Entry'!T51="","",'Supp. Result Entry'!$T$4)</f>
        <v/>
      </c>
      <c r="IT53" s="110" t="str">
        <f>IF('Supp. Result Entry'!W51="","",'Supp. Result Entry'!$W$4)</f>
        <v/>
      </c>
      <c r="IU53" s="110" t="str">
        <f>IF('Supp. Result Entry'!Z51="","",'Supp. Result Entry'!$Z$4)</f>
        <v/>
      </c>
      <c r="IV53" s="110" t="str">
        <f>IF('Supp. Result Entry'!AC51="","",'Supp. Result Entry'!$AC$4)</f>
        <v/>
      </c>
      <c r="IW53" s="110" t="str">
        <f>IF('Supp. Result Entry'!AF51="","",'Supp. Result Entry'!$AF$4)</f>
        <v/>
      </c>
      <c r="IX53" s="110" t="str">
        <f>IF('Supp. Result Entry'!AI51="","",'Supp. Result Entry'!$AI$4)</f>
        <v/>
      </c>
      <c r="IY53" s="110" t="str">
        <f>IF('Supp. Result Entry'!AI51="","",'Supp. Result Entry'!$AL$4)</f>
        <v/>
      </c>
      <c r="IZ53" s="110" t="str">
        <f>IF('Supp. Result Entry'!U51="","",'Supp. Result Entry'!U51)</f>
        <v/>
      </c>
      <c r="JA53" s="110" t="str">
        <f>IF('Supp. Result Entry'!X51="","",'Supp. Result Entry'!X51)</f>
        <v/>
      </c>
      <c r="JB53" s="110" t="str">
        <f>IF('Supp. Result Entry'!AA51="","",'Supp. Result Entry'!AA51)</f>
        <v/>
      </c>
      <c r="JC53" s="110" t="str">
        <f>IF('Supp. Result Entry'!AD51="","",'Supp. Result Entry'!AD51)</f>
        <v/>
      </c>
      <c r="JD53" s="110" t="str">
        <f>IF('Supp. Result Entry'!AG51="","",'Supp. Result Entry'!AG51)</f>
        <v/>
      </c>
      <c r="JE53" s="110" t="str">
        <f>IF('Supp. Result Entry'!AJ51="","",'Supp. Result Entry'!AJ51)</f>
        <v/>
      </c>
      <c r="JF53" s="110" t="str">
        <f>IF('Supp. Result Entry'!AM51="","",'Supp. Result Entry'!AM51)</f>
        <v/>
      </c>
      <c r="JG53" s="110" t="str">
        <f>IF('Supp. Result Entry'!V51="","",'Supp. Result Entry'!V51)</f>
        <v/>
      </c>
      <c r="JH53" s="110" t="str">
        <f>IF('Supp. Result Entry'!Y51="","",'Supp. Result Entry'!Y51)</f>
        <v/>
      </c>
      <c r="JI53" s="110" t="str">
        <f>IF('Supp. Result Entry'!AB51="","",'Supp. Result Entry'!AB51)</f>
        <v/>
      </c>
      <c r="JJ53" s="110" t="str">
        <f>IF('Supp. Result Entry'!AE51="","",'Supp. Result Entry'!AE51)</f>
        <v/>
      </c>
      <c r="JK53" s="110" t="str">
        <f>IF('Supp. Result Entry'!AH51="","",'Supp. Result Entry'!AH51)</f>
        <v/>
      </c>
      <c r="JL53" s="110" t="str">
        <f>IF('Supp. Result Entry'!AK51="","",'Supp. Result Entry'!AK51)</f>
        <v/>
      </c>
      <c r="JM53" s="110" t="str">
        <f>IF('Supp. Result Entry'!AN51="","",'Supp. Result Entry'!AN51)</f>
        <v/>
      </c>
      <c r="JN53" s="110">
        <f>COUNTIF('Supp. Result Entry'!K51:Q51,"S")</f>
        <v>0</v>
      </c>
      <c r="JO53" s="110">
        <f t="shared" si="155"/>
        <v>0</v>
      </c>
      <c r="JP53" s="110">
        <f t="shared" si="156"/>
        <v>0</v>
      </c>
      <c r="JQ53" s="110" t="str">
        <f t="shared" si="75"/>
        <v/>
      </c>
      <c r="JR53" s="110" t="str">
        <f t="shared" si="76"/>
        <v/>
      </c>
      <c r="JS53" s="110" t="str">
        <f t="shared" si="77"/>
        <v/>
      </c>
      <c r="JT53" s="110" t="str">
        <f t="shared" si="78"/>
        <v/>
      </c>
      <c r="JU53" s="110" t="str">
        <f t="shared" si="79"/>
        <v/>
      </c>
      <c r="JV53" s="110" t="str">
        <f t="shared" si="80"/>
        <v/>
      </c>
      <c r="JW53" s="110" t="str">
        <f t="shared" si="81"/>
        <v/>
      </c>
      <c r="JX53" s="110" t="str">
        <f t="shared" si="157"/>
        <v/>
      </c>
      <c r="JY53" s="110" t="str">
        <f t="shared" si="158"/>
        <v/>
      </c>
      <c r="JZ53" s="110" t="str">
        <f t="shared" si="82"/>
        <v/>
      </c>
      <c r="KA53" s="108" t="str">
        <f t="shared" si="159"/>
        <v/>
      </c>
    </row>
    <row r="54" spans="1:287" s="108" customFormat="1" ht="21.95" customHeight="1">
      <c r="A54" s="89">
        <v>48</v>
      </c>
      <c r="B54" s="90" t="str">
        <f>IF('Marks Entry'!B54="","",'Marks Entry'!B54)</f>
        <v/>
      </c>
      <c r="C54" s="94" t="str">
        <f>IF('Marks Entry'!D54="","",'Marks Entry'!D54)</f>
        <v/>
      </c>
      <c r="D54" s="91" t="str">
        <f>IF('Marks Entry'!E54="","",'Marks Entry'!E54)</f>
        <v/>
      </c>
      <c r="E54" s="92" t="str">
        <f>IF('Marks Entry'!F54="","",'Marks Entry'!F54)</f>
        <v/>
      </c>
      <c r="F54" s="93" t="str">
        <f>IF('Marks Entry'!G54="","",'Marks Entry'!G54)</f>
        <v/>
      </c>
      <c r="G54" s="93" t="str">
        <f>IF('Marks Entry'!H54="","",'Marks Entry'!H54)</f>
        <v/>
      </c>
      <c r="H54" s="93" t="str">
        <f>IF('Marks Entry'!I54="","",'Marks Entry'!I54)</f>
        <v/>
      </c>
      <c r="I54" s="94" t="str">
        <f>IF('Marks Entry'!J54="","",'Marks Entry'!J54)</f>
        <v/>
      </c>
      <c r="J54" s="95" t="str">
        <f>IF('Marks Entry'!K54="","",'Marks Entry'!K54)</f>
        <v/>
      </c>
      <c r="K54" s="68" t="str">
        <f>IF('Marks Entry'!L54="","",'Marks Entry'!L54)</f>
        <v/>
      </c>
      <c r="L54" s="68" t="str">
        <f>IF('Marks Entry'!M54="","",'Marks Entry'!M54)</f>
        <v/>
      </c>
      <c r="M54" s="68" t="str">
        <f>IF('Marks Entry'!N54="","",'Marks Entry'!N54)</f>
        <v/>
      </c>
      <c r="N54" s="514" t="str">
        <f t="shared" si="83"/>
        <v/>
      </c>
      <c r="O54" s="68" t="str">
        <f>IF('Marks Entry'!O54="","",'Marks Entry'!O54)</f>
        <v/>
      </c>
      <c r="P54" s="515" t="str">
        <f t="shared" si="84"/>
        <v/>
      </c>
      <c r="Q54" s="68" t="str">
        <f>IF('Marks Entry'!P54="","",'Marks Entry'!P54)</f>
        <v/>
      </c>
      <c r="R54" s="96" t="str">
        <f t="shared" si="85"/>
        <v/>
      </c>
      <c r="S54" s="65">
        <f t="shared" si="86"/>
        <v>0</v>
      </c>
      <c r="T54" s="65">
        <f t="shared" si="87"/>
        <v>0</v>
      </c>
      <c r="U54" s="66" t="str">
        <f t="shared" si="88"/>
        <v/>
      </c>
      <c r="V54" s="65" t="str">
        <f t="shared" si="89"/>
        <v/>
      </c>
      <c r="W54" s="65" t="str">
        <f t="shared" si="90"/>
        <v/>
      </c>
      <c r="X54" s="65" t="str">
        <f t="shared" si="91"/>
        <v/>
      </c>
      <c r="Y54" s="68" t="str">
        <f>IF('Marks Entry'!Q54="","",'Marks Entry'!Q54)</f>
        <v/>
      </c>
      <c r="Z54" s="68" t="str">
        <f>IF('Marks Entry'!R54="","",'Marks Entry'!R54)</f>
        <v/>
      </c>
      <c r="AA54" s="68" t="str">
        <f>IF('Marks Entry'!S54="","",'Marks Entry'!S54)</f>
        <v/>
      </c>
      <c r="AB54" s="514" t="str">
        <f t="shared" si="2"/>
        <v/>
      </c>
      <c r="AC54" s="68" t="str">
        <f>IF('Marks Entry'!T54="","",'Marks Entry'!T54)</f>
        <v/>
      </c>
      <c r="AD54" s="515" t="str">
        <f t="shared" si="3"/>
        <v/>
      </c>
      <c r="AE54" s="68" t="str">
        <f>IF('Marks Entry'!U54="","",'Marks Entry'!U54)</f>
        <v/>
      </c>
      <c r="AF54" s="96" t="str">
        <f t="shared" si="4"/>
        <v/>
      </c>
      <c r="AG54" s="65">
        <f t="shared" si="5"/>
        <v>0</v>
      </c>
      <c r="AH54" s="65">
        <f t="shared" si="6"/>
        <v>0</v>
      </c>
      <c r="AI54" s="66" t="str">
        <f t="shared" si="7"/>
        <v/>
      </c>
      <c r="AJ54" s="65" t="str">
        <f t="shared" si="8"/>
        <v/>
      </c>
      <c r="AK54" s="65" t="str">
        <f t="shared" si="9"/>
        <v/>
      </c>
      <c r="AL54" s="65" t="str">
        <f t="shared" si="10"/>
        <v/>
      </c>
      <c r="AM54" s="524" t="str">
        <f>IF('Marks Entry'!V54="","",IF('Marks Entry'!V54=1,'School Profile'!$I$9,IF('Marks Entry'!V54=2,'School Profile'!$I$10,IF('Marks Entry'!V54=3,'School Profile'!$I$11,IF('Marks Entry'!V54=4,'School Profile'!$I$12,IF('Marks Entry'!V54=5,'School Profile'!$I$13,IF('Marks Entry'!V54=6,'School Profile'!$I$14,"")))))))</f>
        <v/>
      </c>
      <c r="AN54" s="68" t="str">
        <f>IF('Marks Entry'!W54="","",'Marks Entry'!W54)</f>
        <v/>
      </c>
      <c r="AO54" s="68" t="str">
        <f>IF('Marks Entry'!X54="","",'Marks Entry'!X54)</f>
        <v/>
      </c>
      <c r="AP54" s="68" t="str">
        <f>IF('Marks Entry'!Y54="","",'Marks Entry'!Y54)</f>
        <v/>
      </c>
      <c r="AQ54" s="514" t="str">
        <f t="shared" si="11"/>
        <v/>
      </c>
      <c r="AR54" s="68" t="str">
        <f>IF('Marks Entry'!Z54="","",'Marks Entry'!Z54)</f>
        <v/>
      </c>
      <c r="AS54" s="515" t="str">
        <f t="shared" si="12"/>
        <v/>
      </c>
      <c r="AT54" s="68" t="str">
        <f>IF('Marks Entry'!AA54="","",'Marks Entry'!AA54)</f>
        <v/>
      </c>
      <c r="AU54" s="96" t="str">
        <f t="shared" si="13"/>
        <v/>
      </c>
      <c r="AV54" s="65">
        <f t="shared" si="14"/>
        <v>0</v>
      </c>
      <c r="AW54" s="65">
        <f t="shared" si="15"/>
        <v>0</v>
      </c>
      <c r="AX54" s="66" t="str">
        <f t="shared" si="16"/>
        <v/>
      </c>
      <c r="AY54" s="65" t="str">
        <f t="shared" si="17"/>
        <v/>
      </c>
      <c r="AZ54" s="65" t="str">
        <f t="shared" si="18"/>
        <v/>
      </c>
      <c r="BA54" s="65" t="str">
        <f t="shared" si="19"/>
        <v/>
      </c>
      <c r="BB54" s="68" t="str">
        <f>IF('Marks Entry'!AB54="","",'Marks Entry'!AB54)</f>
        <v/>
      </c>
      <c r="BC54" s="68" t="str">
        <f>IF('Marks Entry'!AC54="","",'Marks Entry'!AC54)</f>
        <v/>
      </c>
      <c r="BD54" s="68" t="str">
        <f>IF('Marks Entry'!AD54="","",'Marks Entry'!AD54)</f>
        <v/>
      </c>
      <c r="BE54" s="514" t="str">
        <f t="shared" si="20"/>
        <v/>
      </c>
      <c r="BF54" s="68" t="str">
        <f>IF('Marks Entry'!AE54="","",'Marks Entry'!AE54)</f>
        <v/>
      </c>
      <c r="BG54" s="515" t="str">
        <f t="shared" si="21"/>
        <v/>
      </c>
      <c r="BH54" s="68" t="str">
        <f>IF('Marks Entry'!AF54="","",'Marks Entry'!AF54)</f>
        <v/>
      </c>
      <c r="BI54" s="96" t="str">
        <f t="shared" si="22"/>
        <v/>
      </c>
      <c r="BJ54" s="65">
        <f t="shared" si="23"/>
        <v>0</v>
      </c>
      <c r="BK54" s="65">
        <f t="shared" si="92"/>
        <v>0</v>
      </c>
      <c r="BL54" s="66" t="str">
        <f t="shared" si="24"/>
        <v/>
      </c>
      <c r="BM54" s="65" t="str">
        <f t="shared" si="25"/>
        <v/>
      </c>
      <c r="BN54" s="65" t="str">
        <f t="shared" si="26"/>
        <v/>
      </c>
      <c r="BO54" s="65" t="str">
        <f t="shared" si="27"/>
        <v/>
      </c>
      <c r="BP54" s="68" t="str">
        <f>IF('Marks Entry'!AG54="","",'Marks Entry'!AG54)</f>
        <v/>
      </c>
      <c r="BQ54" s="68" t="str">
        <f>IF('Marks Entry'!AH54="","",'Marks Entry'!AH54)</f>
        <v/>
      </c>
      <c r="BR54" s="68" t="str">
        <f>IF('Marks Entry'!AI54="","",'Marks Entry'!AI54)</f>
        <v/>
      </c>
      <c r="BS54" s="514" t="str">
        <f t="shared" si="28"/>
        <v/>
      </c>
      <c r="BT54" s="68" t="str">
        <f>IF('Marks Entry'!AJ54="","",'Marks Entry'!AJ54)</f>
        <v/>
      </c>
      <c r="BU54" s="515" t="str">
        <f t="shared" si="29"/>
        <v/>
      </c>
      <c r="BV54" s="68" t="str">
        <f>IF('Marks Entry'!AK54="","",'Marks Entry'!AK54)</f>
        <v/>
      </c>
      <c r="BW54" s="96" t="str">
        <f t="shared" si="30"/>
        <v/>
      </c>
      <c r="BX54" s="65">
        <f t="shared" si="31"/>
        <v>0</v>
      </c>
      <c r="BY54" s="65">
        <f t="shared" si="32"/>
        <v>0</v>
      </c>
      <c r="BZ54" s="66" t="str">
        <f t="shared" si="33"/>
        <v/>
      </c>
      <c r="CA54" s="65" t="str">
        <f t="shared" si="34"/>
        <v/>
      </c>
      <c r="CB54" s="65" t="str">
        <f t="shared" si="35"/>
        <v/>
      </c>
      <c r="CC54" s="65" t="str">
        <f t="shared" si="36"/>
        <v/>
      </c>
      <c r="CD54" s="66">
        <f t="shared" si="161"/>
        <v>0</v>
      </c>
      <c r="CE54" s="68" t="str">
        <f>IF('Marks Entry'!AL54="","",'Marks Entry'!AL54)</f>
        <v/>
      </c>
      <c r="CF54" s="68" t="str">
        <f>IF('Marks Entry'!AM54="","",'Marks Entry'!AM54)</f>
        <v/>
      </c>
      <c r="CG54" s="68" t="str">
        <f>IF('Marks Entry'!AN54="","",'Marks Entry'!AN54)</f>
        <v/>
      </c>
      <c r="CH54" s="514" t="str">
        <f t="shared" si="37"/>
        <v/>
      </c>
      <c r="CI54" s="68" t="str">
        <f>IF('Marks Entry'!AO54="","",'Marks Entry'!AO54)</f>
        <v/>
      </c>
      <c r="CJ54" s="515" t="str">
        <f t="shared" si="38"/>
        <v/>
      </c>
      <c r="CK54" s="68" t="str">
        <f>IF('Marks Entry'!AP54="","",'Marks Entry'!AP54)</f>
        <v/>
      </c>
      <c r="CL54" s="96" t="str">
        <f t="shared" si="39"/>
        <v/>
      </c>
      <c r="CM54" s="65">
        <f t="shared" si="40"/>
        <v>0</v>
      </c>
      <c r="CN54" s="65">
        <f t="shared" si="41"/>
        <v>0</v>
      </c>
      <c r="CO54" s="66" t="str">
        <f t="shared" si="42"/>
        <v/>
      </c>
      <c r="CP54" s="65" t="str">
        <f t="shared" si="43"/>
        <v/>
      </c>
      <c r="CQ54" s="65" t="str">
        <f t="shared" si="44"/>
        <v/>
      </c>
      <c r="CR54" s="65" t="str">
        <f t="shared" si="45"/>
        <v/>
      </c>
      <c r="CS54" s="616"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8" t="str">
        <f>IF('School Profile'!$D$20="NO","",IF('Marks Entry'!AR54="","",'Marks Entry'!AR54))</f>
        <v/>
      </c>
      <c r="CU54" s="68" t="str">
        <f>IF('School Profile'!$D$20="NO","",IF('Marks Entry'!AS54="","",'Marks Entry'!AS54))</f>
        <v/>
      </c>
      <c r="CV54" s="68" t="str">
        <f>IF('School Profile'!$D$20="NO","",IF('Marks Entry'!AT54="","",'Marks Entry'!AT54))</f>
        <v/>
      </c>
      <c r="CW54" s="514" t="str">
        <f>IF('School Profile'!$D$20="NO","",IF(AND(CT54="",CU54="",CV54=""),"",SUM(CT54:CV54)))</f>
        <v/>
      </c>
      <c r="CX54" s="68" t="str">
        <f>IF('School Profile'!$D$20="NO","",IF('Marks Entry'!AU54="","",'Marks Entry'!AU54))</f>
        <v/>
      </c>
      <c r="CY54" s="68" t="str">
        <f>IF('School Profile'!$D$20="NO","",IF('Marks Entry'!AV54="","",'Marks Entry'!AV54))</f>
        <v/>
      </c>
      <c r="CZ54" s="515" t="str">
        <f>IF('School Profile'!$D$20="NO","",IF(AND(CX54="",CY54=""),"",SUM(CX54,CY54)))</f>
        <v/>
      </c>
      <c r="DA54" s="69" t="str">
        <f>IF('School Profile'!$D$20="NO","",IF(AND(CW54="",CZ54=""),"",SUM(CW54+CZ54)))</f>
        <v/>
      </c>
      <c r="DB54" s="68" t="str">
        <f>IF('School Profile'!$D$20="NO","",IF('Marks Entry'!AW54="","",'Marks Entry'!AW54))</f>
        <v/>
      </c>
      <c r="DC54" s="68" t="str">
        <f>IF('School Profile'!$D$20="NO","",IF('Marks Entry'!AX54="","",'Marks Entry'!AX54))</f>
        <v/>
      </c>
      <c r="DD54" s="515" t="str">
        <f>IF('School Profile'!$D$20="NO","",IF(AND(DB54="",DC54=""),"",SUM(DB54,DC54)))</f>
        <v/>
      </c>
      <c r="DE54" s="96" t="str">
        <f>IF('School Profile'!$D$20="NO","",IF(AND(DA54="",DD54=""),"",SUM(DA54,DD54)))</f>
        <v/>
      </c>
      <c r="DF54" s="532">
        <f t="shared" si="46"/>
        <v>0</v>
      </c>
      <c r="DG54" s="65">
        <f t="shared" si="47"/>
        <v>0</v>
      </c>
      <c r="DH54" s="66" t="str">
        <f t="shared" si="48"/>
        <v/>
      </c>
      <c r="DI54" s="65" t="str">
        <f t="shared" si="49"/>
        <v/>
      </c>
      <c r="DJ54" s="65" t="str">
        <f t="shared" si="50"/>
        <v/>
      </c>
      <c r="DK54" s="65" t="str">
        <f t="shared" si="51"/>
        <v/>
      </c>
      <c r="DL54" s="97" t="str">
        <f t="shared" si="94"/>
        <v/>
      </c>
      <c r="DM54" s="97" t="str">
        <f t="shared" si="95"/>
        <v/>
      </c>
      <c r="DN54" s="97" t="str">
        <f t="shared" si="96"/>
        <v/>
      </c>
      <c r="DO54" s="97" t="str">
        <f t="shared" si="97"/>
        <v/>
      </c>
      <c r="DP54" s="97" t="str">
        <f t="shared" si="98"/>
        <v/>
      </c>
      <c r="DQ54" s="97" t="str">
        <f t="shared" si="99"/>
        <v/>
      </c>
      <c r="DR54" s="97" t="str">
        <f t="shared" si="100"/>
        <v/>
      </c>
      <c r="DS54" s="98">
        <f t="shared" si="101"/>
        <v>0</v>
      </c>
      <c r="DT54" s="98">
        <f t="shared" si="102"/>
        <v>0</v>
      </c>
      <c r="DU54" s="98">
        <f t="shared" si="103"/>
        <v>0</v>
      </c>
      <c r="DV54" s="98">
        <f t="shared" si="104"/>
        <v>0</v>
      </c>
      <c r="DW54" s="98">
        <f t="shared" si="105"/>
        <v>0</v>
      </c>
      <c r="DX54" s="98" t="str">
        <f t="shared" si="106"/>
        <v/>
      </c>
      <c r="DY54" s="99" t="str">
        <f t="shared" si="107"/>
        <v/>
      </c>
      <c r="DZ54" s="74" t="str">
        <f>IF('Marks Entry'!AY54="","",'Marks Entry'!AY54)</f>
        <v/>
      </c>
      <c r="EA54" s="74" t="str">
        <f>IF('Marks Entry'!AZ54="","",'Marks Entry'!AZ54)</f>
        <v/>
      </c>
      <c r="EB54" s="74" t="str">
        <f>IF('Marks Entry'!BA54="","",'Marks Entry'!BA54)</f>
        <v/>
      </c>
      <c r="EC54" s="527" t="str">
        <f t="shared" si="52"/>
        <v/>
      </c>
      <c r="ED54" s="74" t="str">
        <f>IF('Marks Entry'!BB54="","",'Marks Entry'!BB54)</f>
        <v/>
      </c>
      <c r="EE54" s="528" t="str">
        <f t="shared" si="53"/>
        <v/>
      </c>
      <c r="EF54" s="74" t="str">
        <f>IF('Marks Entry'!BC54="","",'Marks Entry'!BC54)</f>
        <v/>
      </c>
      <c r="EG54" s="530" t="str">
        <f t="shared" si="54"/>
        <v/>
      </c>
      <c r="EH54" s="368" t="str">
        <f t="shared" si="108"/>
        <v/>
      </c>
      <c r="EI54" s="65">
        <f t="shared" si="109"/>
        <v>0</v>
      </c>
      <c r="EJ54" s="65">
        <f t="shared" si="110"/>
        <v>0</v>
      </c>
      <c r="EK54" s="66" t="str">
        <f t="shared" si="111"/>
        <v/>
      </c>
      <c r="EL54" s="74" t="str">
        <f>IF('Marks Entry'!BD54="","",'Marks Entry'!BD54)</f>
        <v/>
      </c>
      <c r="EM54" s="74" t="str">
        <f>IF('Marks Entry'!BE54="","",'Marks Entry'!BE54)</f>
        <v/>
      </c>
      <c r="EN54" s="74" t="str">
        <f>IF('Marks Entry'!BF54="","",'Marks Entry'!BF54)</f>
        <v/>
      </c>
      <c r="EO54" s="527" t="str">
        <f t="shared" si="55"/>
        <v/>
      </c>
      <c r="EP54" s="74" t="str">
        <f>IF('Marks Entry'!BG54="","",'Marks Entry'!BG54)</f>
        <v/>
      </c>
      <c r="EQ54" s="74" t="str">
        <f>IF('Marks Entry'!BH54="","",'Marks Entry'!BH54)</f>
        <v/>
      </c>
      <c r="ER54" s="528" t="str">
        <f t="shared" si="56"/>
        <v/>
      </c>
      <c r="ES54" s="529" t="str">
        <f t="shared" si="57"/>
        <v/>
      </c>
      <c r="ET54" s="74" t="str">
        <f>IF('Marks Entry'!BI54="","",'Marks Entry'!BI54)</f>
        <v/>
      </c>
      <c r="EU54" s="74" t="str">
        <f>IF('Marks Entry'!BJ54="","",'Marks Entry'!BJ54)</f>
        <v/>
      </c>
      <c r="EV54" s="528" t="str">
        <f t="shared" si="58"/>
        <v/>
      </c>
      <c r="EW54" s="530" t="str">
        <f t="shared" si="59"/>
        <v/>
      </c>
      <c r="EX54" s="368" t="str">
        <f t="shared" si="112"/>
        <v/>
      </c>
      <c r="EY54" s="65">
        <f t="shared" si="113"/>
        <v>0</v>
      </c>
      <c r="EZ54" s="65">
        <f t="shared" si="114"/>
        <v>0</v>
      </c>
      <c r="FA54" s="66" t="str">
        <f t="shared" si="115"/>
        <v/>
      </c>
      <c r="FB54" s="74" t="str">
        <f>IF('Marks Entry'!BK54="","",'Marks Entry'!BK54)</f>
        <v/>
      </c>
      <c r="FC54" s="74" t="str">
        <f>IF('Marks Entry'!BL54="","",'Marks Entry'!BL54)</f>
        <v/>
      </c>
      <c r="FD54" s="74" t="str">
        <f>IF('Marks Entry'!BM54="","",'Marks Entry'!BM54)</f>
        <v/>
      </c>
      <c r="FE54" s="74" t="str">
        <f>IF('Marks Entry'!BN54="","",'Marks Entry'!BN54)</f>
        <v/>
      </c>
      <c r="FF54" s="74" t="str">
        <f>IF('Marks Entry'!BO54="","",'Marks Entry'!BO54)</f>
        <v/>
      </c>
      <c r="FG54" s="74" t="str">
        <f>IF('Marks Entry'!BP54="","",'Marks Entry'!BP54)</f>
        <v/>
      </c>
      <c r="FH54" s="527" t="str">
        <f t="shared" si="60"/>
        <v/>
      </c>
      <c r="FI54" s="74" t="str">
        <f>IF('Marks Entry'!BQ54="","",'Marks Entry'!BQ54)</f>
        <v/>
      </c>
      <c r="FJ54" s="74" t="str">
        <f>IF('Marks Entry'!BR54="","",'Marks Entry'!BR54)</f>
        <v/>
      </c>
      <c r="FK54" s="528" t="str">
        <f t="shared" si="61"/>
        <v/>
      </c>
      <c r="FL54" s="529" t="str">
        <f t="shared" si="62"/>
        <v/>
      </c>
      <c r="FM54" s="74" t="str">
        <f>IF('Marks Entry'!BS54="","",'Marks Entry'!BS54)</f>
        <v/>
      </c>
      <c r="FN54" s="74" t="str">
        <f>IF('Marks Entry'!BT54="","",'Marks Entry'!BT54)</f>
        <v/>
      </c>
      <c r="FO54" s="528" t="str">
        <f t="shared" si="63"/>
        <v/>
      </c>
      <c r="FP54" s="530" t="str">
        <f t="shared" si="64"/>
        <v/>
      </c>
      <c r="FQ54" s="368" t="str">
        <f t="shared" si="116"/>
        <v/>
      </c>
      <c r="FR54" s="65">
        <f t="shared" si="117"/>
        <v>0</v>
      </c>
      <c r="FS54" s="65">
        <f t="shared" si="118"/>
        <v>0</v>
      </c>
      <c r="FT54" s="66" t="str">
        <f t="shared" si="119"/>
        <v/>
      </c>
      <c r="FU54" s="74" t="str">
        <f>IF('Marks Entry'!BU54="","",'Marks Entry'!BU54)</f>
        <v/>
      </c>
      <c r="FV54" s="74" t="str">
        <f>IF('Marks Entry'!BV54="","",'Marks Entry'!BV54)</f>
        <v/>
      </c>
      <c r="FW54" s="74" t="str">
        <f>IF('Marks Entry'!BW54="","",'Marks Entry'!BW54)</f>
        <v/>
      </c>
      <c r="FX54" s="75" t="str">
        <f t="shared" si="65"/>
        <v/>
      </c>
      <c r="FY54" s="368" t="str">
        <f t="shared" si="120"/>
        <v/>
      </c>
      <c r="FZ54" s="65">
        <f t="shared" si="121"/>
        <v>0</v>
      </c>
      <c r="GA54" s="66">
        <f t="shared" si="122"/>
        <v>0</v>
      </c>
      <c r="GB54" s="66" t="str">
        <f t="shared" si="123"/>
        <v/>
      </c>
      <c r="GC54" s="74" t="str">
        <f>IF('Marks Entry'!BX54="","",'Marks Entry'!BX54)</f>
        <v/>
      </c>
      <c r="GD54" s="74" t="str">
        <f>IF('Marks Entry'!BY54="","",'Marks Entry'!BY54)</f>
        <v/>
      </c>
      <c r="GE54" s="74" t="str">
        <f>IF('Marks Entry'!BZ54="","",'Marks Entry'!BZ54)</f>
        <v/>
      </c>
      <c r="GF54" s="75" t="str">
        <f t="shared" si="124"/>
        <v/>
      </c>
      <c r="GG54" s="368" t="str">
        <f t="shared" si="125"/>
        <v/>
      </c>
      <c r="GH54" s="65">
        <f t="shared" si="126"/>
        <v>0</v>
      </c>
      <c r="GI54" s="66">
        <f t="shared" si="127"/>
        <v>0</v>
      </c>
      <c r="GJ54" s="66" t="str">
        <f t="shared" si="128"/>
        <v/>
      </c>
      <c r="GK54" s="100" t="str">
        <f>IF(AND(F54="",B54=""),"",IF('Student DATA Entry'!M51="","",'Student DATA Entry'!M51))</f>
        <v/>
      </c>
      <c r="GL54" s="101" t="str">
        <f>IF(AND(B54="",F54=""),"",IF('Student DATA Entry'!N51="","",'Student DATA Entry'!N51))</f>
        <v/>
      </c>
      <c r="GM54" s="581" t="str">
        <f t="shared" si="129"/>
        <v/>
      </c>
      <c r="GN54" s="94" t="str">
        <f t="shared" si="130"/>
        <v/>
      </c>
      <c r="GO54" s="94" t="str">
        <f t="shared" si="131"/>
        <v/>
      </c>
      <c r="GP54" s="102" t="str">
        <f t="shared" si="162"/>
        <v/>
      </c>
      <c r="GQ54" s="94" t="str">
        <f t="shared" si="132"/>
        <v/>
      </c>
      <c r="GR54" s="103" t="str">
        <f t="shared" si="133"/>
        <v/>
      </c>
      <c r="GS54" s="102" t="str">
        <f t="shared" si="163"/>
        <v/>
      </c>
      <c r="GT54" s="104" t="str">
        <f t="shared" si="134"/>
        <v/>
      </c>
      <c r="GU54" s="94" t="str">
        <f>IF('Marks Entry'!V54=1,GT54,"")</f>
        <v/>
      </c>
      <c r="GV54" s="94" t="str">
        <f>IF('Marks Entry'!V54=2,GT54,"")</f>
        <v/>
      </c>
      <c r="GW54" s="94" t="str">
        <f>IF('Marks Entry'!V54=3,GT54,"")</f>
        <v/>
      </c>
      <c r="GX54" s="94" t="str">
        <f>IF('Marks Entry'!V54=4,GT54,"")</f>
        <v/>
      </c>
      <c r="GY54" s="94" t="str">
        <f>IF('Marks Entry'!V54=5,GT54,"")</f>
        <v/>
      </c>
      <c r="GZ54" s="94" t="str">
        <f t="shared" si="135"/>
        <v/>
      </c>
      <c r="HA54" s="105" t="str">
        <f t="shared" si="164"/>
        <v/>
      </c>
      <c r="HB54" s="94" t="str">
        <f t="shared" si="136"/>
        <v/>
      </c>
      <c r="HC54" s="94" t="str">
        <f t="shared" si="137"/>
        <v/>
      </c>
      <c r="HD54" s="105" t="str">
        <f t="shared" si="165"/>
        <v/>
      </c>
      <c r="HE54" s="94" t="str">
        <f t="shared" si="138"/>
        <v/>
      </c>
      <c r="HF54" s="94" t="str">
        <f t="shared" si="139"/>
        <v/>
      </c>
      <c r="HG54" s="105" t="str">
        <f t="shared" si="166"/>
        <v/>
      </c>
      <c r="HH54" s="94" t="str">
        <f t="shared" si="140"/>
        <v/>
      </c>
      <c r="HI54" s="94" t="str">
        <f t="shared" si="141"/>
        <v/>
      </c>
      <c r="HJ54" s="105" t="str">
        <f t="shared" si="167"/>
        <v/>
      </c>
      <c r="HK54" s="94" t="str">
        <f t="shared" si="142"/>
        <v/>
      </c>
      <c r="HL54" s="94" t="str">
        <f t="shared" si="143"/>
        <v/>
      </c>
      <c r="HM54" s="105" t="str">
        <f t="shared" si="168"/>
        <v/>
      </c>
      <c r="HN54" s="367" t="str">
        <f t="shared" si="144"/>
        <v xml:space="preserve">      </v>
      </c>
      <c r="HO54" s="418" t="str">
        <f t="shared" si="169"/>
        <v xml:space="preserve">      </v>
      </c>
      <c r="HP54" s="367" t="str">
        <f t="shared" si="146"/>
        <v xml:space="preserve">      </v>
      </c>
      <c r="HQ54" s="107" t="str">
        <f t="shared" si="147"/>
        <v xml:space="preserve">      </v>
      </c>
      <c r="HR54" s="366" t="str">
        <f t="shared" si="148"/>
        <v xml:space="preserve">      </v>
      </c>
      <c r="HS54" s="544" t="str">
        <f t="shared" si="170"/>
        <v/>
      </c>
      <c r="HT54" s="542" t="str">
        <f t="shared" si="149"/>
        <v/>
      </c>
      <c r="HU54" s="541" t="str">
        <f t="shared" si="160"/>
        <v/>
      </c>
      <c r="HV54" s="540" t="str">
        <f t="shared" si="150"/>
        <v/>
      </c>
      <c r="HW54" s="537" t="str">
        <f t="shared" si="151"/>
        <v/>
      </c>
      <c r="HX54" s="539" t="str">
        <f t="shared" si="152"/>
        <v/>
      </c>
      <c r="HY54" s="553" t="str">
        <f>IFERROR(IF(OR(HS54="SUPPLEMENTARY",HS54="RE-EXAM"),'Supp. Result Entry'!AQ52,""),"")</f>
        <v/>
      </c>
      <c r="HZ54" s="538" t="str">
        <f t="shared" si="153"/>
        <v/>
      </c>
      <c r="IA54" s="415" t="str">
        <f t="shared" si="154"/>
        <v/>
      </c>
      <c r="IB54" s="415" t="str">
        <f>IF(AND(HZ54="",IA54=""),"",IF(OR(HS54="SUPPLEMENTARY",HS54="RE-EXAM"),'Supp. Result Entry'!AQ52,HS54))</f>
        <v/>
      </c>
      <c r="IC54" s="87"/>
      <c r="ID54" s="111"/>
      <c r="IS54" s="109" t="str">
        <f>IF('Supp. Result Entry'!T52="","",'Supp. Result Entry'!$T$4)</f>
        <v/>
      </c>
      <c r="IT54" s="110" t="str">
        <f>IF('Supp. Result Entry'!W52="","",'Supp. Result Entry'!$W$4)</f>
        <v/>
      </c>
      <c r="IU54" s="110" t="str">
        <f>IF('Supp. Result Entry'!Z52="","",'Supp. Result Entry'!$Z$4)</f>
        <v/>
      </c>
      <c r="IV54" s="110" t="str">
        <f>IF('Supp. Result Entry'!AC52="","",'Supp. Result Entry'!$AC$4)</f>
        <v/>
      </c>
      <c r="IW54" s="110" t="str">
        <f>IF('Supp. Result Entry'!AF52="","",'Supp. Result Entry'!$AF$4)</f>
        <v/>
      </c>
      <c r="IX54" s="110" t="str">
        <f>IF('Supp. Result Entry'!AI52="","",'Supp. Result Entry'!$AI$4)</f>
        <v/>
      </c>
      <c r="IY54" s="110" t="str">
        <f>IF('Supp. Result Entry'!AI52="","",'Supp. Result Entry'!$AL$4)</f>
        <v/>
      </c>
      <c r="IZ54" s="110" t="str">
        <f>IF('Supp. Result Entry'!U52="","",'Supp. Result Entry'!U52)</f>
        <v/>
      </c>
      <c r="JA54" s="110" t="str">
        <f>IF('Supp. Result Entry'!X52="","",'Supp. Result Entry'!X52)</f>
        <v/>
      </c>
      <c r="JB54" s="110" t="str">
        <f>IF('Supp. Result Entry'!AA52="","",'Supp. Result Entry'!AA52)</f>
        <v/>
      </c>
      <c r="JC54" s="110" t="str">
        <f>IF('Supp. Result Entry'!AD52="","",'Supp. Result Entry'!AD52)</f>
        <v/>
      </c>
      <c r="JD54" s="110" t="str">
        <f>IF('Supp. Result Entry'!AG52="","",'Supp. Result Entry'!AG52)</f>
        <v/>
      </c>
      <c r="JE54" s="110" t="str">
        <f>IF('Supp. Result Entry'!AJ52="","",'Supp. Result Entry'!AJ52)</f>
        <v/>
      </c>
      <c r="JF54" s="110" t="str">
        <f>IF('Supp. Result Entry'!AM52="","",'Supp. Result Entry'!AM52)</f>
        <v/>
      </c>
      <c r="JG54" s="110" t="str">
        <f>IF('Supp. Result Entry'!V52="","",'Supp. Result Entry'!V52)</f>
        <v/>
      </c>
      <c r="JH54" s="110" t="str">
        <f>IF('Supp. Result Entry'!Y52="","",'Supp. Result Entry'!Y52)</f>
        <v/>
      </c>
      <c r="JI54" s="110" t="str">
        <f>IF('Supp. Result Entry'!AB52="","",'Supp. Result Entry'!AB52)</f>
        <v/>
      </c>
      <c r="JJ54" s="110" t="str">
        <f>IF('Supp. Result Entry'!AE52="","",'Supp. Result Entry'!AE52)</f>
        <v/>
      </c>
      <c r="JK54" s="110" t="str">
        <f>IF('Supp. Result Entry'!AH52="","",'Supp. Result Entry'!AH52)</f>
        <v/>
      </c>
      <c r="JL54" s="110" t="str">
        <f>IF('Supp. Result Entry'!AK52="","",'Supp. Result Entry'!AK52)</f>
        <v/>
      </c>
      <c r="JM54" s="110" t="str">
        <f>IF('Supp. Result Entry'!AN52="","",'Supp. Result Entry'!AN52)</f>
        <v/>
      </c>
      <c r="JN54" s="110">
        <f>COUNTIF('Supp. Result Entry'!K52:Q52,"S")</f>
        <v>0</v>
      </c>
      <c r="JO54" s="110">
        <f t="shared" si="155"/>
        <v>0</v>
      </c>
      <c r="JP54" s="110">
        <f t="shared" si="156"/>
        <v>0</v>
      </c>
      <c r="JQ54" s="110" t="str">
        <f t="shared" si="75"/>
        <v/>
      </c>
      <c r="JR54" s="110" t="str">
        <f t="shared" si="76"/>
        <v/>
      </c>
      <c r="JS54" s="110" t="str">
        <f t="shared" si="77"/>
        <v/>
      </c>
      <c r="JT54" s="110" t="str">
        <f t="shared" si="78"/>
        <v/>
      </c>
      <c r="JU54" s="110" t="str">
        <f t="shared" si="79"/>
        <v/>
      </c>
      <c r="JV54" s="110" t="str">
        <f t="shared" si="80"/>
        <v/>
      </c>
      <c r="JW54" s="110" t="str">
        <f t="shared" si="81"/>
        <v/>
      </c>
      <c r="JX54" s="110" t="str">
        <f t="shared" si="157"/>
        <v/>
      </c>
      <c r="JY54" s="110" t="str">
        <f t="shared" si="158"/>
        <v/>
      </c>
      <c r="JZ54" s="110" t="str">
        <f t="shared" si="82"/>
        <v/>
      </c>
      <c r="KA54" s="108" t="str">
        <f t="shared" si="159"/>
        <v/>
      </c>
    </row>
    <row r="55" spans="1:287" s="108" customFormat="1" ht="21.95" customHeight="1">
      <c r="A55" s="89">
        <v>49</v>
      </c>
      <c r="B55" s="90" t="str">
        <f>IF('Marks Entry'!B55="","",'Marks Entry'!B55)</f>
        <v/>
      </c>
      <c r="C55" s="94" t="str">
        <f>IF('Marks Entry'!D55="","",'Marks Entry'!D55)</f>
        <v/>
      </c>
      <c r="D55" s="91" t="str">
        <f>IF('Marks Entry'!E55="","",'Marks Entry'!E55)</f>
        <v/>
      </c>
      <c r="E55" s="92" t="str">
        <f>IF('Marks Entry'!F55="","",'Marks Entry'!F55)</f>
        <v/>
      </c>
      <c r="F55" s="93" t="str">
        <f>IF('Marks Entry'!G55="","",'Marks Entry'!G55)</f>
        <v/>
      </c>
      <c r="G55" s="93" t="str">
        <f>IF('Marks Entry'!H55="","",'Marks Entry'!H55)</f>
        <v/>
      </c>
      <c r="H55" s="93" t="str">
        <f>IF('Marks Entry'!I55="","",'Marks Entry'!I55)</f>
        <v/>
      </c>
      <c r="I55" s="94" t="str">
        <f>IF('Marks Entry'!J55="","",'Marks Entry'!J55)</f>
        <v/>
      </c>
      <c r="J55" s="95" t="str">
        <f>IF('Marks Entry'!K55="","",'Marks Entry'!K55)</f>
        <v/>
      </c>
      <c r="K55" s="68" t="str">
        <f>IF('Marks Entry'!L55="","",'Marks Entry'!L55)</f>
        <v/>
      </c>
      <c r="L55" s="68" t="str">
        <f>IF('Marks Entry'!M55="","",'Marks Entry'!M55)</f>
        <v/>
      </c>
      <c r="M55" s="68" t="str">
        <f>IF('Marks Entry'!N55="","",'Marks Entry'!N55)</f>
        <v/>
      </c>
      <c r="N55" s="514" t="str">
        <f t="shared" si="83"/>
        <v/>
      </c>
      <c r="O55" s="68" t="str">
        <f>IF('Marks Entry'!O55="","",'Marks Entry'!O55)</f>
        <v/>
      </c>
      <c r="P55" s="515" t="str">
        <f t="shared" si="84"/>
        <v/>
      </c>
      <c r="Q55" s="68" t="str">
        <f>IF('Marks Entry'!P55="","",'Marks Entry'!P55)</f>
        <v/>
      </c>
      <c r="R55" s="96" t="str">
        <f t="shared" si="85"/>
        <v/>
      </c>
      <c r="S55" s="65">
        <f t="shared" si="86"/>
        <v>0</v>
      </c>
      <c r="T55" s="65">
        <f t="shared" si="87"/>
        <v>0</v>
      </c>
      <c r="U55" s="66" t="str">
        <f t="shared" si="88"/>
        <v/>
      </c>
      <c r="V55" s="65" t="str">
        <f t="shared" si="89"/>
        <v/>
      </c>
      <c r="W55" s="65" t="str">
        <f t="shared" si="90"/>
        <v/>
      </c>
      <c r="X55" s="65" t="str">
        <f t="shared" si="91"/>
        <v/>
      </c>
      <c r="Y55" s="68" t="str">
        <f>IF('Marks Entry'!Q55="","",'Marks Entry'!Q55)</f>
        <v/>
      </c>
      <c r="Z55" s="68" t="str">
        <f>IF('Marks Entry'!R55="","",'Marks Entry'!R55)</f>
        <v/>
      </c>
      <c r="AA55" s="68" t="str">
        <f>IF('Marks Entry'!S55="","",'Marks Entry'!S55)</f>
        <v/>
      </c>
      <c r="AB55" s="514" t="str">
        <f t="shared" si="2"/>
        <v/>
      </c>
      <c r="AC55" s="68" t="str">
        <f>IF('Marks Entry'!T55="","",'Marks Entry'!T55)</f>
        <v/>
      </c>
      <c r="AD55" s="515" t="str">
        <f t="shared" si="3"/>
        <v/>
      </c>
      <c r="AE55" s="68" t="str">
        <f>IF('Marks Entry'!U55="","",'Marks Entry'!U55)</f>
        <v/>
      </c>
      <c r="AF55" s="96" t="str">
        <f t="shared" si="4"/>
        <v/>
      </c>
      <c r="AG55" s="65">
        <f t="shared" si="5"/>
        <v>0</v>
      </c>
      <c r="AH55" s="65">
        <f t="shared" si="6"/>
        <v>0</v>
      </c>
      <c r="AI55" s="66" t="str">
        <f t="shared" si="7"/>
        <v/>
      </c>
      <c r="AJ55" s="65" t="str">
        <f t="shared" si="8"/>
        <v/>
      </c>
      <c r="AK55" s="65" t="str">
        <f t="shared" si="9"/>
        <v/>
      </c>
      <c r="AL55" s="65" t="str">
        <f t="shared" si="10"/>
        <v/>
      </c>
      <c r="AM55" s="524" t="str">
        <f>IF('Marks Entry'!V55="","",IF('Marks Entry'!V55=1,'School Profile'!$I$9,IF('Marks Entry'!V55=2,'School Profile'!$I$10,IF('Marks Entry'!V55=3,'School Profile'!$I$11,IF('Marks Entry'!V55=4,'School Profile'!$I$12,IF('Marks Entry'!V55=5,'School Profile'!$I$13,IF('Marks Entry'!V55=6,'School Profile'!$I$14,"")))))))</f>
        <v/>
      </c>
      <c r="AN55" s="68" t="str">
        <f>IF('Marks Entry'!W55="","",'Marks Entry'!W55)</f>
        <v/>
      </c>
      <c r="AO55" s="68" t="str">
        <f>IF('Marks Entry'!X55="","",'Marks Entry'!X55)</f>
        <v/>
      </c>
      <c r="AP55" s="68" t="str">
        <f>IF('Marks Entry'!Y55="","",'Marks Entry'!Y55)</f>
        <v/>
      </c>
      <c r="AQ55" s="514" t="str">
        <f t="shared" si="11"/>
        <v/>
      </c>
      <c r="AR55" s="68" t="str">
        <f>IF('Marks Entry'!Z55="","",'Marks Entry'!Z55)</f>
        <v/>
      </c>
      <c r="AS55" s="515" t="str">
        <f t="shared" si="12"/>
        <v/>
      </c>
      <c r="AT55" s="68" t="str">
        <f>IF('Marks Entry'!AA55="","",'Marks Entry'!AA55)</f>
        <v/>
      </c>
      <c r="AU55" s="96" t="str">
        <f t="shared" si="13"/>
        <v/>
      </c>
      <c r="AV55" s="65">
        <f t="shared" si="14"/>
        <v>0</v>
      </c>
      <c r="AW55" s="65">
        <f t="shared" si="15"/>
        <v>0</v>
      </c>
      <c r="AX55" s="66" t="str">
        <f t="shared" si="16"/>
        <v/>
      </c>
      <c r="AY55" s="65" t="str">
        <f t="shared" si="17"/>
        <v/>
      </c>
      <c r="AZ55" s="65" t="str">
        <f t="shared" si="18"/>
        <v/>
      </c>
      <c r="BA55" s="65" t="str">
        <f t="shared" si="19"/>
        <v/>
      </c>
      <c r="BB55" s="68" t="str">
        <f>IF('Marks Entry'!AB55="","",'Marks Entry'!AB55)</f>
        <v/>
      </c>
      <c r="BC55" s="68" t="str">
        <f>IF('Marks Entry'!AC55="","",'Marks Entry'!AC55)</f>
        <v/>
      </c>
      <c r="BD55" s="68" t="str">
        <f>IF('Marks Entry'!AD55="","",'Marks Entry'!AD55)</f>
        <v/>
      </c>
      <c r="BE55" s="514" t="str">
        <f t="shared" si="20"/>
        <v/>
      </c>
      <c r="BF55" s="68" t="str">
        <f>IF('Marks Entry'!AE55="","",'Marks Entry'!AE55)</f>
        <v/>
      </c>
      <c r="BG55" s="515" t="str">
        <f t="shared" si="21"/>
        <v/>
      </c>
      <c r="BH55" s="68" t="str">
        <f>IF('Marks Entry'!AF55="","",'Marks Entry'!AF55)</f>
        <v/>
      </c>
      <c r="BI55" s="96" t="str">
        <f t="shared" si="22"/>
        <v/>
      </c>
      <c r="BJ55" s="65">
        <f t="shared" si="23"/>
        <v>0</v>
      </c>
      <c r="BK55" s="65">
        <f t="shared" si="92"/>
        <v>0</v>
      </c>
      <c r="BL55" s="66" t="str">
        <f t="shared" si="24"/>
        <v/>
      </c>
      <c r="BM55" s="65" t="str">
        <f t="shared" si="25"/>
        <v/>
      </c>
      <c r="BN55" s="65" t="str">
        <f t="shared" si="26"/>
        <v/>
      </c>
      <c r="BO55" s="65" t="str">
        <f t="shared" si="27"/>
        <v/>
      </c>
      <c r="BP55" s="68" t="str">
        <f>IF('Marks Entry'!AG55="","",'Marks Entry'!AG55)</f>
        <v/>
      </c>
      <c r="BQ55" s="68" t="str">
        <f>IF('Marks Entry'!AH55="","",'Marks Entry'!AH55)</f>
        <v/>
      </c>
      <c r="BR55" s="68" t="str">
        <f>IF('Marks Entry'!AI55="","",'Marks Entry'!AI55)</f>
        <v/>
      </c>
      <c r="BS55" s="514" t="str">
        <f t="shared" si="28"/>
        <v/>
      </c>
      <c r="BT55" s="68" t="str">
        <f>IF('Marks Entry'!AJ55="","",'Marks Entry'!AJ55)</f>
        <v/>
      </c>
      <c r="BU55" s="515" t="str">
        <f t="shared" si="29"/>
        <v/>
      </c>
      <c r="BV55" s="68" t="str">
        <f>IF('Marks Entry'!AK55="","",'Marks Entry'!AK55)</f>
        <v/>
      </c>
      <c r="BW55" s="96" t="str">
        <f t="shared" si="30"/>
        <v/>
      </c>
      <c r="BX55" s="65">
        <f t="shared" si="31"/>
        <v>0</v>
      </c>
      <c r="BY55" s="65">
        <f t="shared" si="32"/>
        <v>0</v>
      </c>
      <c r="BZ55" s="66" t="str">
        <f t="shared" si="33"/>
        <v/>
      </c>
      <c r="CA55" s="65" t="str">
        <f t="shared" si="34"/>
        <v/>
      </c>
      <c r="CB55" s="65" t="str">
        <f t="shared" si="35"/>
        <v/>
      </c>
      <c r="CC55" s="65" t="str">
        <f t="shared" si="36"/>
        <v/>
      </c>
      <c r="CD55" s="66">
        <f t="shared" si="161"/>
        <v>0</v>
      </c>
      <c r="CE55" s="68" t="str">
        <f>IF('Marks Entry'!AL55="","",'Marks Entry'!AL55)</f>
        <v/>
      </c>
      <c r="CF55" s="68" t="str">
        <f>IF('Marks Entry'!AM55="","",'Marks Entry'!AM55)</f>
        <v/>
      </c>
      <c r="CG55" s="68" t="str">
        <f>IF('Marks Entry'!AN55="","",'Marks Entry'!AN55)</f>
        <v/>
      </c>
      <c r="CH55" s="514" t="str">
        <f t="shared" si="37"/>
        <v/>
      </c>
      <c r="CI55" s="68" t="str">
        <f>IF('Marks Entry'!AO55="","",'Marks Entry'!AO55)</f>
        <v/>
      </c>
      <c r="CJ55" s="515" t="str">
        <f t="shared" si="38"/>
        <v/>
      </c>
      <c r="CK55" s="68" t="str">
        <f>IF('Marks Entry'!AP55="","",'Marks Entry'!AP55)</f>
        <v/>
      </c>
      <c r="CL55" s="96" t="str">
        <f t="shared" si="39"/>
        <v/>
      </c>
      <c r="CM55" s="65">
        <f t="shared" si="40"/>
        <v>0</v>
      </c>
      <c r="CN55" s="65">
        <f t="shared" si="41"/>
        <v>0</v>
      </c>
      <c r="CO55" s="66" t="str">
        <f t="shared" si="42"/>
        <v/>
      </c>
      <c r="CP55" s="65" t="str">
        <f t="shared" si="43"/>
        <v/>
      </c>
      <c r="CQ55" s="65" t="str">
        <f t="shared" si="44"/>
        <v/>
      </c>
      <c r="CR55" s="65" t="str">
        <f t="shared" si="45"/>
        <v/>
      </c>
      <c r="CS55" s="616"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8" t="str">
        <f>IF('School Profile'!$D$20="NO","",IF('Marks Entry'!AR55="","",'Marks Entry'!AR55))</f>
        <v/>
      </c>
      <c r="CU55" s="68" t="str">
        <f>IF('School Profile'!$D$20="NO","",IF('Marks Entry'!AS55="","",'Marks Entry'!AS55))</f>
        <v/>
      </c>
      <c r="CV55" s="68" t="str">
        <f>IF('School Profile'!$D$20="NO","",IF('Marks Entry'!AT55="","",'Marks Entry'!AT55))</f>
        <v/>
      </c>
      <c r="CW55" s="514" t="str">
        <f>IF('School Profile'!$D$20="NO","",IF(AND(CT55="",CU55="",CV55=""),"",SUM(CT55:CV55)))</f>
        <v/>
      </c>
      <c r="CX55" s="68" t="str">
        <f>IF('School Profile'!$D$20="NO","",IF('Marks Entry'!AU55="","",'Marks Entry'!AU55))</f>
        <v/>
      </c>
      <c r="CY55" s="68" t="str">
        <f>IF('School Profile'!$D$20="NO","",IF('Marks Entry'!AV55="","",'Marks Entry'!AV55))</f>
        <v/>
      </c>
      <c r="CZ55" s="515" t="str">
        <f>IF('School Profile'!$D$20="NO","",IF(AND(CX55="",CY55=""),"",SUM(CX55,CY55)))</f>
        <v/>
      </c>
      <c r="DA55" s="69" t="str">
        <f>IF('School Profile'!$D$20="NO","",IF(AND(CW55="",CZ55=""),"",SUM(CW55+CZ55)))</f>
        <v/>
      </c>
      <c r="DB55" s="68" t="str">
        <f>IF('School Profile'!$D$20="NO","",IF('Marks Entry'!AW55="","",'Marks Entry'!AW55))</f>
        <v/>
      </c>
      <c r="DC55" s="68" t="str">
        <f>IF('School Profile'!$D$20="NO","",IF('Marks Entry'!AX55="","",'Marks Entry'!AX55))</f>
        <v/>
      </c>
      <c r="DD55" s="515" t="str">
        <f>IF('School Profile'!$D$20="NO","",IF(AND(DB55="",DC55=""),"",SUM(DB55,DC55)))</f>
        <v/>
      </c>
      <c r="DE55" s="96" t="str">
        <f>IF('School Profile'!$D$20="NO","",IF(AND(DA55="",DD55=""),"",SUM(DA55,DD55)))</f>
        <v/>
      </c>
      <c r="DF55" s="532">
        <f t="shared" si="46"/>
        <v>0</v>
      </c>
      <c r="DG55" s="65">
        <f t="shared" si="47"/>
        <v>0</v>
      </c>
      <c r="DH55" s="66" t="str">
        <f t="shared" si="48"/>
        <v/>
      </c>
      <c r="DI55" s="65" t="str">
        <f t="shared" si="49"/>
        <v/>
      </c>
      <c r="DJ55" s="65" t="str">
        <f t="shared" si="50"/>
        <v/>
      </c>
      <c r="DK55" s="65" t="str">
        <f t="shared" si="51"/>
        <v/>
      </c>
      <c r="DL55" s="97" t="str">
        <f t="shared" si="94"/>
        <v/>
      </c>
      <c r="DM55" s="97" t="str">
        <f t="shared" si="95"/>
        <v/>
      </c>
      <c r="DN55" s="97" t="str">
        <f t="shared" si="96"/>
        <v/>
      </c>
      <c r="DO55" s="97" t="str">
        <f t="shared" si="97"/>
        <v/>
      </c>
      <c r="DP55" s="97" t="str">
        <f t="shared" si="98"/>
        <v/>
      </c>
      <c r="DQ55" s="97" t="str">
        <f t="shared" si="99"/>
        <v/>
      </c>
      <c r="DR55" s="97" t="str">
        <f t="shared" si="100"/>
        <v/>
      </c>
      <c r="DS55" s="98">
        <f t="shared" si="101"/>
        <v>0</v>
      </c>
      <c r="DT55" s="98">
        <f t="shared" si="102"/>
        <v>0</v>
      </c>
      <c r="DU55" s="98">
        <f t="shared" si="103"/>
        <v>0</v>
      </c>
      <c r="DV55" s="98">
        <f t="shared" si="104"/>
        <v>0</v>
      </c>
      <c r="DW55" s="98">
        <f t="shared" si="105"/>
        <v>0</v>
      </c>
      <c r="DX55" s="98" t="str">
        <f t="shared" si="106"/>
        <v/>
      </c>
      <c r="DY55" s="99" t="str">
        <f t="shared" si="107"/>
        <v/>
      </c>
      <c r="DZ55" s="74" t="str">
        <f>IF('Marks Entry'!AY55="","",'Marks Entry'!AY55)</f>
        <v/>
      </c>
      <c r="EA55" s="74" t="str">
        <f>IF('Marks Entry'!AZ55="","",'Marks Entry'!AZ55)</f>
        <v/>
      </c>
      <c r="EB55" s="74" t="str">
        <f>IF('Marks Entry'!BA55="","",'Marks Entry'!BA55)</f>
        <v/>
      </c>
      <c r="EC55" s="527" t="str">
        <f t="shared" si="52"/>
        <v/>
      </c>
      <c r="ED55" s="74" t="str">
        <f>IF('Marks Entry'!BB55="","",'Marks Entry'!BB55)</f>
        <v/>
      </c>
      <c r="EE55" s="528" t="str">
        <f t="shared" si="53"/>
        <v/>
      </c>
      <c r="EF55" s="74" t="str">
        <f>IF('Marks Entry'!BC55="","",'Marks Entry'!BC55)</f>
        <v/>
      </c>
      <c r="EG55" s="530" t="str">
        <f t="shared" si="54"/>
        <v/>
      </c>
      <c r="EH55" s="368" t="str">
        <f t="shared" si="108"/>
        <v/>
      </c>
      <c r="EI55" s="65">
        <f t="shared" si="109"/>
        <v>0</v>
      </c>
      <c r="EJ55" s="65">
        <f t="shared" si="110"/>
        <v>0</v>
      </c>
      <c r="EK55" s="66" t="str">
        <f t="shared" si="111"/>
        <v/>
      </c>
      <c r="EL55" s="74" t="str">
        <f>IF('Marks Entry'!BD55="","",'Marks Entry'!BD55)</f>
        <v/>
      </c>
      <c r="EM55" s="74" t="str">
        <f>IF('Marks Entry'!BE55="","",'Marks Entry'!BE55)</f>
        <v/>
      </c>
      <c r="EN55" s="74" t="str">
        <f>IF('Marks Entry'!BF55="","",'Marks Entry'!BF55)</f>
        <v/>
      </c>
      <c r="EO55" s="527" t="str">
        <f t="shared" si="55"/>
        <v/>
      </c>
      <c r="EP55" s="74" t="str">
        <f>IF('Marks Entry'!BG55="","",'Marks Entry'!BG55)</f>
        <v/>
      </c>
      <c r="EQ55" s="74" t="str">
        <f>IF('Marks Entry'!BH55="","",'Marks Entry'!BH55)</f>
        <v/>
      </c>
      <c r="ER55" s="528" t="str">
        <f t="shared" si="56"/>
        <v/>
      </c>
      <c r="ES55" s="529" t="str">
        <f t="shared" si="57"/>
        <v/>
      </c>
      <c r="ET55" s="74" t="str">
        <f>IF('Marks Entry'!BI55="","",'Marks Entry'!BI55)</f>
        <v/>
      </c>
      <c r="EU55" s="74" t="str">
        <f>IF('Marks Entry'!BJ55="","",'Marks Entry'!BJ55)</f>
        <v/>
      </c>
      <c r="EV55" s="528" t="str">
        <f t="shared" si="58"/>
        <v/>
      </c>
      <c r="EW55" s="530" t="str">
        <f t="shared" si="59"/>
        <v/>
      </c>
      <c r="EX55" s="368" t="str">
        <f t="shared" si="112"/>
        <v/>
      </c>
      <c r="EY55" s="65">
        <f t="shared" si="113"/>
        <v>0</v>
      </c>
      <c r="EZ55" s="65">
        <f t="shared" si="114"/>
        <v>0</v>
      </c>
      <c r="FA55" s="66" t="str">
        <f t="shared" si="115"/>
        <v/>
      </c>
      <c r="FB55" s="74" t="str">
        <f>IF('Marks Entry'!BK55="","",'Marks Entry'!BK55)</f>
        <v/>
      </c>
      <c r="FC55" s="74" t="str">
        <f>IF('Marks Entry'!BL55="","",'Marks Entry'!BL55)</f>
        <v/>
      </c>
      <c r="FD55" s="74" t="str">
        <f>IF('Marks Entry'!BM55="","",'Marks Entry'!BM55)</f>
        <v/>
      </c>
      <c r="FE55" s="74" t="str">
        <f>IF('Marks Entry'!BN55="","",'Marks Entry'!BN55)</f>
        <v/>
      </c>
      <c r="FF55" s="74" t="str">
        <f>IF('Marks Entry'!BO55="","",'Marks Entry'!BO55)</f>
        <v/>
      </c>
      <c r="FG55" s="74" t="str">
        <f>IF('Marks Entry'!BP55="","",'Marks Entry'!BP55)</f>
        <v/>
      </c>
      <c r="FH55" s="527" t="str">
        <f t="shared" si="60"/>
        <v/>
      </c>
      <c r="FI55" s="74" t="str">
        <f>IF('Marks Entry'!BQ55="","",'Marks Entry'!BQ55)</f>
        <v/>
      </c>
      <c r="FJ55" s="74" t="str">
        <f>IF('Marks Entry'!BR55="","",'Marks Entry'!BR55)</f>
        <v/>
      </c>
      <c r="FK55" s="528" t="str">
        <f t="shared" si="61"/>
        <v/>
      </c>
      <c r="FL55" s="529" t="str">
        <f t="shared" si="62"/>
        <v/>
      </c>
      <c r="FM55" s="74" t="str">
        <f>IF('Marks Entry'!BS55="","",'Marks Entry'!BS55)</f>
        <v/>
      </c>
      <c r="FN55" s="74" t="str">
        <f>IF('Marks Entry'!BT55="","",'Marks Entry'!BT55)</f>
        <v/>
      </c>
      <c r="FO55" s="528" t="str">
        <f t="shared" si="63"/>
        <v/>
      </c>
      <c r="FP55" s="530" t="str">
        <f t="shared" si="64"/>
        <v/>
      </c>
      <c r="FQ55" s="368" t="str">
        <f t="shared" si="116"/>
        <v/>
      </c>
      <c r="FR55" s="65">
        <f t="shared" si="117"/>
        <v>0</v>
      </c>
      <c r="FS55" s="65">
        <f t="shared" si="118"/>
        <v>0</v>
      </c>
      <c r="FT55" s="66" t="str">
        <f t="shared" si="119"/>
        <v/>
      </c>
      <c r="FU55" s="74" t="str">
        <f>IF('Marks Entry'!BU55="","",'Marks Entry'!BU55)</f>
        <v/>
      </c>
      <c r="FV55" s="74" t="str">
        <f>IF('Marks Entry'!BV55="","",'Marks Entry'!BV55)</f>
        <v/>
      </c>
      <c r="FW55" s="74" t="str">
        <f>IF('Marks Entry'!BW55="","",'Marks Entry'!BW55)</f>
        <v/>
      </c>
      <c r="FX55" s="75" t="str">
        <f t="shared" si="65"/>
        <v/>
      </c>
      <c r="FY55" s="368" t="str">
        <f t="shared" si="120"/>
        <v/>
      </c>
      <c r="FZ55" s="65">
        <f t="shared" si="121"/>
        <v>0</v>
      </c>
      <c r="GA55" s="66">
        <f t="shared" si="122"/>
        <v>0</v>
      </c>
      <c r="GB55" s="66" t="str">
        <f t="shared" si="123"/>
        <v/>
      </c>
      <c r="GC55" s="74" t="str">
        <f>IF('Marks Entry'!BX55="","",'Marks Entry'!BX55)</f>
        <v/>
      </c>
      <c r="GD55" s="74" t="str">
        <f>IF('Marks Entry'!BY55="","",'Marks Entry'!BY55)</f>
        <v/>
      </c>
      <c r="GE55" s="74" t="str">
        <f>IF('Marks Entry'!BZ55="","",'Marks Entry'!BZ55)</f>
        <v/>
      </c>
      <c r="GF55" s="75" t="str">
        <f t="shared" si="124"/>
        <v/>
      </c>
      <c r="GG55" s="368" t="str">
        <f t="shared" si="125"/>
        <v/>
      </c>
      <c r="GH55" s="65">
        <f t="shared" si="126"/>
        <v>0</v>
      </c>
      <c r="GI55" s="66">
        <f t="shared" si="127"/>
        <v>0</v>
      </c>
      <c r="GJ55" s="66" t="str">
        <f t="shared" si="128"/>
        <v/>
      </c>
      <c r="GK55" s="100" t="str">
        <f>IF(AND(F55="",B55=""),"",IF('Student DATA Entry'!M52="","",'Student DATA Entry'!M52))</f>
        <v/>
      </c>
      <c r="GL55" s="101" t="str">
        <f>IF(AND(B55="",F55=""),"",IF('Student DATA Entry'!N52="","",'Student DATA Entry'!N52))</f>
        <v/>
      </c>
      <c r="GM55" s="581" t="str">
        <f t="shared" si="129"/>
        <v/>
      </c>
      <c r="GN55" s="94" t="str">
        <f t="shared" si="130"/>
        <v/>
      </c>
      <c r="GO55" s="94" t="str">
        <f t="shared" si="131"/>
        <v/>
      </c>
      <c r="GP55" s="102" t="str">
        <f t="shared" si="162"/>
        <v/>
      </c>
      <c r="GQ55" s="94" t="str">
        <f t="shared" si="132"/>
        <v/>
      </c>
      <c r="GR55" s="103" t="str">
        <f t="shared" si="133"/>
        <v/>
      </c>
      <c r="GS55" s="102" t="str">
        <f t="shared" si="163"/>
        <v/>
      </c>
      <c r="GT55" s="104" t="str">
        <f t="shared" si="134"/>
        <v/>
      </c>
      <c r="GU55" s="94" t="str">
        <f>IF('Marks Entry'!V55=1,GT55,"")</f>
        <v/>
      </c>
      <c r="GV55" s="94" t="str">
        <f>IF('Marks Entry'!V55=2,GT55,"")</f>
        <v/>
      </c>
      <c r="GW55" s="94" t="str">
        <f>IF('Marks Entry'!V55=3,GT55,"")</f>
        <v/>
      </c>
      <c r="GX55" s="94" t="str">
        <f>IF('Marks Entry'!V55=4,GT55,"")</f>
        <v/>
      </c>
      <c r="GY55" s="94" t="str">
        <f>IF('Marks Entry'!V55=5,GT55,"")</f>
        <v/>
      </c>
      <c r="GZ55" s="94" t="str">
        <f t="shared" si="135"/>
        <v/>
      </c>
      <c r="HA55" s="105" t="str">
        <f t="shared" si="164"/>
        <v/>
      </c>
      <c r="HB55" s="94" t="str">
        <f t="shared" si="136"/>
        <v/>
      </c>
      <c r="HC55" s="94" t="str">
        <f t="shared" si="137"/>
        <v/>
      </c>
      <c r="HD55" s="105" t="str">
        <f t="shared" si="165"/>
        <v/>
      </c>
      <c r="HE55" s="94" t="str">
        <f t="shared" si="138"/>
        <v/>
      </c>
      <c r="HF55" s="94" t="str">
        <f t="shared" si="139"/>
        <v/>
      </c>
      <c r="HG55" s="105" t="str">
        <f t="shared" si="166"/>
        <v/>
      </c>
      <c r="HH55" s="94" t="str">
        <f t="shared" si="140"/>
        <v/>
      </c>
      <c r="HI55" s="94" t="str">
        <f t="shared" si="141"/>
        <v/>
      </c>
      <c r="HJ55" s="105" t="str">
        <f t="shared" si="167"/>
        <v/>
      </c>
      <c r="HK55" s="94" t="str">
        <f t="shared" si="142"/>
        <v/>
      </c>
      <c r="HL55" s="94" t="str">
        <f t="shared" si="143"/>
        <v/>
      </c>
      <c r="HM55" s="105" t="str">
        <f t="shared" si="168"/>
        <v/>
      </c>
      <c r="HN55" s="367" t="str">
        <f t="shared" si="144"/>
        <v xml:space="preserve">      </v>
      </c>
      <c r="HO55" s="418" t="str">
        <f t="shared" si="169"/>
        <v xml:space="preserve">      </v>
      </c>
      <c r="HP55" s="367" t="str">
        <f t="shared" si="146"/>
        <v xml:space="preserve">      </v>
      </c>
      <c r="HQ55" s="107" t="str">
        <f t="shared" si="147"/>
        <v xml:space="preserve">      </v>
      </c>
      <c r="HR55" s="366" t="str">
        <f t="shared" si="148"/>
        <v xml:space="preserve">      </v>
      </c>
      <c r="HS55" s="544" t="str">
        <f t="shared" si="170"/>
        <v/>
      </c>
      <c r="HT55" s="542" t="str">
        <f t="shared" si="149"/>
        <v/>
      </c>
      <c r="HU55" s="541" t="str">
        <f t="shared" si="160"/>
        <v/>
      </c>
      <c r="HV55" s="540" t="str">
        <f t="shared" si="150"/>
        <v/>
      </c>
      <c r="HW55" s="537" t="str">
        <f t="shared" si="151"/>
        <v/>
      </c>
      <c r="HX55" s="539" t="str">
        <f t="shared" si="152"/>
        <v/>
      </c>
      <c r="HY55" s="553" t="str">
        <f>IFERROR(IF(OR(HS55="SUPPLEMENTARY",HS55="RE-EXAM"),'Supp. Result Entry'!AQ53,""),"")</f>
        <v/>
      </c>
      <c r="HZ55" s="538" t="str">
        <f t="shared" si="153"/>
        <v/>
      </c>
      <c r="IA55" s="415" t="str">
        <f t="shared" si="154"/>
        <v/>
      </c>
      <c r="IB55" s="415" t="str">
        <f>IF(AND(HZ55="",IA55=""),"",IF(OR(HS55="SUPPLEMENTARY",HS55="RE-EXAM"),'Supp. Result Entry'!AQ53,HS55))</f>
        <v/>
      </c>
      <c r="IC55" s="87"/>
      <c r="ID55" s="111"/>
      <c r="IS55" s="109" t="str">
        <f>IF('Supp. Result Entry'!T53="","",'Supp. Result Entry'!$T$4)</f>
        <v/>
      </c>
      <c r="IT55" s="110" t="str">
        <f>IF('Supp. Result Entry'!W53="","",'Supp. Result Entry'!$W$4)</f>
        <v/>
      </c>
      <c r="IU55" s="110" t="str">
        <f>IF('Supp. Result Entry'!Z53="","",'Supp. Result Entry'!$Z$4)</f>
        <v/>
      </c>
      <c r="IV55" s="110" t="str">
        <f>IF('Supp. Result Entry'!AC53="","",'Supp. Result Entry'!$AC$4)</f>
        <v/>
      </c>
      <c r="IW55" s="110" t="str">
        <f>IF('Supp. Result Entry'!AF53="","",'Supp. Result Entry'!$AF$4)</f>
        <v/>
      </c>
      <c r="IX55" s="110" t="str">
        <f>IF('Supp. Result Entry'!AI53="","",'Supp. Result Entry'!$AI$4)</f>
        <v/>
      </c>
      <c r="IY55" s="110" t="str">
        <f>IF('Supp. Result Entry'!AI53="","",'Supp. Result Entry'!$AL$4)</f>
        <v/>
      </c>
      <c r="IZ55" s="110" t="str">
        <f>IF('Supp. Result Entry'!U53="","",'Supp. Result Entry'!U53)</f>
        <v/>
      </c>
      <c r="JA55" s="110" t="str">
        <f>IF('Supp. Result Entry'!X53="","",'Supp. Result Entry'!X53)</f>
        <v/>
      </c>
      <c r="JB55" s="110" t="str">
        <f>IF('Supp. Result Entry'!AA53="","",'Supp. Result Entry'!AA53)</f>
        <v/>
      </c>
      <c r="JC55" s="110" t="str">
        <f>IF('Supp. Result Entry'!AD53="","",'Supp. Result Entry'!AD53)</f>
        <v/>
      </c>
      <c r="JD55" s="110" t="str">
        <f>IF('Supp. Result Entry'!AG53="","",'Supp. Result Entry'!AG53)</f>
        <v/>
      </c>
      <c r="JE55" s="110" t="str">
        <f>IF('Supp. Result Entry'!AJ53="","",'Supp. Result Entry'!AJ53)</f>
        <v/>
      </c>
      <c r="JF55" s="110" t="str">
        <f>IF('Supp. Result Entry'!AM53="","",'Supp. Result Entry'!AM53)</f>
        <v/>
      </c>
      <c r="JG55" s="110" t="str">
        <f>IF('Supp. Result Entry'!V53="","",'Supp. Result Entry'!V53)</f>
        <v/>
      </c>
      <c r="JH55" s="110" t="str">
        <f>IF('Supp. Result Entry'!Y53="","",'Supp. Result Entry'!Y53)</f>
        <v/>
      </c>
      <c r="JI55" s="110" t="str">
        <f>IF('Supp. Result Entry'!AB53="","",'Supp. Result Entry'!AB53)</f>
        <v/>
      </c>
      <c r="JJ55" s="110" t="str">
        <f>IF('Supp. Result Entry'!AE53="","",'Supp. Result Entry'!AE53)</f>
        <v/>
      </c>
      <c r="JK55" s="110" t="str">
        <f>IF('Supp. Result Entry'!AH53="","",'Supp. Result Entry'!AH53)</f>
        <v/>
      </c>
      <c r="JL55" s="110" t="str">
        <f>IF('Supp. Result Entry'!AK53="","",'Supp. Result Entry'!AK53)</f>
        <v/>
      </c>
      <c r="JM55" s="110" t="str">
        <f>IF('Supp. Result Entry'!AN53="","",'Supp. Result Entry'!AN53)</f>
        <v/>
      </c>
      <c r="JN55" s="110">
        <f>COUNTIF('Supp. Result Entry'!K53:Q53,"S")</f>
        <v>0</v>
      </c>
      <c r="JO55" s="110">
        <f t="shared" si="155"/>
        <v>0</v>
      </c>
      <c r="JP55" s="110">
        <f t="shared" si="156"/>
        <v>0</v>
      </c>
      <c r="JQ55" s="110" t="str">
        <f t="shared" si="75"/>
        <v/>
      </c>
      <c r="JR55" s="110" t="str">
        <f t="shared" si="76"/>
        <v/>
      </c>
      <c r="JS55" s="110" t="str">
        <f t="shared" si="77"/>
        <v/>
      </c>
      <c r="JT55" s="110" t="str">
        <f t="shared" si="78"/>
        <v/>
      </c>
      <c r="JU55" s="110" t="str">
        <f t="shared" si="79"/>
        <v/>
      </c>
      <c r="JV55" s="110" t="str">
        <f t="shared" si="80"/>
        <v/>
      </c>
      <c r="JW55" s="110" t="str">
        <f t="shared" si="81"/>
        <v/>
      </c>
      <c r="JX55" s="110" t="str">
        <f t="shared" si="157"/>
        <v/>
      </c>
      <c r="JY55" s="110" t="str">
        <f t="shared" si="158"/>
        <v/>
      </c>
      <c r="JZ55" s="110" t="str">
        <f t="shared" si="82"/>
        <v/>
      </c>
      <c r="KA55" s="108" t="str">
        <f t="shared" si="159"/>
        <v/>
      </c>
    </row>
    <row r="56" spans="1:287" s="108" customFormat="1" ht="21.95" customHeight="1">
      <c r="A56" s="89">
        <v>50</v>
      </c>
      <c r="B56" s="90" t="str">
        <f>IF('Marks Entry'!B56="","",'Marks Entry'!B56)</f>
        <v/>
      </c>
      <c r="C56" s="94" t="str">
        <f>IF('Marks Entry'!D56="","",'Marks Entry'!D56)</f>
        <v/>
      </c>
      <c r="D56" s="91" t="str">
        <f>IF('Marks Entry'!E56="","",'Marks Entry'!E56)</f>
        <v/>
      </c>
      <c r="E56" s="92" t="str">
        <f>IF('Marks Entry'!F56="","",'Marks Entry'!F56)</f>
        <v/>
      </c>
      <c r="F56" s="93" t="str">
        <f>IF('Marks Entry'!G56="","",'Marks Entry'!G56)</f>
        <v/>
      </c>
      <c r="G56" s="93" t="str">
        <f>IF('Marks Entry'!H56="","",'Marks Entry'!H56)</f>
        <v/>
      </c>
      <c r="H56" s="93" t="str">
        <f>IF('Marks Entry'!I56="","",'Marks Entry'!I56)</f>
        <v/>
      </c>
      <c r="I56" s="94" t="str">
        <f>IF('Marks Entry'!J56="","",'Marks Entry'!J56)</f>
        <v/>
      </c>
      <c r="J56" s="95" t="str">
        <f>IF('Marks Entry'!K56="","",'Marks Entry'!K56)</f>
        <v/>
      </c>
      <c r="K56" s="68" t="str">
        <f>IF('Marks Entry'!L56="","",'Marks Entry'!L56)</f>
        <v/>
      </c>
      <c r="L56" s="68" t="str">
        <f>IF('Marks Entry'!M56="","",'Marks Entry'!M56)</f>
        <v/>
      </c>
      <c r="M56" s="68" t="str">
        <f>IF('Marks Entry'!N56="","",'Marks Entry'!N56)</f>
        <v/>
      </c>
      <c r="N56" s="514" t="str">
        <f t="shared" si="83"/>
        <v/>
      </c>
      <c r="O56" s="68" t="str">
        <f>IF('Marks Entry'!O56="","",'Marks Entry'!O56)</f>
        <v/>
      </c>
      <c r="P56" s="515" t="str">
        <f t="shared" si="84"/>
        <v/>
      </c>
      <c r="Q56" s="68" t="str">
        <f>IF('Marks Entry'!P56="","",'Marks Entry'!P56)</f>
        <v/>
      </c>
      <c r="R56" s="96" t="str">
        <f t="shared" si="85"/>
        <v/>
      </c>
      <c r="S56" s="65">
        <f t="shared" si="86"/>
        <v>0</v>
      </c>
      <c r="T56" s="65">
        <f t="shared" si="87"/>
        <v>0</v>
      </c>
      <c r="U56" s="66" t="str">
        <f t="shared" si="88"/>
        <v/>
      </c>
      <c r="V56" s="65" t="str">
        <f t="shared" si="89"/>
        <v/>
      </c>
      <c r="W56" s="65" t="str">
        <f t="shared" si="90"/>
        <v/>
      </c>
      <c r="X56" s="65" t="str">
        <f t="shared" si="91"/>
        <v/>
      </c>
      <c r="Y56" s="68" t="str">
        <f>IF('Marks Entry'!Q56="","",'Marks Entry'!Q56)</f>
        <v/>
      </c>
      <c r="Z56" s="68" t="str">
        <f>IF('Marks Entry'!R56="","",'Marks Entry'!R56)</f>
        <v/>
      </c>
      <c r="AA56" s="68" t="str">
        <f>IF('Marks Entry'!S56="","",'Marks Entry'!S56)</f>
        <v/>
      </c>
      <c r="AB56" s="514" t="str">
        <f t="shared" si="2"/>
        <v/>
      </c>
      <c r="AC56" s="68" t="str">
        <f>IF('Marks Entry'!T56="","",'Marks Entry'!T56)</f>
        <v/>
      </c>
      <c r="AD56" s="515" t="str">
        <f t="shared" si="3"/>
        <v/>
      </c>
      <c r="AE56" s="68" t="str">
        <f>IF('Marks Entry'!U56="","",'Marks Entry'!U56)</f>
        <v/>
      </c>
      <c r="AF56" s="96" t="str">
        <f t="shared" si="4"/>
        <v/>
      </c>
      <c r="AG56" s="65">
        <f t="shared" si="5"/>
        <v>0</v>
      </c>
      <c r="AH56" s="65">
        <f t="shared" si="6"/>
        <v>0</v>
      </c>
      <c r="AI56" s="66" t="str">
        <f t="shared" si="7"/>
        <v/>
      </c>
      <c r="AJ56" s="65" t="str">
        <f t="shared" si="8"/>
        <v/>
      </c>
      <c r="AK56" s="65" t="str">
        <f t="shared" si="9"/>
        <v/>
      </c>
      <c r="AL56" s="65" t="str">
        <f t="shared" si="10"/>
        <v/>
      </c>
      <c r="AM56" s="524" t="str">
        <f>IF('Marks Entry'!V56="","",IF('Marks Entry'!V56=1,'School Profile'!$I$9,IF('Marks Entry'!V56=2,'School Profile'!$I$10,IF('Marks Entry'!V56=3,'School Profile'!$I$11,IF('Marks Entry'!V56=4,'School Profile'!$I$12,IF('Marks Entry'!V56=5,'School Profile'!$I$13,IF('Marks Entry'!V56=6,'School Profile'!$I$14,"")))))))</f>
        <v/>
      </c>
      <c r="AN56" s="68" t="str">
        <f>IF('Marks Entry'!W56="","",'Marks Entry'!W56)</f>
        <v/>
      </c>
      <c r="AO56" s="68" t="str">
        <f>IF('Marks Entry'!X56="","",'Marks Entry'!X56)</f>
        <v/>
      </c>
      <c r="AP56" s="68" t="str">
        <f>IF('Marks Entry'!Y56="","",'Marks Entry'!Y56)</f>
        <v/>
      </c>
      <c r="AQ56" s="514" t="str">
        <f t="shared" si="11"/>
        <v/>
      </c>
      <c r="AR56" s="68" t="str">
        <f>IF('Marks Entry'!Z56="","",'Marks Entry'!Z56)</f>
        <v/>
      </c>
      <c r="AS56" s="515" t="str">
        <f t="shared" si="12"/>
        <v/>
      </c>
      <c r="AT56" s="68" t="str">
        <f>IF('Marks Entry'!AA56="","",'Marks Entry'!AA56)</f>
        <v/>
      </c>
      <c r="AU56" s="96" t="str">
        <f t="shared" si="13"/>
        <v/>
      </c>
      <c r="AV56" s="65">
        <f t="shared" si="14"/>
        <v>0</v>
      </c>
      <c r="AW56" s="65">
        <f t="shared" si="15"/>
        <v>0</v>
      </c>
      <c r="AX56" s="66" t="str">
        <f t="shared" si="16"/>
        <v/>
      </c>
      <c r="AY56" s="65" t="str">
        <f t="shared" si="17"/>
        <v/>
      </c>
      <c r="AZ56" s="65" t="str">
        <f t="shared" si="18"/>
        <v/>
      </c>
      <c r="BA56" s="65" t="str">
        <f t="shared" si="19"/>
        <v/>
      </c>
      <c r="BB56" s="68" t="str">
        <f>IF('Marks Entry'!AB56="","",'Marks Entry'!AB56)</f>
        <v/>
      </c>
      <c r="BC56" s="68" t="str">
        <f>IF('Marks Entry'!AC56="","",'Marks Entry'!AC56)</f>
        <v/>
      </c>
      <c r="BD56" s="68" t="str">
        <f>IF('Marks Entry'!AD56="","",'Marks Entry'!AD56)</f>
        <v/>
      </c>
      <c r="BE56" s="514" t="str">
        <f t="shared" si="20"/>
        <v/>
      </c>
      <c r="BF56" s="68" t="str">
        <f>IF('Marks Entry'!AE56="","",'Marks Entry'!AE56)</f>
        <v/>
      </c>
      <c r="BG56" s="515" t="str">
        <f t="shared" si="21"/>
        <v/>
      </c>
      <c r="BH56" s="68" t="str">
        <f>IF('Marks Entry'!AF56="","",'Marks Entry'!AF56)</f>
        <v/>
      </c>
      <c r="BI56" s="96" t="str">
        <f t="shared" si="22"/>
        <v/>
      </c>
      <c r="BJ56" s="65">
        <f t="shared" si="23"/>
        <v>0</v>
      </c>
      <c r="BK56" s="65">
        <f t="shared" si="92"/>
        <v>0</v>
      </c>
      <c r="BL56" s="66" t="str">
        <f t="shared" si="24"/>
        <v/>
      </c>
      <c r="BM56" s="65" t="str">
        <f t="shared" si="25"/>
        <v/>
      </c>
      <c r="BN56" s="65" t="str">
        <f t="shared" si="26"/>
        <v/>
      </c>
      <c r="BO56" s="65" t="str">
        <f t="shared" si="27"/>
        <v/>
      </c>
      <c r="BP56" s="68" t="str">
        <f>IF('Marks Entry'!AG56="","",'Marks Entry'!AG56)</f>
        <v/>
      </c>
      <c r="BQ56" s="68" t="str">
        <f>IF('Marks Entry'!AH56="","",'Marks Entry'!AH56)</f>
        <v/>
      </c>
      <c r="BR56" s="68" t="str">
        <f>IF('Marks Entry'!AI56="","",'Marks Entry'!AI56)</f>
        <v/>
      </c>
      <c r="BS56" s="514" t="str">
        <f t="shared" si="28"/>
        <v/>
      </c>
      <c r="BT56" s="68" t="str">
        <f>IF('Marks Entry'!AJ56="","",'Marks Entry'!AJ56)</f>
        <v/>
      </c>
      <c r="BU56" s="515" t="str">
        <f t="shared" si="29"/>
        <v/>
      </c>
      <c r="BV56" s="68" t="str">
        <f>IF('Marks Entry'!AK56="","",'Marks Entry'!AK56)</f>
        <v/>
      </c>
      <c r="BW56" s="96" t="str">
        <f t="shared" si="30"/>
        <v/>
      </c>
      <c r="BX56" s="65">
        <f t="shared" si="31"/>
        <v>0</v>
      </c>
      <c r="BY56" s="65">
        <f t="shared" si="32"/>
        <v>0</v>
      </c>
      <c r="BZ56" s="66" t="str">
        <f t="shared" si="33"/>
        <v/>
      </c>
      <c r="CA56" s="65" t="str">
        <f t="shared" si="34"/>
        <v/>
      </c>
      <c r="CB56" s="65" t="str">
        <f t="shared" si="35"/>
        <v/>
      </c>
      <c r="CC56" s="65" t="str">
        <f t="shared" si="36"/>
        <v/>
      </c>
      <c r="CD56" s="66">
        <f t="shared" si="161"/>
        <v>0</v>
      </c>
      <c r="CE56" s="68" t="str">
        <f>IF('Marks Entry'!AL56="","",'Marks Entry'!AL56)</f>
        <v/>
      </c>
      <c r="CF56" s="68" t="str">
        <f>IF('Marks Entry'!AM56="","",'Marks Entry'!AM56)</f>
        <v/>
      </c>
      <c r="CG56" s="68" t="str">
        <f>IF('Marks Entry'!AN56="","",'Marks Entry'!AN56)</f>
        <v/>
      </c>
      <c r="CH56" s="514" t="str">
        <f t="shared" si="37"/>
        <v/>
      </c>
      <c r="CI56" s="68" t="str">
        <f>IF('Marks Entry'!AO56="","",'Marks Entry'!AO56)</f>
        <v/>
      </c>
      <c r="CJ56" s="515" t="str">
        <f t="shared" si="38"/>
        <v/>
      </c>
      <c r="CK56" s="68" t="str">
        <f>IF('Marks Entry'!AP56="","",'Marks Entry'!AP56)</f>
        <v/>
      </c>
      <c r="CL56" s="96" t="str">
        <f t="shared" si="39"/>
        <v/>
      </c>
      <c r="CM56" s="65">
        <f t="shared" si="40"/>
        <v>0</v>
      </c>
      <c r="CN56" s="65">
        <f t="shared" si="41"/>
        <v>0</v>
      </c>
      <c r="CO56" s="66" t="str">
        <f t="shared" si="42"/>
        <v/>
      </c>
      <c r="CP56" s="65" t="str">
        <f t="shared" si="43"/>
        <v/>
      </c>
      <c r="CQ56" s="65" t="str">
        <f t="shared" si="44"/>
        <v/>
      </c>
      <c r="CR56" s="65" t="str">
        <f t="shared" si="45"/>
        <v/>
      </c>
      <c r="CS56" s="616"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8" t="str">
        <f>IF('School Profile'!$D$20="NO","",IF('Marks Entry'!AR56="","",'Marks Entry'!AR56))</f>
        <v/>
      </c>
      <c r="CU56" s="68" t="str">
        <f>IF('School Profile'!$D$20="NO","",IF('Marks Entry'!AS56="","",'Marks Entry'!AS56))</f>
        <v/>
      </c>
      <c r="CV56" s="68" t="str">
        <f>IF('School Profile'!$D$20="NO","",IF('Marks Entry'!AT56="","",'Marks Entry'!AT56))</f>
        <v/>
      </c>
      <c r="CW56" s="514" t="str">
        <f>IF('School Profile'!$D$20="NO","",IF(AND(CT56="",CU56="",CV56=""),"",SUM(CT56:CV56)))</f>
        <v/>
      </c>
      <c r="CX56" s="68" t="str">
        <f>IF('School Profile'!$D$20="NO","",IF('Marks Entry'!AU56="","",'Marks Entry'!AU56))</f>
        <v/>
      </c>
      <c r="CY56" s="68" t="str">
        <f>IF('School Profile'!$D$20="NO","",IF('Marks Entry'!AV56="","",'Marks Entry'!AV56))</f>
        <v/>
      </c>
      <c r="CZ56" s="515" t="str">
        <f>IF('School Profile'!$D$20="NO","",IF(AND(CX56="",CY56=""),"",SUM(CX56,CY56)))</f>
        <v/>
      </c>
      <c r="DA56" s="69" t="str">
        <f>IF('School Profile'!$D$20="NO","",IF(AND(CW56="",CZ56=""),"",SUM(CW56+CZ56)))</f>
        <v/>
      </c>
      <c r="DB56" s="68" t="str">
        <f>IF('School Profile'!$D$20="NO","",IF('Marks Entry'!AW56="","",'Marks Entry'!AW56))</f>
        <v/>
      </c>
      <c r="DC56" s="68" t="str">
        <f>IF('School Profile'!$D$20="NO","",IF('Marks Entry'!AX56="","",'Marks Entry'!AX56))</f>
        <v/>
      </c>
      <c r="DD56" s="515" t="str">
        <f>IF('School Profile'!$D$20="NO","",IF(AND(DB56="",DC56=""),"",SUM(DB56,DC56)))</f>
        <v/>
      </c>
      <c r="DE56" s="96" t="str">
        <f>IF('School Profile'!$D$20="NO","",IF(AND(DA56="",DD56=""),"",SUM(DA56,DD56)))</f>
        <v/>
      </c>
      <c r="DF56" s="532">
        <f t="shared" si="46"/>
        <v>0</v>
      </c>
      <c r="DG56" s="65">
        <f t="shared" si="47"/>
        <v>0</v>
      </c>
      <c r="DH56" s="66" t="str">
        <f t="shared" si="48"/>
        <v/>
      </c>
      <c r="DI56" s="65" t="str">
        <f t="shared" si="49"/>
        <v/>
      </c>
      <c r="DJ56" s="65" t="str">
        <f t="shared" si="50"/>
        <v/>
      </c>
      <c r="DK56" s="65" t="str">
        <f t="shared" si="51"/>
        <v/>
      </c>
      <c r="DL56" s="97" t="str">
        <f t="shared" si="94"/>
        <v/>
      </c>
      <c r="DM56" s="97" t="str">
        <f t="shared" si="95"/>
        <v/>
      </c>
      <c r="DN56" s="97" t="str">
        <f t="shared" si="96"/>
        <v/>
      </c>
      <c r="DO56" s="97" t="str">
        <f t="shared" si="97"/>
        <v/>
      </c>
      <c r="DP56" s="97" t="str">
        <f t="shared" si="98"/>
        <v/>
      </c>
      <c r="DQ56" s="97" t="str">
        <f t="shared" si="99"/>
        <v/>
      </c>
      <c r="DR56" s="97" t="str">
        <f t="shared" si="100"/>
        <v/>
      </c>
      <c r="DS56" s="98">
        <f t="shared" si="101"/>
        <v>0</v>
      </c>
      <c r="DT56" s="98">
        <f t="shared" si="102"/>
        <v>0</v>
      </c>
      <c r="DU56" s="98">
        <f t="shared" si="103"/>
        <v>0</v>
      </c>
      <c r="DV56" s="98">
        <f t="shared" si="104"/>
        <v>0</v>
      </c>
      <c r="DW56" s="98">
        <f t="shared" si="105"/>
        <v>0</v>
      </c>
      <c r="DX56" s="98" t="str">
        <f t="shared" si="106"/>
        <v/>
      </c>
      <c r="DY56" s="99" t="str">
        <f t="shared" si="107"/>
        <v/>
      </c>
      <c r="DZ56" s="74" t="str">
        <f>IF('Marks Entry'!AY56="","",'Marks Entry'!AY56)</f>
        <v/>
      </c>
      <c r="EA56" s="74" t="str">
        <f>IF('Marks Entry'!AZ56="","",'Marks Entry'!AZ56)</f>
        <v/>
      </c>
      <c r="EB56" s="74" t="str">
        <f>IF('Marks Entry'!BA56="","",'Marks Entry'!BA56)</f>
        <v/>
      </c>
      <c r="EC56" s="527" t="str">
        <f t="shared" si="52"/>
        <v/>
      </c>
      <c r="ED56" s="74" t="str">
        <f>IF('Marks Entry'!BB56="","",'Marks Entry'!BB56)</f>
        <v/>
      </c>
      <c r="EE56" s="528" t="str">
        <f t="shared" si="53"/>
        <v/>
      </c>
      <c r="EF56" s="74" t="str">
        <f>IF('Marks Entry'!BC56="","",'Marks Entry'!BC56)</f>
        <v/>
      </c>
      <c r="EG56" s="530" t="str">
        <f t="shared" si="54"/>
        <v/>
      </c>
      <c r="EH56" s="368" t="str">
        <f t="shared" si="108"/>
        <v/>
      </c>
      <c r="EI56" s="65">
        <f t="shared" si="109"/>
        <v>0</v>
      </c>
      <c r="EJ56" s="65">
        <f t="shared" si="110"/>
        <v>0</v>
      </c>
      <c r="EK56" s="66" t="str">
        <f t="shared" si="111"/>
        <v/>
      </c>
      <c r="EL56" s="74" t="str">
        <f>IF('Marks Entry'!BD56="","",'Marks Entry'!BD56)</f>
        <v/>
      </c>
      <c r="EM56" s="74" t="str">
        <f>IF('Marks Entry'!BE56="","",'Marks Entry'!BE56)</f>
        <v/>
      </c>
      <c r="EN56" s="74" t="str">
        <f>IF('Marks Entry'!BF56="","",'Marks Entry'!BF56)</f>
        <v/>
      </c>
      <c r="EO56" s="527" t="str">
        <f t="shared" si="55"/>
        <v/>
      </c>
      <c r="EP56" s="74" t="str">
        <f>IF('Marks Entry'!BG56="","",'Marks Entry'!BG56)</f>
        <v/>
      </c>
      <c r="EQ56" s="74" t="str">
        <f>IF('Marks Entry'!BH56="","",'Marks Entry'!BH56)</f>
        <v/>
      </c>
      <c r="ER56" s="528" t="str">
        <f t="shared" si="56"/>
        <v/>
      </c>
      <c r="ES56" s="529" t="str">
        <f t="shared" si="57"/>
        <v/>
      </c>
      <c r="ET56" s="74" t="str">
        <f>IF('Marks Entry'!BI56="","",'Marks Entry'!BI56)</f>
        <v/>
      </c>
      <c r="EU56" s="74" t="str">
        <f>IF('Marks Entry'!BJ56="","",'Marks Entry'!BJ56)</f>
        <v/>
      </c>
      <c r="EV56" s="528" t="str">
        <f t="shared" si="58"/>
        <v/>
      </c>
      <c r="EW56" s="530" t="str">
        <f t="shared" si="59"/>
        <v/>
      </c>
      <c r="EX56" s="368" t="str">
        <f t="shared" si="112"/>
        <v/>
      </c>
      <c r="EY56" s="65">
        <f t="shared" si="113"/>
        <v>0</v>
      </c>
      <c r="EZ56" s="65">
        <f t="shared" si="114"/>
        <v>0</v>
      </c>
      <c r="FA56" s="66" t="str">
        <f t="shared" si="115"/>
        <v/>
      </c>
      <c r="FB56" s="74" t="str">
        <f>IF('Marks Entry'!BK56="","",'Marks Entry'!BK56)</f>
        <v/>
      </c>
      <c r="FC56" s="74" t="str">
        <f>IF('Marks Entry'!BL56="","",'Marks Entry'!BL56)</f>
        <v/>
      </c>
      <c r="FD56" s="74" t="str">
        <f>IF('Marks Entry'!BM56="","",'Marks Entry'!BM56)</f>
        <v/>
      </c>
      <c r="FE56" s="74" t="str">
        <f>IF('Marks Entry'!BN56="","",'Marks Entry'!BN56)</f>
        <v/>
      </c>
      <c r="FF56" s="74" t="str">
        <f>IF('Marks Entry'!BO56="","",'Marks Entry'!BO56)</f>
        <v/>
      </c>
      <c r="FG56" s="74" t="str">
        <f>IF('Marks Entry'!BP56="","",'Marks Entry'!BP56)</f>
        <v/>
      </c>
      <c r="FH56" s="527" t="str">
        <f t="shared" si="60"/>
        <v/>
      </c>
      <c r="FI56" s="74" t="str">
        <f>IF('Marks Entry'!BQ56="","",'Marks Entry'!BQ56)</f>
        <v/>
      </c>
      <c r="FJ56" s="74" t="str">
        <f>IF('Marks Entry'!BR56="","",'Marks Entry'!BR56)</f>
        <v/>
      </c>
      <c r="FK56" s="528" t="str">
        <f t="shared" si="61"/>
        <v/>
      </c>
      <c r="FL56" s="529" t="str">
        <f t="shared" si="62"/>
        <v/>
      </c>
      <c r="FM56" s="74" t="str">
        <f>IF('Marks Entry'!BS56="","",'Marks Entry'!BS56)</f>
        <v/>
      </c>
      <c r="FN56" s="74" t="str">
        <f>IF('Marks Entry'!BT56="","",'Marks Entry'!BT56)</f>
        <v/>
      </c>
      <c r="FO56" s="528" t="str">
        <f t="shared" si="63"/>
        <v/>
      </c>
      <c r="FP56" s="530" t="str">
        <f t="shared" si="64"/>
        <v/>
      </c>
      <c r="FQ56" s="368" t="str">
        <f t="shared" si="116"/>
        <v/>
      </c>
      <c r="FR56" s="65">
        <f t="shared" si="117"/>
        <v>0</v>
      </c>
      <c r="FS56" s="65">
        <f t="shared" si="118"/>
        <v>0</v>
      </c>
      <c r="FT56" s="66" t="str">
        <f t="shared" si="119"/>
        <v/>
      </c>
      <c r="FU56" s="74" t="str">
        <f>IF('Marks Entry'!BU56="","",'Marks Entry'!BU56)</f>
        <v/>
      </c>
      <c r="FV56" s="74" t="str">
        <f>IF('Marks Entry'!BV56="","",'Marks Entry'!BV56)</f>
        <v/>
      </c>
      <c r="FW56" s="74" t="str">
        <f>IF('Marks Entry'!BW56="","",'Marks Entry'!BW56)</f>
        <v/>
      </c>
      <c r="FX56" s="75" t="str">
        <f t="shared" si="65"/>
        <v/>
      </c>
      <c r="FY56" s="368" t="str">
        <f t="shared" si="120"/>
        <v/>
      </c>
      <c r="FZ56" s="65">
        <f t="shared" si="121"/>
        <v>0</v>
      </c>
      <c r="GA56" s="66">
        <f t="shared" si="122"/>
        <v>0</v>
      </c>
      <c r="GB56" s="66" t="str">
        <f t="shared" si="123"/>
        <v/>
      </c>
      <c r="GC56" s="74" t="str">
        <f>IF('Marks Entry'!BX56="","",'Marks Entry'!BX56)</f>
        <v/>
      </c>
      <c r="GD56" s="74" t="str">
        <f>IF('Marks Entry'!BY56="","",'Marks Entry'!BY56)</f>
        <v/>
      </c>
      <c r="GE56" s="74" t="str">
        <f>IF('Marks Entry'!BZ56="","",'Marks Entry'!BZ56)</f>
        <v/>
      </c>
      <c r="GF56" s="75" t="str">
        <f t="shared" si="124"/>
        <v/>
      </c>
      <c r="GG56" s="368" t="str">
        <f t="shared" si="125"/>
        <v/>
      </c>
      <c r="GH56" s="65">
        <f t="shared" si="126"/>
        <v>0</v>
      </c>
      <c r="GI56" s="66">
        <f t="shared" si="127"/>
        <v>0</v>
      </c>
      <c r="GJ56" s="66" t="str">
        <f t="shared" si="128"/>
        <v/>
      </c>
      <c r="GK56" s="100" t="str">
        <f>IF(AND(F56="",B56=""),"",IF('Student DATA Entry'!M53="","",'Student DATA Entry'!M53))</f>
        <v/>
      </c>
      <c r="GL56" s="101" t="str">
        <f>IF(AND(B56="",F56=""),"",IF('Student DATA Entry'!N53="","",'Student DATA Entry'!N53))</f>
        <v/>
      </c>
      <c r="GM56" s="581" t="str">
        <f t="shared" si="129"/>
        <v/>
      </c>
      <c r="GN56" s="94" t="str">
        <f t="shared" si="130"/>
        <v/>
      </c>
      <c r="GO56" s="94" t="str">
        <f t="shared" si="131"/>
        <v/>
      </c>
      <c r="GP56" s="102" t="str">
        <f t="shared" si="162"/>
        <v/>
      </c>
      <c r="GQ56" s="94" t="str">
        <f t="shared" si="132"/>
        <v/>
      </c>
      <c r="GR56" s="103" t="str">
        <f t="shared" si="133"/>
        <v/>
      </c>
      <c r="GS56" s="102" t="str">
        <f t="shared" si="163"/>
        <v/>
      </c>
      <c r="GT56" s="104" t="str">
        <f t="shared" si="134"/>
        <v/>
      </c>
      <c r="GU56" s="94" t="str">
        <f>IF('Marks Entry'!V56=1,GT56,"")</f>
        <v/>
      </c>
      <c r="GV56" s="94" t="str">
        <f>IF('Marks Entry'!V56=2,GT56,"")</f>
        <v/>
      </c>
      <c r="GW56" s="94" t="str">
        <f>IF('Marks Entry'!V56=3,GT56,"")</f>
        <v/>
      </c>
      <c r="GX56" s="94" t="str">
        <f>IF('Marks Entry'!V56=4,GT56,"")</f>
        <v/>
      </c>
      <c r="GY56" s="94" t="str">
        <f>IF('Marks Entry'!V56=5,GT56,"")</f>
        <v/>
      </c>
      <c r="GZ56" s="94" t="str">
        <f t="shared" si="135"/>
        <v/>
      </c>
      <c r="HA56" s="105" t="str">
        <f t="shared" si="164"/>
        <v/>
      </c>
      <c r="HB56" s="94" t="str">
        <f t="shared" si="136"/>
        <v/>
      </c>
      <c r="HC56" s="94" t="str">
        <f t="shared" si="137"/>
        <v/>
      </c>
      <c r="HD56" s="105" t="str">
        <f t="shared" si="165"/>
        <v/>
      </c>
      <c r="HE56" s="94" t="str">
        <f t="shared" si="138"/>
        <v/>
      </c>
      <c r="HF56" s="94" t="str">
        <f t="shared" si="139"/>
        <v/>
      </c>
      <c r="HG56" s="105" t="str">
        <f t="shared" si="166"/>
        <v/>
      </c>
      <c r="HH56" s="94" t="str">
        <f t="shared" si="140"/>
        <v/>
      </c>
      <c r="HI56" s="94" t="str">
        <f t="shared" si="141"/>
        <v/>
      </c>
      <c r="HJ56" s="105" t="str">
        <f t="shared" si="167"/>
        <v/>
      </c>
      <c r="HK56" s="94" t="str">
        <f t="shared" si="142"/>
        <v/>
      </c>
      <c r="HL56" s="94" t="str">
        <f t="shared" si="143"/>
        <v/>
      </c>
      <c r="HM56" s="105" t="str">
        <f t="shared" si="168"/>
        <v/>
      </c>
      <c r="HN56" s="367" t="str">
        <f t="shared" si="144"/>
        <v xml:space="preserve">      </v>
      </c>
      <c r="HO56" s="418" t="str">
        <f t="shared" si="169"/>
        <v xml:space="preserve">      </v>
      </c>
      <c r="HP56" s="367" t="str">
        <f t="shared" si="146"/>
        <v xml:space="preserve">      </v>
      </c>
      <c r="HQ56" s="107" t="str">
        <f t="shared" si="147"/>
        <v xml:space="preserve">      </v>
      </c>
      <c r="HR56" s="366" t="str">
        <f t="shared" si="148"/>
        <v xml:space="preserve">      </v>
      </c>
      <c r="HS56" s="544" t="str">
        <f t="shared" si="170"/>
        <v/>
      </c>
      <c r="HT56" s="542" t="str">
        <f t="shared" si="149"/>
        <v/>
      </c>
      <c r="HU56" s="541" t="str">
        <f t="shared" si="160"/>
        <v/>
      </c>
      <c r="HV56" s="540" t="str">
        <f t="shared" si="150"/>
        <v/>
      </c>
      <c r="HW56" s="537" t="str">
        <f t="shared" si="151"/>
        <v/>
      </c>
      <c r="HX56" s="539" t="str">
        <f t="shared" si="152"/>
        <v/>
      </c>
      <c r="HY56" s="553" t="str">
        <f>IFERROR(IF(OR(HS56="SUPPLEMENTARY",HS56="RE-EXAM"),'Supp. Result Entry'!AQ54,""),"")</f>
        <v/>
      </c>
      <c r="HZ56" s="538" t="str">
        <f t="shared" si="153"/>
        <v/>
      </c>
      <c r="IA56" s="415" t="str">
        <f t="shared" si="154"/>
        <v/>
      </c>
      <c r="IB56" s="415" t="str">
        <f>IF(AND(HZ56="",IA56=""),"",IF(OR(HS56="SUPPLEMENTARY",HS56="RE-EXAM"),'Supp. Result Entry'!AQ54,HS56))</f>
        <v/>
      </c>
      <c r="IC56" s="87"/>
      <c r="ID56" s="111"/>
      <c r="IS56" s="109" t="str">
        <f>IF('Supp. Result Entry'!T54="","",'Supp. Result Entry'!$T$4)</f>
        <v/>
      </c>
      <c r="IT56" s="110" t="str">
        <f>IF('Supp. Result Entry'!W54="","",'Supp. Result Entry'!$W$4)</f>
        <v/>
      </c>
      <c r="IU56" s="110" t="str">
        <f>IF('Supp. Result Entry'!Z54="","",'Supp. Result Entry'!$Z$4)</f>
        <v/>
      </c>
      <c r="IV56" s="110" t="str">
        <f>IF('Supp. Result Entry'!AC54="","",'Supp. Result Entry'!$AC$4)</f>
        <v/>
      </c>
      <c r="IW56" s="110" t="str">
        <f>IF('Supp. Result Entry'!AF54="","",'Supp. Result Entry'!$AF$4)</f>
        <v/>
      </c>
      <c r="IX56" s="110" t="str">
        <f>IF('Supp. Result Entry'!AI54="","",'Supp. Result Entry'!$AI$4)</f>
        <v/>
      </c>
      <c r="IY56" s="110" t="str">
        <f>IF('Supp. Result Entry'!AI54="","",'Supp. Result Entry'!$AL$4)</f>
        <v/>
      </c>
      <c r="IZ56" s="110" t="str">
        <f>IF('Supp. Result Entry'!U54="","",'Supp. Result Entry'!U54)</f>
        <v/>
      </c>
      <c r="JA56" s="110" t="str">
        <f>IF('Supp. Result Entry'!X54="","",'Supp. Result Entry'!X54)</f>
        <v/>
      </c>
      <c r="JB56" s="110" t="str">
        <f>IF('Supp. Result Entry'!AA54="","",'Supp. Result Entry'!AA54)</f>
        <v/>
      </c>
      <c r="JC56" s="110" t="str">
        <f>IF('Supp. Result Entry'!AD54="","",'Supp. Result Entry'!AD54)</f>
        <v/>
      </c>
      <c r="JD56" s="110" t="str">
        <f>IF('Supp. Result Entry'!AG54="","",'Supp. Result Entry'!AG54)</f>
        <v/>
      </c>
      <c r="JE56" s="110" t="str">
        <f>IF('Supp. Result Entry'!AJ54="","",'Supp. Result Entry'!AJ54)</f>
        <v/>
      </c>
      <c r="JF56" s="110" t="str">
        <f>IF('Supp. Result Entry'!AM54="","",'Supp. Result Entry'!AM54)</f>
        <v/>
      </c>
      <c r="JG56" s="110" t="str">
        <f>IF('Supp. Result Entry'!V54="","",'Supp. Result Entry'!V54)</f>
        <v/>
      </c>
      <c r="JH56" s="110" t="str">
        <f>IF('Supp. Result Entry'!Y54="","",'Supp. Result Entry'!Y54)</f>
        <v/>
      </c>
      <c r="JI56" s="110" t="str">
        <f>IF('Supp. Result Entry'!AB54="","",'Supp. Result Entry'!AB54)</f>
        <v/>
      </c>
      <c r="JJ56" s="110" t="str">
        <f>IF('Supp. Result Entry'!AE54="","",'Supp. Result Entry'!AE54)</f>
        <v/>
      </c>
      <c r="JK56" s="110" t="str">
        <f>IF('Supp. Result Entry'!AH54="","",'Supp. Result Entry'!AH54)</f>
        <v/>
      </c>
      <c r="JL56" s="110" t="str">
        <f>IF('Supp. Result Entry'!AK54="","",'Supp. Result Entry'!AK54)</f>
        <v/>
      </c>
      <c r="JM56" s="110" t="str">
        <f>IF('Supp. Result Entry'!AN54="","",'Supp. Result Entry'!AN54)</f>
        <v/>
      </c>
      <c r="JN56" s="110">
        <f>COUNTIF('Supp. Result Entry'!K54:Q54,"S")</f>
        <v>0</v>
      </c>
      <c r="JO56" s="110">
        <f t="shared" si="155"/>
        <v>0</v>
      </c>
      <c r="JP56" s="110">
        <f t="shared" si="156"/>
        <v>0</v>
      </c>
      <c r="JQ56" s="110" t="str">
        <f t="shared" si="75"/>
        <v/>
      </c>
      <c r="JR56" s="110" t="str">
        <f t="shared" si="76"/>
        <v/>
      </c>
      <c r="JS56" s="110" t="str">
        <f t="shared" si="77"/>
        <v/>
      </c>
      <c r="JT56" s="110" t="str">
        <f t="shared" si="78"/>
        <v/>
      </c>
      <c r="JU56" s="110" t="str">
        <f t="shared" si="79"/>
        <v/>
      </c>
      <c r="JV56" s="110" t="str">
        <f t="shared" si="80"/>
        <v/>
      </c>
      <c r="JW56" s="110" t="str">
        <f t="shared" si="81"/>
        <v/>
      </c>
      <c r="JX56" s="110" t="str">
        <f t="shared" si="157"/>
        <v/>
      </c>
      <c r="JY56" s="110" t="str">
        <f t="shared" si="158"/>
        <v/>
      </c>
      <c r="JZ56" s="110" t="str">
        <f t="shared" si="82"/>
        <v/>
      </c>
      <c r="KA56" s="108" t="str">
        <f t="shared" si="159"/>
        <v/>
      </c>
    </row>
    <row r="57" spans="1:287" s="108" customFormat="1" ht="21.95" customHeight="1">
      <c r="A57" s="89">
        <v>51</v>
      </c>
      <c r="B57" s="90" t="str">
        <f>IF('Marks Entry'!B57="","",'Marks Entry'!B57)</f>
        <v/>
      </c>
      <c r="C57" s="94" t="str">
        <f>IF('Marks Entry'!D57="","",'Marks Entry'!D57)</f>
        <v/>
      </c>
      <c r="D57" s="91" t="str">
        <f>IF('Marks Entry'!E57="","",'Marks Entry'!E57)</f>
        <v/>
      </c>
      <c r="E57" s="92" t="str">
        <f>IF('Marks Entry'!F57="","",'Marks Entry'!F57)</f>
        <v/>
      </c>
      <c r="F57" s="93" t="str">
        <f>IF('Marks Entry'!G57="","",'Marks Entry'!G57)</f>
        <v/>
      </c>
      <c r="G57" s="93" t="str">
        <f>IF('Marks Entry'!H57="","",'Marks Entry'!H57)</f>
        <v/>
      </c>
      <c r="H57" s="93" t="str">
        <f>IF('Marks Entry'!I57="","",'Marks Entry'!I57)</f>
        <v/>
      </c>
      <c r="I57" s="94" t="str">
        <f>IF('Marks Entry'!J57="","",'Marks Entry'!J57)</f>
        <v/>
      </c>
      <c r="J57" s="95" t="str">
        <f>IF('Marks Entry'!K57="","",'Marks Entry'!K57)</f>
        <v/>
      </c>
      <c r="K57" s="68" t="str">
        <f>IF('Marks Entry'!L57="","",'Marks Entry'!L57)</f>
        <v/>
      </c>
      <c r="L57" s="68" t="str">
        <f>IF('Marks Entry'!M57="","",'Marks Entry'!M57)</f>
        <v/>
      </c>
      <c r="M57" s="68" t="str">
        <f>IF('Marks Entry'!N57="","",'Marks Entry'!N57)</f>
        <v/>
      </c>
      <c r="N57" s="514" t="str">
        <f t="shared" si="83"/>
        <v/>
      </c>
      <c r="O57" s="68" t="str">
        <f>IF('Marks Entry'!O57="","",'Marks Entry'!O57)</f>
        <v/>
      </c>
      <c r="P57" s="515" t="str">
        <f t="shared" si="84"/>
        <v/>
      </c>
      <c r="Q57" s="68" t="str">
        <f>IF('Marks Entry'!P57="","",'Marks Entry'!P57)</f>
        <v/>
      </c>
      <c r="R57" s="96" t="str">
        <f t="shared" si="85"/>
        <v/>
      </c>
      <c r="S57" s="65">
        <f t="shared" si="86"/>
        <v>0</v>
      </c>
      <c r="T57" s="65">
        <f t="shared" si="87"/>
        <v>0</v>
      </c>
      <c r="U57" s="66" t="str">
        <f t="shared" si="88"/>
        <v/>
      </c>
      <c r="V57" s="65" t="str">
        <f t="shared" si="89"/>
        <v/>
      </c>
      <c r="W57" s="65" t="str">
        <f t="shared" si="90"/>
        <v/>
      </c>
      <c r="X57" s="65" t="str">
        <f t="shared" si="91"/>
        <v/>
      </c>
      <c r="Y57" s="68" t="str">
        <f>IF('Marks Entry'!Q57="","",'Marks Entry'!Q57)</f>
        <v/>
      </c>
      <c r="Z57" s="68" t="str">
        <f>IF('Marks Entry'!R57="","",'Marks Entry'!R57)</f>
        <v/>
      </c>
      <c r="AA57" s="68" t="str">
        <f>IF('Marks Entry'!S57="","",'Marks Entry'!S57)</f>
        <v/>
      </c>
      <c r="AB57" s="514" t="str">
        <f t="shared" si="2"/>
        <v/>
      </c>
      <c r="AC57" s="68" t="str">
        <f>IF('Marks Entry'!T57="","",'Marks Entry'!T57)</f>
        <v/>
      </c>
      <c r="AD57" s="515" t="str">
        <f t="shared" si="3"/>
        <v/>
      </c>
      <c r="AE57" s="68" t="str">
        <f>IF('Marks Entry'!U57="","",'Marks Entry'!U57)</f>
        <v/>
      </c>
      <c r="AF57" s="96" t="str">
        <f t="shared" si="4"/>
        <v/>
      </c>
      <c r="AG57" s="65">
        <f t="shared" si="5"/>
        <v>0</v>
      </c>
      <c r="AH57" s="65">
        <f t="shared" si="6"/>
        <v>0</v>
      </c>
      <c r="AI57" s="66" t="str">
        <f t="shared" si="7"/>
        <v/>
      </c>
      <c r="AJ57" s="65" t="str">
        <f t="shared" si="8"/>
        <v/>
      </c>
      <c r="AK57" s="65" t="str">
        <f t="shared" si="9"/>
        <v/>
      </c>
      <c r="AL57" s="65" t="str">
        <f t="shared" si="10"/>
        <v/>
      </c>
      <c r="AM57" s="524" t="str">
        <f>IF('Marks Entry'!V57="","",IF('Marks Entry'!V57=1,'School Profile'!$I$9,IF('Marks Entry'!V57=2,'School Profile'!$I$10,IF('Marks Entry'!V57=3,'School Profile'!$I$11,IF('Marks Entry'!V57=4,'School Profile'!$I$12,IF('Marks Entry'!V57=5,'School Profile'!$I$13,IF('Marks Entry'!V57=6,'School Profile'!$I$14,"")))))))</f>
        <v/>
      </c>
      <c r="AN57" s="68" t="str">
        <f>IF('Marks Entry'!W57="","",'Marks Entry'!W57)</f>
        <v/>
      </c>
      <c r="AO57" s="68" t="str">
        <f>IF('Marks Entry'!X57="","",'Marks Entry'!X57)</f>
        <v/>
      </c>
      <c r="AP57" s="68" t="str">
        <f>IF('Marks Entry'!Y57="","",'Marks Entry'!Y57)</f>
        <v/>
      </c>
      <c r="AQ57" s="514" t="str">
        <f t="shared" si="11"/>
        <v/>
      </c>
      <c r="AR57" s="68" t="str">
        <f>IF('Marks Entry'!Z57="","",'Marks Entry'!Z57)</f>
        <v/>
      </c>
      <c r="AS57" s="515" t="str">
        <f t="shared" si="12"/>
        <v/>
      </c>
      <c r="AT57" s="68" t="str">
        <f>IF('Marks Entry'!AA57="","",'Marks Entry'!AA57)</f>
        <v/>
      </c>
      <c r="AU57" s="96" t="str">
        <f t="shared" si="13"/>
        <v/>
      </c>
      <c r="AV57" s="65">
        <f t="shared" si="14"/>
        <v>0</v>
      </c>
      <c r="AW57" s="65">
        <f t="shared" si="15"/>
        <v>0</v>
      </c>
      <c r="AX57" s="66" t="str">
        <f t="shared" si="16"/>
        <v/>
      </c>
      <c r="AY57" s="65" t="str">
        <f t="shared" si="17"/>
        <v/>
      </c>
      <c r="AZ57" s="65" t="str">
        <f t="shared" si="18"/>
        <v/>
      </c>
      <c r="BA57" s="65" t="str">
        <f t="shared" si="19"/>
        <v/>
      </c>
      <c r="BB57" s="68" t="str">
        <f>IF('Marks Entry'!AB57="","",'Marks Entry'!AB57)</f>
        <v/>
      </c>
      <c r="BC57" s="68" t="str">
        <f>IF('Marks Entry'!AC57="","",'Marks Entry'!AC57)</f>
        <v/>
      </c>
      <c r="BD57" s="68" t="str">
        <f>IF('Marks Entry'!AD57="","",'Marks Entry'!AD57)</f>
        <v/>
      </c>
      <c r="BE57" s="514" t="str">
        <f t="shared" si="20"/>
        <v/>
      </c>
      <c r="BF57" s="68" t="str">
        <f>IF('Marks Entry'!AE57="","",'Marks Entry'!AE57)</f>
        <v/>
      </c>
      <c r="BG57" s="515" t="str">
        <f t="shared" si="21"/>
        <v/>
      </c>
      <c r="BH57" s="68" t="str">
        <f>IF('Marks Entry'!AF57="","",'Marks Entry'!AF57)</f>
        <v/>
      </c>
      <c r="BI57" s="96" t="str">
        <f t="shared" si="22"/>
        <v/>
      </c>
      <c r="BJ57" s="65">
        <f t="shared" si="23"/>
        <v>0</v>
      </c>
      <c r="BK57" s="65">
        <f t="shared" si="92"/>
        <v>0</v>
      </c>
      <c r="BL57" s="66" t="str">
        <f t="shared" si="24"/>
        <v/>
      </c>
      <c r="BM57" s="65" t="str">
        <f t="shared" si="25"/>
        <v/>
      </c>
      <c r="BN57" s="65" t="str">
        <f t="shared" si="26"/>
        <v/>
      </c>
      <c r="BO57" s="65" t="str">
        <f t="shared" si="27"/>
        <v/>
      </c>
      <c r="BP57" s="68" t="str">
        <f>IF('Marks Entry'!AG57="","",'Marks Entry'!AG57)</f>
        <v/>
      </c>
      <c r="BQ57" s="68" t="str">
        <f>IF('Marks Entry'!AH57="","",'Marks Entry'!AH57)</f>
        <v/>
      </c>
      <c r="BR57" s="68" t="str">
        <f>IF('Marks Entry'!AI57="","",'Marks Entry'!AI57)</f>
        <v/>
      </c>
      <c r="BS57" s="514" t="str">
        <f t="shared" si="28"/>
        <v/>
      </c>
      <c r="BT57" s="68" t="str">
        <f>IF('Marks Entry'!AJ57="","",'Marks Entry'!AJ57)</f>
        <v/>
      </c>
      <c r="BU57" s="515" t="str">
        <f t="shared" si="29"/>
        <v/>
      </c>
      <c r="BV57" s="68" t="str">
        <f>IF('Marks Entry'!AK57="","",'Marks Entry'!AK57)</f>
        <v/>
      </c>
      <c r="BW57" s="96" t="str">
        <f t="shared" si="30"/>
        <v/>
      </c>
      <c r="BX57" s="65">
        <f t="shared" si="31"/>
        <v>0</v>
      </c>
      <c r="BY57" s="65">
        <f t="shared" si="32"/>
        <v>0</v>
      </c>
      <c r="BZ57" s="66" t="str">
        <f t="shared" si="33"/>
        <v/>
      </c>
      <c r="CA57" s="65" t="str">
        <f t="shared" si="34"/>
        <v/>
      </c>
      <c r="CB57" s="65" t="str">
        <f t="shared" si="35"/>
        <v/>
      </c>
      <c r="CC57" s="65" t="str">
        <f t="shared" si="36"/>
        <v/>
      </c>
      <c r="CD57" s="66">
        <f t="shared" si="161"/>
        <v>0</v>
      </c>
      <c r="CE57" s="68" t="str">
        <f>IF('Marks Entry'!AL57="","",'Marks Entry'!AL57)</f>
        <v/>
      </c>
      <c r="CF57" s="68" t="str">
        <f>IF('Marks Entry'!AM57="","",'Marks Entry'!AM57)</f>
        <v/>
      </c>
      <c r="CG57" s="68" t="str">
        <f>IF('Marks Entry'!AN57="","",'Marks Entry'!AN57)</f>
        <v/>
      </c>
      <c r="CH57" s="514" t="str">
        <f t="shared" si="37"/>
        <v/>
      </c>
      <c r="CI57" s="68" t="str">
        <f>IF('Marks Entry'!AO57="","",'Marks Entry'!AO57)</f>
        <v/>
      </c>
      <c r="CJ57" s="515" t="str">
        <f t="shared" si="38"/>
        <v/>
      </c>
      <c r="CK57" s="68" t="str">
        <f>IF('Marks Entry'!AP57="","",'Marks Entry'!AP57)</f>
        <v/>
      </c>
      <c r="CL57" s="96" t="str">
        <f t="shared" si="39"/>
        <v/>
      </c>
      <c r="CM57" s="65">
        <f t="shared" si="40"/>
        <v>0</v>
      </c>
      <c r="CN57" s="65">
        <f t="shared" si="41"/>
        <v>0</v>
      </c>
      <c r="CO57" s="66" t="str">
        <f t="shared" si="42"/>
        <v/>
      </c>
      <c r="CP57" s="65" t="str">
        <f t="shared" si="43"/>
        <v/>
      </c>
      <c r="CQ57" s="65" t="str">
        <f t="shared" si="44"/>
        <v/>
      </c>
      <c r="CR57" s="65" t="str">
        <f t="shared" si="45"/>
        <v/>
      </c>
      <c r="CS57" s="616"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8" t="str">
        <f>IF('School Profile'!$D$20="NO","",IF('Marks Entry'!AR57="","",'Marks Entry'!AR57))</f>
        <v/>
      </c>
      <c r="CU57" s="68" t="str">
        <f>IF('School Profile'!$D$20="NO","",IF('Marks Entry'!AS57="","",'Marks Entry'!AS57))</f>
        <v/>
      </c>
      <c r="CV57" s="68" t="str">
        <f>IF('School Profile'!$D$20="NO","",IF('Marks Entry'!AT57="","",'Marks Entry'!AT57))</f>
        <v/>
      </c>
      <c r="CW57" s="514" t="str">
        <f>IF('School Profile'!$D$20="NO","",IF(AND(CT57="",CU57="",CV57=""),"",SUM(CT57:CV57)))</f>
        <v/>
      </c>
      <c r="CX57" s="68" t="str">
        <f>IF('School Profile'!$D$20="NO","",IF('Marks Entry'!AU57="","",'Marks Entry'!AU57))</f>
        <v/>
      </c>
      <c r="CY57" s="68" t="str">
        <f>IF('School Profile'!$D$20="NO","",IF('Marks Entry'!AV57="","",'Marks Entry'!AV57))</f>
        <v/>
      </c>
      <c r="CZ57" s="515" t="str">
        <f>IF('School Profile'!$D$20="NO","",IF(AND(CX57="",CY57=""),"",SUM(CX57,CY57)))</f>
        <v/>
      </c>
      <c r="DA57" s="69" t="str">
        <f>IF('School Profile'!$D$20="NO","",IF(AND(CW57="",CZ57=""),"",SUM(CW57+CZ57)))</f>
        <v/>
      </c>
      <c r="DB57" s="68" t="str">
        <f>IF('School Profile'!$D$20="NO","",IF('Marks Entry'!AW57="","",'Marks Entry'!AW57))</f>
        <v/>
      </c>
      <c r="DC57" s="68" t="str">
        <f>IF('School Profile'!$D$20="NO","",IF('Marks Entry'!AX57="","",'Marks Entry'!AX57))</f>
        <v/>
      </c>
      <c r="DD57" s="515" t="str">
        <f>IF('School Profile'!$D$20="NO","",IF(AND(DB57="",DC57=""),"",SUM(DB57,DC57)))</f>
        <v/>
      </c>
      <c r="DE57" s="96" t="str">
        <f>IF('School Profile'!$D$20="NO","",IF(AND(DA57="",DD57=""),"",SUM(DA57,DD57)))</f>
        <v/>
      </c>
      <c r="DF57" s="532">
        <f t="shared" si="46"/>
        <v>0</v>
      </c>
      <c r="DG57" s="65">
        <f t="shared" si="47"/>
        <v>0</v>
      </c>
      <c r="DH57" s="66" t="str">
        <f t="shared" si="48"/>
        <v/>
      </c>
      <c r="DI57" s="65" t="str">
        <f t="shared" si="49"/>
        <v/>
      </c>
      <c r="DJ57" s="65" t="str">
        <f t="shared" si="50"/>
        <v/>
      </c>
      <c r="DK57" s="65" t="str">
        <f t="shared" si="51"/>
        <v/>
      </c>
      <c r="DL57" s="97" t="str">
        <f t="shared" si="94"/>
        <v/>
      </c>
      <c r="DM57" s="97" t="str">
        <f t="shared" si="95"/>
        <v/>
      </c>
      <c r="DN57" s="97" t="str">
        <f t="shared" si="96"/>
        <v/>
      </c>
      <c r="DO57" s="97" t="str">
        <f t="shared" si="97"/>
        <v/>
      </c>
      <c r="DP57" s="97" t="str">
        <f t="shared" si="98"/>
        <v/>
      </c>
      <c r="DQ57" s="97" t="str">
        <f t="shared" si="99"/>
        <v/>
      </c>
      <c r="DR57" s="97" t="str">
        <f t="shared" si="100"/>
        <v/>
      </c>
      <c r="DS57" s="98">
        <f t="shared" si="101"/>
        <v>0</v>
      </c>
      <c r="DT57" s="98">
        <f t="shared" si="102"/>
        <v>0</v>
      </c>
      <c r="DU57" s="98">
        <f t="shared" si="103"/>
        <v>0</v>
      </c>
      <c r="DV57" s="98">
        <f t="shared" si="104"/>
        <v>0</v>
      </c>
      <c r="DW57" s="98">
        <f t="shared" si="105"/>
        <v>0</v>
      </c>
      <c r="DX57" s="98" t="str">
        <f t="shared" si="106"/>
        <v/>
      </c>
      <c r="DY57" s="99" t="str">
        <f t="shared" si="107"/>
        <v/>
      </c>
      <c r="DZ57" s="74" t="str">
        <f>IF('Marks Entry'!AY57="","",'Marks Entry'!AY57)</f>
        <v/>
      </c>
      <c r="EA57" s="74" t="str">
        <f>IF('Marks Entry'!AZ57="","",'Marks Entry'!AZ57)</f>
        <v/>
      </c>
      <c r="EB57" s="74" t="str">
        <f>IF('Marks Entry'!BA57="","",'Marks Entry'!BA57)</f>
        <v/>
      </c>
      <c r="EC57" s="527" t="str">
        <f t="shared" si="52"/>
        <v/>
      </c>
      <c r="ED57" s="74" t="str">
        <f>IF('Marks Entry'!BB57="","",'Marks Entry'!BB57)</f>
        <v/>
      </c>
      <c r="EE57" s="528" t="str">
        <f t="shared" si="53"/>
        <v/>
      </c>
      <c r="EF57" s="74" t="str">
        <f>IF('Marks Entry'!BC57="","",'Marks Entry'!BC57)</f>
        <v/>
      </c>
      <c r="EG57" s="530" t="str">
        <f t="shared" si="54"/>
        <v/>
      </c>
      <c r="EH57" s="368" t="str">
        <f t="shared" si="108"/>
        <v/>
      </c>
      <c r="EI57" s="65">
        <f t="shared" si="109"/>
        <v>0</v>
      </c>
      <c r="EJ57" s="65">
        <f t="shared" si="110"/>
        <v>0</v>
      </c>
      <c r="EK57" s="66" t="str">
        <f t="shared" si="111"/>
        <v/>
      </c>
      <c r="EL57" s="74" t="str">
        <f>IF('Marks Entry'!BD57="","",'Marks Entry'!BD57)</f>
        <v/>
      </c>
      <c r="EM57" s="74" t="str">
        <f>IF('Marks Entry'!BE57="","",'Marks Entry'!BE57)</f>
        <v/>
      </c>
      <c r="EN57" s="74" t="str">
        <f>IF('Marks Entry'!BF57="","",'Marks Entry'!BF57)</f>
        <v/>
      </c>
      <c r="EO57" s="527" t="str">
        <f t="shared" si="55"/>
        <v/>
      </c>
      <c r="EP57" s="74" t="str">
        <f>IF('Marks Entry'!BG57="","",'Marks Entry'!BG57)</f>
        <v/>
      </c>
      <c r="EQ57" s="74" t="str">
        <f>IF('Marks Entry'!BH57="","",'Marks Entry'!BH57)</f>
        <v/>
      </c>
      <c r="ER57" s="528" t="str">
        <f t="shared" si="56"/>
        <v/>
      </c>
      <c r="ES57" s="529" t="str">
        <f t="shared" si="57"/>
        <v/>
      </c>
      <c r="ET57" s="74" t="str">
        <f>IF('Marks Entry'!BI57="","",'Marks Entry'!BI57)</f>
        <v/>
      </c>
      <c r="EU57" s="74" t="str">
        <f>IF('Marks Entry'!BJ57="","",'Marks Entry'!BJ57)</f>
        <v/>
      </c>
      <c r="EV57" s="528" t="str">
        <f t="shared" si="58"/>
        <v/>
      </c>
      <c r="EW57" s="530" t="str">
        <f t="shared" si="59"/>
        <v/>
      </c>
      <c r="EX57" s="368" t="str">
        <f t="shared" si="112"/>
        <v/>
      </c>
      <c r="EY57" s="65">
        <f t="shared" si="113"/>
        <v>0</v>
      </c>
      <c r="EZ57" s="65">
        <f t="shared" si="114"/>
        <v>0</v>
      </c>
      <c r="FA57" s="66" t="str">
        <f t="shared" si="115"/>
        <v/>
      </c>
      <c r="FB57" s="74" t="str">
        <f>IF('Marks Entry'!BK57="","",'Marks Entry'!BK57)</f>
        <v/>
      </c>
      <c r="FC57" s="74" t="str">
        <f>IF('Marks Entry'!BL57="","",'Marks Entry'!BL57)</f>
        <v/>
      </c>
      <c r="FD57" s="74" t="str">
        <f>IF('Marks Entry'!BM57="","",'Marks Entry'!BM57)</f>
        <v/>
      </c>
      <c r="FE57" s="74" t="str">
        <f>IF('Marks Entry'!BN57="","",'Marks Entry'!BN57)</f>
        <v/>
      </c>
      <c r="FF57" s="74" t="str">
        <f>IF('Marks Entry'!BO57="","",'Marks Entry'!BO57)</f>
        <v/>
      </c>
      <c r="FG57" s="74" t="str">
        <f>IF('Marks Entry'!BP57="","",'Marks Entry'!BP57)</f>
        <v/>
      </c>
      <c r="FH57" s="527" t="str">
        <f t="shared" si="60"/>
        <v/>
      </c>
      <c r="FI57" s="74" t="str">
        <f>IF('Marks Entry'!BQ57="","",'Marks Entry'!BQ57)</f>
        <v/>
      </c>
      <c r="FJ57" s="74" t="str">
        <f>IF('Marks Entry'!BR57="","",'Marks Entry'!BR57)</f>
        <v/>
      </c>
      <c r="FK57" s="528" t="str">
        <f t="shared" si="61"/>
        <v/>
      </c>
      <c r="FL57" s="529" t="str">
        <f t="shared" si="62"/>
        <v/>
      </c>
      <c r="FM57" s="74" t="str">
        <f>IF('Marks Entry'!BS57="","",'Marks Entry'!BS57)</f>
        <v/>
      </c>
      <c r="FN57" s="74" t="str">
        <f>IF('Marks Entry'!BT57="","",'Marks Entry'!BT57)</f>
        <v/>
      </c>
      <c r="FO57" s="528" t="str">
        <f t="shared" si="63"/>
        <v/>
      </c>
      <c r="FP57" s="530" t="str">
        <f t="shared" si="64"/>
        <v/>
      </c>
      <c r="FQ57" s="368" t="str">
        <f t="shared" si="116"/>
        <v/>
      </c>
      <c r="FR57" s="65">
        <f t="shared" si="117"/>
        <v>0</v>
      </c>
      <c r="FS57" s="65">
        <f t="shared" si="118"/>
        <v>0</v>
      </c>
      <c r="FT57" s="66" t="str">
        <f t="shared" si="119"/>
        <v/>
      </c>
      <c r="FU57" s="74" t="str">
        <f>IF('Marks Entry'!BU57="","",'Marks Entry'!BU57)</f>
        <v/>
      </c>
      <c r="FV57" s="74" t="str">
        <f>IF('Marks Entry'!BV57="","",'Marks Entry'!BV57)</f>
        <v/>
      </c>
      <c r="FW57" s="74" t="str">
        <f>IF('Marks Entry'!BW57="","",'Marks Entry'!BW57)</f>
        <v/>
      </c>
      <c r="FX57" s="75" t="str">
        <f t="shared" si="65"/>
        <v/>
      </c>
      <c r="FY57" s="368" t="str">
        <f t="shared" si="120"/>
        <v/>
      </c>
      <c r="FZ57" s="65">
        <f t="shared" si="121"/>
        <v>0</v>
      </c>
      <c r="GA57" s="66">
        <f t="shared" si="122"/>
        <v>0</v>
      </c>
      <c r="GB57" s="66" t="str">
        <f t="shared" si="123"/>
        <v/>
      </c>
      <c r="GC57" s="74" t="str">
        <f>IF('Marks Entry'!BX57="","",'Marks Entry'!BX57)</f>
        <v/>
      </c>
      <c r="GD57" s="74" t="str">
        <f>IF('Marks Entry'!BY57="","",'Marks Entry'!BY57)</f>
        <v/>
      </c>
      <c r="GE57" s="74" t="str">
        <f>IF('Marks Entry'!BZ57="","",'Marks Entry'!BZ57)</f>
        <v/>
      </c>
      <c r="GF57" s="75" t="str">
        <f t="shared" si="124"/>
        <v/>
      </c>
      <c r="GG57" s="368" t="str">
        <f t="shared" si="125"/>
        <v/>
      </c>
      <c r="GH57" s="65">
        <f t="shared" si="126"/>
        <v>0</v>
      </c>
      <c r="GI57" s="66">
        <f t="shared" si="127"/>
        <v>0</v>
      </c>
      <c r="GJ57" s="66" t="str">
        <f t="shared" si="128"/>
        <v/>
      </c>
      <c r="GK57" s="100" t="str">
        <f>IF(AND(F57="",B57=""),"",IF('Student DATA Entry'!M54="","",'Student DATA Entry'!M54))</f>
        <v/>
      </c>
      <c r="GL57" s="101" t="str">
        <f>IF(AND(B57="",F57=""),"",IF('Student DATA Entry'!N54="","",'Student DATA Entry'!N54))</f>
        <v/>
      </c>
      <c r="GM57" s="581" t="str">
        <f t="shared" si="129"/>
        <v/>
      </c>
      <c r="GN57" s="94" t="str">
        <f t="shared" si="130"/>
        <v/>
      </c>
      <c r="GO57" s="94" t="str">
        <f t="shared" si="131"/>
        <v/>
      </c>
      <c r="GP57" s="102" t="str">
        <f t="shared" si="162"/>
        <v/>
      </c>
      <c r="GQ57" s="94" t="str">
        <f t="shared" si="132"/>
        <v/>
      </c>
      <c r="GR57" s="103" t="str">
        <f t="shared" si="133"/>
        <v/>
      </c>
      <c r="GS57" s="102" t="str">
        <f t="shared" si="163"/>
        <v/>
      </c>
      <c r="GT57" s="104" t="str">
        <f t="shared" si="134"/>
        <v/>
      </c>
      <c r="GU57" s="94" t="str">
        <f>IF('Marks Entry'!V57=1,GT57,"")</f>
        <v/>
      </c>
      <c r="GV57" s="94" t="str">
        <f>IF('Marks Entry'!V57=2,GT57,"")</f>
        <v/>
      </c>
      <c r="GW57" s="94" t="str">
        <f>IF('Marks Entry'!V57=3,GT57,"")</f>
        <v/>
      </c>
      <c r="GX57" s="94" t="str">
        <f>IF('Marks Entry'!V57=4,GT57,"")</f>
        <v/>
      </c>
      <c r="GY57" s="94" t="str">
        <f>IF('Marks Entry'!V57=5,GT57,"")</f>
        <v/>
      </c>
      <c r="GZ57" s="94" t="str">
        <f t="shared" si="135"/>
        <v/>
      </c>
      <c r="HA57" s="105" t="str">
        <f t="shared" si="164"/>
        <v/>
      </c>
      <c r="HB57" s="94" t="str">
        <f t="shared" si="136"/>
        <v/>
      </c>
      <c r="HC57" s="94" t="str">
        <f t="shared" si="137"/>
        <v/>
      </c>
      <c r="HD57" s="105" t="str">
        <f t="shared" si="165"/>
        <v/>
      </c>
      <c r="HE57" s="94" t="str">
        <f t="shared" si="138"/>
        <v/>
      </c>
      <c r="HF57" s="94" t="str">
        <f t="shared" si="139"/>
        <v/>
      </c>
      <c r="HG57" s="105" t="str">
        <f t="shared" si="166"/>
        <v/>
      </c>
      <c r="HH57" s="94" t="str">
        <f t="shared" si="140"/>
        <v/>
      </c>
      <c r="HI57" s="94" t="str">
        <f t="shared" si="141"/>
        <v/>
      </c>
      <c r="HJ57" s="105" t="str">
        <f t="shared" si="167"/>
        <v/>
      </c>
      <c r="HK57" s="94" t="str">
        <f t="shared" si="142"/>
        <v/>
      </c>
      <c r="HL57" s="94" t="str">
        <f t="shared" si="143"/>
        <v/>
      </c>
      <c r="HM57" s="105" t="str">
        <f t="shared" si="168"/>
        <v/>
      </c>
      <c r="HN57" s="367" t="str">
        <f t="shared" si="144"/>
        <v xml:space="preserve">      </v>
      </c>
      <c r="HO57" s="418" t="str">
        <f t="shared" si="169"/>
        <v xml:space="preserve">      </v>
      </c>
      <c r="HP57" s="367" t="str">
        <f t="shared" si="146"/>
        <v xml:space="preserve">      </v>
      </c>
      <c r="HQ57" s="107" t="str">
        <f t="shared" si="147"/>
        <v xml:space="preserve">      </v>
      </c>
      <c r="HR57" s="366" t="str">
        <f t="shared" si="148"/>
        <v xml:space="preserve">      </v>
      </c>
      <c r="HS57" s="544" t="str">
        <f t="shared" si="170"/>
        <v/>
      </c>
      <c r="HT57" s="542" t="str">
        <f t="shared" si="149"/>
        <v/>
      </c>
      <c r="HU57" s="541" t="str">
        <f t="shared" si="160"/>
        <v/>
      </c>
      <c r="HV57" s="540" t="str">
        <f t="shared" si="150"/>
        <v/>
      </c>
      <c r="HW57" s="537" t="str">
        <f t="shared" si="151"/>
        <v/>
      </c>
      <c r="HX57" s="539" t="str">
        <f t="shared" si="152"/>
        <v/>
      </c>
      <c r="HY57" s="553" t="str">
        <f>IFERROR(IF(OR(HS57="SUPPLEMENTARY",HS57="RE-EXAM"),'Supp. Result Entry'!AQ55,""),"")</f>
        <v/>
      </c>
      <c r="HZ57" s="538" t="str">
        <f t="shared" si="153"/>
        <v/>
      </c>
      <c r="IA57" s="415" t="str">
        <f t="shared" si="154"/>
        <v/>
      </c>
      <c r="IB57" s="415" t="str">
        <f>IF(AND(HZ57="",IA57=""),"",IF(OR(HS57="SUPPLEMENTARY",HS57="RE-EXAM"),'Supp. Result Entry'!AQ55,HS57))</f>
        <v/>
      </c>
      <c r="IC57" s="87"/>
      <c r="IS57" s="109" t="str">
        <f>IF('Supp. Result Entry'!T55="","",'Supp. Result Entry'!$T$4)</f>
        <v/>
      </c>
      <c r="IT57" s="110" t="str">
        <f>IF('Supp. Result Entry'!W55="","",'Supp. Result Entry'!$W$4)</f>
        <v/>
      </c>
      <c r="IU57" s="110" t="str">
        <f>IF('Supp. Result Entry'!Z55="","",'Supp. Result Entry'!$Z$4)</f>
        <v/>
      </c>
      <c r="IV57" s="110" t="str">
        <f>IF('Supp. Result Entry'!AC55="","",'Supp. Result Entry'!$AC$4)</f>
        <v/>
      </c>
      <c r="IW57" s="110" t="str">
        <f>IF('Supp. Result Entry'!AF55="","",'Supp. Result Entry'!$AF$4)</f>
        <v/>
      </c>
      <c r="IX57" s="110" t="str">
        <f>IF('Supp. Result Entry'!AI55="","",'Supp. Result Entry'!$AI$4)</f>
        <v/>
      </c>
      <c r="IY57" s="110" t="str">
        <f>IF('Supp. Result Entry'!AI55="","",'Supp. Result Entry'!$AL$4)</f>
        <v/>
      </c>
      <c r="IZ57" s="110" t="str">
        <f>IF('Supp. Result Entry'!U55="","",'Supp. Result Entry'!U55)</f>
        <v/>
      </c>
      <c r="JA57" s="110" t="str">
        <f>IF('Supp. Result Entry'!X55="","",'Supp. Result Entry'!X55)</f>
        <v/>
      </c>
      <c r="JB57" s="110" t="str">
        <f>IF('Supp. Result Entry'!AA55="","",'Supp. Result Entry'!AA55)</f>
        <v/>
      </c>
      <c r="JC57" s="110" t="str">
        <f>IF('Supp. Result Entry'!AD55="","",'Supp. Result Entry'!AD55)</f>
        <v/>
      </c>
      <c r="JD57" s="110" t="str">
        <f>IF('Supp. Result Entry'!AG55="","",'Supp. Result Entry'!AG55)</f>
        <v/>
      </c>
      <c r="JE57" s="110" t="str">
        <f>IF('Supp. Result Entry'!AJ55="","",'Supp. Result Entry'!AJ55)</f>
        <v/>
      </c>
      <c r="JF57" s="110" t="str">
        <f>IF('Supp. Result Entry'!AM55="","",'Supp. Result Entry'!AM55)</f>
        <v/>
      </c>
      <c r="JG57" s="110" t="str">
        <f>IF('Supp. Result Entry'!V55="","",'Supp. Result Entry'!V55)</f>
        <v/>
      </c>
      <c r="JH57" s="110" t="str">
        <f>IF('Supp. Result Entry'!Y55="","",'Supp. Result Entry'!Y55)</f>
        <v/>
      </c>
      <c r="JI57" s="110" t="str">
        <f>IF('Supp. Result Entry'!AB55="","",'Supp. Result Entry'!AB55)</f>
        <v/>
      </c>
      <c r="JJ57" s="110" t="str">
        <f>IF('Supp. Result Entry'!AE55="","",'Supp. Result Entry'!AE55)</f>
        <v/>
      </c>
      <c r="JK57" s="110" t="str">
        <f>IF('Supp. Result Entry'!AH55="","",'Supp. Result Entry'!AH55)</f>
        <v/>
      </c>
      <c r="JL57" s="110" t="str">
        <f>IF('Supp. Result Entry'!AK55="","",'Supp. Result Entry'!AK55)</f>
        <v/>
      </c>
      <c r="JM57" s="110" t="str">
        <f>IF('Supp. Result Entry'!AN55="","",'Supp. Result Entry'!AN55)</f>
        <v/>
      </c>
      <c r="JN57" s="110">
        <f>COUNTIF('Supp. Result Entry'!K55:Q55,"S")</f>
        <v>0</v>
      </c>
      <c r="JO57" s="110">
        <f t="shared" si="155"/>
        <v>0</v>
      </c>
      <c r="JP57" s="110">
        <f t="shared" si="156"/>
        <v>0</v>
      </c>
      <c r="JQ57" s="110" t="str">
        <f t="shared" si="75"/>
        <v/>
      </c>
      <c r="JR57" s="110" t="str">
        <f t="shared" si="76"/>
        <v/>
      </c>
      <c r="JS57" s="110" t="str">
        <f t="shared" si="77"/>
        <v/>
      </c>
      <c r="JT57" s="110" t="str">
        <f t="shared" si="78"/>
        <v/>
      </c>
      <c r="JU57" s="110" t="str">
        <f t="shared" si="79"/>
        <v/>
      </c>
      <c r="JV57" s="110" t="str">
        <f t="shared" si="80"/>
        <v/>
      </c>
      <c r="JW57" s="110" t="str">
        <f t="shared" si="81"/>
        <v/>
      </c>
      <c r="JX57" s="110" t="str">
        <f t="shared" si="157"/>
        <v/>
      </c>
      <c r="JY57" s="110" t="str">
        <f t="shared" si="158"/>
        <v/>
      </c>
      <c r="JZ57" s="110" t="str">
        <f t="shared" si="82"/>
        <v/>
      </c>
      <c r="KA57" s="108" t="str">
        <f t="shared" si="159"/>
        <v/>
      </c>
    </row>
    <row r="58" spans="1:287" s="108" customFormat="1" ht="21.95" customHeight="1">
      <c r="A58" s="89">
        <v>52</v>
      </c>
      <c r="B58" s="90" t="str">
        <f>IF('Marks Entry'!B58="","",'Marks Entry'!B58)</f>
        <v/>
      </c>
      <c r="C58" s="94" t="str">
        <f>IF('Marks Entry'!D58="","",'Marks Entry'!D58)</f>
        <v/>
      </c>
      <c r="D58" s="91" t="str">
        <f>IF('Marks Entry'!E58="","",'Marks Entry'!E58)</f>
        <v/>
      </c>
      <c r="E58" s="92" t="str">
        <f>IF('Marks Entry'!F58="","",'Marks Entry'!F58)</f>
        <v/>
      </c>
      <c r="F58" s="93" t="str">
        <f>IF('Marks Entry'!G58="","",'Marks Entry'!G58)</f>
        <v/>
      </c>
      <c r="G58" s="93" t="str">
        <f>IF('Marks Entry'!H58="","",'Marks Entry'!H58)</f>
        <v/>
      </c>
      <c r="H58" s="93" t="str">
        <f>IF('Marks Entry'!I58="","",'Marks Entry'!I58)</f>
        <v/>
      </c>
      <c r="I58" s="94" t="str">
        <f>IF('Marks Entry'!J58="","",'Marks Entry'!J58)</f>
        <v/>
      </c>
      <c r="J58" s="95" t="str">
        <f>IF('Marks Entry'!K58="","",'Marks Entry'!K58)</f>
        <v/>
      </c>
      <c r="K58" s="68" t="str">
        <f>IF('Marks Entry'!L58="","",'Marks Entry'!L58)</f>
        <v/>
      </c>
      <c r="L58" s="68" t="str">
        <f>IF('Marks Entry'!M58="","",'Marks Entry'!M58)</f>
        <v/>
      </c>
      <c r="M58" s="68" t="str">
        <f>IF('Marks Entry'!N58="","",'Marks Entry'!N58)</f>
        <v/>
      </c>
      <c r="N58" s="514" t="str">
        <f t="shared" si="83"/>
        <v/>
      </c>
      <c r="O58" s="68" t="str">
        <f>IF('Marks Entry'!O58="","",'Marks Entry'!O58)</f>
        <v/>
      </c>
      <c r="P58" s="515" t="str">
        <f t="shared" si="84"/>
        <v/>
      </c>
      <c r="Q58" s="68" t="str">
        <f>IF('Marks Entry'!P58="","",'Marks Entry'!P58)</f>
        <v/>
      </c>
      <c r="R58" s="96" t="str">
        <f t="shared" si="85"/>
        <v/>
      </c>
      <c r="S58" s="65">
        <f t="shared" si="86"/>
        <v>0</v>
      </c>
      <c r="T58" s="65">
        <f t="shared" si="87"/>
        <v>0</v>
      </c>
      <c r="U58" s="66" t="str">
        <f t="shared" si="88"/>
        <v/>
      </c>
      <c r="V58" s="65" t="str">
        <f t="shared" si="89"/>
        <v/>
      </c>
      <c r="W58" s="65" t="str">
        <f t="shared" si="90"/>
        <v/>
      </c>
      <c r="X58" s="65" t="str">
        <f t="shared" si="91"/>
        <v/>
      </c>
      <c r="Y58" s="68" t="str">
        <f>IF('Marks Entry'!Q58="","",'Marks Entry'!Q58)</f>
        <v/>
      </c>
      <c r="Z58" s="68" t="str">
        <f>IF('Marks Entry'!R58="","",'Marks Entry'!R58)</f>
        <v/>
      </c>
      <c r="AA58" s="68" t="str">
        <f>IF('Marks Entry'!S58="","",'Marks Entry'!S58)</f>
        <v/>
      </c>
      <c r="AB58" s="514" t="str">
        <f t="shared" si="2"/>
        <v/>
      </c>
      <c r="AC58" s="68" t="str">
        <f>IF('Marks Entry'!T58="","",'Marks Entry'!T58)</f>
        <v/>
      </c>
      <c r="AD58" s="515" t="str">
        <f t="shared" si="3"/>
        <v/>
      </c>
      <c r="AE58" s="68" t="str">
        <f>IF('Marks Entry'!U58="","",'Marks Entry'!U58)</f>
        <v/>
      </c>
      <c r="AF58" s="96" t="str">
        <f t="shared" si="4"/>
        <v/>
      </c>
      <c r="AG58" s="65">
        <f t="shared" si="5"/>
        <v>0</v>
      </c>
      <c r="AH58" s="65">
        <f t="shared" si="6"/>
        <v>0</v>
      </c>
      <c r="AI58" s="66" t="str">
        <f t="shared" si="7"/>
        <v/>
      </c>
      <c r="AJ58" s="65" t="str">
        <f t="shared" si="8"/>
        <v/>
      </c>
      <c r="AK58" s="65" t="str">
        <f t="shared" si="9"/>
        <v/>
      </c>
      <c r="AL58" s="65" t="str">
        <f t="shared" si="10"/>
        <v/>
      </c>
      <c r="AM58" s="524" t="str">
        <f>IF('Marks Entry'!V58="","",IF('Marks Entry'!V58=1,'School Profile'!$I$9,IF('Marks Entry'!V58=2,'School Profile'!$I$10,IF('Marks Entry'!V58=3,'School Profile'!$I$11,IF('Marks Entry'!V58=4,'School Profile'!$I$12,IF('Marks Entry'!V58=5,'School Profile'!$I$13,IF('Marks Entry'!V58=6,'School Profile'!$I$14,"")))))))</f>
        <v/>
      </c>
      <c r="AN58" s="68" t="str">
        <f>IF('Marks Entry'!W58="","",'Marks Entry'!W58)</f>
        <v/>
      </c>
      <c r="AO58" s="68" t="str">
        <f>IF('Marks Entry'!X58="","",'Marks Entry'!X58)</f>
        <v/>
      </c>
      <c r="AP58" s="68" t="str">
        <f>IF('Marks Entry'!Y58="","",'Marks Entry'!Y58)</f>
        <v/>
      </c>
      <c r="AQ58" s="514" t="str">
        <f t="shared" si="11"/>
        <v/>
      </c>
      <c r="AR58" s="68" t="str">
        <f>IF('Marks Entry'!Z58="","",'Marks Entry'!Z58)</f>
        <v/>
      </c>
      <c r="AS58" s="515" t="str">
        <f t="shared" si="12"/>
        <v/>
      </c>
      <c r="AT58" s="68" t="str">
        <f>IF('Marks Entry'!AA58="","",'Marks Entry'!AA58)</f>
        <v/>
      </c>
      <c r="AU58" s="96" t="str">
        <f t="shared" si="13"/>
        <v/>
      </c>
      <c r="AV58" s="65">
        <f t="shared" si="14"/>
        <v>0</v>
      </c>
      <c r="AW58" s="65">
        <f t="shared" si="15"/>
        <v>0</v>
      </c>
      <c r="AX58" s="66" t="str">
        <f t="shared" si="16"/>
        <v/>
      </c>
      <c r="AY58" s="65" t="str">
        <f t="shared" si="17"/>
        <v/>
      </c>
      <c r="AZ58" s="65" t="str">
        <f t="shared" si="18"/>
        <v/>
      </c>
      <c r="BA58" s="65" t="str">
        <f t="shared" si="19"/>
        <v/>
      </c>
      <c r="BB58" s="68" t="str">
        <f>IF('Marks Entry'!AB58="","",'Marks Entry'!AB58)</f>
        <v/>
      </c>
      <c r="BC58" s="68" t="str">
        <f>IF('Marks Entry'!AC58="","",'Marks Entry'!AC58)</f>
        <v/>
      </c>
      <c r="BD58" s="68" t="str">
        <f>IF('Marks Entry'!AD58="","",'Marks Entry'!AD58)</f>
        <v/>
      </c>
      <c r="BE58" s="514" t="str">
        <f t="shared" si="20"/>
        <v/>
      </c>
      <c r="BF58" s="68" t="str">
        <f>IF('Marks Entry'!AE58="","",'Marks Entry'!AE58)</f>
        <v/>
      </c>
      <c r="BG58" s="515" t="str">
        <f t="shared" si="21"/>
        <v/>
      </c>
      <c r="BH58" s="68" t="str">
        <f>IF('Marks Entry'!AF58="","",'Marks Entry'!AF58)</f>
        <v/>
      </c>
      <c r="BI58" s="96" t="str">
        <f t="shared" si="22"/>
        <v/>
      </c>
      <c r="BJ58" s="65">
        <f t="shared" si="23"/>
        <v>0</v>
      </c>
      <c r="BK58" s="65">
        <f t="shared" si="92"/>
        <v>0</v>
      </c>
      <c r="BL58" s="66" t="str">
        <f t="shared" si="24"/>
        <v/>
      </c>
      <c r="BM58" s="65" t="str">
        <f t="shared" si="25"/>
        <v/>
      </c>
      <c r="BN58" s="65" t="str">
        <f t="shared" si="26"/>
        <v/>
      </c>
      <c r="BO58" s="65" t="str">
        <f t="shared" si="27"/>
        <v/>
      </c>
      <c r="BP58" s="68" t="str">
        <f>IF('Marks Entry'!AG58="","",'Marks Entry'!AG58)</f>
        <v/>
      </c>
      <c r="BQ58" s="68" t="str">
        <f>IF('Marks Entry'!AH58="","",'Marks Entry'!AH58)</f>
        <v/>
      </c>
      <c r="BR58" s="68" t="str">
        <f>IF('Marks Entry'!AI58="","",'Marks Entry'!AI58)</f>
        <v/>
      </c>
      <c r="BS58" s="514" t="str">
        <f t="shared" si="28"/>
        <v/>
      </c>
      <c r="BT58" s="68" t="str">
        <f>IF('Marks Entry'!AJ58="","",'Marks Entry'!AJ58)</f>
        <v/>
      </c>
      <c r="BU58" s="515" t="str">
        <f t="shared" si="29"/>
        <v/>
      </c>
      <c r="BV58" s="68" t="str">
        <f>IF('Marks Entry'!AK58="","",'Marks Entry'!AK58)</f>
        <v/>
      </c>
      <c r="BW58" s="96" t="str">
        <f t="shared" si="30"/>
        <v/>
      </c>
      <c r="BX58" s="65">
        <f t="shared" si="31"/>
        <v>0</v>
      </c>
      <c r="BY58" s="65">
        <f t="shared" si="32"/>
        <v>0</v>
      </c>
      <c r="BZ58" s="66" t="str">
        <f t="shared" si="33"/>
        <v/>
      </c>
      <c r="CA58" s="65" t="str">
        <f t="shared" si="34"/>
        <v/>
      </c>
      <c r="CB58" s="65" t="str">
        <f t="shared" si="35"/>
        <v/>
      </c>
      <c r="CC58" s="65" t="str">
        <f t="shared" si="36"/>
        <v/>
      </c>
      <c r="CD58" s="66">
        <f t="shared" si="161"/>
        <v>0</v>
      </c>
      <c r="CE58" s="68" t="str">
        <f>IF('Marks Entry'!AL58="","",'Marks Entry'!AL58)</f>
        <v/>
      </c>
      <c r="CF58" s="68" t="str">
        <f>IF('Marks Entry'!AM58="","",'Marks Entry'!AM58)</f>
        <v/>
      </c>
      <c r="CG58" s="68" t="str">
        <f>IF('Marks Entry'!AN58="","",'Marks Entry'!AN58)</f>
        <v/>
      </c>
      <c r="CH58" s="514" t="str">
        <f t="shared" si="37"/>
        <v/>
      </c>
      <c r="CI58" s="68" t="str">
        <f>IF('Marks Entry'!AO58="","",'Marks Entry'!AO58)</f>
        <v/>
      </c>
      <c r="CJ58" s="515" t="str">
        <f t="shared" si="38"/>
        <v/>
      </c>
      <c r="CK58" s="68" t="str">
        <f>IF('Marks Entry'!AP58="","",'Marks Entry'!AP58)</f>
        <v/>
      </c>
      <c r="CL58" s="96" t="str">
        <f t="shared" si="39"/>
        <v/>
      </c>
      <c r="CM58" s="65">
        <f t="shared" si="40"/>
        <v>0</v>
      </c>
      <c r="CN58" s="65">
        <f t="shared" si="41"/>
        <v>0</v>
      </c>
      <c r="CO58" s="66" t="str">
        <f t="shared" si="42"/>
        <v/>
      </c>
      <c r="CP58" s="65" t="str">
        <f t="shared" si="43"/>
        <v/>
      </c>
      <c r="CQ58" s="65" t="str">
        <f t="shared" si="44"/>
        <v/>
      </c>
      <c r="CR58" s="65" t="str">
        <f t="shared" si="45"/>
        <v/>
      </c>
      <c r="CS58" s="616"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8" t="str">
        <f>IF('School Profile'!$D$20="NO","",IF('Marks Entry'!AR58="","",'Marks Entry'!AR58))</f>
        <v/>
      </c>
      <c r="CU58" s="68" t="str">
        <f>IF('School Profile'!$D$20="NO","",IF('Marks Entry'!AS58="","",'Marks Entry'!AS58))</f>
        <v/>
      </c>
      <c r="CV58" s="68" t="str">
        <f>IF('School Profile'!$D$20="NO","",IF('Marks Entry'!AT58="","",'Marks Entry'!AT58))</f>
        <v/>
      </c>
      <c r="CW58" s="514" t="str">
        <f>IF('School Profile'!$D$20="NO","",IF(AND(CT58="",CU58="",CV58=""),"",SUM(CT58:CV58)))</f>
        <v/>
      </c>
      <c r="CX58" s="68" t="str">
        <f>IF('School Profile'!$D$20="NO","",IF('Marks Entry'!AU58="","",'Marks Entry'!AU58))</f>
        <v/>
      </c>
      <c r="CY58" s="68" t="str">
        <f>IF('School Profile'!$D$20="NO","",IF('Marks Entry'!AV58="","",'Marks Entry'!AV58))</f>
        <v/>
      </c>
      <c r="CZ58" s="515" t="str">
        <f>IF('School Profile'!$D$20="NO","",IF(AND(CX58="",CY58=""),"",SUM(CX58,CY58)))</f>
        <v/>
      </c>
      <c r="DA58" s="69" t="str">
        <f>IF('School Profile'!$D$20="NO","",IF(AND(CW58="",CZ58=""),"",SUM(CW58+CZ58)))</f>
        <v/>
      </c>
      <c r="DB58" s="68" t="str">
        <f>IF('School Profile'!$D$20="NO","",IF('Marks Entry'!AW58="","",'Marks Entry'!AW58))</f>
        <v/>
      </c>
      <c r="DC58" s="68" t="str">
        <f>IF('School Profile'!$D$20="NO","",IF('Marks Entry'!AX58="","",'Marks Entry'!AX58))</f>
        <v/>
      </c>
      <c r="DD58" s="515" t="str">
        <f>IF('School Profile'!$D$20="NO","",IF(AND(DB58="",DC58=""),"",SUM(DB58,DC58)))</f>
        <v/>
      </c>
      <c r="DE58" s="96" t="str">
        <f>IF('School Profile'!$D$20="NO","",IF(AND(DA58="",DD58=""),"",SUM(DA58,DD58)))</f>
        <v/>
      </c>
      <c r="DF58" s="532">
        <f t="shared" si="46"/>
        <v>0</v>
      </c>
      <c r="DG58" s="65">
        <f t="shared" si="47"/>
        <v>0</v>
      </c>
      <c r="DH58" s="66" t="str">
        <f t="shared" si="48"/>
        <v/>
      </c>
      <c r="DI58" s="65" t="str">
        <f t="shared" si="49"/>
        <v/>
      </c>
      <c r="DJ58" s="65" t="str">
        <f t="shared" si="50"/>
        <v/>
      </c>
      <c r="DK58" s="65" t="str">
        <f t="shared" si="51"/>
        <v/>
      </c>
      <c r="DL58" s="97" t="str">
        <f t="shared" si="94"/>
        <v/>
      </c>
      <c r="DM58" s="97" t="str">
        <f t="shared" si="95"/>
        <v/>
      </c>
      <c r="DN58" s="97" t="str">
        <f t="shared" si="96"/>
        <v/>
      </c>
      <c r="DO58" s="97" t="str">
        <f t="shared" si="97"/>
        <v/>
      </c>
      <c r="DP58" s="97" t="str">
        <f t="shared" si="98"/>
        <v/>
      </c>
      <c r="DQ58" s="97" t="str">
        <f t="shared" si="99"/>
        <v/>
      </c>
      <c r="DR58" s="97" t="str">
        <f t="shared" si="100"/>
        <v/>
      </c>
      <c r="DS58" s="98">
        <f t="shared" si="101"/>
        <v>0</v>
      </c>
      <c r="DT58" s="98">
        <f t="shared" si="102"/>
        <v>0</v>
      </c>
      <c r="DU58" s="98">
        <f t="shared" si="103"/>
        <v>0</v>
      </c>
      <c r="DV58" s="98">
        <f t="shared" si="104"/>
        <v>0</v>
      </c>
      <c r="DW58" s="98">
        <f t="shared" si="105"/>
        <v>0</v>
      </c>
      <c r="DX58" s="98" t="str">
        <f t="shared" si="106"/>
        <v/>
      </c>
      <c r="DY58" s="99" t="str">
        <f t="shared" si="107"/>
        <v/>
      </c>
      <c r="DZ58" s="74" t="str">
        <f>IF('Marks Entry'!AY58="","",'Marks Entry'!AY58)</f>
        <v/>
      </c>
      <c r="EA58" s="74" t="str">
        <f>IF('Marks Entry'!AZ58="","",'Marks Entry'!AZ58)</f>
        <v/>
      </c>
      <c r="EB58" s="74" t="str">
        <f>IF('Marks Entry'!BA58="","",'Marks Entry'!BA58)</f>
        <v/>
      </c>
      <c r="EC58" s="527" t="str">
        <f t="shared" si="52"/>
        <v/>
      </c>
      <c r="ED58" s="74" t="str">
        <f>IF('Marks Entry'!BB58="","",'Marks Entry'!BB58)</f>
        <v/>
      </c>
      <c r="EE58" s="528" t="str">
        <f t="shared" si="53"/>
        <v/>
      </c>
      <c r="EF58" s="74" t="str">
        <f>IF('Marks Entry'!BC58="","",'Marks Entry'!BC58)</f>
        <v/>
      </c>
      <c r="EG58" s="530" t="str">
        <f t="shared" si="54"/>
        <v/>
      </c>
      <c r="EH58" s="368" t="str">
        <f t="shared" si="108"/>
        <v/>
      </c>
      <c r="EI58" s="65">
        <f t="shared" si="109"/>
        <v>0</v>
      </c>
      <c r="EJ58" s="65">
        <f t="shared" si="110"/>
        <v>0</v>
      </c>
      <c r="EK58" s="66" t="str">
        <f t="shared" si="111"/>
        <v/>
      </c>
      <c r="EL58" s="74" t="str">
        <f>IF('Marks Entry'!BD58="","",'Marks Entry'!BD58)</f>
        <v/>
      </c>
      <c r="EM58" s="74" t="str">
        <f>IF('Marks Entry'!BE58="","",'Marks Entry'!BE58)</f>
        <v/>
      </c>
      <c r="EN58" s="74" t="str">
        <f>IF('Marks Entry'!BF58="","",'Marks Entry'!BF58)</f>
        <v/>
      </c>
      <c r="EO58" s="527" t="str">
        <f t="shared" si="55"/>
        <v/>
      </c>
      <c r="EP58" s="74" t="str">
        <f>IF('Marks Entry'!BG58="","",'Marks Entry'!BG58)</f>
        <v/>
      </c>
      <c r="EQ58" s="74" t="str">
        <f>IF('Marks Entry'!BH58="","",'Marks Entry'!BH58)</f>
        <v/>
      </c>
      <c r="ER58" s="528" t="str">
        <f t="shared" si="56"/>
        <v/>
      </c>
      <c r="ES58" s="529" t="str">
        <f t="shared" si="57"/>
        <v/>
      </c>
      <c r="ET58" s="74" t="str">
        <f>IF('Marks Entry'!BI58="","",'Marks Entry'!BI58)</f>
        <v/>
      </c>
      <c r="EU58" s="74" t="str">
        <f>IF('Marks Entry'!BJ58="","",'Marks Entry'!BJ58)</f>
        <v/>
      </c>
      <c r="EV58" s="528" t="str">
        <f t="shared" si="58"/>
        <v/>
      </c>
      <c r="EW58" s="530" t="str">
        <f t="shared" si="59"/>
        <v/>
      </c>
      <c r="EX58" s="368" t="str">
        <f t="shared" si="112"/>
        <v/>
      </c>
      <c r="EY58" s="65">
        <f t="shared" si="113"/>
        <v>0</v>
      </c>
      <c r="EZ58" s="65">
        <f t="shared" si="114"/>
        <v>0</v>
      </c>
      <c r="FA58" s="66" t="str">
        <f t="shared" si="115"/>
        <v/>
      </c>
      <c r="FB58" s="74" t="str">
        <f>IF('Marks Entry'!BK58="","",'Marks Entry'!BK58)</f>
        <v/>
      </c>
      <c r="FC58" s="74" t="str">
        <f>IF('Marks Entry'!BL58="","",'Marks Entry'!BL58)</f>
        <v/>
      </c>
      <c r="FD58" s="74" t="str">
        <f>IF('Marks Entry'!BM58="","",'Marks Entry'!BM58)</f>
        <v/>
      </c>
      <c r="FE58" s="74" t="str">
        <f>IF('Marks Entry'!BN58="","",'Marks Entry'!BN58)</f>
        <v/>
      </c>
      <c r="FF58" s="74" t="str">
        <f>IF('Marks Entry'!BO58="","",'Marks Entry'!BO58)</f>
        <v/>
      </c>
      <c r="FG58" s="74" t="str">
        <f>IF('Marks Entry'!BP58="","",'Marks Entry'!BP58)</f>
        <v/>
      </c>
      <c r="FH58" s="527" t="str">
        <f t="shared" si="60"/>
        <v/>
      </c>
      <c r="FI58" s="74" t="str">
        <f>IF('Marks Entry'!BQ58="","",'Marks Entry'!BQ58)</f>
        <v/>
      </c>
      <c r="FJ58" s="74" t="str">
        <f>IF('Marks Entry'!BR58="","",'Marks Entry'!BR58)</f>
        <v/>
      </c>
      <c r="FK58" s="528" t="str">
        <f t="shared" si="61"/>
        <v/>
      </c>
      <c r="FL58" s="529" t="str">
        <f t="shared" si="62"/>
        <v/>
      </c>
      <c r="FM58" s="74" t="str">
        <f>IF('Marks Entry'!BS58="","",'Marks Entry'!BS58)</f>
        <v/>
      </c>
      <c r="FN58" s="74" t="str">
        <f>IF('Marks Entry'!BT58="","",'Marks Entry'!BT58)</f>
        <v/>
      </c>
      <c r="FO58" s="528" t="str">
        <f t="shared" si="63"/>
        <v/>
      </c>
      <c r="FP58" s="530" t="str">
        <f t="shared" si="64"/>
        <v/>
      </c>
      <c r="FQ58" s="368" t="str">
        <f t="shared" si="116"/>
        <v/>
      </c>
      <c r="FR58" s="65">
        <f t="shared" si="117"/>
        <v>0</v>
      </c>
      <c r="FS58" s="65">
        <f t="shared" si="118"/>
        <v>0</v>
      </c>
      <c r="FT58" s="66" t="str">
        <f t="shared" si="119"/>
        <v/>
      </c>
      <c r="FU58" s="74" t="str">
        <f>IF('Marks Entry'!BU58="","",'Marks Entry'!BU58)</f>
        <v/>
      </c>
      <c r="FV58" s="74" t="str">
        <f>IF('Marks Entry'!BV58="","",'Marks Entry'!BV58)</f>
        <v/>
      </c>
      <c r="FW58" s="74" t="str">
        <f>IF('Marks Entry'!BW58="","",'Marks Entry'!BW58)</f>
        <v/>
      </c>
      <c r="FX58" s="75" t="str">
        <f t="shared" si="65"/>
        <v/>
      </c>
      <c r="FY58" s="368" t="str">
        <f t="shared" si="120"/>
        <v/>
      </c>
      <c r="FZ58" s="65">
        <f t="shared" si="121"/>
        <v>0</v>
      </c>
      <c r="GA58" s="66">
        <f t="shared" si="122"/>
        <v>0</v>
      </c>
      <c r="GB58" s="66" t="str">
        <f t="shared" si="123"/>
        <v/>
      </c>
      <c r="GC58" s="74" t="str">
        <f>IF('Marks Entry'!BX58="","",'Marks Entry'!BX58)</f>
        <v/>
      </c>
      <c r="GD58" s="74" t="str">
        <f>IF('Marks Entry'!BY58="","",'Marks Entry'!BY58)</f>
        <v/>
      </c>
      <c r="GE58" s="74" t="str">
        <f>IF('Marks Entry'!BZ58="","",'Marks Entry'!BZ58)</f>
        <v/>
      </c>
      <c r="GF58" s="75" t="str">
        <f t="shared" si="124"/>
        <v/>
      </c>
      <c r="GG58" s="368" t="str">
        <f t="shared" si="125"/>
        <v/>
      </c>
      <c r="GH58" s="65">
        <f t="shared" si="126"/>
        <v>0</v>
      </c>
      <c r="GI58" s="66">
        <f t="shared" si="127"/>
        <v>0</v>
      </c>
      <c r="GJ58" s="66" t="str">
        <f t="shared" si="128"/>
        <v/>
      </c>
      <c r="GK58" s="100" t="str">
        <f>IF(AND(F58="",B58=""),"",IF('Student DATA Entry'!M55="","",'Student DATA Entry'!M55))</f>
        <v/>
      </c>
      <c r="GL58" s="101" t="str">
        <f>IF(AND(B58="",F58=""),"",IF('Student DATA Entry'!N55="","",'Student DATA Entry'!N55))</f>
        <v/>
      </c>
      <c r="GM58" s="581" t="str">
        <f t="shared" si="129"/>
        <v/>
      </c>
      <c r="GN58" s="94" t="str">
        <f t="shared" si="130"/>
        <v/>
      </c>
      <c r="GO58" s="94" t="str">
        <f t="shared" si="131"/>
        <v/>
      </c>
      <c r="GP58" s="102" t="str">
        <f t="shared" si="162"/>
        <v/>
      </c>
      <c r="GQ58" s="94" t="str">
        <f t="shared" si="132"/>
        <v/>
      </c>
      <c r="GR58" s="103" t="str">
        <f t="shared" si="133"/>
        <v/>
      </c>
      <c r="GS58" s="102" t="str">
        <f t="shared" si="163"/>
        <v/>
      </c>
      <c r="GT58" s="104" t="str">
        <f t="shared" si="134"/>
        <v/>
      </c>
      <c r="GU58" s="94" t="str">
        <f>IF('Marks Entry'!V58=1,GT58,"")</f>
        <v/>
      </c>
      <c r="GV58" s="94" t="str">
        <f>IF('Marks Entry'!V58=2,GT58,"")</f>
        <v/>
      </c>
      <c r="GW58" s="94" t="str">
        <f>IF('Marks Entry'!V58=3,GT58,"")</f>
        <v/>
      </c>
      <c r="GX58" s="94" t="str">
        <f>IF('Marks Entry'!V58=4,GT58,"")</f>
        <v/>
      </c>
      <c r="GY58" s="94" t="str">
        <f>IF('Marks Entry'!V58=5,GT58,"")</f>
        <v/>
      </c>
      <c r="GZ58" s="94" t="str">
        <f t="shared" si="135"/>
        <v/>
      </c>
      <c r="HA58" s="105" t="str">
        <f t="shared" si="164"/>
        <v/>
      </c>
      <c r="HB58" s="94" t="str">
        <f t="shared" si="136"/>
        <v/>
      </c>
      <c r="HC58" s="94" t="str">
        <f t="shared" si="137"/>
        <v/>
      </c>
      <c r="HD58" s="105" t="str">
        <f t="shared" si="165"/>
        <v/>
      </c>
      <c r="HE58" s="94" t="str">
        <f t="shared" si="138"/>
        <v/>
      </c>
      <c r="HF58" s="94" t="str">
        <f t="shared" si="139"/>
        <v/>
      </c>
      <c r="HG58" s="105" t="str">
        <f t="shared" si="166"/>
        <v/>
      </c>
      <c r="HH58" s="94" t="str">
        <f t="shared" si="140"/>
        <v/>
      </c>
      <c r="HI58" s="94" t="str">
        <f t="shared" si="141"/>
        <v/>
      </c>
      <c r="HJ58" s="105" t="str">
        <f t="shared" si="167"/>
        <v/>
      </c>
      <c r="HK58" s="94" t="str">
        <f t="shared" si="142"/>
        <v/>
      </c>
      <c r="HL58" s="94" t="str">
        <f t="shared" si="143"/>
        <v/>
      </c>
      <c r="HM58" s="105" t="str">
        <f t="shared" si="168"/>
        <v/>
      </c>
      <c r="HN58" s="367" t="str">
        <f t="shared" si="144"/>
        <v xml:space="preserve">      </v>
      </c>
      <c r="HO58" s="418" t="str">
        <f t="shared" si="169"/>
        <v xml:space="preserve">      </v>
      </c>
      <c r="HP58" s="367" t="str">
        <f t="shared" si="146"/>
        <v xml:space="preserve">      </v>
      </c>
      <c r="HQ58" s="107" t="str">
        <f t="shared" si="147"/>
        <v xml:space="preserve">      </v>
      </c>
      <c r="HR58" s="366" t="str">
        <f t="shared" si="148"/>
        <v xml:space="preserve">      </v>
      </c>
      <c r="HS58" s="544" t="str">
        <f t="shared" si="170"/>
        <v/>
      </c>
      <c r="HT58" s="542" t="str">
        <f t="shared" si="149"/>
        <v/>
      </c>
      <c r="HU58" s="541" t="str">
        <f t="shared" si="160"/>
        <v/>
      </c>
      <c r="HV58" s="540" t="str">
        <f t="shared" si="150"/>
        <v/>
      </c>
      <c r="HW58" s="537" t="str">
        <f t="shared" si="151"/>
        <v/>
      </c>
      <c r="HX58" s="539" t="str">
        <f t="shared" si="152"/>
        <v/>
      </c>
      <c r="HY58" s="553" t="str">
        <f>IFERROR(IF(OR(HS58="SUPPLEMENTARY",HS58="RE-EXAM"),'Supp. Result Entry'!AQ56,""),"")</f>
        <v/>
      </c>
      <c r="HZ58" s="538" t="str">
        <f t="shared" si="153"/>
        <v/>
      </c>
      <c r="IA58" s="415" t="str">
        <f t="shared" si="154"/>
        <v/>
      </c>
      <c r="IB58" s="415" t="str">
        <f>IF(AND(HZ58="",IA58=""),"",IF(OR(HS58="SUPPLEMENTARY",HS58="RE-EXAM"),'Supp. Result Entry'!AQ56,HS58))</f>
        <v/>
      </c>
      <c r="IC58" s="87"/>
      <c r="IS58" s="109" t="str">
        <f>IF('Supp. Result Entry'!T56="","",'Supp. Result Entry'!$T$4)</f>
        <v/>
      </c>
      <c r="IT58" s="110" t="str">
        <f>IF('Supp. Result Entry'!W56="","",'Supp. Result Entry'!$W$4)</f>
        <v/>
      </c>
      <c r="IU58" s="110" t="str">
        <f>IF('Supp. Result Entry'!Z56="","",'Supp. Result Entry'!$Z$4)</f>
        <v/>
      </c>
      <c r="IV58" s="110" t="str">
        <f>IF('Supp. Result Entry'!AC56="","",'Supp. Result Entry'!$AC$4)</f>
        <v/>
      </c>
      <c r="IW58" s="110" t="str">
        <f>IF('Supp. Result Entry'!AF56="","",'Supp. Result Entry'!$AF$4)</f>
        <v/>
      </c>
      <c r="IX58" s="110" t="str">
        <f>IF('Supp. Result Entry'!AI56="","",'Supp. Result Entry'!$AI$4)</f>
        <v/>
      </c>
      <c r="IY58" s="110" t="str">
        <f>IF('Supp. Result Entry'!AI56="","",'Supp. Result Entry'!$AL$4)</f>
        <v/>
      </c>
      <c r="IZ58" s="110" t="str">
        <f>IF('Supp. Result Entry'!U56="","",'Supp. Result Entry'!U56)</f>
        <v/>
      </c>
      <c r="JA58" s="110" t="str">
        <f>IF('Supp. Result Entry'!X56="","",'Supp. Result Entry'!X56)</f>
        <v/>
      </c>
      <c r="JB58" s="110" t="str">
        <f>IF('Supp. Result Entry'!AA56="","",'Supp. Result Entry'!AA56)</f>
        <v/>
      </c>
      <c r="JC58" s="110" t="str">
        <f>IF('Supp. Result Entry'!AD56="","",'Supp. Result Entry'!AD56)</f>
        <v/>
      </c>
      <c r="JD58" s="110" t="str">
        <f>IF('Supp. Result Entry'!AG56="","",'Supp. Result Entry'!AG56)</f>
        <v/>
      </c>
      <c r="JE58" s="110" t="str">
        <f>IF('Supp. Result Entry'!AJ56="","",'Supp. Result Entry'!AJ56)</f>
        <v/>
      </c>
      <c r="JF58" s="110" t="str">
        <f>IF('Supp. Result Entry'!AM56="","",'Supp. Result Entry'!AM56)</f>
        <v/>
      </c>
      <c r="JG58" s="110" t="str">
        <f>IF('Supp. Result Entry'!V56="","",'Supp. Result Entry'!V56)</f>
        <v/>
      </c>
      <c r="JH58" s="110" t="str">
        <f>IF('Supp. Result Entry'!Y56="","",'Supp. Result Entry'!Y56)</f>
        <v/>
      </c>
      <c r="JI58" s="110" t="str">
        <f>IF('Supp. Result Entry'!AB56="","",'Supp. Result Entry'!AB56)</f>
        <v/>
      </c>
      <c r="JJ58" s="110" t="str">
        <f>IF('Supp. Result Entry'!AE56="","",'Supp. Result Entry'!AE56)</f>
        <v/>
      </c>
      <c r="JK58" s="110" t="str">
        <f>IF('Supp. Result Entry'!AH56="","",'Supp. Result Entry'!AH56)</f>
        <v/>
      </c>
      <c r="JL58" s="110" t="str">
        <f>IF('Supp. Result Entry'!AK56="","",'Supp. Result Entry'!AK56)</f>
        <v/>
      </c>
      <c r="JM58" s="110" t="str">
        <f>IF('Supp. Result Entry'!AN56="","",'Supp. Result Entry'!AN56)</f>
        <v/>
      </c>
      <c r="JN58" s="110">
        <f>COUNTIF('Supp. Result Entry'!K56:Q56,"S")</f>
        <v>0</v>
      </c>
      <c r="JO58" s="110">
        <f t="shared" si="155"/>
        <v>0</v>
      </c>
      <c r="JP58" s="110">
        <f t="shared" si="156"/>
        <v>0</v>
      </c>
      <c r="JQ58" s="110" t="str">
        <f t="shared" si="75"/>
        <v/>
      </c>
      <c r="JR58" s="110" t="str">
        <f t="shared" si="76"/>
        <v/>
      </c>
      <c r="JS58" s="110" t="str">
        <f t="shared" si="77"/>
        <v/>
      </c>
      <c r="JT58" s="110" t="str">
        <f t="shared" si="78"/>
        <v/>
      </c>
      <c r="JU58" s="110" t="str">
        <f t="shared" si="79"/>
        <v/>
      </c>
      <c r="JV58" s="110" t="str">
        <f t="shared" si="80"/>
        <v/>
      </c>
      <c r="JW58" s="110" t="str">
        <f t="shared" si="81"/>
        <v/>
      </c>
      <c r="JX58" s="110" t="str">
        <f t="shared" si="157"/>
        <v/>
      </c>
      <c r="JY58" s="110" t="str">
        <f t="shared" si="158"/>
        <v/>
      </c>
      <c r="JZ58" s="110" t="str">
        <f t="shared" si="82"/>
        <v/>
      </c>
      <c r="KA58" s="108" t="str">
        <f t="shared" si="159"/>
        <v/>
      </c>
    </row>
    <row r="59" spans="1:287" s="108" customFormat="1" ht="21.95" customHeight="1">
      <c r="A59" s="89">
        <v>53</v>
      </c>
      <c r="B59" s="90" t="str">
        <f>IF('Marks Entry'!B59="","",'Marks Entry'!B59)</f>
        <v/>
      </c>
      <c r="C59" s="94" t="str">
        <f>IF('Marks Entry'!D59="","",'Marks Entry'!D59)</f>
        <v/>
      </c>
      <c r="D59" s="91" t="str">
        <f>IF('Marks Entry'!E59="","",'Marks Entry'!E59)</f>
        <v/>
      </c>
      <c r="E59" s="92" t="str">
        <f>IF('Marks Entry'!F59="","",'Marks Entry'!F59)</f>
        <v/>
      </c>
      <c r="F59" s="93" t="str">
        <f>IF('Marks Entry'!G59="","",'Marks Entry'!G59)</f>
        <v/>
      </c>
      <c r="G59" s="93" t="str">
        <f>IF('Marks Entry'!H59="","",'Marks Entry'!H59)</f>
        <v/>
      </c>
      <c r="H59" s="93" t="str">
        <f>IF('Marks Entry'!I59="","",'Marks Entry'!I59)</f>
        <v/>
      </c>
      <c r="I59" s="94" t="str">
        <f>IF('Marks Entry'!J59="","",'Marks Entry'!J59)</f>
        <v/>
      </c>
      <c r="J59" s="95" t="str">
        <f>IF('Marks Entry'!K59="","",'Marks Entry'!K59)</f>
        <v/>
      </c>
      <c r="K59" s="68" t="str">
        <f>IF('Marks Entry'!L59="","",'Marks Entry'!L59)</f>
        <v/>
      </c>
      <c r="L59" s="68" t="str">
        <f>IF('Marks Entry'!M59="","",'Marks Entry'!M59)</f>
        <v/>
      </c>
      <c r="M59" s="68" t="str">
        <f>IF('Marks Entry'!N59="","",'Marks Entry'!N59)</f>
        <v/>
      </c>
      <c r="N59" s="514" t="str">
        <f t="shared" si="83"/>
        <v/>
      </c>
      <c r="O59" s="68" t="str">
        <f>IF('Marks Entry'!O59="","",'Marks Entry'!O59)</f>
        <v/>
      </c>
      <c r="P59" s="515" t="str">
        <f t="shared" si="84"/>
        <v/>
      </c>
      <c r="Q59" s="68" t="str">
        <f>IF('Marks Entry'!P59="","",'Marks Entry'!P59)</f>
        <v/>
      </c>
      <c r="R59" s="96" t="str">
        <f t="shared" si="85"/>
        <v/>
      </c>
      <c r="S59" s="65">
        <f t="shared" si="86"/>
        <v>0</v>
      </c>
      <c r="T59" s="65">
        <f t="shared" si="87"/>
        <v>0</v>
      </c>
      <c r="U59" s="66" t="str">
        <f t="shared" si="88"/>
        <v/>
      </c>
      <c r="V59" s="65" t="str">
        <f t="shared" si="89"/>
        <v/>
      </c>
      <c r="W59" s="65" t="str">
        <f t="shared" si="90"/>
        <v/>
      </c>
      <c r="X59" s="65" t="str">
        <f t="shared" si="91"/>
        <v/>
      </c>
      <c r="Y59" s="68" t="str">
        <f>IF('Marks Entry'!Q59="","",'Marks Entry'!Q59)</f>
        <v/>
      </c>
      <c r="Z59" s="68" t="str">
        <f>IF('Marks Entry'!R59="","",'Marks Entry'!R59)</f>
        <v/>
      </c>
      <c r="AA59" s="68" t="str">
        <f>IF('Marks Entry'!S59="","",'Marks Entry'!S59)</f>
        <v/>
      </c>
      <c r="AB59" s="514" t="str">
        <f t="shared" si="2"/>
        <v/>
      </c>
      <c r="AC59" s="68" t="str">
        <f>IF('Marks Entry'!T59="","",'Marks Entry'!T59)</f>
        <v/>
      </c>
      <c r="AD59" s="515" t="str">
        <f t="shared" si="3"/>
        <v/>
      </c>
      <c r="AE59" s="68" t="str">
        <f>IF('Marks Entry'!U59="","",'Marks Entry'!U59)</f>
        <v/>
      </c>
      <c r="AF59" s="96" t="str">
        <f t="shared" si="4"/>
        <v/>
      </c>
      <c r="AG59" s="65">
        <f t="shared" si="5"/>
        <v>0</v>
      </c>
      <c r="AH59" s="65">
        <f t="shared" si="6"/>
        <v>0</v>
      </c>
      <c r="AI59" s="66" t="str">
        <f t="shared" si="7"/>
        <v/>
      </c>
      <c r="AJ59" s="65" t="str">
        <f t="shared" si="8"/>
        <v/>
      </c>
      <c r="AK59" s="65" t="str">
        <f t="shared" si="9"/>
        <v/>
      </c>
      <c r="AL59" s="65" t="str">
        <f t="shared" si="10"/>
        <v/>
      </c>
      <c r="AM59" s="524" t="str">
        <f>IF('Marks Entry'!V59="","",IF('Marks Entry'!V59=1,'School Profile'!$I$9,IF('Marks Entry'!V59=2,'School Profile'!$I$10,IF('Marks Entry'!V59=3,'School Profile'!$I$11,IF('Marks Entry'!V59=4,'School Profile'!$I$12,IF('Marks Entry'!V59=5,'School Profile'!$I$13,IF('Marks Entry'!V59=6,'School Profile'!$I$14,"")))))))</f>
        <v/>
      </c>
      <c r="AN59" s="68" t="str">
        <f>IF('Marks Entry'!W59="","",'Marks Entry'!W59)</f>
        <v/>
      </c>
      <c r="AO59" s="68" t="str">
        <f>IF('Marks Entry'!X59="","",'Marks Entry'!X59)</f>
        <v/>
      </c>
      <c r="AP59" s="68" t="str">
        <f>IF('Marks Entry'!Y59="","",'Marks Entry'!Y59)</f>
        <v/>
      </c>
      <c r="AQ59" s="514" t="str">
        <f t="shared" si="11"/>
        <v/>
      </c>
      <c r="AR59" s="68" t="str">
        <f>IF('Marks Entry'!Z59="","",'Marks Entry'!Z59)</f>
        <v/>
      </c>
      <c r="AS59" s="515" t="str">
        <f t="shared" si="12"/>
        <v/>
      </c>
      <c r="AT59" s="68" t="str">
        <f>IF('Marks Entry'!AA59="","",'Marks Entry'!AA59)</f>
        <v/>
      </c>
      <c r="AU59" s="96" t="str">
        <f t="shared" si="13"/>
        <v/>
      </c>
      <c r="AV59" s="65">
        <f t="shared" si="14"/>
        <v>0</v>
      </c>
      <c r="AW59" s="65">
        <f t="shared" si="15"/>
        <v>0</v>
      </c>
      <c r="AX59" s="66" t="str">
        <f t="shared" si="16"/>
        <v/>
      </c>
      <c r="AY59" s="65" t="str">
        <f t="shared" si="17"/>
        <v/>
      </c>
      <c r="AZ59" s="65" t="str">
        <f t="shared" si="18"/>
        <v/>
      </c>
      <c r="BA59" s="65" t="str">
        <f t="shared" si="19"/>
        <v/>
      </c>
      <c r="BB59" s="68" t="str">
        <f>IF('Marks Entry'!AB59="","",'Marks Entry'!AB59)</f>
        <v/>
      </c>
      <c r="BC59" s="68" t="str">
        <f>IF('Marks Entry'!AC59="","",'Marks Entry'!AC59)</f>
        <v/>
      </c>
      <c r="BD59" s="68" t="str">
        <f>IF('Marks Entry'!AD59="","",'Marks Entry'!AD59)</f>
        <v/>
      </c>
      <c r="BE59" s="514" t="str">
        <f t="shared" si="20"/>
        <v/>
      </c>
      <c r="BF59" s="68" t="str">
        <f>IF('Marks Entry'!AE59="","",'Marks Entry'!AE59)</f>
        <v/>
      </c>
      <c r="BG59" s="515" t="str">
        <f t="shared" si="21"/>
        <v/>
      </c>
      <c r="BH59" s="68" t="str">
        <f>IF('Marks Entry'!AF59="","",'Marks Entry'!AF59)</f>
        <v/>
      </c>
      <c r="BI59" s="96" t="str">
        <f t="shared" si="22"/>
        <v/>
      </c>
      <c r="BJ59" s="65">
        <f t="shared" si="23"/>
        <v>0</v>
      </c>
      <c r="BK59" s="65">
        <f t="shared" si="92"/>
        <v>0</v>
      </c>
      <c r="BL59" s="66" t="str">
        <f t="shared" si="24"/>
        <v/>
      </c>
      <c r="BM59" s="65" t="str">
        <f t="shared" si="25"/>
        <v/>
      </c>
      <c r="BN59" s="65" t="str">
        <f t="shared" si="26"/>
        <v/>
      </c>
      <c r="BO59" s="65" t="str">
        <f t="shared" si="27"/>
        <v/>
      </c>
      <c r="BP59" s="68" t="str">
        <f>IF('Marks Entry'!AG59="","",'Marks Entry'!AG59)</f>
        <v/>
      </c>
      <c r="BQ59" s="68" t="str">
        <f>IF('Marks Entry'!AH59="","",'Marks Entry'!AH59)</f>
        <v/>
      </c>
      <c r="BR59" s="68" t="str">
        <f>IF('Marks Entry'!AI59="","",'Marks Entry'!AI59)</f>
        <v/>
      </c>
      <c r="BS59" s="514" t="str">
        <f t="shared" si="28"/>
        <v/>
      </c>
      <c r="BT59" s="68" t="str">
        <f>IF('Marks Entry'!AJ59="","",'Marks Entry'!AJ59)</f>
        <v/>
      </c>
      <c r="BU59" s="515" t="str">
        <f t="shared" si="29"/>
        <v/>
      </c>
      <c r="BV59" s="68" t="str">
        <f>IF('Marks Entry'!AK59="","",'Marks Entry'!AK59)</f>
        <v/>
      </c>
      <c r="BW59" s="96" t="str">
        <f t="shared" si="30"/>
        <v/>
      </c>
      <c r="BX59" s="65">
        <f t="shared" si="31"/>
        <v>0</v>
      </c>
      <c r="BY59" s="65">
        <f t="shared" si="32"/>
        <v>0</v>
      </c>
      <c r="BZ59" s="66" t="str">
        <f t="shared" si="33"/>
        <v/>
      </c>
      <c r="CA59" s="65" t="str">
        <f t="shared" si="34"/>
        <v/>
      </c>
      <c r="CB59" s="65" t="str">
        <f t="shared" si="35"/>
        <v/>
      </c>
      <c r="CC59" s="65" t="str">
        <f t="shared" si="36"/>
        <v/>
      </c>
      <c r="CD59" s="66">
        <f t="shared" si="161"/>
        <v>0</v>
      </c>
      <c r="CE59" s="68" t="str">
        <f>IF('Marks Entry'!AL59="","",'Marks Entry'!AL59)</f>
        <v/>
      </c>
      <c r="CF59" s="68" t="str">
        <f>IF('Marks Entry'!AM59="","",'Marks Entry'!AM59)</f>
        <v/>
      </c>
      <c r="CG59" s="68" t="str">
        <f>IF('Marks Entry'!AN59="","",'Marks Entry'!AN59)</f>
        <v/>
      </c>
      <c r="CH59" s="514" t="str">
        <f t="shared" si="37"/>
        <v/>
      </c>
      <c r="CI59" s="68" t="str">
        <f>IF('Marks Entry'!AO59="","",'Marks Entry'!AO59)</f>
        <v/>
      </c>
      <c r="CJ59" s="515" t="str">
        <f t="shared" si="38"/>
        <v/>
      </c>
      <c r="CK59" s="68" t="str">
        <f>IF('Marks Entry'!AP59="","",'Marks Entry'!AP59)</f>
        <v/>
      </c>
      <c r="CL59" s="96" t="str">
        <f t="shared" si="39"/>
        <v/>
      </c>
      <c r="CM59" s="65">
        <f t="shared" si="40"/>
        <v>0</v>
      </c>
      <c r="CN59" s="65">
        <f t="shared" si="41"/>
        <v>0</v>
      </c>
      <c r="CO59" s="66" t="str">
        <f t="shared" si="42"/>
        <v/>
      </c>
      <c r="CP59" s="65" t="str">
        <f t="shared" si="43"/>
        <v/>
      </c>
      <c r="CQ59" s="65" t="str">
        <f t="shared" si="44"/>
        <v/>
      </c>
      <c r="CR59" s="65" t="str">
        <f t="shared" si="45"/>
        <v/>
      </c>
      <c r="CS59" s="616"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8" t="str">
        <f>IF('School Profile'!$D$20="NO","",IF('Marks Entry'!AR59="","",'Marks Entry'!AR59))</f>
        <v/>
      </c>
      <c r="CU59" s="68" t="str">
        <f>IF('School Profile'!$D$20="NO","",IF('Marks Entry'!AS59="","",'Marks Entry'!AS59))</f>
        <v/>
      </c>
      <c r="CV59" s="68" t="str">
        <f>IF('School Profile'!$D$20="NO","",IF('Marks Entry'!AT59="","",'Marks Entry'!AT59))</f>
        <v/>
      </c>
      <c r="CW59" s="514" t="str">
        <f>IF('School Profile'!$D$20="NO","",IF(AND(CT59="",CU59="",CV59=""),"",SUM(CT59:CV59)))</f>
        <v/>
      </c>
      <c r="CX59" s="68" t="str">
        <f>IF('School Profile'!$D$20="NO","",IF('Marks Entry'!AU59="","",'Marks Entry'!AU59))</f>
        <v/>
      </c>
      <c r="CY59" s="68" t="str">
        <f>IF('School Profile'!$D$20="NO","",IF('Marks Entry'!AV59="","",'Marks Entry'!AV59))</f>
        <v/>
      </c>
      <c r="CZ59" s="515" t="str">
        <f>IF('School Profile'!$D$20="NO","",IF(AND(CX59="",CY59=""),"",SUM(CX59,CY59)))</f>
        <v/>
      </c>
      <c r="DA59" s="69" t="str">
        <f>IF('School Profile'!$D$20="NO","",IF(AND(CW59="",CZ59=""),"",SUM(CW59+CZ59)))</f>
        <v/>
      </c>
      <c r="DB59" s="68" t="str">
        <f>IF('School Profile'!$D$20="NO","",IF('Marks Entry'!AW59="","",'Marks Entry'!AW59))</f>
        <v/>
      </c>
      <c r="DC59" s="68" t="str">
        <f>IF('School Profile'!$D$20="NO","",IF('Marks Entry'!AX59="","",'Marks Entry'!AX59))</f>
        <v/>
      </c>
      <c r="DD59" s="515" t="str">
        <f>IF('School Profile'!$D$20="NO","",IF(AND(DB59="",DC59=""),"",SUM(DB59,DC59)))</f>
        <v/>
      </c>
      <c r="DE59" s="96" t="str">
        <f>IF('School Profile'!$D$20="NO","",IF(AND(DA59="",DD59=""),"",SUM(DA59,DD59)))</f>
        <v/>
      </c>
      <c r="DF59" s="532">
        <f t="shared" si="46"/>
        <v>0</v>
      </c>
      <c r="DG59" s="65">
        <f t="shared" si="47"/>
        <v>0</v>
      </c>
      <c r="DH59" s="66" t="str">
        <f t="shared" si="48"/>
        <v/>
      </c>
      <c r="DI59" s="65" t="str">
        <f t="shared" si="49"/>
        <v/>
      </c>
      <c r="DJ59" s="65" t="str">
        <f t="shared" si="50"/>
        <v/>
      </c>
      <c r="DK59" s="65" t="str">
        <f t="shared" si="51"/>
        <v/>
      </c>
      <c r="DL59" s="97" t="str">
        <f t="shared" si="94"/>
        <v/>
      </c>
      <c r="DM59" s="97" t="str">
        <f t="shared" si="95"/>
        <v/>
      </c>
      <c r="DN59" s="97" t="str">
        <f t="shared" si="96"/>
        <v/>
      </c>
      <c r="DO59" s="97" t="str">
        <f t="shared" si="97"/>
        <v/>
      </c>
      <c r="DP59" s="97" t="str">
        <f t="shared" si="98"/>
        <v/>
      </c>
      <c r="DQ59" s="97" t="str">
        <f t="shared" si="99"/>
        <v/>
      </c>
      <c r="DR59" s="97" t="str">
        <f t="shared" si="100"/>
        <v/>
      </c>
      <c r="DS59" s="98">
        <f t="shared" si="101"/>
        <v>0</v>
      </c>
      <c r="DT59" s="98">
        <f t="shared" si="102"/>
        <v>0</v>
      </c>
      <c r="DU59" s="98">
        <f t="shared" si="103"/>
        <v>0</v>
      </c>
      <c r="DV59" s="98">
        <f t="shared" si="104"/>
        <v>0</v>
      </c>
      <c r="DW59" s="98">
        <f t="shared" si="105"/>
        <v>0</v>
      </c>
      <c r="DX59" s="98" t="str">
        <f t="shared" si="106"/>
        <v/>
      </c>
      <c r="DY59" s="99" t="str">
        <f t="shared" si="107"/>
        <v/>
      </c>
      <c r="DZ59" s="74" t="str">
        <f>IF('Marks Entry'!AY59="","",'Marks Entry'!AY59)</f>
        <v/>
      </c>
      <c r="EA59" s="74" t="str">
        <f>IF('Marks Entry'!AZ59="","",'Marks Entry'!AZ59)</f>
        <v/>
      </c>
      <c r="EB59" s="74" t="str">
        <f>IF('Marks Entry'!BA59="","",'Marks Entry'!BA59)</f>
        <v/>
      </c>
      <c r="EC59" s="527" t="str">
        <f t="shared" si="52"/>
        <v/>
      </c>
      <c r="ED59" s="74" t="str">
        <f>IF('Marks Entry'!BB59="","",'Marks Entry'!BB59)</f>
        <v/>
      </c>
      <c r="EE59" s="528" t="str">
        <f t="shared" si="53"/>
        <v/>
      </c>
      <c r="EF59" s="74" t="str">
        <f>IF('Marks Entry'!BC59="","",'Marks Entry'!BC59)</f>
        <v/>
      </c>
      <c r="EG59" s="530" t="str">
        <f t="shared" si="54"/>
        <v/>
      </c>
      <c r="EH59" s="368" t="str">
        <f t="shared" si="108"/>
        <v/>
      </c>
      <c r="EI59" s="65">
        <f t="shared" si="109"/>
        <v>0</v>
      </c>
      <c r="EJ59" s="65">
        <f t="shared" si="110"/>
        <v>0</v>
      </c>
      <c r="EK59" s="66" t="str">
        <f t="shared" si="111"/>
        <v/>
      </c>
      <c r="EL59" s="74" t="str">
        <f>IF('Marks Entry'!BD59="","",'Marks Entry'!BD59)</f>
        <v/>
      </c>
      <c r="EM59" s="74" t="str">
        <f>IF('Marks Entry'!BE59="","",'Marks Entry'!BE59)</f>
        <v/>
      </c>
      <c r="EN59" s="74" t="str">
        <f>IF('Marks Entry'!BF59="","",'Marks Entry'!BF59)</f>
        <v/>
      </c>
      <c r="EO59" s="527" t="str">
        <f t="shared" si="55"/>
        <v/>
      </c>
      <c r="EP59" s="74" t="str">
        <f>IF('Marks Entry'!BG59="","",'Marks Entry'!BG59)</f>
        <v/>
      </c>
      <c r="EQ59" s="74" t="str">
        <f>IF('Marks Entry'!BH59="","",'Marks Entry'!BH59)</f>
        <v/>
      </c>
      <c r="ER59" s="528" t="str">
        <f t="shared" si="56"/>
        <v/>
      </c>
      <c r="ES59" s="529" t="str">
        <f t="shared" si="57"/>
        <v/>
      </c>
      <c r="ET59" s="74" t="str">
        <f>IF('Marks Entry'!BI59="","",'Marks Entry'!BI59)</f>
        <v/>
      </c>
      <c r="EU59" s="74" t="str">
        <f>IF('Marks Entry'!BJ59="","",'Marks Entry'!BJ59)</f>
        <v/>
      </c>
      <c r="EV59" s="528" t="str">
        <f t="shared" si="58"/>
        <v/>
      </c>
      <c r="EW59" s="530" t="str">
        <f t="shared" si="59"/>
        <v/>
      </c>
      <c r="EX59" s="368" t="str">
        <f t="shared" si="112"/>
        <v/>
      </c>
      <c r="EY59" s="65">
        <f t="shared" si="113"/>
        <v>0</v>
      </c>
      <c r="EZ59" s="65">
        <f t="shared" si="114"/>
        <v>0</v>
      </c>
      <c r="FA59" s="66" t="str">
        <f t="shared" si="115"/>
        <v/>
      </c>
      <c r="FB59" s="74" t="str">
        <f>IF('Marks Entry'!BK59="","",'Marks Entry'!BK59)</f>
        <v/>
      </c>
      <c r="FC59" s="74" t="str">
        <f>IF('Marks Entry'!BL59="","",'Marks Entry'!BL59)</f>
        <v/>
      </c>
      <c r="FD59" s="74" t="str">
        <f>IF('Marks Entry'!BM59="","",'Marks Entry'!BM59)</f>
        <v/>
      </c>
      <c r="FE59" s="74" t="str">
        <f>IF('Marks Entry'!BN59="","",'Marks Entry'!BN59)</f>
        <v/>
      </c>
      <c r="FF59" s="74" t="str">
        <f>IF('Marks Entry'!BO59="","",'Marks Entry'!BO59)</f>
        <v/>
      </c>
      <c r="FG59" s="74" t="str">
        <f>IF('Marks Entry'!BP59="","",'Marks Entry'!BP59)</f>
        <v/>
      </c>
      <c r="FH59" s="527" t="str">
        <f t="shared" si="60"/>
        <v/>
      </c>
      <c r="FI59" s="74" t="str">
        <f>IF('Marks Entry'!BQ59="","",'Marks Entry'!BQ59)</f>
        <v/>
      </c>
      <c r="FJ59" s="74" t="str">
        <f>IF('Marks Entry'!BR59="","",'Marks Entry'!BR59)</f>
        <v/>
      </c>
      <c r="FK59" s="528" t="str">
        <f t="shared" si="61"/>
        <v/>
      </c>
      <c r="FL59" s="529" t="str">
        <f t="shared" si="62"/>
        <v/>
      </c>
      <c r="FM59" s="74" t="str">
        <f>IF('Marks Entry'!BS59="","",'Marks Entry'!BS59)</f>
        <v/>
      </c>
      <c r="FN59" s="74" t="str">
        <f>IF('Marks Entry'!BT59="","",'Marks Entry'!BT59)</f>
        <v/>
      </c>
      <c r="FO59" s="528" t="str">
        <f t="shared" si="63"/>
        <v/>
      </c>
      <c r="FP59" s="530" t="str">
        <f t="shared" si="64"/>
        <v/>
      </c>
      <c r="FQ59" s="368" t="str">
        <f t="shared" si="116"/>
        <v/>
      </c>
      <c r="FR59" s="65">
        <f t="shared" si="117"/>
        <v>0</v>
      </c>
      <c r="FS59" s="65">
        <f t="shared" si="118"/>
        <v>0</v>
      </c>
      <c r="FT59" s="66" t="str">
        <f t="shared" si="119"/>
        <v/>
      </c>
      <c r="FU59" s="74" t="str">
        <f>IF('Marks Entry'!BU59="","",'Marks Entry'!BU59)</f>
        <v/>
      </c>
      <c r="FV59" s="74" t="str">
        <f>IF('Marks Entry'!BV59="","",'Marks Entry'!BV59)</f>
        <v/>
      </c>
      <c r="FW59" s="74" t="str">
        <f>IF('Marks Entry'!BW59="","",'Marks Entry'!BW59)</f>
        <v/>
      </c>
      <c r="FX59" s="75" t="str">
        <f t="shared" si="65"/>
        <v/>
      </c>
      <c r="FY59" s="368" t="str">
        <f t="shared" si="120"/>
        <v/>
      </c>
      <c r="FZ59" s="65">
        <f t="shared" si="121"/>
        <v>0</v>
      </c>
      <c r="GA59" s="66">
        <f t="shared" si="122"/>
        <v>0</v>
      </c>
      <c r="GB59" s="66" t="str">
        <f t="shared" si="123"/>
        <v/>
      </c>
      <c r="GC59" s="74" t="str">
        <f>IF('Marks Entry'!BX59="","",'Marks Entry'!BX59)</f>
        <v/>
      </c>
      <c r="GD59" s="74" t="str">
        <f>IF('Marks Entry'!BY59="","",'Marks Entry'!BY59)</f>
        <v/>
      </c>
      <c r="GE59" s="74" t="str">
        <f>IF('Marks Entry'!BZ59="","",'Marks Entry'!BZ59)</f>
        <v/>
      </c>
      <c r="GF59" s="75" t="str">
        <f t="shared" si="124"/>
        <v/>
      </c>
      <c r="GG59" s="368" t="str">
        <f t="shared" si="125"/>
        <v/>
      </c>
      <c r="GH59" s="65">
        <f t="shared" si="126"/>
        <v>0</v>
      </c>
      <c r="GI59" s="66">
        <f t="shared" si="127"/>
        <v>0</v>
      </c>
      <c r="GJ59" s="66" t="str">
        <f t="shared" si="128"/>
        <v/>
      </c>
      <c r="GK59" s="100" t="str">
        <f>IF(AND(F59="",B59=""),"",IF('Student DATA Entry'!M56="","",'Student DATA Entry'!M56))</f>
        <v/>
      </c>
      <c r="GL59" s="101" t="str">
        <f>IF(AND(B59="",F59=""),"",IF('Student DATA Entry'!N56="","",'Student DATA Entry'!N56))</f>
        <v/>
      </c>
      <c r="GM59" s="581" t="str">
        <f t="shared" si="129"/>
        <v/>
      </c>
      <c r="GN59" s="94" t="str">
        <f t="shared" si="130"/>
        <v/>
      </c>
      <c r="GO59" s="94" t="str">
        <f t="shared" si="131"/>
        <v/>
      </c>
      <c r="GP59" s="102" t="str">
        <f t="shared" si="162"/>
        <v/>
      </c>
      <c r="GQ59" s="94" t="str">
        <f t="shared" si="132"/>
        <v/>
      </c>
      <c r="GR59" s="103" t="str">
        <f t="shared" si="133"/>
        <v/>
      </c>
      <c r="GS59" s="102" t="str">
        <f t="shared" si="163"/>
        <v/>
      </c>
      <c r="GT59" s="104" t="str">
        <f t="shared" si="134"/>
        <v/>
      </c>
      <c r="GU59" s="94" t="str">
        <f>IF('Marks Entry'!V59=1,GT59,"")</f>
        <v/>
      </c>
      <c r="GV59" s="94" t="str">
        <f>IF('Marks Entry'!V59=2,GT59,"")</f>
        <v/>
      </c>
      <c r="GW59" s="94" t="str">
        <f>IF('Marks Entry'!V59=3,GT59,"")</f>
        <v/>
      </c>
      <c r="GX59" s="94" t="str">
        <f>IF('Marks Entry'!V59=4,GT59,"")</f>
        <v/>
      </c>
      <c r="GY59" s="94" t="str">
        <f>IF('Marks Entry'!V59=5,GT59,"")</f>
        <v/>
      </c>
      <c r="GZ59" s="94" t="str">
        <f t="shared" si="135"/>
        <v/>
      </c>
      <c r="HA59" s="105" t="str">
        <f t="shared" si="164"/>
        <v/>
      </c>
      <c r="HB59" s="94" t="str">
        <f t="shared" si="136"/>
        <v/>
      </c>
      <c r="HC59" s="94" t="str">
        <f t="shared" si="137"/>
        <v/>
      </c>
      <c r="HD59" s="105" t="str">
        <f t="shared" si="165"/>
        <v/>
      </c>
      <c r="HE59" s="94" t="str">
        <f t="shared" si="138"/>
        <v/>
      </c>
      <c r="HF59" s="94" t="str">
        <f t="shared" si="139"/>
        <v/>
      </c>
      <c r="HG59" s="105" t="str">
        <f t="shared" si="166"/>
        <v/>
      </c>
      <c r="HH59" s="94" t="str">
        <f t="shared" si="140"/>
        <v/>
      </c>
      <c r="HI59" s="94" t="str">
        <f t="shared" si="141"/>
        <v/>
      </c>
      <c r="HJ59" s="105" t="str">
        <f t="shared" si="167"/>
        <v/>
      </c>
      <c r="HK59" s="94" t="str">
        <f t="shared" si="142"/>
        <v/>
      </c>
      <c r="HL59" s="94" t="str">
        <f t="shared" si="143"/>
        <v/>
      </c>
      <c r="HM59" s="105" t="str">
        <f t="shared" si="168"/>
        <v/>
      </c>
      <c r="HN59" s="367" t="str">
        <f t="shared" si="144"/>
        <v xml:space="preserve">      </v>
      </c>
      <c r="HO59" s="418" t="str">
        <f t="shared" si="169"/>
        <v xml:space="preserve">      </v>
      </c>
      <c r="HP59" s="367" t="str">
        <f t="shared" si="146"/>
        <v xml:space="preserve">      </v>
      </c>
      <c r="HQ59" s="107" t="str">
        <f t="shared" si="147"/>
        <v xml:space="preserve">      </v>
      </c>
      <c r="HR59" s="366" t="str">
        <f t="shared" si="148"/>
        <v xml:space="preserve">      </v>
      </c>
      <c r="HS59" s="544" t="str">
        <f t="shared" si="170"/>
        <v/>
      </c>
      <c r="HT59" s="542" t="str">
        <f t="shared" si="149"/>
        <v/>
      </c>
      <c r="HU59" s="541" t="str">
        <f t="shared" si="160"/>
        <v/>
      </c>
      <c r="HV59" s="540" t="str">
        <f t="shared" si="150"/>
        <v/>
      </c>
      <c r="HW59" s="537" t="str">
        <f t="shared" si="151"/>
        <v/>
      </c>
      <c r="HX59" s="539" t="str">
        <f t="shared" si="152"/>
        <v/>
      </c>
      <c r="HY59" s="553" t="str">
        <f>IFERROR(IF(OR(HS59="SUPPLEMENTARY",HS59="RE-EXAM"),'Supp. Result Entry'!AQ57,""),"")</f>
        <v/>
      </c>
      <c r="HZ59" s="538" t="str">
        <f t="shared" si="153"/>
        <v/>
      </c>
      <c r="IA59" s="415" t="str">
        <f t="shared" si="154"/>
        <v/>
      </c>
      <c r="IB59" s="415" t="str">
        <f>IF(AND(HZ59="",IA59=""),"",IF(OR(HS59="SUPPLEMENTARY",HS59="RE-EXAM"),'Supp. Result Entry'!AQ57,HS59))</f>
        <v/>
      </c>
      <c r="IC59" s="87"/>
      <c r="IS59" s="109" t="str">
        <f>IF('Supp. Result Entry'!T57="","",'Supp. Result Entry'!$T$4)</f>
        <v/>
      </c>
      <c r="IT59" s="110" t="str">
        <f>IF('Supp. Result Entry'!W57="","",'Supp. Result Entry'!$W$4)</f>
        <v/>
      </c>
      <c r="IU59" s="110" t="str">
        <f>IF('Supp. Result Entry'!Z57="","",'Supp. Result Entry'!$Z$4)</f>
        <v/>
      </c>
      <c r="IV59" s="110" t="str">
        <f>IF('Supp. Result Entry'!AC57="","",'Supp. Result Entry'!$AC$4)</f>
        <v/>
      </c>
      <c r="IW59" s="110" t="str">
        <f>IF('Supp. Result Entry'!AF57="","",'Supp. Result Entry'!$AF$4)</f>
        <v/>
      </c>
      <c r="IX59" s="110" t="str">
        <f>IF('Supp. Result Entry'!AI57="","",'Supp. Result Entry'!$AI$4)</f>
        <v/>
      </c>
      <c r="IY59" s="110" t="str">
        <f>IF('Supp. Result Entry'!AI57="","",'Supp. Result Entry'!$AL$4)</f>
        <v/>
      </c>
      <c r="IZ59" s="110" t="str">
        <f>IF('Supp. Result Entry'!U57="","",'Supp. Result Entry'!U57)</f>
        <v/>
      </c>
      <c r="JA59" s="110" t="str">
        <f>IF('Supp. Result Entry'!X57="","",'Supp. Result Entry'!X57)</f>
        <v/>
      </c>
      <c r="JB59" s="110" t="str">
        <f>IF('Supp. Result Entry'!AA57="","",'Supp. Result Entry'!AA57)</f>
        <v/>
      </c>
      <c r="JC59" s="110" t="str">
        <f>IF('Supp. Result Entry'!AD57="","",'Supp. Result Entry'!AD57)</f>
        <v/>
      </c>
      <c r="JD59" s="110" t="str">
        <f>IF('Supp. Result Entry'!AG57="","",'Supp. Result Entry'!AG57)</f>
        <v/>
      </c>
      <c r="JE59" s="110" t="str">
        <f>IF('Supp. Result Entry'!AJ57="","",'Supp. Result Entry'!AJ57)</f>
        <v/>
      </c>
      <c r="JF59" s="110" t="str">
        <f>IF('Supp. Result Entry'!AM57="","",'Supp. Result Entry'!AM57)</f>
        <v/>
      </c>
      <c r="JG59" s="110" t="str">
        <f>IF('Supp. Result Entry'!V57="","",'Supp. Result Entry'!V57)</f>
        <v/>
      </c>
      <c r="JH59" s="110" t="str">
        <f>IF('Supp. Result Entry'!Y57="","",'Supp. Result Entry'!Y57)</f>
        <v/>
      </c>
      <c r="JI59" s="110" t="str">
        <f>IF('Supp. Result Entry'!AB57="","",'Supp. Result Entry'!AB57)</f>
        <v/>
      </c>
      <c r="JJ59" s="110" t="str">
        <f>IF('Supp. Result Entry'!AE57="","",'Supp. Result Entry'!AE57)</f>
        <v/>
      </c>
      <c r="JK59" s="110" t="str">
        <f>IF('Supp. Result Entry'!AH57="","",'Supp. Result Entry'!AH57)</f>
        <v/>
      </c>
      <c r="JL59" s="110" t="str">
        <f>IF('Supp. Result Entry'!AK57="","",'Supp. Result Entry'!AK57)</f>
        <v/>
      </c>
      <c r="JM59" s="110" t="str">
        <f>IF('Supp. Result Entry'!AN57="","",'Supp. Result Entry'!AN57)</f>
        <v/>
      </c>
      <c r="JN59" s="110">
        <f>COUNTIF('Supp. Result Entry'!K57:Q57,"S")</f>
        <v>0</v>
      </c>
      <c r="JO59" s="110">
        <f t="shared" si="155"/>
        <v>0</v>
      </c>
      <c r="JP59" s="110">
        <f t="shared" si="156"/>
        <v>0</v>
      </c>
      <c r="JQ59" s="110" t="str">
        <f t="shared" si="75"/>
        <v/>
      </c>
      <c r="JR59" s="110" t="str">
        <f t="shared" si="76"/>
        <v/>
      </c>
      <c r="JS59" s="110" t="str">
        <f t="shared" si="77"/>
        <v/>
      </c>
      <c r="JT59" s="110" t="str">
        <f t="shared" si="78"/>
        <v/>
      </c>
      <c r="JU59" s="110" t="str">
        <f t="shared" si="79"/>
        <v/>
      </c>
      <c r="JV59" s="110" t="str">
        <f t="shared" si="80"/>
        <v/>
      </c>
      <c r="JW59" s="110" t="str">
        <f t="shared" si="81"/>
        <v/>
      </c>
      <c r="JX59" s="110" t="str">
        <f t="shared" si="157"/>
        <v/>
      </c>
      <c r="JY59" s="110" t="str">
        <f t="shared" si="158"/>
        <v/>
      </c>
      <c r="JZ59" s="110" t="str">
        <f t="shared" si="82"/>
        <v/>
      </c>
      <c r="KA59" s="108" t="str">
        <f t="shared" si="159"/>
        <v/>
      </c>
    </row>
    <row r="60" spans="1:287" s="108" customFormat="1" ht="21.95" customHeight="1">
      <c r="A60" s="89">
        <v>54</v>
      </c>
      <c r="B60" s="90" t="str">
        <f>IF('Marks Entry'!B60="","",'Marks Entry'!B60)</f>
        <v/>
      </c>
      <c r="C60" s="94" t="str">
        <f>IF('Marks Entry'!D60="","",'Marks Entry'!D60)</f>
        <v/>
      </c>
      <c r="D60" s="91" t="str">
        <f>IF('Marks Entry'!E60="","",'Marks Entry'!E60)</f>
        <v/>
      </c>
      <c r="E60" s="92" t="str">
        <f>IF('Marks Entry'!F60="","",'Marks Entry'!F60)</f>
        <v/>
      </c>
      <c r="F60" s="93" t="str">
        <f>IF('Marks Entry'!G60="","",'Marks Entry'!G60)</f>
        <v/>
      </c>
      <c r="G60" s="93" t="str">
        <f>IF('Marks Entry'!H60="","",'Marks Entry'!H60)</f>
        <v/>
      </c>
      <c r="H60" s="93" t="str">
        <f>IF('Marks Entry'!I60="","",'Marks Entry'!I60)</f>
        <v/>
      </c>
      <c r="I60" s="94" t="str">
        <f>IF('Marks Entry'!J60="","",'Marks Entry'!J60)</f>
        <v/>
      </c>
      <c r="J60" s="95" t="str">
        <f>IF('Marks Entry'!K60="","",'Marks Entry'!K60)</f>
        <v/>
      </c>
      <c r="K60" s="68" t="str">
        <f>IF('Marks Entry'!L60="","",'Marks Entry'!L60)</f>
        <v/>
      </c>
      <c r="L60" s="68" t="str">
        <f>IF('Marks Entry'!M60="","",'Marks Entry'!M60)</f>
        <v/>
      </c>
      <c r="M60" s="68" t="str">
        <f>IF('Marks Entry'!N60="","",'Marks Entry'!N60)</f>
        <v/>
      </c>
      <c r="N60" s="514" t="str">
        <f t="shared" si="83"/>
        <v/>
      </c>
      <c r="O60" s="68" t="str">
        <f>IF('Marks Entry'!O60="","",'Marks Entry'!O60)</f>
        <v/>
      </c>
      <c r="P60" s="515" t="str">
        <f t="shared" si="84"/>
        <v/>
      </c>
      <c r="Q60" s="68" t="str">
        <f>IF('Marks Entry'!P60="","",'Marks Entry'!P60)</f>
        <v/>
      </c>
      <c r="R60" s="96" t="str">
        <f t="shared" si="85"/>
        <v/>
      </c>
      <c r="S60" s="65">
        <f t="shared" si="86"/>
        <v>0</v>
      </c>
      <c r="T60" s="65">
        <f t="shared" si="87"/>
        <v>0</v>
      </c>
      <c r="U60" s="66" t="str">
        <f t="shared" si="88"/>
        <v/>
      </c>
      <c r="V60" s="65" t="str">
        <f t="shared" si="89"/>
        <v/>
      </c>
      <c r="W60" s="65" t="str">
        <f t="shared" si="90"/>
        <v/>
      </c>
      <c r="X60" s="65" t="str">
        <f t="shared" si="91"/>
        <v/>
      </c>
      <c r="Y60" s="68" t="str">
        <f>IF('Marks Entry'!Q60="","",'Marks Entry'!Q60)</f>
        <v/>
      </c>
      <c r="Z60" s="68" t="str">
        <f>IF('Marks Entry'!R60="","",'Marks Entry'!R60)</f>
        <v/>
      </c>
      <c r="AA60" s="68" t="str">
        <f>IF('Marks Entry'!S60="","",'Marks Entry'!S60)</f>
        <v/>
      </c>
      <c r="AB60" s="514" t="str">
        <f t="shared" si="2"/>
        <v/>
      </c>
      <c r="AC60" s="68" t="str">
        <f>IF('Marks Entry'!T60="","",'Marks Entry'!T60)</f>
        <v/>
      </c>
      <c r="AD60" s="515" t="str">
        <f t="shared" si="3"/>
        <v/>
      </c>
      <c r="AE60" s="68" t="str">
        <f>IF('Marks Entry'!U60="","",'Marks Entry'!U60)</f>
        <v/>
      </c>
      <c r="AF60" s="96" t="str">
        <f t="shared" si="4"/>
        <v/>
      </c>
      <c r="AG60" s="65">
        <f t="shared" si="5"/>
        <v>0</v>
      </c>
      <c r="AH60" s="65">
        <f t="shared" si="6"/>
        <v>0</v>
      </c>
      <c r="AI60" s="66" t="str">
        <f t="shared" si="7"/>
        <v/>
      </c>
      <c r="AJ60" s="65" t="str">
        <f t="shared" si="8"/>
        <v/>
      </c>
      <c r="AK60" s="65" t="str">
        <f t="shared" si="9"/>
        <v/>
      </c>
      <c r="AL60" s="65" t="str">
        <f t="shared" si="10"/>
        <v/>
      </c>
      <c r="AM60" s="524" t="str">
        <f>IF('Marks Entry'!V60="","",IF('Marks Entry'!V60=1,'School Profile'!$I$9,IF('Marks Entry'!V60=2,'School Profile'!$I$10,IF('Marks Entry'!V60=3,'School Profile'!$I$11,IF('Marks Entry'!V60=4,'School Profile'!$I$12,IF('Marks Entry'!V60=5,'School Profile'!$I$13,IF('Marks Entry'!V60=6,'School Profile'!$I$14,"")))))))</f>
        <v/>
      </c>
      <c r="AN60" s="68" t="str">
        <f>IF('Marks Entry'!W60="","",'Marks Entry'!W60)</f>
        <v/>
      </c>
      <c r="AO60" s="68" t="str">
        <f>IF('Marks Entry'!X60="","",'Marks Entry'!X60)</f>
        <v/>
      </c>
      <c r="AP60" s="68" t="str">
        <f>IF('Marks Entry'!Y60="","",'Marks Entry'!Y60)</f>
        <v/>
      </c>
      <c r="AQ60" s="514" t="str">
        <f t="shared" si="11"/>
        <v/>
      </c>
      <c r="AR60" s="68" t="str">
        <f>IF('Marks Entry'!Z60="","",'Marks Entry'!Z60)</f>
        <v/>
      </c>
      <c r="AS60" s="515" t="str">
        <f t="shared" si="12"/>
        <v/>
      </c>
      <c r="AT60" s="68" t="str">
        <f>IF('Marks Entry'!AA60="","",'Marks Entry'!AA60)</f>
        <v/>
      </c>
      <c r="AU60" s="96" t="str">
        <f t="shared" si="13"/>
        <v/>
      </c>
      <c r="AV60" s="65">
        <f t="shared" si="14"/>
        <v>0</v>
      </c>
      <c r="AW60" s="65">
        <f t="shared" si="15"/>
        <v>0</v>
      </c>
      <c r="AX60" s="66" t="str">
        <f t="shared" si="16"/>
        <v/>
      </c>
      <c r="AY60" s="65" t="str">
        <f t="shared" si="17"/>
        <v/>
      </c>
      <c r="AZ60" s="65" t="str">
        <f t="shared" si="18"/>
        <v/>
      </c>
      <c r="BA60" s="65" t="str">
        <f t="shared" si="19"/>
        <v/>
      </c>
      <c r="BB60" s="68" t="str">
        <f>IF('Marks Entry'!AB60="","",'Marks Entry'!AB60)</f>
        <v/>
      </c>
      <c r="BC60" s="68" t="str">
        <f>IF('Marks Entry'!AC60="","",'Marks Entry'!AC60)</f>
        <v/>
      </c>
      <c r="BD60" s="68" t="str">
        <f>IF('Marks Entry'!AD60="","",'Marks Entry'!AD60)</f>
        <v/>
      </c>
      <c r="BE60" s="514" t="str">
        <f t="shared" si="20"/>
        <v/>
      </c>
      <c r="BF60" s="68" t="str">
        <f>IF('Marks Entry'!AE60="","",'Marks Entry'!AE60)</f>
        <v/>
      </c>
      <c r="BG60" s="515" t="str">
        <f t="shared" si="21"/>
        <v/>
      </c>
      <c r="BH60" s="68" t="str">
        <f>IF('Marks Entry'!AF60="","",'Marks Entry'!AF60)</f>
        <v/>
      </c>
      <c r="BI60" s="96" t="str">
        <f t="shared" si="22"/>
        <v/>
      </c>
      <c r="BJ60" s="65">
        <f t="shared" si="23"/>
        <v>0</v>
      </c>
      <c r="BK60" s="65">
        <f t="shared" si="92"/>
        <v>0</v>
      </c>
      <c r="BL60" s="66" t="str">
        <f t="shared" si="24"/>
        <v/>
      </c>
      <c r="BM60" s="65" t="str">
        <f t="shared" si="25"/>
        <v/>
      </c>
      <c r="BN60" s="65" t="str">
        <f t="shared" si="26"/>
        <v/>
      </c>
      <c r="BO60" s="65" t="str">
        <f t="shared" si="27"/>
        <v/>
      </c>
      <c r="BP60" s="68" t="str">
        <f>IF('Marks Entry'!AG60="","",'Marks Entry'!AG60)</f>
        <v/>
      </c>
      <c r="BQ60" s="68" t="str">
        <f>IF('Marks Entry'!AH60="","",'Marks Entry'!AH60)</f>
        <v/>
      </c>
      <c r="BR60" s="68" t="str">
        <f>IF('Marks Entry'!AI60="","",'Marks Entry'!AI60)</f>
        <v/>
      </c>
      <c r="BS60" s="514" t="str">
        <f t="shared" si="28"/>
        <v/>
      </c>
      <c r="BT60" s="68" t="str">
        <f>IF('Marks Entry'!AJ60="","",'Marks Entry'!AJ60)</f>
        <v/>
      </c>
      <c r="BU60" s="515" t="str">
        <f t="shared" si="29"/>
        <v/>
      </c>
      <c r="BV60" s="68" t="str">
        <f>IF('Marks Entry'!AK60="","",'Marks Entry'!AK60)</f>
        <v/>
      </c>
      <c r="BW60" s="96" t="str">
        <f t="shared" si="30"/>
        <v/>
      </c>
      <c r="BX60" s="65">
        <f t="shared" si="31"/>
        <v>0</v>
      </c>
      <c r="BY60" s="65">
        <f t="shared" si="32"/>
        <v>0</v>
      </c>
      <c r="BZ60" s="66" t="str">
        <f t="shared" si="33"/>
        <v/>
      </c>
      <c r="CA60" s="65" t="str">
        <f t="shared" si="34"/>
        <v/>
      </c>
      <c r="CB60" s="65" t="str">
        <f t="shared" si="35"/>
        <v/>
      </c>
      <c r="CC60" s="65" t="str">
        <f t="shared" si="36"/>
        <v/>
      </c>
      <c r="CD60" s="66">
        <f t="shared" si="161"/>
        <v>0</v>
      </c>
      <c r="CE60" s="68" t="str">
        <f>IF('Marks Entry'!AL60="","",'Marks Entry'!AL60)</f>
        <v/>
      </c>
      <c r="CF60" s="68" t="str">
        <f>IF('Marks Entry'!AM60="","",'Marks Entry'!AM60)</f>
        <v/>
      </c>
      <c r="CG60" s="68" t="str">
        <f>IF('Marks Entry'!AN60="","",'Marks Entry'!AN60)</f>
        <v/>
      </c>
      <c r="CH60" s="514" t="str">
        <f t="shared" si="37"/>
        <v/>
      </c>
      <c r="CI60" s="68" t="str">
        <f>IF('Marks Entry'!AO60="","",'Marks Entry'!AO60)</f>
        <v/>
      </c>
      <c r="CJ60" s="515" t="str">
        <f t="shared" si="38"/>
        <v/>
      </c>
      <c r="CK60" s="68" t="str">
        <f>IF('Marks Entry'!AP60="","",'Marks Entry'!AP60)</f>
        <v/>
      </c>
      <c r="CL60" s="96" t="str">
        <f t="shared" si="39"/>
        <v/>
      </c>
      <c r="CM60" s="65">
        <f t="shared" si="40"/>
        <v>0</v>
      </c>
      <c r="CN60" s="65">
        <f t="shared" si="41"/>
        <v>0</v>
      </c>
      <c r="CO60" s="66" t="str">
        <f t="shared" si="42"/>
        <v/>
      </c>
      <c r="CP60" s="65" t="str">
        <f t="shared" si="43"/>
        <v/>
      </c>
      <c r="CQ60" s="65" t="str">
        <f t="shared" si="44"/>
        <v/>
      </c>
      <c r="CR60" s="65" t="str">
        <f t="shared" si="45"/>
        <v/>
      </c>
      <c r="CS60" s="616"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8" t="str">
        <f>IF('School Profile'!$D$20="NO","",IF('Marks Entry'!AR60="","",'Marks Entry'!AR60))</f>
        <v/>
      </c>
      <c r="CU60" s="68" t="str">
        <f>IF('School Profile'!$D$20="NO","",IF('Marks Entry'!AS60="","",'Marks Entry'!AS60))</f>
        <v/>
      </c>
      <c r="CV60" s="68" t="str">
        <f>IF('School Profile'!$D$20="NO","",IF('Marks Entry'!AT60="","",'Marks Entry'!AT60))</f>
        <v/>
      </c>
      <c r="CW60" s="514" t="str">
        <f>IF('School Profile'!$D$20="NO","",IF(AND(CT60="",CU60="",CV60=""),"",SUM(CT60:CV60)))</f>
        <v/>
      </c>
      <c r="CX60" s="68" t="str">
        <f>IF('School Profile'!$D$20="NO","",IF('Marks Entry'!AU60="","",'Marks Entry'!AU60))</f>
        <v/>
      </c>
      <c r="CY60" s="68" t="str">
        <f>IF('School Profile'!$D$20="NO","",IF('Marks Entry'!AV60="","",'Marks Entry'!AV60))</f>
        <v/>
      </c>
      <c r="CZ60" s="515" t="str">
        <f>IF('School Profile'!$D$20="NO","",IF(AND(CX60="",CY60=""),"",SUM(CX60,CY60)))</f>
        <v/>
      </c>
      <c r="DA60" s="69" t="str">
        <f>IF('School Profile'!$D$20="NO","",IF(AND(CW60="",CZ60=""),"",SUM(CW60+CZ60)))</f>
        <v/>
      </c>
      <c r="DB60" s="68" t="str">
        <f>IF('School Profile'!$D$20="NO","",IF('Marks Entry'!AW60="","",'Marks Entry'!AW60))</f>
        <v/>
      </c>
      <c r="DC60" s="68" t="str">
        <f>IF('School Profile'!$D$20="NO","",IF('Marks Entry'!AX60="","",'Marks Entry'!AX60))</f>
        <v/>
      </c>
      <c r="DD60" s="515" t="str">
        <f>IF('School Profile'!$D$20="NO","",IF(AND(DB60="",DC60=""),"",SUM(DB60,DC60)))</f>
        <v/>
      </c>
      <c r="DE60" s="96" t="str">
        <f>IF('School Profile'!$D$20="NO","",IF(AND(DA60="",DD60=""),"",SUM(DA60,DD60)))</f>
        <v/>
      </c>
      <c r="DF60" s="532">
        <f t="shared" si="46"/>
        <v>0</v>
      </c>
      <c r="DG60" s="65">
        <f t="shared" si="47"/>
        <v>0</v>
      </c>
      <c r="DH60" s="66" t="str">
        <f t="shared" si="48"/>
        <v/>
      </c>
      <c r="DI60" s="65" t="str">
        <f t="shared" si="49"/>
        <v/>
      </c>
      <c r="DJ60" s="65" t="str">
        <f t="shared" si="50"/>
        <v/>
      </c>
      <c r="DK60" s="65" t="str">
        <f t="shared" si="51"/>
        <v/>
      </c>
      <c r="DL60" s="97" t="str">
        <f t="shared" si="94"/>
        <v/>
      </c>
      <c r="DM60" s="97" t="str">
        <f t="shared" si="95"/>
        <v/>
      </c>
      <c r="DN60" s="97" t="str">
        <f t="shared" si="96"/>
        <v/>
      </c>
      <c r="DO60" s="97" t="str">
        <f t="shared" si="97"/>
        <v/>
      </c>
      <c r="DP60" s="97" t="str">
        <f t="shared" si="98"/>
        <v/>
      </c>
      <c r="DQ60" s="97" t="str">
        <f t="shared" si="99"/>
        <v/>
      </c>
      <c r="DR60" s="97" t="str">
        <f t="shared" si="100"/>
        <v/>
      </c>
      <c r="DS60" s="98">
        <f t="shared" si="101"/>
        <v>0</v>
      </c>
      <c r="DT60" s="98">
        <f t="shared" si="102"/>
        <v>0</v>
      </c>
      <c r="DU60" s="98">
        <f t="shared" si="103"/>
        <v>0</v>
      </c>
      <c r="DV60" s="98">
        <f t="shared" si="104"/>
        <v>0</v>
      </c>
      <c r="DW60" s="98">
        <f t="shared" si="105"/>
        <v>0</v>
      </c>
      <c r="DX60" s="98" t="str">
        <f t="shared" si="106"/>
        <v/>
      </c>
      <c r="DY60" s="99" t="str">
        <f t="shared" si="107"/>
        <v/>
      </c>
      <c r="DZ60" s="74" t="str">
        <f>IF('Marks Entry'!AY60="","",'Marks Entry'!AY60)</f>
        <v/>
      </c>
      <c r="EA60" s="74" t="str">
        <f>IF('Marks Entry'!AZ60="","",'Marks Entry'!AZ60)</f>
        <v/>
      </c>
      <c r="EB60" s="74" t="str">
        <f>IF('Marks Entry'!BA60="","",'Marks Entry'!BA60)</f>
        <v/>
      </c>
      <c r="EC60" s="527" t="str">
        <f t="shared" si="52"/>
        <v/>
      </c>
      <c r="ED60" s="74" t="str">
        <f>IF('Marks Entry'!BB60="","",'Marks Entry'!BB60)</f>
        <v/>
      </c>
      <c r="EE60" s="528" t="str">
        <f t="shared" si="53"/>
        <v/>
      </c>
      <c r="EF60" s="74" t="str">
        <f>IF('Marks Entry'!BC60="","",'Marks Entry'!BC60)</f>
        <v/>
      </c>
      <c r="EG60" s="530" t="str">
        <f t="shared" si="54"/>
        <v/>
      </c>
      <c r="EH60" s="368" t="str">
        <f t="shared" si="108"/>
        <v/>
      </c>
      <c r="EI60" s="65">
        <f t="shared" si="109"/>
        <v>0</v>
      </c>
      <c r="EJ60" s="65">
        <f t="shared" si="110"/>
        <v>0</v>
      </c>
      <c r="EK60" s="66" t="str">
        <f t="shared" si="111"/>
        <v/>
      </c>
      <c r="EL60" s="74" t="str">
        <f>IF('Marks Entry'!BD60="","",'Marks Entry'!BD60)</f>
        <v/>
      </c>
      <c r="EM60" s="74" t="str">
        <f>IF('Marks Entry'!BE60="","",'Marks Entry'!BE60)</f>
        <v/>
      </c>
      <c r="EN60" s="74" t="str">
        <f>IF('Marks Entry'!BF60="","",'Marks Entry'!BF60)</f>
        <v/>
      </c>
      <c r="EO60" s="527" t="str">
        <f t="shared" si="55"/>
        <v/>
      </c>
      <c r="EP60" s="74" t="str">
        <f>IF('Marks Entry'!BG60="","",'Marks Entry'!BG60)</f>
        <v/>
      </c>
      <c r="EQ60" s="74" t="str">
        <f>IF('Marks Entry'!BH60="","",'Marks Entry'!BH60)</f>
        <v/>
      </c>
      <c r="ER60" s="528" t="str">
        <f t="shared" si="56"/>
        <v/>
      </c>
      <c r="ES60" s="529" t="str">
        <f t="shared" si="57"/>
        <v/>
      </c>
      <c r="ET60" s="74" t="str">
        <f>IF('Marks Entry'!BI60="","",'Marks Entry'!BI60)</f>
        <v/>
      </c>
      <c r="EU60" s="74" t="str">
        <f>IF('Marks Entry'!BJ60="","",'Marks Entry'!BJ60)</f>
        <v/>
      </c>
      <c r="EV60" s="528" t="str">
        <f t="shared" si="58"/>
        <v/>
      </c>
      <c r="EW60" s="530" t="str">
        <f t="shared" si="59"/>
        <v/>
      </c>
      <c r="EX60" s="368" t="str">
        <f t="shared" si="112"/>
        <v/>
      </c>
      <c r="EY60" s="65">
        <f t="shared" si="113"/>
        <v>0</v>
      </c>
      <c r="EZ60" s="65">
        <f t="shared" si="114"/>
        <v>0</v>
      </c>
      <c r="FA60" s="66" t="str">
        <f t="shared" si="115"/>
        <v/>
      </c>
      <c r="FB60" s="74" t="str">
        <f>IF('Marks Entry'!BK60="","",'Marks Entry'!BK60)</f>
        <v/>
      </c>
      <c r="FC60" s="74" t="str">
        <f>IF('Marks Entry'!BL60="","",'Marks Entry'!BL60)</f>
        <v/>
      </c>
      <c r="FD60" s="74" t="str">
        <f>IF('Marks Entry'!BM60="","",'Marks Entry'!BM60)</f>
        <v/>
      </c>
      <c r="FE60" s="74" t="str">
        <f>IF('Marks Entry'!BN60="","",'Marks Entry'!BN60)</f>
        <v/>
      </c>
      <c r="FF60" s="74" t="str">
        <f>IF('Marks Entry'!BO60="","",'Marks Entry'!BO60)</f>
        <v/>
      </c>
      <c r="FG60" s="74" t="str">
        <f>IF('Marks Entry'!BP60="","",'Marks Entry'!BP60)</f>
        <v/>
      </c>
      <c r="FH60" s="527" t="str">
        <f t="shared" si="60"/>
        <v/>
      </c>
      <c r="FI60" s="74" t="str">
        <f>IF('Marks Entry'!BQ60="","",'Marks Entry'!BQ60)</f>
        <v/>
      </c>
      <c r="FJ60" s="74" t="str">
        <f>IF('Marks Entry'!BR60="","",'Marks Entry'!BR60)</f>
        <v/>
      </c>
      <c r="FK60" s="528" t="str">
        <f t="shared" si="61"/>
        <v/>
      </c>
      <c r="FL60" s="529" t="str">
        <f t="shared" si="62"/>
        <v/>
      </c>
      <c r="FM60" s="74" t="str">
        <f>IF('Marks Entry'!BS60="","",'Marks Entry'!BS60)</f>
        <v/>
      </c>
      <c r="FN60" s="74" t="str">
        <f>IF('Marks Entry'!BT60="","",'Marks Entry'!BT60)</f>
        <v/>
      </c>
      <c r="FO60" s="528" t="str">
        <f t="shared" si="63"/>
        <v/>
      </c>
      <c r="FP60" s="530" t="str">
        <f t="shared" si="64"/>
        <v/>
      </c>
      <c r="FQ60" s="368" t="str">
        <f t="shared" si="116"/>
        <v/>
      </c>
      <c r="FR60" s="65">
        <f t="shared" si="117"/>
        <v>0</v>
      </c>
      <c r="FS60" s="65">
        <f t="shared" si="118"/>
        <v>0</v>
      </c>
      <c r="FT60" s="66" t="str">
        <f t="shared" si="119"/>
        <v/>
      </c>
      <c r="FU60" s="74" t="str">
        <f>IF('Marks Entry'!BU60="","",'Marks Entry'!BU60)</f>
        <v/>
      </c>
      <c r="FV60" s="74" t="str">
        <f>IF('Marks Entry'!BV60="","",'Marks Entry'!BV60)</f>
        <v/>
      </c>
      <c r="FW60" s="74" t="str">
        <f>IF('Marks Entry'!BW60="","",'Marks Entry'!BW60)</f>
        <v/>
      </c>
      <c r="FX60" s="75" t="str">
        <f t="shared" si="65"/>
        <v/>
      </c>
      <c r="FY60" s="368" t="str">
        <f t="shared" si="120"/>
        <v/>
      </c>
      <c r="FZ60" s="65">
        <f t="shared" si="121"/>
        <v>0</v>
      </c>
      <c r="GA60" s="66">
        <f t="shared" si="122"/>
        <v>0</v>
      </c>
      <c r="GB60" s="66" t="str">
        <f t="shared" si="123"/>
        <v/>
      </c>
      <c r="GC60" s="74" t="str">
        <f>IF('Marks Entry'!BX60="","",'Marks Entry'!BX60)</f>
        <v/>
      </c>
      <c r="GD60" s="74" t="str">
        <f>IF('Marks Entry'!BY60="","",'Marks Entry'!BY60)</f>
        <v/>
      </c>
      <c r="GE60" s="74" t="str">
        <f>IF('Marks Entry'!BZ60="","",'Marks Entry'!BZ60)</f>
        <v/>
      </c>
      <c r="GF60" s="75" t="str">
        <f t="shared" si="124"/>
        <v/>
      </c>
      <c r="GG60" s="368" t="str">
        <f t="shared" si="125"/>
        <v/>
      </c>
      <c r="GH60" s="65">
        <f t="shared" si="126"/>
        <v>0</v>
      </c>
      <c r="GI60" s="66">
        <f t="shared" si="127"/>
        <v>0</v>
      </c>
      <c r="GJ60" s="66" t="str">
        <f t="shared" si="128"/>
        <v/>
      </c>
      <c r="GK60" s="100" t="str">
        <f>IF(AND(F60="",B60=""),"",IF('Student DATA Entry'!M57="","",'Student DATA Entry'!M57))</f>
        <v/>
      </c>
      <c r="GL60" s="101" t="str">
        <f>IF(AND(B60="",F60=""),"",IF('Student DATA Entry'!N57="","",'Student DATA Entry'!N57))</f>
        <v/>
      </c>
      <c r="GM60" s="581" t="str">
        <f t="shared" si="129"/>
        <v/>
      </c>
      <c r="GN60" s="94" t="str">
        <f t="shared" si="130"/>
        <v/>
      </c>
      <c r="GO60" s="94" t="str">
        <f t="shared" si="131"/>
        <v/>
      </c>
      <c r="GP60" s="102" t="str">
        <f t="shared" si="162"/>
        <v/>
      </c>
      <c r="GQ60" s="94" t="str">
        <f t="shared" si="132"/>
        <v/>
      </c>
      <c r="GR60" s="103" t="str">
        <f t="shared" si="133"/>
        <v/>
      </c>
      <c r="GS60" s="102" t="str">
        <f t="shared" si="163"/>
        <v/>
      </c>
      <c r="GT60" s="104" t="str">
        <f t="shared" si="134"/>
        <v/>
      </c>
      <c r="GU60" s="94" t="str">
        <f>IF('Marks Entry'!V60=1,GT60,"")</f>
        <v/>
      </c>
      <c r="GV60" s="94" t="str">
        <f>IF('Marks Entry'!V60=2,GT60,"")</f>
        <v/>
      </c>
      <c r="GW60" s="94" t="str">
        <f>IF('Marks Entry'!V60=3,GT60,"")</f>
        <v/>
      </c>
      <c r="GX60" s="94" t="str">
        <f>IF('Marks Entry'!V60=4,GT60,"")</f>
        <v/>
      </c>
      <c r="GY60" s="94" t="str">
        <f>IF('Marks Entry'!V60=5,GT60,"")</f>
        <v/>
      </c>
      <c r="GZ60" s="94" t="str">
        <f t="shared" si="135"/>
        <v/>
      </c>
      <c r="HA60" s="105" t="str">
        <f t="shared" si="164"/>
        <v/>
      </c>
      <c r="HB60" s="94" t="str">
        <f t="shared" si="136"/>
        <v/>
      </c>
      <c r="HC60" s="94" t="str">
        <f t="shared" si="137"/>
        <v/>
      </c>
      <c r="HD60" s="105" t="str">
        <f t="shared" si="165"/>
        <v/>
      </c>
      <c r="HE60" s="94" t="str">
        <f t="shared" si="138"/>
        <v/>
      </c>
      <c r="HF60" s="94" t="str">
        <f t="shared" si="139"/>
        <v/>
      </c>
      <c r="HG60" s="105" t="str">
        <f t="shared" si="166"/>
        <v/>
      </c>
      <c r="HH60" s="94" t="str">
        <f t="shared" si="140"/>
        <v/>
      </c>
      <c r="HI60" s="94" t="str">
        <f t="shared" si="141"/>
        <v/>
      </c>
      <c r="HJ60" s="105" t="str">
        <f t="shared" si="167"/>
        <v/>
      </c>
      <c r="HK60" s="94" t="str">
        <f t="shared" si="142"/>
        <v/>
      </c>
      <c r="HL60" s="94" t="str">
        <f t="shared" si="143"/>
        <v/>
      </c>
      <c r="HM60" s="105" t="str">
        <f t="shared" si="168"/>
        <v/>
      </c>
      <c r="HN60" s="367" t="str">
        <f t="shared" si="144"/>
        <v xml:space="preserve">      </v>
      </c>
      <c r="HO60" s="418" t="str">
        <f t="shared" si="169"/>
        <v xml:space="preserve">      </v>
      </c>
      <c r="HP60" s="367" t="str">
        <f t="shared" si="146"/>
        <v xml:space="preserve">      </v>
      </c>
      <c r="HQ60" s="107" t="str">
        <f t="shared" si="147"/>
        <v xml:space="preserve">      </v>
      </c>
      <c r="HR60" s="366" t="str">
        <f t="shared" si="148"/>
        <v xml:space="preserve">      </v>
      </c>
      <c r="HS60" s="544" t="str">
        <f t="shared" si="170"/>
        <v/>
      </c>
      <c r="HT60" s="542" t="str">
        <f t="shared" si="149"/>
        <v/>
      </c>
      <c r="HU60" s="541" t="str">
        <f t="shared" si="160"/>
        <v/>
      </c>
      <c r="HV60" s="540" t="str">
        <f t="shared" si="150"/>
        <v/>
      </c>
      <c r="HW60" s="537" t="str">
        <f t="shared" si="151"/>
        <v/>
      </c>
      <c r="HX60" s="539" t="str">
        <f t="shared" si="152"/>
        <v/>
      </c>
      <c r="HY60" s="553" t="str">
        <f>IFERROR(IF(OR(HS60="SUPPLEMENTARY",HS60="RE-EXAM"),'Supp. Result Entry'!AQ58,""),"")</f>
        <v/>
      </c>
      <c r="HZ60" s="538" t="str">
        <f t="shared" si="153"/>
        <v/>
      </c>
      <c r="IA60" s="415" t="str">
        <f t="shared" si="154"/>
        <v/>
      </c>
      <c r="IB60" s="415" t="str">
        <f>IF(AND(HZ60="",IA60=""),"",IF(OR(HS60="SUPPLEMENTARY",HS60="RE-EXAM"),'Supp. Result Entry'!AQ58,HS60))</f>
        <v/>
      </c>
      <c r="IC60" s="87"/>
      <c r="IS60" s="109" t="str">
        <f>IF('Supp. Result Entry'!T58="","",'Supp. Result Entry'!$T$4)</f>
        <v/>
      </c>
      <c r="IT60" s="110" t="str">
        <f>IF('Supp. Result Entry'!W58="","",'Supp. Result Entry'!$W$4)</f>
        <v/>
      </c>
      <c r="IU60" s="110" t="str">
        <f>IF('Supp. Result Entry'!Z58="","",'Supp. Result Entry'!$Z$4)</f>
        <v/>
      </c>
      <c r="IV60" s="110" t="str">
        <f>IF('Supp. Result Entry'!AC58="","",'Supp. Result Entry'!$AC$4)</f>
        <v/>
      </c>
      <c r="IW60" s="110" t="str">
        <f>IF('Supp. Result Entry'!AF58="","",'Supp. Result Entry'!$AF$4)</f>
        <v/>
      </c>
      <c r="IX60" s="110" t="str">
        <f>IF('Supp. Result Entry'!AI58="","",'Supp. Result Entry'!$AI$4)</f>
        <v/>
      </c>
      <c r="IY60" s="110" t="str">
        <f>IF('Supp. Result Entry'!AI58="","",'Supp. Result Entry'!$AL$4)</f>
        <v/>
      </c>
      <c r="IZ60" s="110" t="str">
        <f>IF('Supp. Result Entry'!U58="","",'Supp. Result Entry'!U58)</f>
        <v/>
      </c>
      <c r="JA60" s="110" t="str">
        <f>IF('Supp. Result Entry'!X58="","",'Supp. Result Entry'!X58)</f>
        <v/>
      </c>
      <c r="JB60" s="110" t="str">
        <f>IF('Supp. Result Entry'!AA58="","",'Supp. Result Entry'!AA58)</f>
        <v/>
      </c>
      <c r="JC60" s="110" t="str">
        <f>IF('Supp. Result Entry'!AD58="","",'Supp. Result Entry'!AD58)</f>
        <v/>
      </c>
      <c r="JD60" s="110" t="str">
        <f>IF('Supp. Result Entry'!AG58="","",'Supp. Result Entry'!AG58)</f>
        <v/>
      </c>
      <c r="JE60" s="110" t="str">
        <f>IF('Supp. Result Entry'!AJ58="","",'Supp. Result Entry'!AJ58)</f>
        <v/>
      </c>
      <c r="JF60" s="110" t="str">
        <f>IF('Supp. Result Entry'!AM58="","",'Supp. Result Entry'!AM58)</f>
        <v/>
      </c>
      <c r="JG60" s="110" t="str">
        <f>IF('Supp. Result Entry'!V58="","",'Supp. Result Entry'!V58)</f>
        <v/>
      </c>
      <c r="JH60" s="110" t="str">
        <f>IF('Supp. Result Entry'!Y58="","",'Supp. Result Entry'!Y58)</f>
        <v/>
      </c>
      <c r="JI60" s="110" t="str">
        <f>IF('Supp. Result Entry'!AB58="","",'Supp. Result Entry'!AB58)</f>
        <v/>
      </c>
      <c r="JJ60" s="110" t="str">
        <f>IF('Supp. Result Entry'!AE58="","",'Supp. Result Entry'!AE58)</f>
        <v/>
      </c>
      <c r="JK60" s="110" t="str">
        <f>IF('Supp. Result Entry'!AH58="","",'Supp. Result Entry'!AH58)</f>
        <v/>
      </c>
      <c r="JL60" s="110" t="str">
        <f>IF('Supp. Result Entry'!AK58="","",'Supp. Result Entry'!AK58)</f>
        <v/>
      </c>
      <c r="JM60" s="110" t="str">
        <f>IF('Supp. Result Entry'!AN58="","",'Supp. Result Entry'!AN58)</f>
        <v/>
      </c>
      <c r="JN60" s="110">
        <f>COUNTIF('Supp. Result Entry'!K58:Q58,"S")</f>
        <v>0</v>
      </c>
      <c r="JO60" s="110">
        <f t="shared" si="155"/>
        <v>0</v>
      </c>
      <c r="JP60" s="110">
        <f t="shared" si="156"/>
        <v>0</v>
      </c>
      <c r="JQ60" s="110" t="str">
        <f t="shared" si="75"/>
        <v/>
      </c>
      <c r="JR60" s="110" t="str">
        <f t="shared" si="76"/>
        <v/>
      </c>
      <c r="JS60" s="110" t="str">
        <f t="shared" si="77"/>
        <v/>
      </c>
      <c r="JT60" s="110" t="str">
        <f t="shared" si="78"/>
        <v/>
      </c>
      <c r="JU60" s="110" t="str">
        <f t="shared" si="79"/>
        <v/>
      </c>
      <c r="JV60" s="110" t="str">
        <f t="shared" si="80"/>
        <v/>
      </c>
      <c r="JW60" s="110" t="str">
        <f t="shared" si="81"/>
        <v/>
      </c>
      <c r="JX60" s="110" t="str">
        <f t="shared" si="157"/>
        <v/>
      </c>
      <c r="JY60" s="110" t="str">
        <f t="shared" si="158"/>
        <v/>
      </c>
      <c r="JZ60" s="110" t="str">
        <f t="shared" si="82"/>
        <v/>
      </c>
      <c r="KA60" s="108" t="str">
        <f t="shared" si="159"/>
        <v/>
      </c>
    </row>
    <row r="61" spans="1:287" s="108" customFormat="1" ht="21.95" customHeight="1">
      <c r="A61" s="89">
        <v>55</v>
      </c>
      <c r="B61" s="90" t="str">
        <f>IF('Marks Entry'!B61="","",'Marks Entry'!B61)</f>
        <v/>
      </c>
      <c r="C61" s="94" t="str">
        <f>IF('Marks Entry'!D61="","",'Marks Entry'!D61)</f>
        <v/>
      </c>
      <c r="D61" s="91" t="str">
        <f>IF('Marks Entry'!E61="","",'Marks Entry'!E61)</f>
        <v/>
      </c>
      <c r="E61" s="92" t="str">
        <f>IF('Marks Entry'!F61="","",'Marks Entry'!F61)</f>
        <v/>
      </c>
      <c r="F61" s="93" t="str">
        <f>IF('Marks Entry'!G61="","",'Marks Entry'!G61)</f>
        <v/>
      </c>
      <c r="G61" s="93" t="str">
        <f>IF('Marks Entry'!H61="","",'Marks Entry'!H61)</f>
        <v/>
      </c>
      <c r="H61" s="93" t="str">
        <f>IF('Marks Entry'!I61="","",'Marks Entry'!I61)</f>
        <v/>
      </c>
      <c r="I61" s="94" t="str">
        <f>IF('Marks Entry'!J61="","",'Marks Entry'!J61)</f>
        <v/>
      </c>
      <c r="J61" s="95" t="str">
        <f>IF('Marks Entry'!K61="","",'Marks Entry'!K61)</f>
        <v/>
      </c>
      <c r="K61" s="68" t="str">
        <f>IF('Marks Entry'!L61="","",'Marks Entry'!L61)</f>
        <v/>
      </c>
      <c r="L61" s="68" t="str">
        <f>IF('Marks Entry'!M61="","",'Marks Entry'!M61)</f>
        <v/>
      </c>
      <c r="M61" s="68" t="str">
        <f>IF('Marks Entry'!N61="","",'Marks Entry'!N61)</f>
        <v/>
      </c>
      <c r="N61" s="514" t="str">
        <f t="shared" si="83"/>
        <v/>
      </c>
      <c r="O61" s="68" t="str">
        <f>IF('Marks Entry'!O61="","",'Marks Entry'!O61)</f>
        <v/>
      </c>
      <c r="P61" s="515" t="str">
        <f t="shared" si="84"/>
        <v/>
      </c>
      <c r="Q61" s="68" t="str">
        <f>IF('Marks Entry'!P61="","",'Marks Entry'!P61)</f>
        <v/>
      </c>
      <c r="R61" s="96" t="str">
        <f t="shared" si="85"/>
        <v/>
      </c>
      <c r="S61" s="65">
        <f t="shared" si="86"/>
        <v>0</v>
      </c>
      <c r="T61" s="65">
        <f t="shared" si="87"/>
        <v>0</v>
      </c>
      <c r="U61" s="66" t="str">
        <f t="shared" si="88"/>
        <v/>
      </c>
      <c r="V61" s="65" t="str">
        <f t="shared" si="89"/>
        <v/>
      </c>
      <c r="W61" s="65" t="str">
        <f t="shared" si="90"/>
        <v/>
      </c>
      <c r="X61" s="65" t="str">
        <f t="shared" si="91"/>
        <v/>
      </c>
      <c r="Y61" s="68" t="str">
        <f>IF('Marks Entry'!Q61="","",'Marks Entry'!Q61)</f>
        <v/>
      </c>
      <c r="Z61" s="68" t="str">
        <f>IF('Marks Entry'!R61="","",'Marks Entry'!R61)</f>
        <v/>
      </c>
      <c r="AA61" s="68" t="str">
        <f>IF('Marks Entry'!S61="","",'Marks Entry'!S61)</f>
        <v/>
      </c>
      <c r="AB61" s="514" t="str">
        <f t="shared" si="2"/>
        <v/>
      </c>
      <c r="AC61" s="68" t="str">
        <f>IF('Marks Entry'!T61="","",'Marks Entry'!T61)</f>
        <v/>
      </c>
      <c r="AD61" s="515" t="str">
        <f t="shared" si="3"/>
        <v/>
      </c>
      <c r="AE61" s="68" t="str">
        <f>IF('Marks Entry'!U61="","",'Marks Entry'!U61)</f>
        <v/>
      </c>
      <c r="AF61" s="96" t="str">
        <f t="shared" si="4"/>
        <v/>
      </c>
      <c r="AG61" s="65">
        <f t="shared" si="5"/>
        <v>0</v>
      </c>
      <c r="AH61" s="65">
        <f t="shared" si="6"/>
        <v>0</v>
      </c>
      <c r="AI61" s="66" t="str">
        <f t="shared" si="7"/>
        <v/>
      </c>
      <c r="AJ61" s="65" t="str">
        <f t="shared" si="8"/>
        <v/>
      </c>
      <c r="AK61" s="65" t="str">
        <f t="shared" si="9"/>
        <v/>
      </c>
      <c r="AL61" s="65" t="str">
        <f t="shared" si="10"/>
        <v/>
      </c>
      <c r="AM61" s="524" t="str">
        <f>IF('Marks Entry'!V61="","",IF('Marks Entry'!V61=1,'School Profile'!$I$9,IF('Marks Entry'!V61=2,'School Profile'!$I$10,IF('Marks Entry'!V61=3,'School Profile'!$I$11,IF('Marks Entry'!V61=4,'School Profile'!$I$12,IF('Marks Entry'!V61=5,'School Profile'!$I$13,IF('Marks Entry'!V61=6,'School Profile'!$I$14,"")))))))</f>
        <v/>
      </c>
      <c r="AN61" s="68" t="str">
        <f>IF('Marks Entry'!W61="","",'Marks Entry'!W61)</f>
        <v/>
      </c>
      <c r="AO61" s="68" t="str">
        <f>IF('Marks Entry'!X61="","",'Marks Entry'!X61)</f>
        <v/>
      </c>
      <c r="AP61" s="68" t="str">
        <f>IF('Marks Entry'!Y61="","",'Marks Entry'!Y61)</f>
        <v/>
      </c>
      <c r="AQ61" s="514" t="str">
        <f t="shared" si="11"/>
        <v/>
      </c>
      <c r="AR61" s="68" t="str">
        <f>IF('Marks Entry'!Z61="","",'Marks Entry'!Z61)</f>
        <v/>
      </c>
      <c r="AS61" s="515" t="str">
        <f t="shared" si="12"/>
        <v/>
      </c>
      <c r="AT61" s="68" t="str">
        <f>IF('Marks Entry'!AA61="","",'Marks Entry'!AA61)</f>
        <v/>
      </c>
      <c r="AU61" s="96" t="str">
        <f t="shared" si="13"/>
        <v/>
      </c>
      <c r="AV61" s="65">
        <f t="shared" si="14"/>
        <v>0</v>
      </c>
      <c r="AW61" s="65">
        <f t="shared" si="15"/>
        <v>0</v>
      </c>
      <c r="AX61" s="66" t="str">
        <f t="shared" si="16"/>
        <v/>
      </c>
      <c r="AY61" s="65" t="str">
        <f t="shared" si="17"/>
        <v/>
      </c>
      <c r="AZ61" s="65" t="str">
        <f t="shared" si="18"/>
        <v/>
      </c>
      <c r="BA61" s="65" t="str">
        <f t="shared" si="19"/>
        <v/>
      </c>
      <c r="BB61" s="68" t="str">
        <f>IF('Marks Entry'!AB61="","",'Marks Entry'!AB61)</f>
        <v/>
      </c>
      <c r="BC61" s="68" t="str">
        <f>IF('Marks Entry'!AC61="","",'Marks Entry'!AC61)</f>
        <v/>
      </c>
      <c r="BD61" s="68" t="str">
        <f>IF('Marks Entry'!AD61="","",'Marks Entry'!AD61)</f>
        <v/>
      </c>
      <c r="BE61" s="514" t="str">
        <f t="shared" si="20"/>
        <v/>
      </c>
      <c r="BF61" s="68" t="str">
        <f>IF('Marks Entry'!AE61="","",'Marks Entry'!AE61)</f>
        <v/>
      </c>
      <c r="BG61" s="515" t="str">
        <f t="shared" si="21"/>
        <v/>
      </c>
      <c r="BH61" s="68" t="str">
        <f>IF('Marks Entry'!AF61="","",'Marks Entry'!AF61)</f>
        <v/>
      </c>
      <c r="BI61" s="96" t="str">
        <f t="shared" si="22"/>
        <v/>
      </c>
      <c r="BJ61" s="65">
        <f t="shared" si="23"/>
        <v>0</v>
      </c>
      <c r="BK61" s="65">
        <f t="shared" si="92"/>
        <v>0</v>
      </c>
      <c r="BL61" s="66" t="str">
        <f t="shared" si="24"/>
        <v/>
      </c>
      <c r="BM61" s="65" t="str">
        <f t="shared" si="25"/>
        <v/>
      </c>
      <c r="BN61" s="65" t="str">
        <f t="shared" si="26"/>
        <v/>
      </c>
      <c r="BO61" s="65" t="str">
        <f t="shared" si="27"/>
        <v/>
      </c>
      <c r="BP61" s="68" t="str">
        <f>IF('Marks Entry'!AG61="","",'Marks Entry'!AG61)</f>
        <v/>
      </c>
      <c r="BQ61" s="68" t="str">
        <f>IF('Marks Entry'!AH61="","",'Marks Entry'!AH61)</f>
        <v/>
      </c>
      <c r="BR61" s="68" t="str">
        <f>IF('Marks Entry'!AI61="","",'Marks Entry'!AI61)</f>
        <v/>
      </c>
      <c r="BS61" s="514" t="str">
        <f t="shared" si="28"/>
        <v/>
      </c>
      <c r="BT61" s="68" t="str">
        <f>IF('Marks Entry'!AJ61="","",'Marks Entry'!AJ61)</f>
        <v/>
      </c>
      <c r="BU61" s="515" t="str">
        <f t="shared" si="29"/>
        <v/>
      </c>
      <c r="BV61" s="68" t="str">
        <f>IF('Marks Entry'!AK61="","",'Marks Entry'!AK61)</f>
        <v/>
      </c>
      <c r="BW61" s="96" t="str">
        <f t="shared" si="30"/>
        <v/>
      </c>
      <c r="BX61" s="65">
        <f t="shared" si="31"/>
        <v>0</v>
      </c>
      <c r="BY61" s="65">
        <f t="shared" si="32"/>
        <v>0</v>
      </c>
      <c r="BZ61" s="66" t="str">
        <f t="shared" si="33"/>
        <v/>
      </c>
      <c r="CA61" s="65" t="str">
        <f t="shared" si="34"/>
        <v/>
      </c>
      <c r="CB61" s="65" t="str">
        <f t="shared" si="35"/>
        <v/>
      </c>
      <c r="CC61" s="65" t="str">
        <f t="shared" si="36"/>
        <v/>
      </c>
      <c r="CD61" s="66">
        <f t="shared" si="161"/>
        <v>0</v>
      </c>
      <c r="CE61" s="68" t="str">
        <f>IF('Marks Entry'!AL61="","",'Marks Entry'!AL61)</f>
        <v/>
      </c>
      <c r="CF61" s="68" t="str">
        <f>IF('Marks Entry'!AM61="","",'Marks Entry'!AM61)</f>
        <v/>
      </c>
      <c r="CG61" s="68" t="str">
        <f>IF('Marks Entry'!AN61="","",'Marks Entry'!AN61)</f>
        <v/>
      </c>
      <c r="CH61" s="514" t="str">
        <f t="shared" si="37"/>
        <v/>
      </c>
      <c r="CI61" s="68" t="str">
        <f>IF('Marks Entry'!AO61="","",'Marks Entry'!AO61)</f>
        <v/>
      </c>
      <c r="CJ61" s="515" t="str">
        <f t="shared" si="38"/>
        <v/>
      </c>
      <c r="CK61" s="68" t="str">
        <f>IF('Marks Entry'!AP61="","",'Marks Entry'!AP61)</f>
        <v/>
      </c>
      <c r="CL61" s="96" t="str">
        <f t="shared" si="39"/>
        <v/>
      </c>
      <c r="CM61" s="65">
        <f t="shared" si="40"/>
        <v>0</v>
      </c>
      <c r="CN61" s="65">
        <f t="shared" si="41"/>
        <v>0</v>
      </c>
      <c r="CO61" s="66" t="str">
        <f t="shared" si="42"/>
        <v/>
      </c>
      <c r="CP61" s="65" t="str">
        <f t="shared" si="43"/>
        <v/>
      </c>
      <c r="CQ61" s="65" t="str">
        <f t="shared" si="44"/>
        <v/>
      </c>
      <c r="CR61" s="65" t="str">
        <f t="shared" si="45"/>
        <v/>
      </c>
      <c r="CS61" s="616"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8" t="str">
        <f>IF('School Profile'!$D$20="NO","",IF('Marks Entry'!AR61="","",'Marks Entry'!AR61))</f>
        <v/>
      </c>
      <c r="CU61" s="68" t="str">
        <f>IF('School Profile'!$D$20="NO","",IF('Marks Entry'!AS61="","",'Marks Entry'!AS61))</f>
        <v/>
      </c>
      <c r="CV61" s="68" t="str">
        <f>IF('School Profile'!$D$20="NO","",IF('Marks Entry'!AT61="","",'Marks Entry'!AT61))</f>
        <v/>
      </c>
      <c r="CW61" s="514" t="str">
        <f>IF('School Profile'!$D$20="NO","",IF(AND(CT61="",CU61="",CV61=""),"",SUM(CT61:CV61)))</f>
        <v/>
      </c>
      <c r="CX61" s="68" t="str">
        <f>IF('School Profile'!$D$20="NO","",IF('Marks Entry'!AU61="","",'Marks Entry'!AU61))</f>
        <v/>
      </c>
      <c r="CY61" s="68" t="str">
        <f>IF('School Profile'!$D$20="NO","",IF('Marks Entry'!AV61="","",'Marks Entry'!AV61))</f>
        <v/>
      </c>
      <c r="CZ61" s="515" t="str">
        <f>IF('School Profile'!$D$20="NO","",IF(AND(CX61="",CY61=""),"",SUM(CX61,CY61)))</f>
        <v/>
      </c>
      <c r="DA61" s="69" t="str">
        <f>IF('School Profile'!$D$20="NO","",IF(AND(CW61="",CZ61=""),"",SUM(CW61+CZ61)))</f>
        <v/>
      </c>
      <c r="DB61" s="68" t="str">
        <f>IF('School Profile'!$D$20="NO","",IF('Marks Entry'!AW61="","",'Marks Entry'!AW61))</f>
        <v/>
      </c>
      <c r="DC61" s="68" t="str">
        <f>IF('School Profile'!$D$20="NO","",IF('Marks Entry'!AX61="","",'Marks Entry'!AX61))</f>
        <v/>
      </c>
      <c r="DD61" s="515" t="str">
        <f>IF('School Profile'!$D$20="NO","",IF(AND(DB61="",DC61=""),"",SUM(DB61,DC61)))</f>
        <v/>
      </c>
      <c r="DE61" s="96" t="str">
        <f>IF('School Profile'!$D$20="NO","",IF(AND(DA61="",DD61=""),"",SUM(DA61,DD61)))</f>
        <v/>
      </c>
      <c r="DF61" s="532">
        <f t="shared" si="46"/>
        <v>0</v>
      </c>
      <c r="DG61" s="65">
        <f t="shared" si="47"/>
        <v>0</v>
      </c>
      <c r="DH61" s="66" t="str">
        <f t="shared" si="48"/>
        <v/>
      </c>
      <c r="DI61" s="65" t="str">
        <f t="shared" si="49"/>
        <v/>
      </c>
      <c r="DJ61" s="65" t="str">
        <f t="shared" si="50"/>
        <v/>
      </c>
      <c r="DK61" s="65" t="str">
        <f t="shared" si="51"/>
        <v/>
      </c>
      <c r="DL61" s="97" t="str">
        <f t="shared" si="94"/>
        <v/>
      </c>
      <c r="DM61" s="97" t="str">
        <f t="shared" si="95"/>
        <v/>
      </c>
      <c r="DN61" s="97" t="str">
        <f t="shared" si="96"/>
        <v/>
      </c>
      <c r="DO61" s="97" t="str">
        <f t="shared" si="97"/>
        <v/>
      </c>
      <c r="DP61" s="97" t="str">
        <f t="shared" si="98"/>
        <v/>
      </c>
      <c r="DQ61" s="97" t="str">
        <f t="shared" si="99"/>
        <v/>
      </c>
      <c r="DR61" s="97" t="str">
        <f t="shared" si="100"/>
        <v/>
      </c>
      <c r="DS61" s="98">
        <f t="shared" si="101"/>
        <v>0</v>
      </c>
      <c r="DT61" s="98">
        <f t="shared" si="102"/>
        <v>0</v>
      </c>
      <c r="DU61" s="98">
        <f t="shared" si="103"/>
        <v>0</v>
      </c>
      <c r="DV61" s="98">
        <f t="shared" si="104"/>
        <v>0</v>
      </c>
      <c r="DW61" s="98">
        <f t="shared" si="105"/>
        <v>0</v>
      </c>
      <c r="DX61" s="98" t="str">
        <f t="shared" si="106"/>
        <v/>
      </c>
      <c r="DY61" s="99" t="str">
        <f t="shared" si="107"/>
        <v/>
      </c>
      <c r="DZ61" s="74" t="str">
        <f>IF('Marks Entry'!AY61="","",'Marks Entry'!AY61)</f>
        <v/>
      </c>
      <c r="EA61" s="74" t="str">
        <f>IF('Marks Entry'!AZ61="","",'Marks Entry'!AZ61)</f>
        <v/>
      </c>
      <c r="EB61" s="74" t="str">
        <f>IF('Marks Entry'!BA61="","",'Marks Entry'!BA61)</f>
        <v/>
      </c>
      <c r="EC61" s="527" t="str">
        <f t="shared" si="52"/>
        <v/>
      </c>
      <c r="ED61" s="74" t="str">
        <f>IF('Marks Entry'!BB61="","",'Marks Entry'!BB61)</f>
        <v/>
      </c>
      <c r="EE61" s="528" t="str">
        <f t="shared" si="53"/>
        <v/>
      </c>
      <c r="EF61" s="74" t="str">
        <f>IF('Marks Entry'!BC61="","",'Marks Entry'!BC61)</f>
        <v/>
      </c>
      <c r="EG61" s="530" t="str">
        <f t="shared" si="54"/>
        <v/>
      </c>
      <c r="EH61" s="368" t="str">
        <f t="shared" si="108"/>
        <v/>
      </c>
      <c r="EI61" s="65">
        <f t="shared" si="109"/>
        <v>0</v>
      </c>
      <c r="EJ61" s="65">
        <f t="shared" si="110"/>
        <v>0</v>
      </c>
      <c r="EK61" s="66" t="str">
        <f t="shared" si="111"/>
        <v/>
      </c>
      <c r="EL61" s="74" t="str">
        <f>IF('Marks Entry'!BD61="","",'Marks Entry'!BD61)</f>
        <v/>
      </c>
      <c r="EM61" s="74" t="str">
        <f>IF('Marks Entry'!BE61="","",'Marks Entry'!BE61)</f>
        <v/>
      </c>
      <c r="EN61" s="74" t="str">
        <f>IF('Marks Entry'!BF61="","",'Marks Entry'!BF61)</f>
        <v/>
      </c>
      <c r="EO61" s="527" t="str">
        <f t="shared" si="55"/>
        <v/>
      </c>
      <c r="EP61" s="74" t="str">
        <f>IF('Marks Entry'!BG61="","",'Marks Entry'!BG61)</f>
        <v/>
      </c>
      <c r="EQ61" s="74" t="str">
        <f>IF('Marks Entry'!BH61="","",'Marks Entry'!BH61)</f>
        <v/>
      </c>
      <c r="ER61" s="528" t="str">
        <f t="shared" si="56"/>
        <v/>
      </c>
      <c r="ES61" s="529" t="str">
        <f t="shared" si="57"/>
        <v/>
      </c>
      <c r="ET61" s="74" t="str">
        <f>IF('Marks Entry'!BI61="","",'Marks Entry'!BI61)</f>
        <v/>
      </c>
      <c r="EU61" s="74" t="str">
        <f>IF('Marks Entry'!BJ61="","",'Marks Entry'!BJ61)</f>
        <v/>
      </c>
      <c r="EV61" s="528" t="str">
        <f t="shared" si="58"/>
        <v/>
      </c>
      <c r="EW61" s="530" t="str">
        <f t="shared" si="59"/>
        <v/>
      </c>
      <c r="EX61" s="368" t="str">
        <f t="shared" si="112"/>
        <v/>
      </c>
      <c r="EY61" s="65">
        <f t="shared" si="113"/>
        <v>0</v>
      </c>
      <c r="EZ61" s="65">
        <f t="shared" si="114"/>
        <v>0</v>
      </c>
      <c r="FA61" s="66" t="str">
        <f t="shared" si="115"/>
        <v/>
      </c>
      <c r="FB61" s="74" t="str">
        <f>IF('Marks Entry'!BK61="","",'Marks Entry'!BK61)</f>
        <v/>
      </c>
      <c r="FC61" s="74" t="str">
        <f>IF('Marks Entry'!BL61="","",'Marks Entry'!BL61)</f>
        <v/>
      </c>
      <c r="FD61" s="74" t="str">
        <f>IF('Marks Entry'!BM61="","",'Marks Entry'!BM61)</f>
        <v/>
      </c>
      <c r="FE61" s="74" t="str">
        <f>IF('Marks Entry'!BN61="","",'Marks Entry'!BN61)</f>
        <v/>
      </c>
      <c r="FF61" s="74" t="str">
        <f>IF('Marks Entry'!BO61="","",'Marks Entry'!BO61)</f>
        <v/>
      </c>
      <c r="FG61" s="74" t="str">
        <f>IF('Marks Entry'!BP61="","",'Marks Entry'!BP61)</f>
        <v/>
      </c>
      <c r="FH61" s="527" t="str">
        <f t="shared" si="60"/>
        <v/>
      </c>
      <c r="FI61" s="74" t="str">
        <f>IF('Marks Entry'!BQ61="","",'Marks Entry'!BQ61)</f>
        <v/>
      </c>
      <c r="FJ61" s="74" t="str">
        <f>IF('Marks Entry'!BR61="","",'Marks Entry'!BR61)</f>
        <v/>
      </c>
      <c r="FK61" s="528" t="str">
        <f t="shared" si="61"/>
        <v/>
      </c>
      <c r="FL61" s="529" t="str">
        <f t="shared" si="62"/>
        <v/>
      </c>
      <c r="FM61" s="74" t="str">
        <f>IF('Marks Entry'!BS61="","",'Marks Entry'!BS61)</f>
        <v/>
      </c>
      <c r="FN61" s="74" t="str">
        <f>IF('Marks Entry'!BT61="","",'Marks Entry'!BT61)</f>
        <v/>
      </c>
      <c r="FO61" s="528" t="str">
        <f t="shared" si="63"/>
        <v/>
      </c>
      <c r="FP61" s="530" t="str">
        <f t="shared" si="64"/>
        <v/>
      </c>
      <c r="FQ61" s="368" t="str">
        <f t="shared" si="116"/>
        <v/>
      </c>
      <c r="FR61" s="65">
        <f t="shared" si="117"/>
        <v>0</v>
      </c>
      <c r="FS61" s="65">
        <f t="shared" si="118"/>
        <v>0</v>
      </c>
      <c r="FT61" s="66" t="str">
        <f t="shared" si="119"/>
        <v/>
      </c>
      <c r="FU61" s="74" t="str">
        <f>IF('Marks Entry'!BU61="","",'Marks Entry'!BU61)</f>
        <v/>
      </c>
      <c r="FV61" s="74" t="str">
        <f>IF('Marks Entry'!BV61="","",'Marks Entry'!BV61)</f>
        <v/>
      </c>
      <c r="FW61" s="74" t="str">
        <f>IF('Marks Entry'!BW61="","",'Marks Entry'!BW61)</f>
        <v/>
      </c>
      <c r="FX61" s="75" t="str">
        <f t="shared" si="65"/>
        <v/>
      </c>
      <c r="FY61" s="368" t="str">
        <f t="shared" si="120"/>
        <v/>
      </c>
      <c r="FZ61" s="65">
        <f t="shared" si="121"/>
        <v>0</v>
      </c>
      <c r="GA61" s="66">
        <f t="shared" si="122"/>
        <v>0</v>
      </c>
      <c r="GB61" s="66" t="str">
        <f t="shared" si="123"/>
        <v/>
      </c>
      <c r="GC61" s="74" t="str">
        <f>IF('Marks Entry'!BX61="","",'Marks Entry'!BX61)</f>
        <v/>
      </c>
      <c r="GD61" s="74" t="str">
        <f>IF('Marks Entry'!BY61="","",'Marks Entry'!BY61)</f>
        <v/>
      </c>
      <c r="GE61" s="74" t="str">
        <f>IF('Marks Entry'!BZ61="","",'Marks Entry'!BZ61)</f>
        <v/>
      </c>
      <c r="GF61" s="75" t="str">
        <f t="shared" si="124"/>
        <v/>
      </c>
      <c r="GG61" s="368" t="str">
        <f t="shared" si="125"/>
        <v/>
      </c>
      <c r="GH61" s="65">
        <f t="shared" si="126"/>
        <v>0</v>
      </c>
      <c r="GI61" s="66">
        <f t="shared" si="127"/>
        <v>0</v>
      </c>
      <c r="GJ61" s="66" t="str">
        <f t="shared" si="128"/>
        <v/>
      </c>
      <c r="GK61" s="100" t="str">
        <f>IF(AND(F61="",B61=""),"",IF('Student DATA Entry'!M58="","",'Student DATA Entry'!M58))</f>
        <v/>
      </c>
      <c r="GL61" s="101" t="str">
        <f>IF(AND(B61="",F61=""),"",IF('Student DATA Entry'!N58="","",'Student DATA Entry'!N58))</f>
        <v/>
      </c>
      <c r="GM61" s="581" t="str">
        <f t="shared" si="129"/>
        <v/>
      </c>
      <c r="GN61" s="94" t="str">
        <f t="shared" si="130"/>
        <v/>
      </c>
      <c r="GO61" s="94" t="str">
        <f t="shared" si="131"/>
        <v/>
      </c>
      <c r="GP61" s="102" t="str">
        <f t="shared" si="162"/>
        <v/>
      </c>
      <c r="GQ61" s="94" t="str">
        <f t="shared" si="132"/>
        <v/>
      </c>
      <c r="GR61" s="103" t="str">
        <f t="shared" si="133"/>
        <v/>
      </c>
      <c r="GS61" s="102" t="str">
        <f t="shared" si="163"/>
        <v/>
      </c>
      <c r="GT61" s="104" t="str">
        <f t="shared" si="134"/>
        <v/>
      </c>
      <c r="GU61" s="94" t="str">
        <f>IF('Marks Entry'!V61=1,GT61,"")</f>
        <v/>
      </c>
      <c r="GV61" s="94" t="str">
        <f>IF('Marks Entry'!V61=2,GT61,"")</f>
        <v/>
      </c>
      <c r="GW61" s="94" t="str">
        <f>IF('Marks Entry'!V61=3,GT61,"")</f>
        <v/>
      </c>
      <c r="GX61" s="94" t="str">
        <f>IF('Marks Entry'!V61=4,GT61,"")</f>
        <v/>
      </c>
      <c r="GY61" s="94" t="str">
        <f>IF('Marks Entry'!V61=5,GT61,"")</f>
        <v/>
      </c>
      <c r="GZ61" s="94" t="str">
        <f t="shared" si="135"/>
        <v/>
      </c>
      <c r="HA61" s="105" t="str">
        <f t="shared" si="164"/>
        <v/>
      </c>
      <c r="HB61" s="94" t="str">
        <f t="shared" si="136"/>
        <v/>
      </c>
      <c r="HC61" s="94" t="str">
        <f t="shared" si="137"/>
        <v/>
      </c>
      <c r="HD61" s="105" t="str">
        <f t="shared" si="165"/>
        <v/>
      </c>
      <c r="HE61" s="94" t="str">
        <f t="shared" si="138"/>
        <v/>
      </c>
      <c r="HF61" s="94" t="str">
        <f t="shared" si="139"/>
        <v/>
      </c>
      <c r="HG61" s="105" t="str">
        <f t="shared" si="166"/>
        <v/>
      </c>
      <c r="HH61" s="94" t="str">
        <f t="shared" si="140"/>
        <v/>
      </c>
      <c r="HI61" s="94" t="str">
        <f t="shared" si="141"/>
        <v/>
      </c>
      <c r="HJ61" s="105" t="str">
        <f t="shared" si="167"/>
        <v/>
      </c>
      <c r="HK61" s="94" t="str">
        <f t="shared" si="142"/>
        <v/>
      </c>
      <c r="HL61" s="94" t="str">
        <f t="shared" si="143"/>
        <v/>
      </c>
      <c r="HM61" s="105" t="str">
        <f t="shared" si="168"/>
        <v/>
      </c>
      <c r="HN61" s="367" t="str">
        <f t="shared" si="144"/>
        <v xml:space="preserve">      </v>
      </c>
      <c r="HO61" s="418" t="str">
        <f t="shared" si="169"/>
        <v xml:space="preserve">      </v>
      </c>
      <c r="HP61" s="367" t="str">
        <f t="shared" si="146"/>
        <v xml:space="preserve">      </v>
      </c>
      <c r="HQ61" s="107" t="str">
        <f t="shared" si="147"/>
        <v xml:space="preserve">      </v>
      </c>
      <c r="HR61" s="366" t="str">
        <f t="shared" si="148"/>
        <v xml:space="preserve">      </v>
      </c>
      <c r="HS61" s="544" t="str">
        <f t="shared" si="170"/>
        <v/>
      </c>
      <c r="HT61" s="542" t="str">
        <f t="shared" si="149"/>
        <v/>
      </c>
      <c r="HU61" s="541" t="str">
        <f t="shared" si="160"/>
        <v/>
      </c>
      <c r="HV61" s="540" t="str">
        <f t="shared" si="150"/>
        <v/>
      </c>
      <c r="HW61" s="537" t="str">
        <f t="shared" si="151"/>
        <v/>
      </c>
      <c r="HX61" s="539" t="str">
        <f t="shared" si="152"/>
        <v/>
      </c>
      <c r="HY61" s="553" t="str">
        <f>IFERROR(IF(OR(HS61="SUPPLEMENTARY",HS61="RE-EXAM"),'Supp. Result Entry'!AQ59,""),"")</f>
        <v/>
      </c>
      <c r="HZ61" s="538" t="str">
        <f t="shared" si="153"/>
        <v/>
      </c>
      <c r="IA61" s="415" t="str">
        <f t="shared" si="154"/>
        <v/>
      </c>
      <c r="IB61" s="415" t="str">
        <f>IF(AND(HZ61="",IA61=""),"",IF(OR(HS61="SUPPLEMENTARY",HS61="RE-EXAM"),'Supp. Result Entry'!AQ59,HS61))</f>
        <v/>
      </c>
      <c r="IC61" s="87"/>
      <c r="IS61" s="109" t="str">
        <f>IF('Supp. Result Entry'!T59="","",'Supp. Result Entry'!$T$4)</f>
        <v/>
      </c>
      <c r="IT61" s="110" t="str">
        <f>IF('Supp. Result Entry'!W59="","",'Supp. Result Entry'!$W$4)</f>
        <v/>
      </c>
      <c r="IU61" s="110" t="str">
        <f>IF('Supp. Result Entry'!Z59="","",'Supp. Result Entry'!$Z$4)</f>
        <v/>
      </c>
      <c r="IV61" s="110" t="str">
        <f>IF('Supp. Result Entry'!AC59="","",'Supp. Result Entry'!$AC$4)</f>
        <v/>
      </c>
      <c r="IW61" s="110" t="str">
        <f>IF('Supp. Result Entry'!AF59="","",'Supp. Result Entry'!$AF$4)</f>
        <v/>
      </c>
      <c r="IX61" s="110" t="str">
        <f>IF('Supp. Result Entry'!AI59="","",'Supp. Result Entry'!$AI$4)</f>
        <v/>
      </c>
      <c r="IY61" s="110" t="str">
        <f>IF('Supp. Result Entry'!AI59="","",'Supp. Result Entry'!$AL$4)</f>
        <v/>
      </c>
      <c r="IZ61" s="110" t="str">
        <f>IF('Supp. Result Entry'!U59="","",'Supp. Result Entry'!U59)</f>
        <v/>
      </c>
      <c r="JA61" s="110" t="str">
        <f>IF('Supp. Result Entry'!X59="","",'Supp. Result Entry'!X59)</f>
        <v/>
      </c>
      <c r="JB61" s="110" t="str">
        <f>IF('Supp. Result Entry'!AA59="","",'Supp. Result Entry'!AA59)</f>
        <v/>
      </c>
      <c r="JC61" s="110" t="str">
        <f>IF('Supp. Result Entry'!AD59="","",'Supp. Result Entry'!AD59)</f>
        <v/>
      </c>
      <c r="JD61" s="110" t="str">
        <f>IF('Supp. Result Entry'!AG59="","",'Supp. Result Entry'!AG59)</f>
        <v/>
      </c>
      <c r="JE61" s="110" t="str">
        <f>IF('Supp. Result Entry'!AJ59="","",'Supp. Result Entry'!AJ59)</f>
        <v/>
      </c>
      <c r="JF61" s="110" t="str">
        <f>IF('Supp. Result Entry'!AM59="","",'Supp. Result Entry'!AM59)</f>
        <v/>
      </c>
      <c r="JG61" s="110" t="str">
        <f>IF('Supp. Result Entry'!V59="","",'Supp. Result Entry'!V59)</f>
        <v/>
      </c>
      <c r="JH61" s="110" t="str">
        <f>IF('Supp. Result Entry'!Y59="","",'Supp. Result Entry'!Y59)</f>
        <v/>
      </c>
      <c r="JI61" s="110" t="str">
        <f>IF('Supp. Result Entry'!AB59="","",'Supp. Result Entry'!AB59)</f>
        <v/>
      </c>
      <c r="JJ61" s="110" t="str">
        <f>IF('Supp. Result Entry'!AE59="","",'Supp. Result Entry'!AE59)</f>
        <v/>
      </c>
      <c r="JK61" s="110" t="str">
        <f>IF('Supp. Result Entry'!AH59="","",'Supp. Result Entry'!AH59)</f>
        <v/>
      </c>
      <c r="JL61" s="110" t="str">
        <f>IF('Supp. Result Entry'!AK59="","",'Supp. Result Entry'!AK59)</f>
        <v/>
      </c>
      <c r="JM61" s="110" t="str">
        <f>IF('Supp. Result Entry'!AN59="","",'Supp. Result Entry'!AN59)</f>
        <v/>
      </c>
      <c r="JN61" s="110">
        <f>COUNTIF('Supp. Result Entry'!K59:Q59,"S")</f>
        <v>0</v>
      </c>
      <c r="JO61" s="110">
        <f t="shared" si="155"/>
        <v>0</v>
      </c>
      <c r="JP61" s="110">
        <f t="shared" si="156"/>
        <v>0</v>
      </c>
      <c r="JQ61" s="110" t="str">
        <f t="shared" si="75"/>
        <v/>
      </c>
      <c r="JR61" s="110" t="str">
        <f t="shared" si="76"/>
        <v/>
      </c>
      <c r="JS61" s="110" t="str">
        <f t="shared" si="77"/>
        <v/>
      </c>
      <c r="JT61" s="110" t="str">
        <f t="shared" si="78"/>
        <v/>
      </c>
      <c r="JU61" s="110" t="str">
        <f t="shared" si="79"/>
        <v/>
      </c>
      <c r="JV61" s="110" t="str">
        <f t="shared" si="80"/>
        <v/>
      </c>
      <c r="JW61" s="110" t="str">
        <f t="shared" si="81"/>
        <v/>
      </c>
      <c r="JX61" s="110" t="str">
        <f t="shared" si="157"/>
        <v/>
      </c>
      <c r="JY61" s="110" t="str">
        <f t="shared" si="158"/>
        <v/>
      </c>
      <c r="JZ61" s="110" t="str">
        <f t="shared" si="82"/>
        <v/>
      </c>
      <c r="KA61" s="108" t="str">
        <f t="shared" si="159"/>
        <v/>
      </c>
    </row>
    <row r="62" spans="1:287" s="108" customFormat="1" ht="21.95" customHeight="1">
      <c r="A62" s="89">
        <v>56</v>
      </c>
      <c r="B62" s="90" t="str">
        <f>IF('Marks Entry'!B62="","",'Marks Entry'!B62)</f>
        <v/>
      </c>
      <c r="C62" s="94" t="str">
        <f>IF('Marks Entry'!D62="","",'Marks Entry'!D62)</f>
        <v/>
      </c>
      <c r="D62" s="91" t="str">
        <f>IF('Marks Entry'!E62="","",'Marks Entry'!E62)</f>
        <v/>
      </c>
      <c r="E62" s="92" t="str">
        <f>IF('Marks Entry'!F62="","",'Marks Entry'!F62)</f>
        <v/>
      </c>
      <c r="F62" s="93" t="str">
        <f>IF('Marks Entry'!G62="","",'Marks Entry'!G62)</f>
        <v/>
      </c>
      <c r="G62" s="93" t="str">
        <f>IF('Marks Entry'!H62="","",'Marks Entry'!H62)</f>
        <v/>
      </c>
      <c r="H62" s="93" t="str">
        <f>IF('Marks Entry'!I62="","",'Marks Entry'!I62)</f>
        <v/>
      </c>
      <c r="I62" s="94" t="str">
        <f>IF('Marks Entry'!J62="","",'Marks Entry'!J62)</f>
        <v/>
      </c>
      <c r="J62" s="95" t="str">
        <f>IF('Marks Entry'!K62="","",'Marks Entry'!K62)</f>
        <v/>
      </c>
      <c r="K62" s="68" t="str">
        <f>IF('Marks Entry'!L62="","",'Marks Entry'!L62)</f>
        <v/>
      </c>
      <c r="L62" s="68" t="str">
        <f>IF('Marks Entry'!M62="","",'Marks Entry'!M62)</f>
        <v/>
      </c>
      <c r="M62" s="68" t="str">
        <f>IF('Marks Entry'!N62="","",'Marks Entry'!N62)</f>
        <v/>
      </c>
      <c r="N62" s="514" t="str">
        <f t="shared" si="83"/>
        <v/>
      </c>
      <c r="O62" s="68" t="str">
        <f>IF('Marks Entry'!O62="","",'Marks Entry'!O62)</f>
        <v/>
      </c>
      <c r="P62" s="515" t="str">
        <f t="shared" si="84"/>
        <v/>
      </c>
      <c r="Q62" s="68" t="str">
        <f>IF('Marks Entry'!P62="","",'Marks Entry'!P62)</f>
        <v/>
      </c>
      <c r="R62" s="96" t="str">
        <f t="shared" si="85"/>
        <v/>
      </c>
      <c r="S62" s="65">
        <f t="shared" si="86"/>
        <v>0</v>
      </c>
      <c r="T62" s="65">
        <f t="shared" si="87"/>
        <v>0</v>
      </c>
      <c r="U62" s="66" t="str">
        <f t="shared" si="88"/>
        <v/>
      </c>
      <c r="V62" s="65" t="str">
        <f t="shared" si="89"/>
        <v/>
      </c>
      <c r="W62" s="65" t="str">
        <f t="shared" si="90"/>
        <v/>
      </c>
      <c r="X62" s="65" t="str">
        <f t="shared" si="91"/>
        <v/>
      </c>
      <c r="Y62" s="68" t="str">
        <f>IF('Marks Entry'!Q62="","",'Marks Entry'!Q62)</f>
        <v/>
      </c>
      <c r="Z62" s="68" t="str">
        <f>IF('Marks Entry'!R62="","",'Marks Entry'!R62)</f>
        <v/>
      </c>
      <c r="AA62" s="68" t="str">
        <f>IF('Marks Entry'!S62="","",'Marks Entry'!S62)</f>
        <v/>
      </c>
      <c r="AB62" s="514" t="str">
        <f t="shared" si="2"/>
        <v/>
      </c>
      <c r="AC62" s="68" t="str">
        <f>IF('Marks Entry'!T62="","",'Marks Entry'!T62)</f>
        <v/>
      </c>
      <c r="AD62" s="515" t="str">
        <f t="shared" si="3"/>
        <v/>
      </c>
      <c r="AE62" s="68" t="str">
        <f>IF('Marks Entry'!U62="","",'Marks Entry'!U62)</f>
        <v/>
      </c>
      <c r="AF62" s="96" t="str">
        <f t="shared" si="4"/>
        <v/>
      </c>
      <c r="AG62" s="65">
        <f t="shared" si="5"/>
        <v>0</v>
      </c>
      <c r="AH62" s="65">
        <f t="shared" si="6"/>
        <v>0</v>
      </c>
      <c r="AI62" s="66" t="str">
        <f t="shared" si="7"/>
        <v/>
      </c>
      <c r="AJ62" s="65" t="str">
        <f t="shared" si="8"/>
        <v/>
      </c>
      <c r="AK62" s="65" t="str">
        <f t="shared" si="9"/>
        <v/>
      </c>
      <c r="AL62" s="65" t="str">
        <f t="shared" si="10"/>
        <v/>
      </c>
      <c r="AM62" s="524" t="str">
        <f>IF('Marks Entry'!V62="","",IF('Marks Entry'!V62=1,'School Profile'!$I$9,IF('Marks Entry'!V62=2,'School Profile'!$I$10,IF('Marks Entry'!V62=3,'School Profile'!$I$11,IF('Marks Entry'!V62=4,'School Profile'!$I$12,IF('Marks Entry'!V62=5,'School Profile'!$I$13,IF('Marks Entry'!V62=6,'School Profile'!$I$14,"")))))))</f>
        <v/>
      </c>
      <c r="AN62" s="68" t="str">
        <f>IF('Marks Entry'!W62="","",'Marks Entry'!W62)</f>
        <v/>
      </c>
      <c r="AO62" s="68" t="str">
        <f>IF('Marks Entry'!X62="","",'Marks Entry'!X62)</f>
        <v/>
      </c>
      <c r="AP62" s="68" t="str">
        <f>IF('Marks Entry'!Y62="","",'Marks Entry'!Y62)</f>
        <v/>
      </c>
      <c r="AQ62" s="514" t="str">
        <f t="shared" si="11"/>
        <v/>
      </c>
      <c r="AR62" s="68" t="str">
        <f>IF('Marks Entry'!Z62="","",'Marks Entry'!Z62)</f>
        <v/>
      </c>
      <c r="AS62" s="515" t="str">
        <f t="shared" si="12"/>
        <v/>
      </c>
      <c r="AT62" s="68" t="str">
        <f>IF('Marks Entry'!AA62="","",'Marks Entry'!AA62)</f>
        <v/>
      </c>
      <c r="AU62" s="96" t="str">
        <f t="shared" si="13"/>
        <v/>
      </c>
      <c r="AV62" s="65">
        <f t="shared" si="14"/>
        <v>0</v>
      </c>
      <c r="AW62" s="65">
        <f t="shared" si="15"/>
        <v>0</v>
      </c>
      <c r="AX62" s="66" t="str">
        <f t="shared" si="16"/>
        <v/>
      </c>
      <c r="AY62" s="65" t="str">
        <f t="shared" si="17"/>
        <v/>
      </c>
      <c r="AZ62" s="65" t="str">
        <f t="shared" si="18"/>
        <v/>
      </c>
      <c r="BA62" s="65" t="str">
        <f t="shared" si="19"/>
        <v/>
      </c>
      <c r="BB62" s="68" t="str">
        <f>IF('Marks Entry'!AB62="","",'Marks Entry'!AB62)</f>
        <v/>
      </c>
      <c r="BC62" s="68" t="str">
        <f>IF('Marks Entry'!AC62="","",'Marks Entry'!AC62)</f>
        <v/>
      </c>
      <c r="BD62" s="68" t="str">
        <f>IF('Marks Entry'!AD62="","",'Marks Entry'!AD62)</f>
        <v/>
      </c>
      <c r="BE62" s="514" t="str">
        <f t="shared" si="20"/>
        <v/>
      </c>
      <c r="BF62" s="68" t="str">
        <f>IF('Marks Entry'!AE62="","",'Marks Entry'!AE62)</f>
        <v/>
      </c>
      <c r="BG62" s="515" t="str">
        <f t="shared" si="21"/>
        <v/>
      </c>
      <c r="BH62" s="68" t="str">
        <f>IF('Marks Entry'!AF62="","",'Marks Entry'!AF62)</f>
        <v/>
      </c>
      <c r="BI62" s="96" t="str">
        <f t="shared" si="22"/>
        <v/>
      </c>
      <c r="BJ62" s="65">
        <f t="shared" si="23"/>
        <v>0</v>
      </c>
      <c r="BK62" s="65">
        <f t="shared" si="92"/>
        <v>0</v>
      </c>
      <c r="BL62" s="66" t="str">
        <f t="shared" si="24"/>
        <v/>
      </c>
      <c r="BM62" s="65" t="str">
        <f t="shared" si="25"/>
        <v/>
      </c>
      <c r="BN62" s="65" t="str">
        <f t="shared" si="26"/>
        <v/>
      </c>
      <c r="BO62" s="65" t="str">
        <f t="shared" si="27"/>
        <v/>
      </c>
      <c r="BP62" s="68" t="str">
        <f>IF('Marks Entry'!AG62="","",'Marks Entry'!AG62)</f>
        <v/>
      </c>
      <c r="BQ62" s="68" t="str">
        <f>IF('Marks Entry'!AH62="","",'Marks Entry'!AH62)</f>
        <v/>
      </c>
      <c r="BR62" s="68" t="str">
        <f>IF('Marks Entry'!AI62="","",'Marks Entry'!AI62)</f>
        <v/>
      </c>
      <c r="BS62" s="514" t="str">
        <f t="shared" si="28"/>
        <v/>
      </c>
      <c r="BT62" s="68" t="str">
        <f>IF('Marks Entry'!AJ62="","",'Marks Entry'!AJ62)</f>
        <v/>
      </c>
      <c r="BU62" s="515" t="str">
        <f t="shared" si="29"/>
        <v/>
      </c>
      <c r="BV62" s="68" t="str">
        <f>IF('Marks Entry'!AK62="","",'Marks Entry'!AK62)</f>
        <v/>
      </c>
      <c r="BW62" s="96" t="str">
        <f t="shared" si="30"/>
        <v/>
      </c>
      <c r="BX62" s="65">
        <f t="shared" si="31"/>
        <v>0</v>
      </c>
      <c r="BY62" s="65">
        <f t="shared" si="32"/>
        <v>0</v>
      </c>
      <c r="BZ62" s="66" t="str">
        <f t="shared" si="33"/>
        <v/>
      </c>
      <c r="CA62" s="65" t="str">
        <f t="shared" si="34"/>
        <v/>
      </c>
      <c r="CB62" s="65" t="str">
        <f t="shared" si="35"/>
        <v/>
      </c>
      <c r="CC62" s="65" t="str">
        <f t="shared" si="36"/>
        <v/>
      </c>
      <c r="CD62" s="66">
        <f t="shared" si="161"/>
        <v>0</v>
      </c>
      <c r="CE62" s="68" t="str">
        <f>IF('Marks Entry'!AL62="","",'Marks Entry'!AL62)</f>
        <v/>
      </c>
      <c r="CF62" s="68" t="str">
        <f>IF('Marks Entry'!AM62="","",'Marks Entry'!AM62)</f>
        <v/>
      </c>
      <c r="CG62" s="68" t="str">
        <f>IF('Marks Entry'!AN62="","",'Marks Entry'!AN62)</f>
        <v/>
      </c>
      <c r="CH62" s="514" t="str">
        <f t="shared" si="37"/>
        <v/>
      </c>
      <c r="CI62" s="68" t="str">
        <f>IF('Marks Entry'!AO62="","",'Marks Entry'!AO62)</f>
        <v/>
      </c>
      <c r="CJ62" s="515" t="str">
        <f t="shared" si="38"/>
        <v/>
      </c>
      <c r="CK62" s="68" t="str">
        <f>IF('Marks Entry'!AP62="","",'Marks Entry'!AP62)</f>
        <v/>
      </c>
      <c r="CL62" s="96" t="str">
        <f t="shared" si="39"/>
        <v/>
      </c>
      <c r="CM62" s="65">
        <f t="shared" si="40"/>
        <v>0</v>
      </c>
      <c r="CN62" s="65">
        <f t="shared" si="41"/>
        <v>0</v>
      </c>
      <c r="CO62" s="66" t="str">
        <f t="shared" si="42"/>
        <v/>
      </c>
      <c r="CP62" s="65" t="str">
        <f t="shared" si="43"/>
        <v/>
      </c>
      <c r="CQ62" s="65" t="str">
        <f t="shared" si="44"/>
        <v/>
      </c>
      <c r="CR62" s="65" t="str">
        <f t="shared" si="45"/>
        <v/>
      </c>
      <c r="CS62" s="616"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8" t="str">
        <f>IF('School Profile'!$D$20="NO","",IF('Marks Entry'!AR62="","",'Marks Entry'!AR62))</f>
        <v/>
      </c>
      <c r="CU62" s="68" t="str">
        <f>IF('School Profile'!$D$20="NO","",IF('Marks Entry'!AS62="","",'Marks Entry'!AS62))</f>
        <v/>
      </c>
      <c r="CV62" s="68" t="str">
        <f>IF('School Profile'!$D$20="NO","",IF('Marks Entry'!AT62="","",'Marks Entry'!AT62))</f>
        <v/>
      </c>
      <c r="CW62" s="514" t="str">
        <f>IF('School Profile'!$D$20="NO","",IF(AND(CT62="",CU62="",CV62=""),"",SUM(CT62:CV62)))</f>
        <v/>
      </c>
      <c r="CX62" s="68" t="str">
        <f>IF('School Profile'!$D$20="NO","",IF('Marks Entry'!AU62="","",'Marks Entry'!AU62))</f>
        <v/>
      </c>
      <c r="CY62" s="68" t="str">
        <f>IF('School Profile'!$D$20="NO","",IF('Marks Entry'!AV62="","",'Marks Entry'!AV62))</f>
        <v/>
      </c>
      <c r="CZ62" s="515" t="str">
        <f>IF('School Profile'!$D$20="NO","",IF(AND(CX62="",CY62=""),"",SUM(CX62,CY62)))</f>
        <v/>
      </c>
      <c r="DA62" s="69" t="str">
        <f>IF('School Profile'!$D$20="NO","",IF(AND(CW62="",CZ62=""),"",SUM(CW62+CZ62)))</f>
        <v/>
      </c>
      <c r="DB62" s="68" t="str">
        <f>IF('School Profile'!$D$20="NO","",IF('Marks Entry'!AW62="","",'Marks Entry'!AW62))</f>
        <v/>
      </c>
      <c r="DC62" s="68" t="str">
        <f>IF('School Profile'!$D$20="NO","",IF('Marks Entry'!AX62="","",'Marks Entry'!AX62))</f>
        <v/>
      </c>
      <c r="DD62" s="515" t="str">
        <f>IF('School Profile'!$D$20="NO","",IF(AND(DB62="",DC62=""),"",SUM(DB62,DC62)))</f>
        <v/>
      </c>
      <c r="DE62" s="96" t="str">
        <f>IF('School Profile'!$D$20="NO","",IF(AND(DA62="",DD62=""),"",SUM(DA62,DD62)))</f>
        <v/>
      </c>
      <c r="DF62" s="532">
        <f t="shared" si="46"/>
        <v>0</v>
      </c>
      <c r="DG62" s="65">
        <f t="shared" si="47"/>
        <v>0</v>
      </c>
      <c r="DH62" s="66" t="str">
        <f t="shared" si="48"/>
        <v/>
      </c>
      <c r="DI62" s="65" t="str">
        <f t="shared" si="49"/>
        <v/>
      </c>
      <c r="DJ62" s="65" t="str">
        <f t="shared" si="50"/>
        <v/>
      </c>
      <c r="DK62" s="65" t="str">
        <f t="shared" si="51"/>
        <v/>
      </c>
      <c r="DL62" s="97" t="str">
        <f t="shared" si="94"/>
        <v/>
      </c>
      <c r="DM62" s="97" t="str">
        <f t="shared" si="95"/>
        <v/>
      </c>
      <c r="DN62" s="97" t="str">
        <f t="shared" si="96"/>
        <v/>
      </c>
      <c r="DO62" s="97" t="str">
        <f t="shared" si="97"/>
        <v/>
      </c>
      <c r="DP62" s="97" t="str">
        <f t="shared" si="98"/>
        <v/>
      </c>
      <c r="DQ62" s="97" t="str">
        <f t="shared" si="99"/>
        <v/>
      </c>
      <c r="DR62" s="97" t="str">
        <f t="shared" si="100"/>
        <v/>
      </c>
      <c r="DS62" s="98">
        <f t="shared" si="101"/>
        <v>0</v>
      </c>
      <c r="DT62" s="98">
        <f t="shared" si="102"/>
        <v>0</v>
      </c>
      <c r="DU62" s="98">
        <f t="shared" si="103"/>
        <v>0</v>
      </c>
      <c r="DV62" s="98">
        <f t="shared" si="104"/>
        <v>0</v>
      </c>
      <c r="DW62" s="98">
        <f t="shared" si="105"/>
        <v>0</v>
      </c>
      <c r="DX62" s="98" t="str">
        <f t="shared" si="106"/>
        <v/>
      </c>
      <c r="DY62" s="99" t="str">
        <f t="shared" si="107"/>
        <v/>
      </c>
      <c r="DZ62" s="74" t="str">
        <f>IF('Marks Entry'!AY62="","",'Marks Entry'!AY62)</f>
        <v/>
      </c>
      <c r="EA62" s="74" t="str">
        <f>IF('Marks Entry'!AZ62="","",'Marks Entry'!AZ62)</f>
        <v/>
      </c>
      <c r="EB62" s="74" t="str">
        <f>IF('Marks Entry'!BA62="","",'Marks Entry'!BA62)</f>
        <v/>
      </c>
      <c r="EC62" s="527" t="str">
        <f t="shared" si="52"/>
        <v/>
      </c>
      <c r="ED62" s="74" t="str">
        <f>IF('Marks Entry'!BB62="","",'Marks Entry'!BB62)</f>
        <v/>
      </c>
      <c r="EE62" s="528" t="str">
        <f t="shared" si="53"/>
        <v/>
      </c>
      <c r="EF62" s="74" t="str">
        <f>IF('Marks Entry'!BC62="","",'Marks Entry'!BC62)</f>
        <v/>
      </c>
      <c r="EG62" s="530" t="str">
        <f t="shared" si="54"/>
        <v/>
      </c>
      <c r="EH62" s="368" t="str">
        <f t="shared" si="108"/>
        <v/>
      </c>
      <c r="EI62" s="65">
        <f t="shared" si="109"/>
        <v>0</v>
      </c>
      <c r="EJ62" s="65">
        <f t="shared" si="110"/>
        <v>0</v>
      </c>
      <c r="EK62" s="66" t="str">
        <f t="shared" si="111"/>
        <v/>
      </c>
      <c r="EL62" s="74" t="str">
        <f>IF('Marks Entry'!BD62="","",'Marks Entry'!BD62)</f>
        <v/>
      </c>
      <c r="EM62" s="74" t="str">
        <f>IF('Marks Entry'!BE62="","",'Marks Entry'!BE62)</f>
        <v/>
      </c>
      <c r="EN62" s="74" t="str">
        <f>IF('Marks Entry'!BF62="","",'Marks Entry'!BF62)</f>
        <v/>
      </c>
      <c r="EO62" s="527" t="str">
        <f t="shared" si="55"/>
        <v/>
      </c>
      <c r="EP62" s="74" t="str">
        <f>IF('Marks Entry'!BG62="","",'Marks Entry'!BG62)</f>
        <v/>
      </c>
      <c r="EQ62" s="74" t="str">
        <f>IF('Marks Entry'!BH62="","",'Marks Entry'!BH62)</f>
        <v/>
      </c>
      <c r="ER62" s="528" t="str">
        <f t="shared" si="56"/>
        <v/>
      </c>
      <c r="ES62" s="529" t="str">
        <f t="shared" si="57"/>
        <v/>
      </c>
      <c r="ET62" s="74" t="str">
        <f>IF('Marks Entry'!BI62="","",'Marks Entry'!BI62)</f>
        <v/>
      </c>
      <c r="EU62" s="74" t="str">
        <f>IF('Marks Entry'!BJ62="","",'Marks Entry'!BJ62)</f>
        <v/>
      </c>
      <c r="EV62" s="528" t="str">
        <f t="shared" si="58"/>
        <v/>
      </c>
      <c r="EW62" s="530" t="str">
        <f t="shared" si="59"/>
        <v/>
      </c>
      <c r="EX62" s="368" t="str">
        <f t="shared" si="112"/>
        <v/>
      </c>
      <c r="EY62" s="65">
        <f t="shared" si="113"/>
        <v>0</v>
      </c>
      <c r="EZ62" s="65">
        <f t="shared" si="114"/>
        <v>0</v>
      </c>
      <c r="FA62" s="66" t="str">
        <f t="shared" si="115"/>
        <v/>
      </c>
      <c r="FB62" s="74" t="str">
        <f>IF('Marks Entry'!BK62="","",'Marks Entry'!BK62)</f>
        <v/>
      </c>
      <c r="FC62" s="74" t="str">
        <f>IF('Marks Entry'!BL62="","",'Marks Entry'!BL62)</f>
        <v/>
      </c>
      <c r="FD62" s="74" t="str">
        <f>IF('Marks Entry'!BM62="","",'Marks Entry'!BM62)</f>
        <v/>
      </c>
      <c r="FE62" s="74" t="str">
        <f>IF('Marks Entry'!BN62="","",'Marks Entry'!BN62)</f>
        <v/>
      </c>
      <c r="FF62" s="74" t="str">
        <f>IF('Marks Entry'!BO62="","",'Marks Entry'!BO62)</f>
        <v/>
      </c>
      <c r="FG62" s="74" t="str">
        <f>IF('Marks Entry'!BP62="","",'Marks Entry'!BP62)</f>
        <v/>
      </c>
      <c r="FH62" s="527" t="str">
        <f t="shared" si="60"/>
        <v/>
      </c>
      <c r="FI62" s="74" t="str">
        <f>IF('Marks Entry'!BQ62="","",'Marks Entry'!BQ62)</f>
        <v/>
      </c>
      <c r="FJ62" s="74" t="str">
        <f>IF('Marks Entry'!BR62="","",'Marks Entry'!BR62)</f>
        <v/>
      </c>
      <c r="FK62" s="528" t="str">
        <f t="shared" si="61"/>
        <v/>
      </c>
      <c r="FL62" s="529" t="str">
        <f t="shared" si="62"/>
        <v/>
      </c>
      <c r="FM62" s="74" t="str">
        <f>IF('Marks Entry'!BS62="","",'Marks Entry'!BS62)</f>
        <v/>
      </c>
      <c r="FN62" s="74" t="str">
        <f>IF('Marks Entry'!BT62="","",'Marks Entry'!BT62)</f>
        <v/>
      </c>
      <c r="FO62" s="528" t="str">
        <f t="shared" si="63"/>
        <v/>
      </c>
      <c r="FP62" s="530" t="str">
        <f t="shared" si="64"/>
        <v/>
      </c>
      <c r="FQ62" s="368" t="str">
        <f t="shared" si="116"/>
        <v/>
      </c>
      <c r="FR62" s="65">
        <f t="shared" si="117"/>
        <v>0</v>
      </c>
      <c r="FS62" s="65">
        <f t="shared" si="118"/>
        <v>0</v>
      </c>
      <c r="FT62" s="66" t="str">
        <f t="shared" si="119"/>
        <v/>
      </c>
      <c r="FU62" s="74" t="str">
        <f>IF('Marks Entry'!BU62="","",'Marks Entry'!BU62)</f>
        <v/>
      </c>
      <c r="FV62" s="74" t="str">
        <f>IF('Marks Entry'!BV62="","",'Marks Entry'!BV62)</f>
        <v/>
      </c>
      <c r="FW62" s="74" t="str">
        <f>IF('Marks Entry'!BW62="","",'Marks Entry'!BW62)</f>
        <v/>
      </c>
      <c r="FX62" s="75" t="str">
        <f t="shared" si="65"/>
        <v/>
      </c>
      <c r="FY62" s="368" t="str">
        <f t="shared" si="120"/>
        <v/>
      </c>
      <c r="FZ62" s="65">
        <f t="shared" si="121"/>
        <v>0</v>
      </c>
      <c r="GA62" s="66">
        <f t="shared" si="122"/>
        <v>0</v>
      </c>
      <c r="GB62" s="66" t="str">
        <f t="shared" si="123"/>
        <v/>
      </c>
      <c r="GC62" s="74" t="str">
        <f>IF('Marks Entry'!BX62="","",'Marks Entry'!BX62)</f>
        <v/>
      </c>
      <c r="GD62" s="74" t="str">
        <f>IF('Marks Entry'!BY62="","",'Marks Entry'!BY62)</f>
        <v/>
      </c>
      <c r="GE62" s="74" t="str">
        <f>IF('Marks Entry'!BZ62="","",'Marks Entry'!BZ62)</f>
        <v/>
      </c>
      <c r="GF62" s="75" t="str">
        <f t="shared" si="124"/>
        <v/>
      </c>
      <c r="GG62" s="368" t="str">
        <f t="shared" si="125"/>
        <v/>
      </c>
      <c r="GH62" s="65">
        <f t="shared" si="126"/>
        <v>0</v>
      </c>
      <c r="GI62" s="66">
        <f t="shared" si="127"/>
        <v>0</v>
      </c>
      <c r="GJ62" s="66" t="str">
        <f t="shared" si="128"/>
        <v/>
      </c>
      <c r="GK62" s="100" t="str">
        <f>IF(AND(F62="",B62=""),"",IF('Student DATA Entry'!M59="","",'Student DATA Entry'!M59))</f>
        <v/>
      </c>
      <c r="GL62" s="101" t="str">
        <f>IF(AND(B62="",F62=""),"",IF('Student DATA Entry'!N59="","",'Student DATA Entry'!N59))</f>
        <v/>
      </c>
      <c r="GM62" s="581" t="str">
        <f t="shared" si="129"/>
        <v/>
      </c>
      <c r="GN62" s="94" t="str">
        <f t="shared" si="130"/>
        <v/>
      </c>
      <c r="GO62" s="94" t="str">
        <f t="shared" si="131"/>
        <v/>
      </c>
      <c r="GP62" s="102" t="str">
        <f t="shared" si="162"/>
        <v/>
      </c>
      <c r="GQ62" s="94" t="str">
        <f t="shared" si="132"/>
        <v/>
      </c>
      <c r="GR62" s="103" t="str">
        <f t="shared" si="133"/>
        <v/>
      </c>
      <c r="GS62" s="102" t="str">
        <f t="shared" si="163"/>
        <v/>
      </c>
      <c r="GT62" s="104" t="str">
        <f t="shared" si="134"/>
        <v/>
      </c>
      <c r="GU62" s="94" t="str">
        <f>IF('Marks Entry'!V62=1,GT62,"")</f>
        <v/>
      </c>
      <c r="GV62" s="94" t="str">
        <f>IF('Marks Entry'!V62=2,GT62,"")</f>
        <v/>
      </c>
      <c r="GW62" s="94" t="str">
        <f>IF('Marks Entry'!V62=3,GT62,"")</f>
        <v/>
      </c>
      <c r="GX62" s="94" t="str">
        <f>IF('Marks Entry'!V62=4,GT62,"")</f>
        <v/>
      </c>
      <c r="GY62" s="94" t="str">
        <f>IF('Marks Entry'!V62=5,GT62,"")</f>
        <v/>
      </c>
      <c r="GZ62" s="94" t="str">
        <f t="shared" si="135"/>
        <v/>
      </c>
      <c r="HA62" s="105" t="str">
        <f t="shared" si="164"/>
        <v/>
      </c>
      <c r="HB62" s="94" t="str">
        <f t="shared" si="136"/>
        <v/>
      </c>
      <c r="HC62" s="94" t="str">
        <f t="shared" si="137"/>
        <v/>
      </c>
      <c r="HD62" s="105" t="str">
        <f t="shared" si="165"/>
        <v/>
      </c>
      <c r="HE62" s="94" t="str">
        <f t="shared" si="138"/>
        <v/>
      </c>
      <c r="HF62" s="94" t="str">
        <f t="shared" si="139"/>
        <v/>
      </c>
      <c r="HG62" s="105" t="str">
        <f t="shared" si="166"/>
        <v/>
      </c>
      <c r="HH62" s="94" t="str">
        <f t="shared" si="140"/>
        <v/>
      </c>
      <c r="HI62" s="94" t="str">
        <f t="shared" si="141"/>
        <v/>
      </c>
      <c r="HJ62" s="105" t="str">
        <f t="shared" si="167"/>
        <v/>
      </c>
      <c r="HK62" s="94" t="str">
        <f t="shared" si="142"/>
        <v/>
      </c>
      <c r="HL62" s="94" t="str">
        <f t="shared" si="143"/>
        <v/>
      </c>
      <c r="HM62" s="105" t="str">
        <f t="shared" si="168"/>
        <v/>
      </c>
      <c r="HN62" s="367" t="str">
        <f t="shared" si="144"/>
        <v xml:space="preserve">      </v>
      </c>
      <c r="HO62" s="418" t="str">
        <f t="shared" si="169"/>
        <v xml:space="preserve">      </v>
      </c>
      <c r="HP62" s="367" t="str">
        <f t="shared" si="146"/>
        <v xml:space="preserve">      </v>
      </c>
      <c r="HQ62" s="107" t="str">
        <f t="shared" si="147"/>
        <v xml:space="preserve">      </v>
      </c>
      <c r="HR62" s="366" t="str">
        <f t="shared" si="148"/>
        <v xml:space="preserve">      </v>
      </c>
      <c r="HS62" s="544" t="str">
        <f t="shared" si="170"/>
        <v/>
      </c>
      <c r="HT62" s="542" t="str">
        <f t="shared" si="149"/>
        <v/>
      </c>
      <c r="HU62" s="541" t="str">
        <f t="shared" si="160"/>
        <v/>
      </c>
      <c r="HV62" s="540" t="str">
        <f t="shared" si="150"/>
        <v/>
      </c>
      <c r="HW62" s="537" t="str">
        <f t="shared" si="151"/>
        <v/>
      </c>
      <c r="HX62" s="539" t="str">
        <f t="shared" si="152"/>
        <v/>
      </c>
      <c r="HY62" s="553" t="str">
        <f>IFERROR(IF(OR(HS62="SUPPLEMENTARY",HS62="RE-EXAM"),'Supp. Result Entry'!AQ60,""),"")</f>
        <v/>
      </c>
      <c r="HZ62" s="538" t="str">
        <f t="shared" si="153"/>
        <v/>
      </c>
      <c r="IA62" s="415" t="str">
        <f t="shared" si="154"/>
        <v/>
      </c>
      <c r="IB62" s="415" t="str">
        <f>IF(AND(HZ62="",IA62=""),"",IF(OR(HS62="SUPPLEMENTARY",HS62="RE-EXAM"),'Supp. Result Entry'!AQ60,HS62))</f>
        <v/>
      </c>
      <c r="IC62" s="87"/>
      <c r="IS62" s="109" t="str">
        <f>IF('Supp. Result Entry'!T60="","",'Supp. Result Entry'!$T$4)</f>
        <v/>
      </c>
      <c r="IT62" s="110" t="str">
        <f>IF('Supp. Result Entry'!W60="","",'Supp. Result Entry'!$W$4)</f>
        <v/>
      </c>
      <c r="IU62" s="110" t="str">
        <f>IF('Supp. Result Entry'!Z60="","",'Supp. Result Entry'!$Z$4)</f>
        <v/>
      </c>
      <c r="IV62" s="110" t="str">
        <f>IF('Supp. Result Entry'!AC60="","",'Supp. Result Entry'!$AC$4)</f>
        <v/>
      </c>
      <c r="IW62" s="110" t="str">
        <f>IF('Supp. Result Entry'!AF60="","",'Supp. Result Entry'!$AF$4)</f>
        <v/>
      </c>
      <c r="IX62" s="110" t="str">
        <f>IF('Supp. Result Entry'!AI60="","",'Supp. Result Entry'!$AI$4)</f>
        <v/>
      </c>
      <c r="IY62" s="110" t="str">
        <f>IF('Supp. Result Entry'!AI60="","",'Supp. Result Entry'!$AL$4)</f>
        <v/>
      </c>
      <c r="IZ62" s="110" t="str">
        <f>IF('Supp. Result Entry'!U60="","",'Supp. Result Entry'!U60)</f>
        <v/>
      </c>
      <c r="JA62" s="110" t="str">
        <f>IF('Supp. Result Entry'!X60="","",'Supp. Result Entry'!X60)</f>
        <v/>
      </c>
      <c r="JB62" s="110" t="str">
        <f>IF('Supp. Result Entry'!AA60="","",'Supp. Result Entry'!AA60)</f>
        <v/>
      </c>
      <c r="JC62" s="110" t="str">
        <f>IF('Supp. Result Entry'!AD60="","",'Supp. Result Entry'!AD60)</f>
        <v/>
      </c>
      <c r="JD62" s="110" t="str">
        <f>IF('Supp. Result Entry'!AG60="","",'Supp. Result Entry'!AG60)</f>
        <v/>
      </c>
      <c r="JE62" s="110" t="str">
        <f>IF('Supp. Result Entry'!AJ60="","",'Supp. Result Entry'!AJ60)</f>
        <v/>
      </c>
      <c r="JF62" s="110" t="str">
        <f>IF('Supp. Result Entry'!AM60="","",'Supp. Result Entry'!AM60)</f>
        <v/>
      </c>
      <c r="JG62" s="110" t="str">
        <f>IF('Supp. Result Entry'!V60="","",'Supp. Result Entry'!V60)</f>
        <v/>
      </c>
      <c r="JH62" s="110" t="str">
        <f>IF('Supp. Result Entry'!Y60="","",'Supp. Result Entry'!Y60)</f>
        <v/>
      </c>
      <c r="JI62" s="110" t="str">
        <f>IF('Supp. Result Entry'!AB60="","",'Supp. Result Entry'!AB60)</f>
        <v/>
      </c>
      <c r="JJ62" s="110" t="str">
        <f>IF('Supp. Result Entry'!AE60="","",'Supp. Result Entry'!AE60)</f>
        <v/>
      </c>
      <c r="JK62" s="110" t="str">
        <f>IF('Supp. Result Entry'!AH60="","",'Supp. Result Entry'!AH60)</f>
        <v/>
      </c>
      <c r="JL62" s="110" t="str">
        <f>IF('Supp. Result Entry'!AK60="","",'Supp. Result Entry'!AK60)</f>
        <v/>
      </c>
      <c r="JM62" s="110" t="str">
        <f>IF('Supp. Result Entry'!AN60="","",'Supp. Result Entry'!AN60)</f>
        <v/>
      </c>
      <c r="JN62" s="110">
        <f>COUNTIF('Supp. Result Entry'!K60:Q60,"S")</f>
        <v>0</v>
      </c>
      <c r="JO62" s="110">
        <f t="shared" si="155"/>
        <v>0</v>
      </c>
      <c r="JP62" s="110">
        <f t="shared" si="156"/>
        <v>0</v>
      </c>
      <c r="JQ62" s="110" t="str">
        <f t="shared" si="75"/>
        <v/>
      </c>
      <c r="JR62" s="110" t="str">
        <f t="shared" si="76"/>
        <v/>
      </c>
      <c r="JS62" s="110" t="str">
        <f t="shared" si="77"/>
        <v/>
      </c>
      <c r="JT62" s="110" t="str">
        <f t="shared" si="78"/>
        <v/>
      </c>
      <c r="JU62" s="110" t="str">
        <f t="shared" si="79"/>
        <v/>
      </c>
      <c r="JV62" s="110" t="str">
        <f t="shared" si="80"/>
        <v/>
      </c>
      <c r="JW62" s="110" t="str">
        <f t="shared" si="81"/>
        <v/>
      </c>
      <c r="JX62" s="110" t="str">
        <f t="shared" si="157"/>
        <v/>
      </c>
      <c r="JY62" s="110" t="str">
        <f t="shared" si="158"/>
        <v/>
      </c>
      <c r="JZ62" s="110" t="str">
        <f t="shared" si="82"/>
        <v/>
      </c>
      <c r="KA62" s="108" t="str">
        <f t="shared" si="159"/>
        <v/>
      </c>
    </row>
    <row r="63" spans="1:287" s="108" customFormat="1" ht="21.95" customHeight="1">
      <c r="A63" s="89">
        <v>57</v>
      </c>
      <c r="B63" s="90" t="str">
        <f>IF('Marks Entry'!B63="","",'Marks Entry'!B63)</f>
        <v/>
      </c>
      <c r="C63" s="94" t="str">
        <f>IF('Marks Entry'!D63="","",'Marks Entry'!D63)</f>
        <v/>
      </c>
      <c r="D63" s="91" t="str">
        <f>IF('Marks Entry'!E63="","",'Marks Entry'!E63)</f>
        <v/>
      </c>
      <c r="E63" s="92" t="str">
        <f>IF('Marks Entry'!F63="","",'Marks Entry'!F63)</f>
        <v/>
      </c>
      <c r="F63" s="93" t="str">
        <f>IF('Marks Entry'!G63="","",'Marks Entry'!G63)</f>
        <v/>
      </c>
      <c r="G63" s="93" t="str">
        <f>IF('Marks Entry'!H63="","",'Marks Entry'!H63)</f>
        <v/>
      </c>
      <c r="H63" s="93" t="str">
        <f>IF('Marks Entry'!I63="","",'Marks Entry'!I63)</f>
        <v/>
      </c>
      <c r="I63" s="94" t="str">
        <f>IF('Marks Entry'!J63="","",'Marks Entry'!J63)</f>
        <v/>
      </c>
      <c r="J63" s="95" t="str">
        <f>IF('Marks Entry'!K63="","",'Marks Entry'!K63)</f>
        <v/>
      </c>
      <c r="K63" s="68" t="str">
        <f>IF('Marks Entry'!L63="","",'Marks Entry'!L63)</f>
        <v/>
      </c>
      <c r="L63" s="68" t="str">
        <f>IF('Marks Entry'!M63="","",'Marks Entry'!M63)</f>
        <v/>
      </c>
      <c r="M63" s="68" t="str">
        <f>IF('Marks Entry'!N63="","",'Marks Entry'!N63)</f>
        <v/>
      </c>
      <c r="N63" s="514" t="str">
        <f t="shared" si="83"/>
        <v/>
      </c>
      <c r="O63" s="68" t="str">
        <f>IF('Marks Entry'!O63="","",'Marks Entry'!O63)</f>
        <v/>
      </c>
      <c r="P63" s="515" t="str">
        <f t="shared" si="84"/>
        <v/>
      </c>
      <c r="Q63" s="68" t="str">
        <f>IF('Marks Entry'!P63="","",'Marks Entry'!P63)</f>
        <v/>
      </c>
      <c r="R63" s="96" t="str">
        <f t="shared" si="85"/>
        <v/>
      </c>
      <c r="S63" s="65">
        <f t="shared" si="86"/>
        <v>0</v>
      </c>
      <c r="T63" s="65">
        <f t="shared" si="87"/>
        <v>0</v>
      </c>
      <c r="U63" s="66" t="str">
        <f t="shared" si="88"/>
        <v/>
      </c>
      <c r="V63" s="65" t="str">
        <f t="shared" si="89"/>
        <v/>
      </c>
      <c r="W63" s="65" t="str">
        <f t="shared" si="90"/>
        <v/>
      </c>
      <c r="X63" s="65" t="str">
        <f t="shared" si="91"/>
        <v/>
      </c>
      <c r="Y63" s="68" t="str">
        <f>IF('Marks Entry'!Q63="","",'Marks Entry'!Q63)</f>
        <v/>
      </c>
      <c r="Z63" s="68" t="str">
        <f>IF('Marks Entry'!R63="","",'Marks Entry'!R63)</f>
        <v/>
      </c>
      <c r="AA63" s="68" t="str">
        <f>IF('Marks Entry'!S63="","",'Marks Entry'!S63)</f>
        <v/>
      </c>
      <c r="AB63" s="514" t="str">
        <f t="shared" si="2"/>
        <v/>
      </c>
      <c r="AC63" s="68" t="str">
        <f>IF('Marks Entry'!T63="","",'Marks Entry'!T63)</f>
        <v/>
      </c>
      <c r="AD63" s="515" t="str">
        <f t="shared" si="3"/>
        <v/>
      </c>
      <c r="AE63" s="68" t="str">
        <f>IF('Marks Entry'!U63="","",'Marks Entry'!U63)</f>
        <v/>
      </c>
      <c r="AF63" s="96" t="str">
        <f t="shared" si="4"/>
        <v/>
      </c>
      <c r="AG63" s="65">
        <f t="shared" si="5"/>
        <v>0</v>
      </c>
      <c r="AH63" s="65">
        <f t="shared" si="6"/>
        <v>0</v>
      </c>
      <c r="AI63" s="66" t="str">
        <f t="shared" si="7"/>
        <v/>
      </c>
      <c r="AJ63" s="65" t="str">
        <f t="shared" si="8"/>
        <v/>
      </c>
      <c r="AK63" s="65" t="str">
        <f t="shared" si="9"/>
        <v/>
      </c>
      <c r="AL63" s="65" t="str">
        <f t="shared" si="10"/>
        <v/>
      </c>
      <c r="AM63" s="524" t="str">
        <f>IF('Marks Entry'!V63="","",IF('Marks Entry'!V63=1,'School Profile'!$I$9,IF('Marks Entry'!V63=2,'School Profile'!$I$10,IF('Marks Entry'!V63=3,'School Profile'!$I$11,IF('Marks Entry'!V63=4,'School Profile'!$I$12,IF('Marks Entry'!V63=5,'School Profile'!$I$13,IF('Marks Entry'!V63=6,'School Profile'!$I$14,"")))))))</f>
        <v/>
      </c>
      <c r="AN63" s="68" t="str">
        <f>IF('Marks Entry'!W63="","",'Marks Entry'!W63)</f>
        <v/>
      </c>
      <c r="AO63" s="68" t="str">
        <f>IF('Marks Entry'!X63="","",'Marks Entry'!X63)</f>
        <v/>
      </c>
      <c r="AP63" s="68" t="str">
        <f>IF('Marks Entry'!Y63="","",'Marks Entry'!Y63)</f>
        <v/>
      </c>
      <c r="AQ63" s="514" t="str">
        <f t="shared" si="11"/>
        <v/>
      </c>
      <c r="AR63" s="68" t="str">
        <f>IF('Marks Entry'!Z63="","",'Marks Entry'!Z63)</f>
        <v/>
      </c>
      <c r="AS63" s="515" t="str">
        <f t="shared" si="12"/>
        <v/>
      </c>
      <c r="AT63" s="68" t="str">
        <f>IF('Marks Entry'!AA63="","",'Marks Entry'!AA63)</f>
        <v/>
      </c>
      <c r="AU63" s="96" t="str">
        <f t="shared" si="13"/>
        <v/>
      </c>
      <c r="AV63" s="65">
        <f t="shared" si="14"/>
        <v>0</v>
      </c>
      <c r="AW63" s="65">
        <f t="shared" si="15"/>
        <v>0</v>
      </c>
      <c r="AX63" s="66" t="str">
        <f t="shared" si="16"/>
        <v/>
      </c>
      <c r="AY63" s="65" t="str">
        <f t="shared" si="17"/>
        <v/>
      </c>
      <c r="AZ63" s="65" t="str">
        <f t="shared" si="18"/>
        <v/>
      </c>
      <c r="BA63" s="65" t="str">
        <f t="shared" si="19"/>
        <v/>
      </c>
      <c r="BB63" s="68" t="str">
        <f>IF('Marks Entry'!AB63="","",'Marks Entry'!AB63)</f>
        <v/>
      </c>
      <c r="BC63" s="68" t="str">
        <f>IF('Marks Entry'!AC63="","",'Marks Entry'!AC63)</f>
        <v/>
      </c>
      <c r="BD63" s="68" t="str">
        <f>IF('Marks Entry'!AD63="","",'Marks Entry'!AD63)</f>
        <v/>
      </c>
      <c r="BE63" s="514" t="str">
        <f t="shared" si="20"/>
        <v/>
      </c>
      <c r="BF63" s="68" t="str">
        <f>IF('Marks Entry'!AE63="","",'Marks Entry'!AE63)</f>
        <v/>
      </c>
      <c r="BG63" s="515" t="str">
        <f t="shared" si="21"/>
        <v/>
      </c>
      <c r="BH63" s="68" t="str">
        <f>IF('Marks Entry'!AF63="","",'Marks Entry'!AF63)</f>
        <v/>
      </c>
      <c r="BI63" s="96" t="str">
        <f t="shared" si="22"/>
        <v/>
      </c>
      <c r="BJ63" s="65">
        <f t="shared" si="23"/>
        <v>0</v>
      </c>
      <c r="BK63" s="65">
        <f t="shared" si="92"/>
        <v>0</v>
      </c>
      <c r="BL63" s="66" t="str">
        <f t="shared" si="24"/>
        <v/>
      </c>
      <c r="BM63" s="65" t="str">
        <f t="shared" si="25"/>
        <v/>
      </c>
      <c r="BN63" s="65" t="str">
        <f t="shared" si="26"/>
        <v/>
      </c>
      <c r="BO63" s="65" t="str">
        <f t="shared" si="27"/>
        <v/>
      </c>
      <c r="BP63" s="68" t="str">
        <f>IF('Marks Entry'!AG63="","",'Marks Entry'!AG63)</f>
        <v/>
      </c>
      <c r="BQ63" s="68" t="str">
        <f>IF('Marks Entry'!AH63="","",'Marks Entry'!AH63)</f>
        <v/>
      </c>
      <c r="BR63" s="68" t="str">
        <f>IF('Marks Entry'!AI63="","",'Marks Entry'!AI63)</f>
        <v/>
      </c>
      <c r="BS63" s="514" t="str">
        <f t="shared" si="28"/>
        <v/>
      </c>
      <c r="BT63" s="68" t="str">
        <f>IF('Marks Entry'!AJ63="","",'Marks Entry'!AJ63)</f>
        <v/>
      </c>
      <c r="BU63" s="515" t="str">
        <f t="shared" si="29"/>
        <v/>
      </c>
      <c r="BV63" s="68" t="str">
        <f>IF('Marks Entry'!AK63="","",'Marks Entry'!AK63)</f>
        <v/>
      </c>
      <c r="BW63" s="96" t="str">
        <f t="shared" si="30"/>
        <v/>
      </c>
      <c r="BX63" s="65">
        <f t="shared" si="31"/>
        <v>0</v>
      </c>
      <c r="BY63" s="65">
        <f t="shared" si="32"/>
        <v>0</v>
      </c>
      <c r="BZ63" s="66" t="str">
        <f t="shared" si="33"/>
        <v/>
      </c>
      <c r="CA63" s="65" t="str">
        <f t="shared" si="34"/>
        <v/>
      </c>
      <c r="CB63" s="65" t="str">
        <f t="shared" si="35"/>
        <v/>
      </c>
      <c r="CC63" s="65" t="str">
        <f t="shared" si="36"/>
        <v/>
      </c>
      <c r="CD63" s="66">
        <f t="shared" si="161"/>
        <v>0</v>
      </c>
      <c r="CE63" s="68" t="str">
        <f>IF('Marks Entry'!AL63="","",'Marks Entry'!AL63)</f>
        <v/>
      </c>
      <c r="CF63" s="68" t="str">
        <f>IF('Marks Entry'!AM63="","",'Marks Entry'!AM63)</f>
        <v/>
      </c>
      <c r="CG63" s="68" t="str">
        <f>IF('Marks Entry'!AN63="","",'Marks Entry'!AN63)</f>
        <v/>
      </c>
      <c r="CH63" s="514" t="str">
        <f t="shared" si="37"/>
        <v/>
      </c>
      <c r="CI63" s="68" t="str">
        <f>IF('Marks Entry'!AO63="","",'Marks Entry'!AO63)</f>
        <v/>
      </c>
      <c r="CJ63" s="515" t="str">
        <f t="shared" si="38"/>
        <v/>
      </c>
      <c r="CK63" s="68" t="str">
        <f>IF('Marks Entry'!AP63="","",'Marks Entry'!AP63)</f>
        <v/>
      </c>
      <c r="CL63" s="96" t="str">
        <f t="shared" si="39"/>
        <v/>
      </c>
      <c r="CM63" s="65">
        <f t="shared" si="40"/>
        <v>0</v>
      </c>
      <c r="CN63" s="65">
        <f t="shared" si="41"/>
        <v>0</v>
      </c>
      <c r="CO63" s="66" t="str">
        <f t="shared" si="42"/>
        <v/>
      </c>
      <c r="CP63" s="65" t="str">
        <f t="shared" si="43"/>
        <v/>
      </c>
      <c r="CQ63" s="65" t="str">
        <f t="shared" si="44"/>
        <v/>
      </c>
      <c r="CR63" s="65" t="str">
        <f t="shared" si="45"/>
        <v/>
      </c>
      <c r="CS63" s="616"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8" t="str">
        <f>IF('School Profile'!$D$20="NO","",IF('Marks Entry'!AR63="","",'Marks Entry'!AR63))</f>
        <v/>
      </c>
      <c r="CU63" s="68" t="str">
        <f>IF('School Profile'!$D$20="NO","",IF('Marks Entry'!AS63="","",'Marks Entry'!AS63))</f>
        <v/>
      </c>
      <c r="CV63" s="68" t="str">
        <f>IF('School Profile'!$D$20="NO","",IF('Marks Entry'!AT63="","",'Marks Entry'!AT63))</f>
        <v/>
      </c>
      <c r="CW63" s="514" t="str">
        <f>IF('School Profile'!$D$20="NO","",IF(AND(CT63="",CU63="",CV63=""),"",SUM(CT63:CV63)))</f>
        <v/>
      </c>
      <c r="CX63" s="68" t="str">
        <f>IF('School Profile'!$D$20="NO","",IF('Marks Entry'!AU63="","",'Marks Entry'!AU63))</f>
        <v/>
      </c>
      <c r="CY63" s="68" t="str">
        <f>IF('School Profile'!$D$20="NO","",IF('Marks Entry'!AV63="","",'Marks Entry'!AV63))</f>
        <v/>
      </c>
      <c r="CZ63" s="515" t="str">
        <f>IF('School Profile'!$D$20="NO","",IF(AND(CX63="",CY63=""),"",SUM(CX63,CY63)))</f>
        <v/>
      </c>
      <c r="DA63" s="69" t="str">
        <f>IF('School Profile'!$D$20="NO","",IF(AND(CW63="",CZ63=""),"",SUM(CW63+CZ63)))</f>
        <v/>
      </c>
      <c r="DB63" s="68" t="str">
        <f>IF('School Profile'!$D$20="NO","",IF('Marks Entry'!AW63="","",'Marks Entry'!AW63))</f>
        <v/>
      </c>
      <c r="DC63" s="68" t="str">
        <f>IF('School Profile'!$D$20="NO","",IF('Marks Entry'!AX63="","",'Marks Entry'!AX63))</f>
        <v/>
      </c>
      <c r="DD63" s="515" t="str">
        <f>IF('School Profile'!$D$20="NO","",IF(AND(DB63="",DC63=""),"",SUM(DB63,DC63)))</f>
        <v/>
      </c>
      <c r="DE63" s="96" t="str">
        <f>IF('School Profile'!$D$20="NO","",IF(AND(DA63="",DD63=""),"",SUM(DA63,DD63)))</f>
        <v/>
      </c>
      <c r="DF63" s="532">
        <f t="shared" si="46"/>
        <v>0</v>
      </c>
      <c r="DG63" s="65">
        <f t="shared" si="47"/>
        <v>0</v>
      </c>
      <c r="DH63" s="66" t="str">
        <f t="shared" si="48"/>
        <v/>
      </c>
      <c r="DI63" s="65" t="str">
        <f t="shared" si="49"/>
        <v/>
      </c>
      <c r="DJ63" s="65" t="str">
        <f t="shared" si="50"/>
        <v/>
      </c>
      <c r="DK63" s="65" t="str">
        <f t="shared" si="51"/>
        <v/>
      </c>
      <c r="DL63" s="97" t="str">
        <f t="shared" si="94"/>
        <v/>
      </c>
      <c r="DM63" s="97" t="str">
        <f t="shared" si="95"/>
        <v/>
      </c>
      <c r="DN63" s="97" t="str">
        <f t="shared" si="96"/>
        <v/>
      </c>
      <c r="DO63" s="97" t="str">
        <f t="shared" si="97"/>
        <v/>
      </c>
      <c r="DP63" s="97" t="str">
        <f t="shared" si="98"/>
        <v/>
      </c>
      <c r="DQ63" s="97" t="str">
        <f t="shared" si="99"/>
        <v/>
      </c>
      <c r="DR63" s="97" t="str">
        <f t="shared" si="100"/>
        <v/>
      </c>
      <c r="DS63" s="98">
        <f t="shared" si="101"/>
        <v>0</v>
      </c>
      <c r="DT63" s="98">
        <f t="shared" si="102"/>
        <v>0</v>
      </c>
      <c r="DU63" s="98">
        <f t="shared" si="103"/>
        <v>0</v>
      </c>
      <c r="DV63" s="98">
        <f t="shared" si="104"/>
        <v>0</v>
      </c>
      <c r="DW63" s="98">
        <f t="shared" si="105"/>
        <v>0</v>
      </c>
      <c r="DX63" s="98" t="str">
        <f t="shared" si="106"/>
        <v/>
      </c>
      <c r="DY63" s="99" t="str">
        <f t="shared" si="107"/>
        <v/>
      </c>
      <c r="DZ63" s="74" t="str">
        <f>IF('Marks Entry'!AY63="","",'Marks Entry'!AY63)</f>
        <v/>
      </c>
      <c r="EA63" s="74" t="str">
        <f>IF('Marks Entry'!AZ63="","",'Marks Entry'!AZ63)</f>
        <v/>
      </c>
      <c r="EB63" s="74" t="str">
        <f>IF('Marks Entry'!BA63="","",'Marks Entry'!BA63)</f>
        <v/>
      </c>
      <c r="EC63" s="527" t="str">
        <f t="shared" si="52"/>
        <v/>
      </c>
      <c r="ED63" s="74" t="str">
        <f>IF('Marks Entry'!BB63="","",'Marks Entry'!BB63)</f>
        <v/>
      </c>
      <c r="EE63" s="528" t="str">
        <f t="shared" si="53"/>
        <v/>
      </c>
      <c r="EF63" s="74" t="str">
        <f>IF('Marks Entry'!BC63="","",'Marks Entry'!BC63)</f>
        <v/>
      </c>
      <c r="EG63" s="530" t="str">
        <f t="shared" si="54"/>
        <v/>
      </c>
      <c r="EH63" s="368" t="str">
        <f t="shared" si="108"/>
        <v/>
      </c>
      <c r="EI63" s="65">
        <f t="shared" si="109"/>
        <v>0</v>
      </c>
      <c r="EJ63" s="65">
        <f t="shared" si="110"/>
        <v>0</v>
      </c>
      <c r="EK63" s="66" t="str">
        <f t="shared" si="111"/>
        <v/>
      </c>
      <c r="EL63" s="74" t="str">
        <f>IF('Marks Entry'!BD63="","",'Marks Entry'!BD63)</f>
        <v/>
      </c>
      <c r="EM63" s="74" t="str">
        <f>IF('Marks Entry'!BE63="","",'Marks Entry'!BE63)</f>
        <v/>
      </c>
      <c r="EN63" s="74" t="str">
        <f>IF('Marks Entry'!BF63="","",'Marks Entry'!BF63)</f>
        <v/>
      </c>
      <c r="EO63" s="527" t="str">
        <f t="shared" si="55"/>
        <v/>
      </c>
      <c r="EP63" s="74" t="str">
        <f>IF('Marks Entry'!BG63="","",'Marks Entry'!BG63)</f>
        <v/>
      </c>
      <c r="EQ63" s="74" t="str">
        <f>IF('Marks Entry'!BH63="","",'Marks Entry'!BH63)</f>
        <v/>
      </c>
      <c r="ER63" s="528" t="str">
        <f t="shared" si="56"/>
        <v/>
      </c>
      <c r="ES63" s="529" t="str">
        <f t="shared" si="57"/>
        <v/>
      </c>
      <c r="ET63" s="74" t="str">
        <f>IF('Marks Entry'!BI63="","",'Marks Entry'!BI63)</f>
        <v/>
      </c>
      <c r="EU63" s="74" t="str">
        <f>IF('Marks Entry'!BJ63="","",'Marks Entry'!BJ63)</f>
        <v/>
      </c>
      <c r="EV63" s="528" t="str">
        <f t="shared" si="58"/>
        <v/>
      </c>
      <c r="EW63" s="530" t="str">
        <f t="shared" si="59"/>
        <v/>
      </c>
      <c r="EX63" s="368" t="str">
        <f t="shared" si="112"/>
        <v/>
      </c>
      <c r="EY63" s="65">
        <f t="shared" si="113"/>
        <v>0</v>
      </c>
      <c r="EZ63" s="65">
        <f t="shared" si="114"/>
        <v>0</v>
      </c>
      <c r="FA63" s="66" t="str">
        <f t="shared" si="115"/>
        <v/>
      </c>
      <c r="FB63" s="74" t="str">
        <f>IF('Marks Entry'!BK63="","",'Marks Entry'!BK63)</f>
        <v/>
      </c>
      <c r="FC63" s="74" t="str">
        <f>IF('Marks Entry'!BL63="","",'Marks Entry'!BL63)</f>
        <v/>
      </c>
      <c r="FD63" s="74" t="str">
        <f>IF('Marks Entry'!BM63="","",'Marks Entry'!BM63)</f>
        <v/>
      </c>
      <c r="FE63" s="74" t="str">
        <f>IF('Marks Entry'!BN63="","",'Marks Entry'!BN63)</f>
        <v/>
      </c>
      <c r="FF63" s="74" t="str">
        <f>IF('Marks Entry'!BO63="","",'Marks Entry'!BO63)</f>
        <v/>
      </c>
      <c r="FG63" s="74" t="str">
        <f>IF('Marks Entry'!BP63="","",'Marks Entry'!BP63)</f>
        <v/>
      </c>
      <c r="FH63" s="527" t="str">
        <f t="shared" si="60"/>
        <v/>
      </c>
      <c r="FI63" s="74" t="str">
        <f>IF('Marks Entry'!BQ63="","",'Marks Entry'!BQ63)</f>
        <v/>
      </c>
      <c r="FJ63" s="74" t="str">
        <f>IF('Marks Entry'!BR63="","",'Marks Entry'!BR63)</f>
        <v/>
      </c>
      <c r="FK63" s="528" t="str">
        <f t="shared" si="61"/>
        <v/>
      </c>
      <c r="FL63" s="529" t="str">
        <f t="shared" si="62"/>
        <v/>
      </c>
      <c r="FM63" s="74" t="str">
        <f>IF('Marks Entry'!BS63="","",'Marks Entry'!BS63)</f>
        <v/>
      </c>
      <c r="FN63" s="74" t="str">
        <f>IF('Marks Entry'!BT63="","",'Marks Entry'!BT63)</f>
        <v/>
      </c>
      <c r="FO63" s="528" t="str">
        <f t="shared" si="63"/>
        <v/>
      </c>
      <c r="FP63" s="530" t="str">
        <f t="shared" si="64"/>
        <v/>
      </c>
      <c r="FQ63" s="368" t="str">
        <f t="shared" si="116"/>
        <v/>
      </c>
      <c r="FR63" s="65">
        <f t="shared" si="117"/>
        <v>0</v>
      </c>
      <c r="FS63" s="65">
        <f t="shared" si="118"/>
        <v>0</v>
      </c>
      <c r="FT63" s="66" t="str">
        <f t="shared" si="119"/>
        <v/>
      </c>
      <c r="FU63" s="74" t="str">
        <f>IF('Marks Entry'!BU63="","",'Marks Entry'!BU63)</f>
        <v/>
      </c>
      <c r="FV63" s="74" t="str">
        <f>IF('Marks Entry'!BV63="","",'Marks Entry'!BV63)</f>
        <v/>
      </c>
      <c r="FW63" s="74" t="str">
        <f>IF('Marks Entry'!BW63="","",'Marks Entry'!BW63)</f>
        <v/>
      </c>
      <c r="FX63" s="75" t="str">
        <f t="shared" si="65"/>
        <v/>
      </c>
      <c r="FY63" s="368" t="str">
        <f t="shared" si="120"/>
        <v/>
      </c>
      <c r="FZ63" s="65">
        <f t="shared" si="121"/>
        <v>0</v>
      </c>
      <c r="GA63" s="66">
        <f t="shared" si="122"/>
        <v>0</v>
      </c>
      <c r="GB63" s="66" t="str">
        <f t="shared" si="123"/>
        <v/>
      </c>
      <c r="GC63" s="74" t="str">
        <f>IF('Marks Entry'!BX63="","",'Marks Entry'!BX63)</f>
        <v/>
      </c>
      <c r="GD63" s="74" t="str">
        <f>IF('Marks Entry'!BY63="","",'Marks Entry'!BY63)</f>
        <v/>
      </c>
      <c r="GE63" s="74" t="str">
        <f>IF('Marks Entry'!BZ63="","",'Marks Entry'!BZ63)</f>
        <v/>
      </c>
      <c r="GF63" s="75" t="str">
        <f t="shared" si="124"/>
        <v/>
      </c>
      <c r="GG63" s="368" t="str">
        <f t="shared" si="125"/>
        <v/>
      </c>
      <c r="GH63" s="65">
        <f t="shared" si="126"/>
        <v>0</v>
      </c>
      <c r="GI63" s="66">
        <f t="shared" si="127"/>
        <v>0</v>
      </c>
      <c r="GJ63" s="66" t="str">
        <f t="shared" si="128"/>
        <v/>
      </c>
      <c r="GK63" s="100" t="str">
        <f>IF(AND(F63="",B63=""),"",IF('Student DATA Entry'!M60="","",'Student DATA Entry'!M60))</f>
        <v/>
      </c>
      <c r="GL63" s="101" t="str">
        <f>IF(AND(B63="",F63=""),"",IF('Student DATA Entry'!N60="","",'Student DATA Entry'!N60))</f>
        <v/>
      </c>
      <c r="GM63" s="581" t="str">
        <f t="shared" si="129"/>
        <v/>
      </c>
      <c r="GN63" s="94" t="str">
        <f t="shared" si="130"/>
        <v/>
      </c>
      <c r="GO63" s="94" t="str">
        <f t="shared" si="131"/>
        <v/>
      </c>
      <c r="GP63" s="102" t="str">
        <f t="shared" si="162"/>
        <v/>
      </c>
      <c r="GQ63" s="94" t="str">
        <f t="shared" si="132"/>
        <v/>
      </c>
      <c r="GR63" s="103" t="str">
        <f t="shared" si="133"/>
        <v/>
      </c>
      <c r="GS63" s="102" t="str">
        <f t="shared" si="163"/>
        <v/>
      </c>
      <c r="GT63" s="104" t="str">
        <f t="shared" si="134"/>
        <v/>
      </c>
      <c r="GU63" s="94" t="str">
        <f>IF('Marks Entry'!V63=1,GT63,"")</f>
        <v/>
      </c>
      <c r="GV63" s="94" t="str">
        <f>IF('Marks Entry'!V63=2,GT63,"")</f>
        <v/>
      </c>
      <c r="GW63" s="94" t="str">
        <f>IF('Marks Entry'!V63=3,GT63,"")</f>
        <v/>
      </c>
      <c r="GX63" s="94" t="str">
        <f>IF('Marks Entry'!V63=4,GT63,"")</f>
        <v/>
      </c>
      <c r="GY63" s="94" t="str">
        <f>IF('Marks Entry'!V63=5,GT63,"")</f>
        <v/>
      </c>
      <c r="GZ63" s="94" t="str">
        <f t="shared" si="135"/>
        <v/>
      </c>
      <c r="HA63" s="105" t="str">
        <f t="shared" si="164"/>
        <v/>
      </c>
      <c r="HB63" s="94" t="str">
        <f t="shared" si="136"/>
        <v/>
      </c>
      <c r="HC63" s="94" t="str">
        <f t="shared" si="137"/>
        <v/>
      </c>
      <c r="HD63" s="105" t="str">
        <f t="shared" si="165"/>
        <v/>
      </c>
      <c r="HE63" s="94" t="str">
        <f t="shared" si="138"/>
        <v/>
      </c>
      <c r="HF63" s="94" t="str">
        <f t="shared" si="139"/>
        <v/>
      </c>
      <c r="HG63" s="105" t="str">
        <f t="shared" si="166"/>
        <v/>
      </c>
      <c r="HH63" s="94" t="str">
        <f t="shared" si="140"/>
        <v/>
      </c>
      <c r="HI63" s="94" t="str">
        <f t="shared" si="141"/>
        <v/>
      </c>
      <c r="HJ63" s="105" t="str">
        <f t="shared" si="167"/>
        <v/>
      </c>
      <c r="HK63" s="94" t="str">
        <f t="shared" si="142"/>
        <v/>
      </c>
      <c r="HL63" s="94" t="str">
        <f t="shared" si="143"/>
        <v/>
      </c>
      <c r="HM63" s="105" t="str">
        <f t="shared" si="168"/>
        <v/>
      </c>
      <c r="HN63" s="367" t="str">
        <f t="shared" si="144"/>
        <v xml:space="preserve">      </v>
      </c>
      <c r="HO63" s="418" t="str">
        <f t="shared" si="169"/>
        <v xml:space="preserve">      </v>
      </c>
      <c r="HP63" s="367" t="str">
        <f t="shared" si="146"/>
        <v xml:space="preserve">      </v>
      </c>
      <c r="HQ63" s="107" t="str">
        <f t="shared" si="147"/>
        <v xml:space="preserve">      </v>
      </c>
      <c r="HR63" s="366" t="str">
        <f t="shared" si="148"/>
        <v xml:space="preserve">      </v>
      </c>
      <c r="HS63" s="544" t="str">
        <f t="shared" si="170"/>
        <v/>
      </c>
      <c r="HT63" s="542" t="str">
        <f t="shared" si="149"/>
        <v/>
      </c>
      <c r="HU63" s="541" t="str">
        <f t="shared" si="160"/>
        <v/>
      </c>
      <c r="HV63" s="540" t="str">
        <f t="shared" si="150"/>
        <v/>
      </c>
      <c r="HW63" s="537" t="str">
        <f t="shared" si="151"/>
        <v/>
      </c>
      <c r="HX63" s="539" t="str">
        <f t="shared" si="152"/>
        <v/>
      </c>
      <c r="HY63" s="553" t="str">
        <f>IFERROR(IF(OR(HS63="SUPPLEMENTARY",HS63="RE-EXAM"),'Supp. Result Entry'!AQ61,""),"")</f>
        <v/>
      </c>
      <c r="HZ63" s="538" t="str">
        <f t="shared" si="153"/>
        <v/>
      </c>
      <c r="IA63" s="415" t="str">
        <f t="shared" si="154"/>
        <v/>
      </c>
      <c r="IB63" s="415" t="str">
        <f>IF(AND(HZ63="",IA63=""),"",IF(OR(HS63="SUPPLEMENTARY",HS63="RE-EXAM"),'Supp. Result Entry'!AQ61,HS63))</f>
        <v/>
      </c>
      <c r="IC63" s="87"/>
      <c r="IS63" s="109" t="str">
        <f>IF('Supp. Result Entry'!T61="","",'Supp. Result Entry'!$T$4)</f>
        <v/>
      </c>
      <c r="IT63" s="110" t="str">
        <f>IF('Supp. Result Entry'!W61="","",'Supp. Result Entry'!$W$4)</f>
        <v/>
      </c>
      <c r="IU63" s="110" t="str">
        <f>IF('Supp. Result Entry'!Z61="","",'Supp. Result Entry'!$Z$4)</f>
        <v/>
      </c>
      <c r="IV63" s="110" t="str">
        <f>IF('Supp. Result Entry'!AC61="","",'Supp. Result Entry'!$AC$4)</f>
        <v/>
      </c>
      <c r="IW63" s="110" t="str">
        <f>IF('Supp. Result Entry'!AF61="","",'Supp. Result Entry'!$AF$4)</f>
        <v/>
      </c>
      <c r="IX63" s="110" t="str">
        <f>IF('Supp. Result Entry'!AI61="","",'Supp. Result Entry'!$AI$4)</f>
        <v/>
      </c>
      <c r="IY63" s="110" t="str">
        <f>IF('Supp. Result Entry'!AI61="","",'Supp. Result Entry'!$AL$4)</f>
        <v/>
      </c>
      <c r="IZ63" s="110" t="str">
        <f>IF('Supp. Result Entry'!U61="","",'Supp. Result Entry'!U61)</f>
        <v/>
      </c>
      <c r="JA63" s="110" t="str">
        <f>IF('Supp. Result Entry'!X61="","",'Supp. Result Entry'!X61)</f>
        <v/>
      </c>
      <c r="JB63" s="110" t="str">
        <f>IF('Supp. Result Entry'!AA61="","",'Supp. Result Entry'!AA61)</f>
        <v/>
      </c>
      <c r="JC63" s="110" t="str">
        <f>IF('Supp. Result Entry'!AD61="","",'Supp. Result Entry'!AD61)</f>
        <v/>
      </c>
      <c r="JD63" s="110" t="str">
        <f>IF('Supp. Result Entry'!AG61="","",'Supp. Result Entry'!AG61)</f>
        <v/>
      </c>
      <c r="JE63" s="110" t="str">
        <f>IF('Supp. Result Entry'!AJ61="","",'Supp. Result Entry'!AJ61)</f>
        <v/>
      </c>
      <c r="JF63" s="110" t="str">
        <f>IF('Supp. Result Entry'!AM61="","",'Supp. Result Entry'!AM61)</f>
        <v/>
      </c>
      <c r="JG63" s="110" t="str">
        <f>IF('Supp. Result Entry'!V61="","",'Supp. Result Entry'!V61)</f>
        <v/>
      </c>
      <c r="JH63" s="110" t="str">
        <f>IF('Supp. Result Entry'!Y61="","",'Supp. Result Entry'!Y61)</f>
        <v/>
      </c>
      <c r="JI63" s="110" t="str">
        <f>IF('Supp. Result Entry'!AB61="","",'Supp. Result Entry'!AB61)</f>
        <v/>
      </c>
      <c r="JJ63" s="110" t="str">
        <f>IF('Supp. Result Entry'!AE61="","",'Supp. Result Entry'!AE61)</f>
        <v/>
      </c>
      <c r="JK63" s="110" t="str">
        <f>IF('Supp. Result Entry'!AH61="","",'Supp. Result Entry'!AH61)</f>
        <v/>
      </c>
      <c r="JL63" s="110" t="str">
        <f>IF('Supp. Result Entry'!AK61="","",'Supp. Result Entry'!AK61)</f>
        <v/>
      </c>
      <c r="JM63" s="110" t="str">
        <f>IF('Supp. Result Entry'!AN61="","",'Supp. Result Entry'!AN61)</f>
        <v/>
      </c>
      <c r="JN63" s="110">
        <f>COUNTIF('Supp. Result Entry'!K61:Q61,"S")</f>
        <v>0</v>
      </c>
      <c r="JO63" s="110">
        <f t="shared" si="155"/>
        <v>0</v>
      </c>
      <c r="JP63" s="110">
        <f t="shared" si="156"/>
        <v>0</v>
      </c>
      <c r="JQ63" s="110" t="str">
        <f t="shared" si="75"/>
        <v/>
      </c>
      <c r="JR63" s="110" t="str">
        <f t="shared" si="76"/>
        <v/>
      </c>
      <c r="JS63" s="110" t="str">
        <f t="shared" si="77"/>
        <v/>
      </c>
      <c r="JT63" s="110" t="str">
        <f t="shared" si="78"/>
        <v/>
      </c>
      <c r="JU63" s="110" t="str">
        <f t="shared" si="79"/>
        <v/>
      </c>
      <c r="JV63" s="110" t="str">
        <f t="shared" si="80"/>
        <v/>
      </c>
      <c r="JW63" s="110" t="str">
        <f t="shared" si="81"/>
        <v/>
      </c>
      <c r="JX63" s="110" t="str">
        <f t="shared" si="157"/>
        <v/>
      </c>
      <c r="JY63" s="110" t="str">
        <f t="shared" si="158"/>
        <v/>
      </c>
      <c r="JZ63" s="110" t="str">
        <f t="shared" si="82"/>
        <v/>
      </c>
      <c r="KA63" s="108" t="str">
        <f t="shared" si="159"/>
        <v/>
      </c>
    </row>
    <row r="64" spans="1:287" s="108" customFormat="1" ht="21.95" customHeight="1">
      <c r="A64" s="89">
        <v>58</v>
      </c>
      <c r="B64" s="90" t="str">
        <f>IF('Marks Entry'!B64="","",'Marks Entry'!B64)</f>
        <v/>
      </c>
      <c r="C64" s="94" t="str">
        <f>IF('Marks Entry'!D64="","",'Marks Entry'!D64)</f>
        <v/>
      </c>
      <c r="D64" s="91" t="str">
        <f>IF('Marks Entry'!E64="","",'Marks Entry'!E64)</f>
        <v/>
      </c>
      <c r="E64" s="92" t="str">
        <f>IF('Marks Entry'!F64="","",'Marks Entry'!F64)</f>
        <v/>
      </c>
      <c r="F64" s="93" t="str">
        <f>IF('Marks Entry'!G64="","",'Marks Entry'!G64)</f>
        <v/>
      </c>
      <c r="G64" s="93" t="str">
        <f>IF('Marks Entry'!H64="","",'Marks Entry'!H64)</f>
        <v/>
      </c>
      <c r="H64" s="93" t="str">
        <f>IF('Marks Entry'!I64="","",'Marks Entry'!I64)</f>
        <v/>
      </c>
      <c r="I64" s="94" t="str">
        <f>IF('Marks Entry'!J64="","",'Marks Entry'!J64)</f>
        <v/>
      </c>
      <c r="J64" s="95" t="str">
        <f>IF('Marks Entry'!K64="","",'Marks Entry'!K64)</f>
        <v/>
      </c>
      <c r="K64" s="68" t="str">
        <f>IF('Marks Entry'!L64="","",'Marks Entry'!L64)</f>
        <v/>
      </c>
      <c r="L64" s="68" t="str">
        <f>IF('Marks Entry'!M64="","",'Marks Entry'!M64)</f>
        <v/>
      </c>
      <c r="M64" s="68" t="str">
        <f>IF('Marks Entry'!N64="","",'Marks Entry'!N64)</f>
        <v/>
      </c>
      <c r="N64" s="514" t="str">
        <f t="shared" si="83"/>
        <v/>
      </c>
      <c r="O64" s="68" t="str">
        <f>IF('Marks Entry'!O64="","",'Marks Entry'!O64)</f>
        <v/>
      </c>
      <c r="P64" s="515" t="str">
        <f t="shared" si="84"/>
        <v/>
      </c>
      <c r="Q64" s="68" t="str">
        <f>IF('Marks Entry'!P64="","",'Marks Entry'!P64)</f>
        <v/>
      </c>
      <c r="R64" s="96" t="str">
        <f t="shared" si="85"/>
        <v/>
      </c>
      <c r="S64" s="65">
        <f t="shared" si="86"/>
        <v>0</v>
      </c>
      <c r="T64" s="65">
        <f t="shared" si="87"/>
        <v>0</v>
      </c>
      <c r="U64" s="66" t="str">
        <f t="shared" si="88"/>
        <v/>
      </c>
      <c r="V64" s="65" t="str">
        <f t="shared" si="89"/>
        <v/>
      </c>
      <c r="W64" s="65" t="str">
        <f t="shared" si="90"/>
        <v/>
      </c>
      <c r="X64" s="65" t="str">
        <f t="shared" si="91"/>
        <v/>
      </c>
      <c r="Y64" s="68" t="str">
        <f>IF('Marks Entry'!Q64="","",'Marks Entry'!Q64)</f>
        <v/>
      </c>
      <c r="Z64" s="68" t="str">
        <f>IF('Marks Entry'!R64="","",'Marks Entry'!R64)</f>
        <v/>
      </c>
      <c r="AA64" s="68" t="str">
        <f>IF('Marks Entry'!S64="","",'Marks Entry'!S64)</f>
        <v/>
      </c>
      <c r="AB64" s="514" t="str">
        <f t="shared" si="2"/>
        <v/>
      </c>
      <c r="AC64" s="68" t="str">
        <f>IF('Marks Entry'!T64="","",'Marks Entry'!T64)</f>
        <v/>
      </c>
      <c r="AD64" s="515" t="str">
        <f t="shared" si="3"/>
        <v/>
      </c>
      <c r="AE64" s="68" t="str">
        <f>IF('Marks Entry'!U64="","",'Marks Entry'!U64)</f>
        <v/>
      </c>
      <c r="AF64" s="96" t="str">
        <f t="shared" si="4"/>
        <v/>
      </c>
      <c r="AG64" s="65">
        <f t="shared" si="5"/>
        <v>0</v>
      </c>
      <c r="AH64" s="65">
        <f t="shared" si="6"/>
        <v>0</v>
      </c>
      <c r="AI64" s="66" t="str">
        <f t="shared" si="7"/>
        <v/>
      </c>
      <c r="AJ64" s="65" t="str">
        <f t="shared" si="8"/>
        <v/>
      </c>
      <c r="AK64" s="65" t="str">
        <f t="shared" si="9"/>
        <v/>
      </c>
      <c r="AL64" s="65" t="str">
        <f t="shared" si="10"/>
        <v/>
      </c>
      <c r="AM64" s="524" t="str">
        <f>IF('Marks Entry'!V64="","",IF('Marks Entry'!V64=1,'School Profile'!$I$9,IF('Marks Entry'!V64=2,'School Profile'!$I$10,IF('Marks Entry'!V64=3,'School Profile'!$I$11,IF('Marks Entry'!V64=4,'School Profile'!$I$12,IF('Marks Entry'!V64=5,'School Profile'!$I$13,IF('Marks Entry'!V64=6,'School Profile'!$I$14,"")))))))</f>
        <v/>
      </c>
      <c r="AN64" s="68" t="str">
        <f>IF('Marks Entry'!W64="","",'Marks Entry'!W64)</f>
        <v/>
      </c>
      <c r="AO64" s="68" t="str">
        <f>IF('Marks Entry'!X64="","",'Marks Entry'!X64)</f>
        <v/>
      </c>
      <c r="AP64" s="68" t="str">
        <f>IF('Marks Entry'!Y64="","",'Marks Entry'!Y64)</f>
        <v/>
      </c>
      <c r="AQ64" s="514" t="str">
        <f t="shared" si="11"/>
        <v/>
      </c>
      <c r="AR64" s="68" t="str">
        <f>IF('Marks Entry'!Z64="","",'Marks Entry'!Z64)</f>
        <v/>
      </c>
      <c r="AS64" s="515" t="str">
        <f t="shared" si="12"/>
        <v/>
      </c>
      <c r="AT64" s="68" t="str">
        <f>IF('Marks Entry'!AA64="","",'Marks Entry'!AA64)</f>
        <v/>
      </c>
      <c r="AU64" s="96" t="str">
        <f t="shared" si="13"/>
        <v/>
      </c>
      <c r="AV64" s="65">
        <f t="shared" si="14"/>
        <v>0</v>
      </c>
      <c r="AW64" s="65">
        <f t="shared" si="15"/>
        <v>0</v>
      </c>
      <c r="AX64" s="66" t="str">
        <f t="shared" si="16"/>
        <v/>
      </c>
      <c r="AY64" s="65" t="str">
        <f t="shared" si="17"/>
        <v/>
      </c>
      <c r="AZ64" s="65" t="str">
        <f t="shared" si="18"/>
        <v/>
      </c>
      <c r="BA64" s="65" t="str">
        <f t="shared" si="19"/>
        <v/>
      </c>
      <c r="BB64" s="68" t="str">
        <f>IF('Marks Entry'!AB64="","",'Marks Entry'!AB64)</f>
        <v/>
      </c>
      <c r="BC64" s="68" t="str">
        <f>IF('Marks Entry'!AC64="","",'Marks Entry'!AC64)</f>
        <v/>
      </c>
      <c r="BD64" s="68" t="str">
        <f>IF('Marks Entry'!AD64="","",'Marks Entry'!AD64)</f>
        <v/>
      </c>
      <c r="BE64" s="514" t="str">
        <f t="shared" si="20"/>
        <v/>
      </c>
      <c r="BF64" s="68" t="str">
        <f>IF('Marks Entry'!AE64="","",'Marks Entry'!AE64)</f>
        <v/>
      </c>
      <c r="BG64" s="515" t="str">
        <f t="shared" si="21"/>
        <v/>
      </c>
      <c r="BH64" s="68" t="str">
        <f>IF('Marks Entry'!AF64="","",'Marks Entry'!AF64)</f>
        <v/>
      </c>
      <c r="BI64" s="96" t="str">
        <f t="shared" si="22"/>
        <v/>
      </c>
      <c r="BJ64" s="65">
        <f t="shared" si="23"/>
        <v>0</v>
      </c>
      <c r="BK64" s="65">
        <f t="shared" si="92"/>
        <v>0</v>
      </c>
      <c r="BL64" s="66" t="str">
        <f t="shared" si="24"/>
        <v/>
      </c>
      <c r="BM64" s="65" t="str">
        <f t="shared" si="25"/>
        <v/>
      </c>
      <c r="BN64" s="65" t="str">
        <f t="shared" si="26"/>
        <v/>
      </c>
      <c r="BO64" s="65" t="str">
        <f t="shared" si="27"/>
        <v/>
      </c>
      <c r="BP64" s="68" t="str">
        <f>IF('Marks Entry'!AG64="","",'Marks Entry'!AG64)</f>
        <v/>
      </c>
      <c r="BQ64" s="68" t="str">
        <f>IF('Marks Entry'!AH64="","",'Marks Entry'!AH64)</f>
        <v/>
      </c>
      <c r="BR64" s="68" t="str">
        <f>IF('Marks Entry'!AI64="","",'Marks Entry'!AI64)</f>
        <v/>
      </c>
      <c r="BS64" s="514" t="str">
        <f t="shared" si="28"/>
        <v/>
      </c>
      <c r="BT64" s="68" t="str">
        <f>IF('Marks Entry'!AJ64="","",'Marks Entry'!AJ64)</f>
        <v/>
      </c>
      <c r="BU64" s="515" t="str">
        <f t="shared" si="29"/>
        <v/>
      </c>
      <c r="BV64" s="68" t="str">
        <f>IF('Marks Entry'!AK64="","",'Marks Entry'!AK64)</f>
        <v/>
      </c>
      <c r="BW64" s="96" t="str">
        <f t="shared" si="30"/>
        <v/>
      </c>
      <c r="BX64" s="65">
        <f t="shared" si="31"/>
        <v>0</v>
      </c>
      <c r="BY64" s="65">
        <f t="shared" si="32"/>
        <v>0</v>
      </c>
      <c r="BZ64" s="66" t="str">
        <f t="shared" si="33"/>
        <v/>
      </c>
      <c r="CA64" s="65" t="str">
        <f t="shared" si="34"/>
        <v/>
      </c>
      <c r="CB64" s="65" t="str">
        <f t="shared" si="35"/>
        <v/>
      </c>
      <c r="CC64" s="65" t="str">
        <f t="shared" si="36"/>
        <v/>
      </c>
      <c r="CD64" s="66">
        <f t="shared" si="161"/>
        <v>0</v>
      </c>
      <c r="CE64" s="68" t="str">
        <f>IF('Marks Entry'!AL64="","",'Marks Entry'!AL64)</f>
        <v/>
      </c>
      <c r="CF64" s="68" t="str">
        <f>IF('Marks Entry'!AM64="","",'Marks Entry'!AM64)</f>
        <v/>
      </c>
      <c r="CG64" s="68" t="str">
        <f>IF('Marks Entry'!AN64="","",'Marks Entry'!AN64)</f>
        <v/>
      </c>
      <c r="CH64" s="514" t="str">
        <f t="shared" si="37"/>
        <v/>
      </c>
      <c r="CI64" s="68" t="str">
        <f>IF('Marks Entry'!AO64="","",'Marks Entry'!AO64)</f>
        <v/>
      </c>
      <c r="CJ64" s="515" t="str">
        <f t="shared" si="38"/>
        <v/>
      </c>
      <c r="CK64" s="68" t="str">
        <f>IF('Marks Entry'!AP64="","",'Marks Entry'!AP64)</f>
        <v/>
      </c>
      <c r="CL64" s="96" t="str">
        <f t="shared" si="39"/>
        <v/>
      </c>
      <c r="CM64" s="65">
        <f t="shared" si="40"/>
        <v>0</v>
      </c>
      <c r="CN64" s="65">
        <f t="shared" si="41"/>
        <v>0</v>
      </c>
      <c r="CO64" s="66" t="str">
        <f t="shared" si="42"/>
        <v/>
      </c>
      <c r="CP64" s="65" t="str">
        <f t="shared" si="43"/>
        <v/>
      </c>
      <c r="CQ64" s="65" t="str">
        <f t="shared" si="44"/>
        <v/>
      </c>
      <c r="CR64" s="65" t="str">
        <f t="shared" si="45"/>
        <v/>
      </c>
      <c r="CS64" s="616"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8" t="str">
        <f>IF('School Profile'!$D$20="NO","",IF('Marks Entry'!AR64="","",'Marks Entry'!AR64))</f>
        <v/>
      </c>
      <c r="CU64" s="68" t="str">
        <f>IF('School Profile'!$D$20="NO","",IF('Marks Entry'!AS64="","",'Marks Entry'!AS64))</f>
        <v/>
      </c>
      <c r="CV64" s="68" t="str">
        <f>IF('School Profile'!$D$20="NO","",IF('Marks Entry'!AT64="","",'Marks Entry'!AT64))</f>
        <v/>
      </c>
      <c r="CW64" s="514" t="str">
        <f>IF('School Profile'!$D$20="NO","",IF(AND(CT64="",CU64="",CV64=""),"",SUM(CT64:CV64)))</f>
        <v/>
      </c>
      <c r="CX64" s="68" t="str">
        <f>IF('School Profile'!$D$20="NO","",IF('Marks Entry'!AU64="","",'Marks Entry'!AU64))</f>
        <v/>
      </c>
      <c r="CY64" s="68" t="str">
        <f>IF('School Profile'!$D$20="NO","",IF('Marks Entry'!AV64="","",'Marks Entry'!AV64))</f>
        <v/>
      </c>
      <c r="CZ64" s="515" t="str">
        <f>IF('School Profile'!$D$20="NO","",IF(AND(CX64="",CY64=""),"",SUM(CX64,CY64)))</f>
        <v/>
      </c>
      <c r="DA64" s="69" t="str">
        <f>IF('School Profile'!$D$20="NO","",IF(AND(CW64="",CZ64=""),"",SUM(CW64+CZ64)))</f>
        <v/>
      </c>
      <c r="DB64" s="68" t="str">
        <f>IF('School Profile'!$D$20="NO","",IF('Marks Entry'!AW64="","",'Marks Entry'!AW64))</f>
        <v/>
      </c>
      <c r="DC64" s="68" t="str">
        <f>IF('School Profile'!$D$20="NO","",IF('Marks Entry'!AX64="","",'Marks Entry'!AX64))</f>
        <v/>
      </c>
      <c r="DD64" s="515" t="str">
        <f>IF('School Profile'!$D$20="NO","",IF(AND(DB64="",DC64=""),"",SUM(DB64,DC64)))</f>
        <v/>
      </c>
      <c r="DE64" s="96" t="str">
        <f>IF('School Profile'!$D$20="NO","",IF(AND(DA64="",DD64=""),"",SUM(DA64,DD64)))</f>
        <v/>
      </c>
      <c r="DF64" s="532">
        <f t="shared" si="46"/>
        <v>0</v>
      </c>
      <c r="DG64" s="65">
        <f t="shared" si="47"/>
        <v>0</v>
      </c>
      <c r="DH64" s="66" t="str">
        <f t="shared" si="48"/>
        <v/>
      </c>
      <c r="DI64" s="65" t="str">
        <f t="shared" si="49"/>
        <v/>
      </c>
      <c r="DJ64" s="65" t="str">
        <f t="shared" si="50"/>
        <v/>
      </c>
      <c r="DK64" s="65" t="str">
        <f t="shared" si="51"/>
        <v/>
      </c>
      <c r="DL64" s="97" t="str">
        <f t="shared" si="94"/>
        <v/>
      </c>
      <c r="DM64" s="97" t="str">
        <f t="shared" si="95"/>
        <v/>
      </c>
      <c r="DN64" s="97" t="str">
        <f t="shared" si="96"/>
        <v/>
      </c>
      <c r="DO64" s="97" t="str">
        <f t="shared" si="97"/>
        <v/>
      </c>
      <c r="DP64" s="97" t="str">
        <f t="shared" si="98"/>
        <v/>
      </c>
      <c r="DQ64" s="97" t="str">
        <f t="shared" si="99"/>
        <v/>
      </c>
      <c r="DR64" s="97" t="str">
        <f t="shared" si="100"/>
        <v/>
      </c>
      <c r="DS64" s="98">
        <f t="shared" si="101"/>
        <v>0</v>
      </c>
      <c r="DT64" s="98">
        <f t="shared" si="102"/>
        <v>0</v>
      </c>
      <c r="DU64" s="98">
        <f t="shared" si="103"/>
        <v>0</v>
      </c>
      <c r="DV64" s="98">
        <f t="shared" si="104"/>
        <v>0</v>
      </c>
      <c r="DW64" s="98">
        <f t="shared" si="105"/>
        <v>0</v>
      </c>
      <c r="DX64" s="98" t="str">
        <f t="shared" si="106"/>
        <v/>
      </c>
      <c r="DY64" s="99" t="str">
        <f t="shared" si="107"/>
        <v/>
      </c>
      <c r="DZ64" s="74" t="str">
        <f>IF('Marks Entry'!AY64="","",'Marks Entry'!AY64)</f>
        <v/>
      </c>
      <c r="EA64" s="74" t="str">
        <f>IF('Marks Entry'!AZ64="","",'Marks Entry'!AZ64)</f>
        <v/>
      </c>
      <c r="EB64" s="74" t="str">
        <f>IF('Marks Entry'!BA64="","",'Marks Entry'!BA64)</f>
        <v/>
      </c>
      <c r="EC64" s="527" t="str">
        <f t="shared" si="52"/>
        <v/>
      </c>
      <c r="ED64" s="74" t="str">
        <f>IF('Marks Entry'!BB64="","",'Marks Entry'!BB64)</f>
        <v/>
      </c>
      <c r="EE64" s="528" t="str">
        <f t="shared" si="53"/>
        <v/>
      </c>
      <c r="EF64" s="74" t="str">
        <f>IF('Marks Entry'!BC64="","",'Marks Entry'!BC64)</f>
        <v/>
      </c>
      <c r="EG64" s="530" t="str">
        <f t="shared" si="54"/>
        <v/>
      </c>
      <c r="EH64" s="368" t="str">
        <f t="shared" si="108"/>
        <v/>
      </c>
      <c r="EI64" s="65">
        <f t="shared" si="109"/>
        <v>0</v>
      </c>
      <c r="EJ64" s="65">
        <f t="shared" si="110"/>
        <v>0</v>
      </c>
      <c r="EK64" s="66" t="str">
        <f t="shared" si="111"/>
        <v/>
      </c>
      <c r="EL64" s="74" t="str">
        <f>IF('Marks Entry'!BD64="","",'Marks Entry'!BD64)</f>
        <v/>
      </c>
      <c r="EM64" s="74" t="str">
        <f>IF('Marks Entry'!BE64="","",'Marks Entry'!BE64)</f>
        <v/>
      </c>
      <c r="EN64" s="74" t="str">
        <f>IF('Marks Entry'!BF64="","",'Marks Entry'!BF64)</f>
        <v/>
      </c>
      <c r="EO64" s="527" t="str">
        <f t="shared" si="55"/>
        <v/>
      </c>
      <c r="EP64" s="74" t="str">
        <f>IF('Marks Entry'!BG64="","",'Marks Entry'!BG64)</f>
        <v/>
      </c>
      <c r="EQ64" s="74" t="str">
        <f>IF('Marks Entry'!BH64="","",'Marks Entry'!BH64)</f>
        <v/>
      </c>
      <c r="ER64" s="528" t="str">
        <f t="shared" si="56"/>
        <v/>
      </c>
      <c r="ES64" s="529" t="str">
        <f t="shared" si="57"/>
        <v/>
      </c>
      <c r="ET64" s="74" t="str">
        <f>IF('Marks Entry'!BI64="","",'Marks Entry'!BI64)</f>
        <v/>
      </c>
      <c r="EU64" s="74" t="str">
        <f>IF('Marks Entry'!BJ64="","",'Marks Entry'!BJ64)</f>
        <v/>
      </c>
      <c r="EV64" s="528" t="str">
        <f t="shared" si="58"/>
        <v/>
      </c>
      <c r="EW64" s="530" t="str">
        <f t="shared" si="59"/>
        <v/>
      </c>
      <c r="EX64" s="368" t="str">
        <f t="shared" si="112"/>
        <v/>
      </c>
      <c r="EY64" s="65">
        <f t="shared" si="113"/>
        <v>0</v>
      </c>
      <c r="EZ64" s="65">
        <f t="shared" si="114"/>
        <v>0</v>
      </c>
      <c r="FA64" s="66" t="str">
        <f t="shared" si="115"/>
        <v/>
      </c>
      <c r="FB64" s="74" t="str">
        <f>IF('Marks Entry'!BK64="","",'Marks Entry'!BK64)</f>
        <v/>
      </c>
      <c r="FC64" s="74" t="str">
        <f>IF('Marks Entry'!BL64="","",'Marks Entry'!BL64)</f>
        <v/>
      </c>
      <c r="FD64" s="74" t="str">
        <f>IF('Marks Entry'!BM64="","",'Marks Entry'!BM64)</f>
        <v/>
      </c>
      <c r="FE64" s="74" t="str">
        <f>IF('Marks Entry'!BN64="","",'Marks Entry'!BN64)</f>
        <v/>
      </c>
      <c r="FF64" s="74" t="str">
        <f>IF('Marks Entry'!BO64="","",'Marks Entry'!BO64)</f>
        <v/>
      </c>
      <c r="FG64" s="74" t="str">
        <f>IF('Marks Entry'!BP64="","",'Marks Entry'!BP64)</f>
        <v/>
      </c>
      <c r="FH64" s="527" t="str">
        <f t="shared" si="60"/>
        <v/>
      </c>
      <c r="FI64" s="74" t="str">
        <f>IF('Marks Entry'!BQ64="","",'Marks Entry'!BQ64)</f>
        <v/>
      </c>
      <c r="FJ64" s="74" t="str">
        <f>IF('Marks Entry'!BR64="","",'Marks Entry'!BR64)</f>
        <v/>
      </c>
      <c r="FK64" s="528" t="str">
        <f t="shared" si="61"/>
        <v/>
      </c>
      <c r="FL64" s="529" t="str">
        <f t="shared" si="62"/>
        <v/>
      </c>
      <c r="FM64" s="74" t="str">
        <f>IF('Marks Entry'!BS64="","",'Marks Entry'!BS64)</f>
        <v/>
      </c>
      <c r="FN64" s="74" t="str">
        <f>IF('Marks Entry'!BT64="","",'Marks Entry'!BT64)</f>
        <v/>
      </c>
      <c r="FO64" s="528" t="str">
        <f t="shared" si="63"/>
        <v/>
      </c>
      <c r="FP64" s="530" t="str">
        <f t="shared" si="64"/>
        <v/>
      </c>
      <c r="FQ64" s="368" t="str">
        <f t="shared" si="116"/>
        <v/>
      </c>
      <c r="FR64" s="65">
        <f t="shared" si="117"/>
        <v>0</v>
      </c>
      <c r="FS64" s="65">
        <f t="shared" si="118"/>
        <v>0</v>
      </c>
      <c r="FT64" s="66" t="str">
        <f t="shared" si="119"/>
        <v/>
      </c>
      <c r="FU64" s="74" t="str">
        <f>IF('Marks Entry'!BU64="","",'Marks Entry'!BU64)</f>
        <v/>
      </c>
      <c r="FV64" s="74" t="str">
        <f>IF('Marks Entry'!BV64="","",'Marks Entry'!BV64)</f>
        <v/>
      </c>
      <c r="FW64" s="74" t="str">
        <f>IF('Marks Entry'!BW64="","",'Marks Entry'!BW64)</f>
        <v/>
      </c>
      <c r="FX64" s="75" t="str">
        <f t="shared" si="65"/>
        <v/>
      </c>
      <c r="FY64" s="368" t="str">
        <f t="shared" si="120"/>
        <v/>
      </c>
      <c r="FZ64" s="65">
        <f t="shared" si="121"/>
        <v>0</v>
      </c>
      <c r="GA64" s="66">
        <f t="shared" si="122"/>
        <v>0</v>
      </c>
      <c r="GB64" s="66" t="str">
        <f t="shared" si="123"/>
        <v/>
      </c>
      <c r="GC64" s="74" t="str">
        <f>IF('Marks Entry'!BX64="","",'Marks Entry'!BX64)</f>
        <v/>
      </c>
      <c r="GD64" s="74" t="str">
        <f>IF('Marks Entry'!BY64="","",'Marks Entry'!BY64)</f>
        <v/>
      </c>
      <c r="GE64" s="74" t="str">
        <f>IF('Marks Entry'!BZ64="","",'Marks Entry'!BZ64)</f>
        <v/>
      </c>
      <c r="GF64" s="75" t="str">
        <f t="shared" si="124"/>
        <v/>
      </c>
      <c r="GG64" s="368" t="str">
        <f t="shared" si="125"/>
        <v/>
      </c>
      <c r="GH64" s="65">
        <f t="shared" si="126"/>
        <v>0</v>
      </c>
      <c r="GI64" s="66">
        <f t="shared" si="127"/>
        <v>0</v>
      </c>
      <c r="GJ64" s="66" t="str">
        <f t="shared" si="128"/>
        <v/>
      </c>
      <c r="GK64" s="100" t="str">
        <f>IF(AND(F64="",B64=""),"",IF('Student DATA Entry'!M61="","",'Student DATA Entry'!M61))</f>
        <v/>
      </c>
      <c r="GL64" s="101" t="str">
        <f>IF(AND(B64="",F64=""),"",IF('Student DATA Entry'!N61="","",'Student DATA Entry'!N61))</f>
        <v/>
      </c>
      <c r="GM64" s="581" t="str">
        <f t="shared" si="129"/>
        <v/>
      </c>
      <c r="GN64" s="94" t="str">
        <f t="shared" si="130"/>
        <v/>
      </c>
      <c r="GO64" s="94" t="str">
        <f t="shared" si="131"/>
        <v/>
      </c>
      <c r="GP64" s="102" t="str">
        <f t="shared" si="162"/>
        <v/>
      </c>
      <c r="GQ64" s="94" t="str">
        <f t="shared" si="132"/>
        <v/>
      </c>
      <c r="GR64" s="103" t="str">
        <f t="shared" si="133"/>
        <v/>
      </c>
      <c r="GS64" s="102" t="str">
        <f t="shared" si="163"/>
        <v/>
      </c>
      <c r="GT64" s="104" t="str">
        <f t="shared" si="134"/>
        <v/>
      </c>
      <c r="GU64" s="94" t="str">
        <f>IF('Marks Entry'!V64=1,GT64,"")</f>
        <v/>
      </c>
      <c r="GV64" s="94" t="str">
        <f>IF('Marks Entry'!V64=2,GT64,"")</f>
        <v/>
      </c>
      <c r="GW64" s="94" t="str">
        <f>IF('Marks Entry'!V64=3,GT64,"")</f>
        <v/>
      </c>
      <c r="GX64" s="94" t="str">
        <f>IF('Marks Entry'!V64=4,GT64,"")</f>
        <v/>
      </c>
      <c r="GY64" s="94" t="str">
        <f>IF('Marks Entry'!V64=5,GT64,"")</f>
        <v/>
      </c>
      <c r="GZ64" s="94" t="str">
        <f t="shared" si="135"/>
        <v/>
      </c>
      <c r="HA64" s="105" t="str">
        <f t="shared" si="164"/>
        <v/>
      </c>
      <c r="HB64" s="94" t="str">
        <f t="shared" si="136"/>
        <v/>
      </c>
      <c r="HC64" s="94" t="str">
        <f t="shared" si="137"/>
        <v/>
      </c>
      <c r="HD64" s="105" t="str">
        <f t="shared" si="165"/>
        <v/>
      </c>
      <c r="HE64" s="94" t="str">
        <f t="shared" si="138"/>
        <v/>
      </c>
      <c r="HF64" s="94" t="str">
        <f t="shared" si="139"/>
        <v/>
      </c>
      <c r="HG64" s="105" t="str">
        <f t="shared" si="166"/>
        <v/>
      </c>
      <c r="HH64" s="94" t="str">
        <f t="shared" si="140"/>
        <v/>
      </c>
      <c r="HI64" s="94" t="str">
        <f t="shared" si="141"/>
        <v/>
      </c>
      <c r="HJ64" s="105" t="str">
        <f t="shared" si="167"/>
        <v/>
      </c>
      <c r="HK64" s="94" t="str">
        <f t="shared" si="142"/>
        <v/>
      </c>
      <c r="HL64" s="94" t="str">
        <f t="shared" si="143"/>
        <v/>
      </c>
      <c r="HM64" s="105" t="str">
        <f t="shared" si="168"/>
        <v/>
      </c>
      <c r="HN64" s="367" t="str">
        <f t="shared" si="144"/>
        <v xml:space="preserve">      </v>
      </c>
      <c r="HO64" s="418" t="str">
        <f t="shared" si="169"/>
        <v xml:space="preserve">      </v>
      </c>
      <c r="HP64" s="367" t="str">
        <f t="shared" si="146"/>
        <v xml:space="preserve">      </v>
      </c>
      <c r="HQ64" s="107" t="str">
        <f t="shared" si="147"/>
        <v xml:space="preserve">      </v>
      </c>
      <c r="HR64" s="366" t="str">
        <f t="shared" si="148"/>
        <v xml:space="preserve">      </v>
      </c>
      <c r="HS64" s="544" t="str">
        <f t="shared" si="170"/>
        <v/>
      </c>
      <c r="HT64" s="542" t="str">
        <f t="shared" si="149"/>
        <v/>
      </c>
      <c r="HU64" s="541" t="str">
        <f t="shared" si="160"/>
        <v/>
      </c>
      <c r="HV64" s="540" t="str">
        <f t="shared" si="150"/>
        <v/>
      </c>
      <c r="HW64" s="537" t="str">
        <f t="shared" si="151"/>
        <v/>
      </c>
      <c r="HX64" s="539" t="str">
        <f t="shared" si="152"/>
        <v/>
      </c>
      <c r="HY64" s="553" t="str">
        <f>IFERROR(IF(OR(HS64="SUPPLEMENTARY",HS64="RE-EXAM"),'Supp. Result Entry'!AQ62,""),"")</f>
        <v/>
      </c>
      <c r="HZ64" s="538" t="str">
        <f t="shared" si="153"/>
        <v/>
      </c>
      <c r="IA64" s="415" t="str">
        <f t="shared" si="154"/>
        <v/>
      </c>
      <c r="IB64" s="415" t="str">
        <f>IF(AND(HZ64="",IA64=""),"",IF(OR(HS64="SUPPLEMENTARY",HS64="RE-EXAM"),'Supp. Result Entry'!AQ62,HS64))</f>
        <v/>
      </c>
      <c r="IC64" s="87"/>
      <c r="IS64" s="109" t="str">
        <f>IF('Supp. Result Entry'!T62="","",'Supp. Result Entry'!$T$4)</f>
        <v/>
      </c>
      <c r="IT64" s="110" t="str">
        <f>IF('Supp. Result Entry'!W62="","",'Supp. Result Entry'!$W$4)</f>
        <v/>
      </c>
      <c r="IU64" s="110" t="str">
        <f>IF('Supp. Result Entry'!Z62="","",'Supp. Result Entry'!$Z$4)</f>
        <v/>
      </c>
      <c r="IV64" s="110" t="str">
        <f>IF('Supp. Result Entry'!AC62="","",'Supp. Result Entry'!$AC$4)</f>
        <v/>
      </c>
      <c r="IW64" s="110" t="str">
        <f>IF('Supp. Result Entry'!AF62="","",'Supp. Result Entry'!$AF$4)</f>
        <v/>
      </c>
      <c r="IX64" s="110" t="str">
        <f>IF('Supp. Result Entry'!AI62="","",'Supp. Result Entry'!$AI$4)</f>
        <v/>
      </c>
      <c r="IY64" s="110" t="str">
        <f>IF('Supp. Result Entry'!AI62="","",'Supp. Result Entry'!$AL$4)</f>
        <v/>
      </c>
      <c r="IZ64" s="110" t="str">
        <f>IF('Supp. Result Entry'!U62="","",'Supp. Result Entry'!U62)</f>
        <v/>
      </c>
      <c r="JA64" s="110" t="str">
        <f>IF('Supp. Result Entry'!X62="","",'Supp. Result Entry'!X62)</f>
        <v/>
      </c>
      <c r="JB64" s="110" t="str">
        <f>IF('Supp. Result Entry'!AA62="","",'Supp. Result Entry'!AA62)</f>
        <v/>
      </c>
      <c r="JC64" s="110" t="str">
        <f>IF('Supp. Result Entry'!AD62="","",'Supp. Result Entry'!AD62)</f>
        <v/>
      </c>
      <c r="JD64" s="110" t="str">
        <f>IF('Supp. Result Entry'!AG62="","",'Supp. Result Entry'!AG62)</f>
        <v/>
      </c>
      <c r="JE64" s="110" t="str">
        <f>IF('Supp. Result Entry'!AJ62="","",'Supp. Result Entry'!AJ62)</f>
        <v/>
      </c>
      <c r="JF64" s="110" t="str">
        <f>IF('Supp. Result Entry'!AM62="","",'Supp. Result Entry'!AM62)</f>
        <v/>
      </c>
      <c r="JG64" s="110" t="str">
        <f>IF('Supp. Result Entry'!V62="","",'Supp. Result Entry'!V62)</f>
        <v/>
      </c>
      <c r="JH64" s="110" t="str">
        <f>IF('Supp. Result Entry'!Y62="","",'Supp. Result Entry'!Y62)</f>
        <v/>
      </c>
      <c r="JI64" s="110" t="str">
        <f>IF('Supp. Result Entry'!AB62="","",'Supp. Result Entry'!AB62)</f>
        <v/>
      </c>
      <c r="JJ64" s="110" t="str">
        <f>IF('Supp. Result Entry'!AE62="","",'Supp. Result Entry'!AE62)</f>
        <v/>
      </c>
      <c r="JK64" s="110" t="str">
        <f>IF('Supp. Result Entry'!AH62="","",'Supp. Result Entry'!AH62)</f>
        <v/>
      </c>
      <c r="JL64" s="110" t="str">
        <f>IF('Supp. Result Entry'!AK62="","",'Supp. Result Entry'!AK62)</f>
        <v/>
      </c>
      <c r="JM64" s="110" t="str">
        <f>IF('Supp. Result Entry'!AN62="","",'Supp. Result Entry'!AN62)</f>
        <v/>
      </c>
      <c r="JN64" s="110">
        <f>COUNTIF('Supp. Result Entry'!K62:Q62,"S")</f>
        <v>0</v>
      </c>
      <c r="JO64" s="110">
        <f t="shared" si="155"/>
        <v>0</v>
      </c>
      <c r="JP64" s="110">
        <f t="shared" si="156"/>
        <v>0</v>
      </c>
      <c r="JQ64" s="110" t="str">
        <f t="shared" si="75"/>
        <v/>
      </c>
      <c r="JR64" s="110" t="str">
        <f t="shared" si="76"/>
        <v/>
      </c>
      <c r="JS64" s="110" t="str">
        <f t="shared" si="77"/>
        <v/>
      </c>
      <c r="JT64" s="110" t="str">
        <f t="shared" si="78"/>
        <v/>
      </c>
      <c r="JU64" s="110" t="str">
        <f t="shared" si="79"/>
        <v/>
      </c>
      <c r="JV64" s="110" t="str">
        <f t="shared" si="80"/>
        <v/>
      </c>
      <c r="JW64" s="110" t="str">
        <f t="shared" si="81"/>
        <v/>
      </c>
      <c r="JX64" s="110" t="str">
        <f t="shared" si="157"/>
        <v/>
      </c>
      <c r="JY64" s="110" t="str">
        <f t="shared" si="158"/>
        <v/>
      </c>
      <c r="JZ64" s="110" t="str">
        <f t="shared" si="82"/>
        <v/>
      </c>
      <c r="KA64" s="108" t="str">
        <f t="shared" si="159"/>
        <v/>
      </c>
    </row>
    <row r="65" spans="1:287" s="108" customFormat="1" ht="21.95" customHeight="1">
      <c r="A65" s="89">
        <v>59</v>
      </c>
      <c r="B65" s="90" t="str">
        <f>IF('Marks Entry'!B65="","",'Marks Entry'!B65)</f>
        <v/>
      </c>
      <c r="C65" s="94" t="str">
        <f>IF('Marks Entry'!D65="","",'Marks Entry'!D65)</f>
        <v/>
      </c>
      <c r="D65" s="91" t="str">
        <f>IF('Marks Entry'!E65="","",'Marks Entry'!E65)</f>
        <v/>
      </c>
      <c r="E65" s="92" t="str">
        <f>IF('Marks Entry'!F65="","",'Marks Entry'!F65)</f>
        <v/>
      </c>
      <c r="F65" s="93" t="str">
        <f>IF('Marks Entry'!G65="","",'Marks Entry'!G65)</f>
        <v/>
      </c>
      <c r="G65" s="93" t="str">
        <f>IF('Marks Entry'!H65="","",'Marks Entry'!H65)</f>
        <v/>
      </c>
      <c r="H65" s="93" t="str">
        <f>IF('Marks Entry'!I65="","",'Marks Entry'!I65)</f>
        <v/>
      </c>
      <c r="I65" s="94" t="str">
        <f>IF('Marks Entry'!J65="","",'Marks Entry'!J65)</f>
        <v/>
      </c>
      <c r="J65" s="95" t="str">
        <f>IF('Marks Entry'!K65="","",'Marks Entry'!K65)</f>
        <v/>
      </c>
      <c r="K65" s="68" t="str">
        <f>IF('Marks Entry'!L65="","",'Marks Entry'!L65)</f>
        <v/>
      </c>
      <c r="L65" s="68" t="str">
        <f>IF('Marks Entry'!M65="","",'Marks Entry'!M65)</f>
        <v/>
      </c>
      <c r="M65" s="68" t="str">
        <f>IF('Marks Entry'!N65="","",'Marks Entry'!N65)</f>
        <v/>
      </c>
      <c r="N65" s="514" t="str">
        <f t="shared" si="83"/>
        <v/>
      </c>
      <c r="O65" s="68" t="str">
        <f>IF('Marks Entry'!O65="","",'Marks Entry'!O65)</f>
        <v/>
      </c>
      <c r="P65" s="515" t="str">
        <f t="shared" si="84"/>
        <v/>
      </c>
      <c r="Q65" s="68" t="str">
        <f>IF('Marks Entry'!P65="","",'Marks Entry'!P65)</f>
        <v/>
      </c>
      <c r="R65" s="96" t="str">
        <f t="shared" si="85"/>
        <v/>
      </c>
      <c r="S65" s="65">
        <f t="shared" si="86"/>
        <v>0</v>
      </c>
      <c r="T65" s="65">
        <f t="shared" si="87"/>
        <v>0</v>
      </c>
      <c r="U65" s="66" t="str">
        <f t="shared" si="88"/>
        <v/>
      </c>
      <c r="V65" s="65" t="str">
        <f t="shared" si="89"/>
        <v/>
      </c>
      <c r="W65" s="65" t="str">
        <f t="shared" si="90"/>
        <v/>
      </c>
      <c r="X65" s="65" t="str">
        <f t="shared" si="91"/>
        <v/>
      </c>
      <c r="Y65" s="68" t="str">
        <f>IF('Marks Entry'!Q65="","",'Marks Entry'!Q65)</f>
        <v/>
      </c>
      <c r="Z65" s="68" t="str">
        <f>IF('Marks Entry'!R65="","",'Marks Entry'!R65)</f>
        <v/>
      </c>
      <c r="AA65" s="68" t="str">
        <f>IF('Marks Entry'!S65="","",'Marks Entry'!S65)</f>
        <v/>
      </c>
      <c r="AB65" s="514" t="str">
        <f t="shared" si="2"/>
        <v/>
      </c>
      <c r="AC65" s="68" t="str">
        <f>IF('Marks Entry'!T65="","",'Marks Entry'!T65)</f>
        <v/>
      </c>
      <c r="AD65" s="515" t="str">
        <f t="shared" si="3"/>
        <v/>
      </c>
      <c r="AE65" s="68" t="str">
        <f>IF('Marks Entry'!U65="","",'Marks Entry'!U65)</f>
        <v/>
      </c>
      <c r="AF65" s="96" t="str">
        <f t="shared" si="4"/>
        <v/>
      </c>
      <c r="AG65" s="65">
        <f t="shared" si="5"/>
        <v>0</v>
      </c>
      <c r="AH65" s="65">
        <f t="shared" si="6"/>
        <v>0</v>
      </c>
      <c r="AI65" s="66" t="str">
        <f t="shared" si="7"/>
        <v/>
      </c>
      <c r="AJ65" s="65" t="str">
        <f t="shared" si="8"/>
        <v/>
      </c>
      <c r="AK65" s="65" t="str">
        <f t="shared" si="9"/>
        <v/>
      </c>
      <c r="AL65" s="65" t="str">
        <f t="shared" si="10"/>
        <v/>
      </c>
      <c r="AM65" s="524" t="str">
        <f>IF('Marks Entry'!V65="","",IF('Marks Entry'!V65=1,'School Profile'!$I$9,IF('Marks Entry'!V65=2,'School Profile'!$I$10,IF('Marks Entry'!V65=3,'School Profile'!$I$11,IF('Marks Entry'!V65=4,'School Profile'!$I$12,IF('Marks Entry'!V65=5,'School Profile'!$I$13,IF('Marks Entry'!V65=6,'School Profile'!$I$14,"")))))))</f>
        <v/>
      </c>
      <c r="AN65" s="68" t="str">
        <f>IF('Marks Entry'!W65="","",'Marks Entry'!W65)</f>
        <v/>
      </c>
      <c r="AO65" s="68" t="str">
        <f>IF('Marks Entry'!X65="","",'Marks Entry'!X65)</f>
        <v/>
      </c>
      <c r="AP65" s="68" t="str">
        <f>IF('Marks Entry'!Y65="","",'Marks Entry'!Y65)</f>
        <v/>
      </c>
      <c r="AQ65" s="514" t="str">
        <f t="shared" si="11"/>
        <v/>
      </c>
      <c r="AR65" s="68" t="str">
        <f>IF('Marks Entry'!Z65="","",'Marks Entry'!Z65)</f>
        <v/>
      </c>
      <c r="AS65" s="515" t="str">
        <f t="shared" si="12"/>
        <v/>
      </c>
      <c r="AT65" s="68" t="str">
        <f>IF('Marks Entry'!AA65="","",'Marks Entry'!AA65)</f>
        <v/>
      </c>
      <c r="AU65" s="96" t="str">
        <f t="shared" si="13"/>
        <v/>
      </c>
      <c r="AV65" s="65">
        <f t="shared" si="14"/>
        <v>0</v>
      </c>
      <c r="AW65" s="65">
        <f t="shared" si="15"/>
        <v>0</v>
      </c>
      <c r="AX65" s="66" t="str">
        <f t="shared" si="16"/>
        <v/>
      </c>
      <c r="AY65" s="65" t="str">
        <f t="shared" si="17"/>
        <v/>
      </c>
      <c r="AZ65" s="65" t="str">
        <f t="shared" si="18"/>
        <v/>
      </c>
      <c r="BA65" s="65" t="str">
        <f t="shared" si="19"/>
        <v/>
      </c>
      <c r="BB65" s="68" t="str">
        <f>IF('Marks Entry'!AB65="","",'Marks Entry'!AB65)</f>
        <v/>
      </c>
      <c r="BC65" s="68" t="str">
        <f>IF('Marks Entry'!AC65="","",'Marks Entry'!AC65)</f>
        <v/>
      </c>
      <c r="BD65" s="68" t="str">
        <f>IF('Marks Entry'!AD65="","",'Marks Entry'!AD65)</f>
        <v/>
      </c>
      <c r="BE65" s="514" t="str">
        <f t="shared" si="20"/>
        <v/>
      </c>
      <c r="BF65" s="68" t="str">
        <f>IF('Marks Entry'!AE65="","",'Marks Entry'!AE65)</f>
        <v/>
      </c>
      <c r="BG65" s="515" t="str">
        <f t="shared" si="21"/>
        <v/>
      </c>
      <c r="BH65" s="68" t="str">
        <f>IF('Marks Entry'!AF65="","",'Marks Entry'!AF65)</f>
        <v/>
      </c>
      <c r="BI65" s="96" t="str">
        <f t="shared" si="22"/>
        <v/>
      </c>
      <c r="BJ65" s="65">
        <f t="shared" si="23"/>
        <v>0</v>
      </c>
      <c r="BK65" s="65">
        <f t="shared" si="92"/>
        <v>0</v>
      </c>
      <c r="BL65" s="66" t="str">
        <f t="shared" si="24"/>
        <v/>
      </c>
      <c r="BM65" s="65" t="str">
        <f t="shared" si="25"/>
        <v/>
      </c>
      <c r="BN65" s="65" t="str">
        <f t="shared" si="26"/>
        <v/>
      </c>
      <c r="BO65" s="65" t="str">
        <f t="shared" si="27"/>
        <v/>
      </c>
      <c r="BP65" s="68" t="str">
        <f>IF('Marks Entry'!AG65="","",'Marks Entry'!AG65)</f>
        <v/>
      </c>
      <c r="BQ65" s="68" t="str">
        <f>IF('Marks Entry'!AH65="","",'Marks Entry'!AH65)</f>
        <v/>
      </c>
      <c r="BR65" s="68" t="str">
        <f>IF('Marks Entry'!AI65="","",'Marks Entry'!AI65)</f>
        <v/>
      </c>
      <c r="BS65" s="514" t="str">
        <f t="shared" si="28"/>
        <v/>
      </c>
      <c r="BT65" s="68" t="str">
        <f>IF('Marks Entry'!AJ65="","",'Marks Entry'!AJ65)</f>
        <v/>
      </c>
      <c r="BU65" s="515" t="str">
        <f t="shared" si="29"/>
        <v/>
      </c>
      <c r="BV65" s="68" t="str">
        <f>IF('Marks Entry'!AK65="","",'Marks Entry'!AK65)</f>
        <v/>
      </c>
      <c r="BW65" s="96" t="str">
        <f t="shared" si="30"/>
        <v/>
      </c>
      <c r="BX65" s="65">
        <f t="shared" si="31"/>
        <v>0</v>
      </c>
      <c r="BY65" s="65">
        <f t="shared" si="32"/>
        <v>0</v>
      </c>
      <c r="BZ65" s="66" t="str">
        <f t="shared" si="33"/>
        <v/>
      </c>
      <c r="CA65" s="65" t="str">
        <f t="shared" si="34"/>
        <v/>
      </c>
      <c r="CB65" s="65" t="str">
        <f t="shared" si="35"/>
        <v/>
      </c>
      <c r="CC65" s="65" t="str">
        <f t="shared" si="36"/>
        <v/>
      </c>
      <c r="CD65" s="66">
        <f t="shared" si="161"/>
        <v>0</v>
      </c>
      <c r="CE65" s="68" t="str">
        <f>IF('Marks Entry'!AL65="","",'Marks Entry'!AL65)</f>
        <v/>
      </c>
      <c r="CF65" s="68" t="str">
        <f>IF('Marks Entry'!AM65="","",'Marks Entry'!AM65)</f>
        <v/>
      </c>
      <c r="CG65" s="68" t="str">
        <f>IF('Marks Entry'!AN65="","",'Marks Entry'!AN65)</f>
        <v/>
      </c>
      <c r="CH65" s="514" t="str">
        <f t="shared" si="37"/>
        <v/>
      </c>
      <c r="CI65" s="68" t="str">
        <f>IF('Marks Entry'!AO65="","",'Marks Entry'!AO65)</f>
        <v/>
      </c>
      <c r="CJ65" s="515" t="str">
        <f t="shared" si="38"/>
        <v/>
      </c>
      <c r="CK65" s="68" t="str">
        <f>IF('Marks Entry'!AP65="","",'Marks Entry'!AP65)</f>
        <v/>
      </c>
      <c r="CL65" s="96" t="str">
        <f t="shared" si="39"/>
        <v/>
      </c>
      <c r="CM65" s="65">
        <f t="shared" si="40"/>
        <v>0</v>
      </c>
      <c r="CN65" s="65">
        <f t="shared" si="41"/>
        <v>0</v>
      </c>
      <c r="CO65" s="66" t="str">
        <f t="shared" si="42"/>
        <v/>
      </c>
      <c r="CP65" s="65" t="str">
        <f t="shared" si="43"/>
        <v/>
      </c>
      <c r="CQ65" s="65" t="str">
        <f t="shared" si="44"/>
        <v/>
      </c>
      <c r="CR65" s="65" t="str">
        <f t="shared" si="45"/>
        <v/>
      </c>
      <c r="CS65" s="616"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8" t="str">
        <f>IF('School Profile'!$D$20="NO","",IF('Marks Entry'!AR65="","",'Marks Entry'!AR65))</f>
        <v/>
      </c>
      <c r="CU65" s="68" t="str">
        <f>IF('School Profile'!$D$20="NO","",IF('Marks Entry'!AS65="","",'Marks Entry'!AS65))</f>
        <v/>
      </c>
      <c r="CV65" s="68" t="str">
        <f>IF('School Profile'!$D$20="NO","",IF('Marks Entry'!AT65="","",'Marks Entry'!AT65))</f>
        <v/>
      </c>
      <c r="CW65" s="514" t="str">
        <f>IF('School Profile'!$D$20="NO","",IF(AND(CT65="",CU65="",CV65=""),"",SUM(CT65:CV65)))</f>
        <v/>
      </c>
      <c r="CX65" s="68" t="str">
        <f>IF('School Profile'!$D$20="NO","",IF('Marks Entry'!AU65="","",'Marks Entry'!AU65))</f>
        <v/>
      </c>
      <c r="CY65" s="68" t="str">
        <f>IF('School Profile'!$D$20="NO","",IF('Marks Entry'!AV65="","",'Marks Entry'!AV65))</f>
        <v/>
      </c>
      <c r="CZ65" s="515" t="str">
        <f>IF('School Profile'!$D$20="NO","",IF(AND(CX65="",CY65=""),"",SUM(CX65,CY65)))</f>
        <v/>
      </c>
      <c r="DA65" s="69" t="str">
        <f>IF('School Profile'!$D$20="NO","",IF(AND(CW65="",CZ65=""),"",SUM(CW65+CZ65)))</f>
        <v/>
      </c>
      <c r="DB65" s="68" t="str">
        <f>IF('School Profile'!$D$20="NO","",IF('Marks Entry'!AW65="","",'Marks Entry'!AW65))</f>
        <v/>
      </c>
      <c r="DC65" s="68" t="str">
        <f>IF('School Profile'!$D$20="NO","",IF('Marks Entry'!AX65="","",'Marks Entry'!AX65))</f>
        <v/>
      </c>
      <c r="DD65" s="515" t="str">
        <f>IF('School Profile'!$D$20="NO","",IF(AND(DB65="",DC65=""),"",SUM(DB65,DC65)))</f>
        <v/>
      </c>
      <c r="DE65" s="96" t="str">
        <f>IF('School Profile'!$D$20="NO","",IF(AND(DA65="",DD65=""),"",SUM(DA65,DD65)))</f>
        <v/>
      </c>
      <c r="DF65" s="532">
        <f t="shared" si="46"/>
        <v>0</v>
      </c>
      <c r="DG65" s="65">
        <f t="shared" si="47"/>
        <v>0</v>
      </c>
      <c r="DH65" s="66" t="str">
        <f t="shared" si="48"/>
        <v/>
      </c>
      <c r="DI65" s="65" t="str">
        <f t="shared" si="49"/>
        <v/>
      </c>
      <c r="DJ65" s="65" t="str">
        <f t="shared" si="50"/>
        <v/>
      </c>
      <c r="DK65" s="65" t="str">
        <f t="shared" si="51"/>
        <v/>
      </c>
      <c r="DL65" s="97" t="str">
        <f t="shared" si="94"/>
        <v/>
      </c>
      <c r="DM65" s="97" t="str">
        <f t="shared" si="95"/>
        <v/>
      </c>
      <c r="DN65" s="97" t="str">
        <f t="shared" si="96"/>
        <v/>
      </c>
      <c r="DO65" s="97" t="str">
        <f t="shared" si="97"/>
        <v/>
      </c>
      <c r="DP65" s="97" t="str">
        <f t="shared" si="98"/>
        <v/>
      </c>
      <c r="DQ65" s="97" t="str">
        <f t="shared" si="99"/>
        <v/>
      </c>
      <c r="DR65" s="97" t="str">
        <f t="shared" si="100"/>
        <v/>
      </c>
      <c r="DS65" s="98">
        <f t="shared" si="101"/>
        <v>0</v>
      </c>
      <c r="DT65" s="98">
        <f t="shared" si="102"/>
        <v>0</v>
      </c>
      <c r="DU65" s="98">
        <f t="shared" si="103"/>
        <v>0</v>
      </c>
      <c r="DV65" s="98">
        <f t="shared" si="104"/>
        <v>0</v>
      </c>
      <c r="DW65" s="98">
        <f t="shared" si="105"/>
        <v>0</v>
      </c>
      <c r="DX65" s="98" t="str">
        <f t="shared" si="106"/>
        <v/>
      </c>
      <c r="DY65" s="99" t="str">
        <f t="shared" si="107"/>
        <v/>
      </c>
      <c r="DZ65" s="74" t="str">
        <f>IF('Marks Entry'!AY65="","",'Marks Entry'!AY65)</f>
        <v/>
      </c>
      <c r="EA65" s="74" t="str">
        <f>IF('Marks Entry'!AZ65="","",'Marks Entry'!AZ65)</f>
        <v/>
      </c>
      <c r="EB65" s="74" t="str">
        <f>IF('Marks Entry'!BA65="","",'Marks Entry'!BA65)</f>
        <v/>
      </c>
      <c r="EC65" s="527" t="str">
        <f t="shared" si="52"/>
        <v/>
      </c>
      <c r="ED65" s="74" t="str">
        <f>IF('Marks Entry'!BB65="","",'Marks Entry'!BB65)</f>
        <v/>
      </c>
      <c r="EE65" s="528" t="str">
        <f t="shared" si="53"/>
        <v/>
      </c>
      <c r="EF65" s="74" t="str">
        <f>IF('Marks Entry'!BC65="","",'Marks Entry'!BC65)</f>
        <v/>
      </c>
      <c r="EG65" s="530" t="str">
        <f t="shared" si="54"/>
        <v/>
      </c>
      <c r="EH65" s="368" t="str">
        <f t="shared" si="108"/>
        <v/>
      </c>
      <c r="EI65" s="65">
        <f t="shared" si="109"/>
        <v>0</v>
      </c>
      <c r="EJ65" s="65">
        <f t="shared" si="110"/>
        <v>0</v>
      </c>
      <c r="EK65" s="66" t="str">
        <f t="shared" si="111"/>
        <v/>
      </c>
      <c r="EL65" s="74" t="str">
        <f>IF('Marks Entry'!BD65="","",'Marks Entry'!BD65)</f>
        <v/>
      </c>
      <c r="EM65" s="74" t="str">
        <f>IF('Marks Entry'!BE65="","",'Marks Entry'!BE65)</f>
        <v/>
      </c>
      <c r="EN65" s="74" t="str">
        <f>IF('Marks Entry'!BF65="","",'Marks Entry'!BF65)</f>
        <v/>
      </c>
      <c r="EO65" s="527" t="str">
        <f t="shared" si="55"/>
        <v/>
      </c>
      <c r="EP65" s="74" t="str">
        <f>IF('Marks Entry'!BG65="","",'Marks Entry'!BG65)</f>
        <v/>
      </c>
      <c r="EQ65" s="74" t="str">
        <f>IF('Marks Entry'!BH65="","",'Marks Entry'!BH65)</f>
        <v/>
      </c>
      <c r="ER65" s="528" t="str">
        <f t="shared" si="56"/>
        <v/>
      </c>
      <c r="ES65" s="529" t="str">
        <f t="shared" si="57"/>
        <v/>
      </c>
      <c r="ET65" s="74" t="str">
        <f>IF('Marks Entry'!BI65="","",'Marks Entry'!BI65)</f>
        <v/>
      </c>
      <c r="EU65" s="74" t="str">
        <f>IF('Marks Entry'!BJ65="","",'Marks Entry'!BJ65)</f>
        <v/>
      </c>
      <c r="EV65" s="528" t="str">
        <f t="shared" si="58"/>
        <v/>
      </c>
      <c r="EW65" s="530" t="str">
        <f t="shared" si="59"/>
        <v/>
      </c>
      <c r="EX65" s="368" t="str">
        <f t="shared" si="112"/>
        <v/>
      </c>
      <c r="EY65" s="65">
        <f t="shared" si="113"/>
        <v>0</v>
      </c>
      <c r="EZ65" s="65">
        <f t="shared" si="114"/>
        <v>0</v>
      </c>
      <c r="FA65" s="66" t="str">
        <f t="shared" si="115"/>
        <v/>
      </c>
      <c r="FB65" s="74" t="str">
        <f>IF('Marks Entry'!BK65="","",'Marks Entry'!BK65)</f>
        <v/>
      </c>
      <c r="FC65" s="74" t="str">
        <f>IF('Marks Entry'!BL65="","",'Marks Entry'!BL65)</f>
        <v/>
      </c>
      <c r="FD65" s="74" t="str">
        <f>IF('Marks Entry'!BM65="","",'Marks Entry'!BM65)</f>
        <v/>
      </c>
      <c r="FE65" s="74" t="str">
        <f>IF('Marks Entry'!BN65="","",'Marks Entry'!BN65)</f>
        <v/>
      </c>
      <c r="FF65" s="74" t="str">
        <f>IF('Marks Entry'!BO65="","",'Marks Entry'!BO65)</f>
        <v/>
      </c>
      <c r="FG65" s="74" t="str">
        <f>IF('Marks Entry'!BP65="","",'Marks Entry'!BP65)</f>
        <v/>
      </c>
      <c r="FH65" s="527" t="str">
        <f t="shared" si="60"/>
        <v/>
      </c>
      <c r="FI65" s="74" t="str">
        <f>IF('Marks Entry'!BQ65="","",'Marks Entry'!BQ65)</f>
        <v/>
      </c>
      <c r="FJ65" s="74" t="str">
        <f>IF('Marks Entry'!BR65="","",'Marks Entry'!BR65)</f>
        <v/>
      </c>
      <c r="FK65" s="528" t="str">
        <f t="shared" si="61"/>
        <v/>
      </c>
      <c r="FL65" s="529" t="str">
        <f t="shared" si="62"/>
        <v/>
      </c>
      <c r="FM65" s="74" t="str">
        <f>IF('Marks Entry'!BS65="","",'Marks Entry'!BS65)</f>
        <v/>
      </c>
      <c r="FN65" s="74" t="str">
        <f>IF('Marks Entry'!BT65="","",'Marks Entry'!BT65)</f>
        <v/>
      </c>
      <c r="FO65" s="528" t="str">
        <f t="shared" si="63"/>
        <v/>
      </c>
      <c r="FP65" s="530" t="str">
        <f t="shared" si="64"/>
        <v/>
      </c>
      <c r="FQ65" s="368" t="str">
        <f t="shared" si="116"/>
        <v/>
      </c>
      <c r="FR65" s="65">
        <f t="shared" si="117"/>
        <v>0</v>
      </c>
      <c r="FS65" s="65">
        <f t="shared" si="118"/>
        <v>0</v>
      </c>
      <c r="FT65" s="66" t="str">
        <f t="shared" si="119"/>
        <v/>
      </c>
      <c r="FU65" s="74" t="str">
        <f>IF('Marks Entry'!BU65="","",'Marks Entry'!BU65)</f>
        <v/>
      </c>
      <c r="FV65" s="74" t="str">
        <f>IF('Marks Entry'!BV65="","",'Marks Entry'!BV65)</f>
        <v/>
      </c>
      <c r="FW65" s="74" t="str">
        <f>IF('Marks Entry'!BW65="","",'Marks Entry'!BW65)</f>
        <v/>
      </c>
      <c r="FX65" s="75" t="str">
        <f t="shared" si="65"/>
        <v/>
      </c>
      <c r="FY65" s="368" t="str">
        <f t="shared" si="120"/>
        <v/>
      </c>
      <c r="FZ65" s="65">
        <f t="shared" si="121"/>
        <v>0</v>
      </c>
      <c r="GA65" s="66">
        <f t="shared" si="122"/>
        <v>0</v>
      </c>
      <c r="GB65" s="66" t="str">
        <f t="shared" si="123"/>
        <v/>
      </c>
      <c r="GC65" s="74" t="str">
        <f>IF('Marks Entry'!BX65="","",'Marks Entry'!BX65)</f>
        <v/>
      </c>
      <c r="GD65" s="74" t="str">
        <f>IF('Marks Entry'!BY65="","",'Marks Entry'!BY65)</f>
        <v/>
      </c>
      <c r="GE65" s="74" t="str">
        <f>IF('Marks Entry'!BZ65="","",'Marks Entry'!BZ65)</f>
        <v/>
      </c>
      <c r="GF65" s="75" t="str">
        <f t="shared" si="124"/>
        <v/>
      </c>
      <c r="GG65" s="368" t="str">
        <f t="shared" si="125"/>
        <v/>
      </c>
      <c r="GH65" s="65">
        <f t="shared" si="126"/>
        <v>0</v>
      </c>
      <c r="GI65" s="66">
        <f t="shared" si="127"/>
        <v>0</v>
      </c>
      <c r="GJ65" s="66" t="str">
        <f t="shared" si="128"/>
        <v/>
      </c>
      <c r="GK65" s="100" t="str">
        <f>IF(AND(F65="",B65=""),"",IF('Student DATA Entry'!M62="","",'Student DATA Entry'!M62))</f>
        <v/>
      </c>
      <c r="GL65" s="101" t="str">
        <f>IF(AND(B65="",F65=""),"",IF('Student DATA Entry'!N62="","",'Student DATA Entry'!N62))</f>
        <v/>
      </c>
      <c r="GM65" s="581" t="str">
        <f t="shared" si="129"/>
        <v/>
      </c>
      <c r="GN65" s="94" t="str">
        <f t="shared" si="130"/>
        <v/>
      </c>
      <c r="GO65" s="94" t="str">
        <f t="shared" si="131"/>
        <v/>
      </c>
      <c r="GP65" s="102" t="str">
        <f t="shared" si="162"/>
        <v/>
      </c>
      <c r="GQ65" s="94" t="str">
        <f t="shared" si="132"/>
        <v/>
      </c>
      <c r="GR65" s="103" t="str">
        <f t="shared" si="133"/>
        <v/>
      </c>
      <c r="GS65" s="102" t="str">
        <f t="shared" si="163"/>
        <v/>
      </c>
      <c r="GT65" s="104" t="str">
        <f t="shared" si="134"/>
        <v/>
      </c>
      <c r="GU65" s="94" t="str">
        <f>IF('Marks Entry'!V65=1,GT65,"")</f>
        <v/>
      </c>
      <c r="GV65" s="94" t="str">
        <f>IF('Marks Entry'!V65=2,GT65,"")</f>
        <v/>
      </c>
      <c r="GW65" s="94" t="str">
        <f>IF('Marks Entry'!V65=3,GT65,"")</f>
        <v/>
      </c>
      <c r="GX65" s="94" t="str">
        <f>IF('Marks Entry'!V65=4,GT65,"")</f>
        <v/>
      </c>
      <c r="GY65" s="94" t="str">
        <f>IF('Marks Entry'!V65=5,GT65,"")</f>
        <v/>
      </c>
      <c r="GZ65" s="94" t="str">
        <f t="shared" si="135"/>
        <v/>
      </c>
      <c r="HA65" s="105" t="str">
        <f t="shared" si="164"/>
        <v/>
      </c>
      <c r="HB65" s="94" t="str">
        <f t="shared" si="136"/>
        <v/>
      </c>
      <c r="HC65" s="94" t="str">
        <f t="shared" si="137"/>
        <v/>
      </c>
      <c r="HD65" s="105" t="str">
        <f t="shared" si="165"/>
        <v/>
      </c>
      <c r="HE65" s="94" t="str">
        <f t="shared" si="138"/>
        <v/>
      </c>
      <c r="HF65" s="94" t="str">
        <f t="shared" si="139"/>
        <v/>
      </c>
      <c r="HG65" s="105" t="str">
        <f t="shared" si="166"/>
        <v/>
      </c>
      <c r="HH65" s="94" t="str">
        <f t="shared" si="140"/>
        <v/>
      </c>
      <c r="HI65" s="94" t="str">
        <f t="shared" si="141"/>
        <v/>
      </c>
      <c r="HJ65" s="105" t="str">
        <f t="shared" si="167"/>
        <v/>
      </c>
      <c r="HK65" s="94" t="str">
        <f t="shared" si="142"/>
        <v/>
      </c>
      <c r="HL65" s="94" t="str">
        <f t="shared" si="143"/>
        <v/>
      </c>
      <c r="HM65" s="105" t="str">
        <f t="shared" si="168"/>
        <v/>
      </c>
      <c r="HN65" s="367" t="str">
        <f t="shared" si="144"/>
        <v xml:space="preserve">      </v>
      </c>
      <c r="HO65" s="418" t="str">
        <f t="shared" si="169"/>
        <v xml:space="preserve">      </v>
      </c>
      <c r="HP65" s="367" t="str">
        <f t="shared" si="146"/>
        <v xml:space="preserve">      </v>
      </c>
      <c r="HQ65" s="107" t="str">
        <f t="shared" si="147"/>
        <v xml:space="preserve">      </v>
      </c>
      <c r="HR65" s="366" t="str">
        <f t="shared" si="148"/>
        <v xml:space="preserve">      </v>
      </c>
      <c r="HS65" s="544" t="str">
        <f t="shared" si="170"/>
        <v/>
      </c>
      <c r="HT65" s="542" t="str">
        <f t="shared" si="149"/>
        <v/>
      </c>
      <c r="HU65" s="541" t="str">
        <f t="shared" si="160"/>
        <v/>
      </c>
      <c r="HV65" s="540" t="str">
        <f t="shared" si="150"/>
        <v/>
      </c>
      <c r="HW65" s="537" t="str">
        <f t="shared" si="151"/>
        <v/>
      </c>
      <c r="HX65" s="539" t="str">
        <f t="shared" si="152"/>
        <v/>
      </c>
      <c r="HY65" s="553" t="str">
        <f>IFERROR(IF(OR(HS65="SUPPLEMENTARY",HS65="RE-EXAM"),'Supp. Result Entry'!AQ63,""),"")</f>
        <v/>
      </c>
      <c r="HZ65" s="538" t="str">
        <f t="shared" si="153"/>
        <v/>
      </c>
      <c r="IA65" s="415" t="str">
        <f t="shared" si="154"/>
        <v/>
      </c>
      <c r="IB65" s="415" t="str">
        <f>IF(AND(HZ65="",IA65=""),"",IF(OR(HS65="SUPPLEMENTARY",HS65="RE-EXAM"),'Supp. Result Entry'!AQ63,HS65))</f>
        <v/>
      </c>
      <c r="IC65" s="87"/>
      <c r="IS65" s="109" t="str">
        <f>IF('Supp. Result Entry'!T63="","",'Supp. Result Entry'!$T$4)</f>
        <v/>
      </c>
      <c r="IT65" s="110" t="str">
        <f>IF('Supp. Result Entry'!W63="","",'Supp. Result Entry'!$W$4)</f>
        <v/>
      </c>
      <c r="IU65" s="110" t="str">
        <f>IF('Supp. Result Entry'!Z63="","",'Supp. Result Entry'!$Z$4)</f>
        <v/>
      </c>
      <c r="IV65" s="110" t="str">
        <f>IF('Supp. Result Entry'!AC63="","",'Supp. Result Entry'!$AC$4)</f>
        <v/>
      </c>
      <c r="IW65" s="110" t="str">
        <f>IF('Supp. Result Entry'!AF63="","",'Supp. Result Entry'!$AF$4)</f>
        <v/>
      </c>
      <c r="IX65" s="110" t="str">
        <f>IF('Supp. Result Entry'!AI63="","",'Supp. Result Entry'!$AI$4)</f>
        <v/>
      </c>
      <c r="IY65" s="110" t="str">
        <f>IF('Supp. Result Entry'!AI63="","",'Supp. Result Entry'!$AL$4)</f>
        <v/>
      </c>
      <c r="IZ65" s="110" t="str">
        <f>IF('Supp. Result Entry'!U63="","",'Supp. Result Entry'!U63)</f>
        <v/>
      </c>
      <c r="JA65" s="110" t="str">
        <f>IF('Supp. Result Entry'!X63="","",'Supp. Result Entry'!X63)</f>
        <v/>
      </c>
      <c r="JB65" s="110" t="str">
        <f>IF('Supp. Result Entry'!AA63="","",'Supp. Result Entry'!AA63)</f>
        <v/>
      </c>
      <c r="JC65" s="110" t="str">
        <f>IF('Supp. Result Entry'!AD63="","",'Supp. Result Entry'!AD63)</f>
        <v/>
      </c>
      <c r="JD65" s="110" t="str">
        <f>IF('Supp. Result Entry'!AG63="","",'Supp. Result Entry'!AG63)</f>
        <v/>
      </c>
      <c r="JE65" s="110" t="str">
        <f>IF('Supp. Result Entry'!AJ63="","",'Supp. Result Entry'!AJ63)</f>
        <v/>
      </c>
      <c r="JF65" s="110" t="str">
        <f>IF('Supp. Result Entry'!AM63="","",'Supp. Result Entry'!AM63)</f>
        <v/>
      </c>
      <c r="JG65" s="110" t="str">
        <f>IF('Supp. Result Entry'!V63="","",'Supp. Result Entry'!V63)</f>
        <v/>
      </c>
      <c r="JH65" s="110" t="str">
        <f>IF('Supp. Result Entry'!Y63="","",'Supp. Result Entry'!Y63)</f>
        <v/>
      </c>
      <c r="JI65" s="110" t="str">
        <f>IF('Supp. Result Entry'!AB63="","",'Supp. Result Entry'!AB63)</f>
        <v/>
      </c>
      <c r="JJ65" s="110" t="str">
        <f>IF('Supp. Result Entry'!AE63="","",'Supp. Result Entry'!AE63)</f>
        <v/>
      </c>
      <c r="JK65" s="110" t="str">
        <f>IF('Supp. Result Entry'!AH63="","",'Supp. Result Entry'!AH63)</f>
        <v/>
      </c>
      <c r="JL65" s="110" t="str">
        <f>IF('Supp. Result Entry'!AK63="","",'Supp. Result Entry'!AK63)</f>
        <v/>
      </c>
      <c r="JM65" s="110" t="str">
        <f>IF('Supp. Result Entry'!AN63="","",'Supp. Result Entry'!AN63)</f>
        <v/>
      </c>
      <c r="JN65" s="110">
        <f>COUNTIF('Supp. Result Entry'!K63:Q63,"S")</f>
        <v>0</v>
      </c>
      <c r="JO65" s="110">
        <f t="shared" si="155"/>
        <v>0</v>
      </c>
      <c r="JP65" s="110">
        <f t="shared" si="156"/>
        <v>0</v>
      </c>
      <c r="JQ65" s="110" t="str">
        <f t="shared" si="75"/>
        <v/>
      </c>
      <c r="JR65" s="110" t="str">
        <f t="shared" si="76"/>
        <v/>
      </c>
      <c r="JS65" s="110" t="str">
        <f t="shared" si="77"/>
        <v/>
      </c>
      <c r="JT65" s="110" t="str">
        <f t="shared" si="78"/>
        <v/>
      </c>
      <c r="JU65" s="110" t="str">
        <f t="shared" si="79"/>
        <v/>
      </c>
      <c r="JV65" s="110" t="str">
        <f t="shared" si="80"/>
        <v/>
      </c>
      <c r="JW65" s="110" t="str">
        <f t="shared" si="81"/>
        <v/>
      </c>
      <c r="JX65" s="110" t="str">
        <f t="shared" si="157"/>
        <v/>
      </c>
      <c r="JY65" s="110" t="str">
        <f t="shared" si="158"/>
        <v/>
      </c>
      <c r="JZ65" s="110" t="str">
        <f t="shared" si="82"/>
        <v/>
      </c>
      <c r="KA65" s="108" t="str">
        <f t="shared" si="159"/>
        <v/>
      </c>
    </row>
    <row r="66" spans="1:287" s="108" customFormat="1" ht="21.95" customHeight="1">
      <c r="A66" s="89">
        <v>60</v>
      </c>
      <c r="B66" s="90" t="str">
        <f>IF('Marks Entry'!B66="","",'Marks Entry'!B66)</f>
        <v/>
      </c>
      <c r="C66" s="94" t="str">
        <f>IF('Marks Entry'!D66="","",'Marks Entry'!D66)</f>
        <v/>
      </c>
      <c r="D66" s="91" t="str">
        <f>IF('Marks Entry'!E66="","",'Marks Entry'!E66)</f>
        <v/>
      </c>
      <c r="E66" s="92" t="str">
        <f>IF('Marks Entry'!F66="","",'Marks Entry'!F66)</f>
        <v/>
      </c>
      <c r="F66" s="93" t="str">
        <f>IF('Marks Entry'!G66="","",'Marks Entry'!G66)</f>
        <v/>
      </c>
      <c r="G66" s="93" t="str">
        <f>IF('Marks Entry'!H66="","",'Marks Entry'!H66)</f>
        <v/>
      </c>
      <c r="H66" s="93" t="str">
        <f>IF('Marks Entry'!I66="","",'Marks Entry'!I66)</f>
        <v/>
      </c>
      <c r="I66" s="94" t="str">
        <f>IF('Marks Entry'!J66="","",'Marks Entry'!J66)</f>
        <v/>
      </c>
      <c r="J66" s="95" t="str">
        <f>IF('Marks Entry'!K66="","",'Marks Entry'!K66)</f>
        <v/>
      </c>
      <c r="K66" s="68" t="str">
        <f>IF('Marks Entry'!L66="","",'Marks Entry'!L66)</f>
        <v/>
      </c>
      <c r="L66" s="68" t="str">
        <f>IF('Marks Entry'!M66="","",'Marks Entry'!M66)</f>
        <v/>
      </c>
      <c r="M66" s="68" t="str">
        <f>IF('Marks Entry'!N66="","",'Marks Entry'!N66)</f>
        <v/>
      </c>
      <c r="N66" s="514" t="str">
        <f t="shared" si="83"/>
        <v/>
      </c>
      <c r="O66" s="68" t="str">
        <f>IF('Marks Entry'!O66="","",'Marks Entry'!O66)</f>
        <v/>
      </c>
      <c r="P66" s="515" t="str">
        <f t="shared" si="84"/>
        <v/>
      </c>
      <c r="Q66" s="68" t="str">
        <f>IF('Marks Entry'!P66="","",'Marks Entry'!P66)</f>
        <v/>
      </c>
      <c r="R66" s="96" t="str">
        <f t="shared" si="85"/>
        <v/>
      </c>
      <c r="S66" s="65">
        <f t="shared" si="86"/>
        <v>0</v>
      </c>
      <c r="T66" s="65">
        <f t="shared" si="87"/>
        <v>0</v>
      </c>
      <c r="U66" s="66" t="str">
        <f t="shared" si="88"/>
        <v/>
      </c>
      <c r="V66" s="65" t="str">
        <f t="shared" si="89"/>
        <v/>
      </c>
      <c r="W66" s="65" t="str">
        <f t="shared" si="90"/>
        <v/>
      </c>
      <c r="X66" s="65" t="str">
        <f t="shared" si="91"/>
        <v/>
      </c>
      <c r="Y66" s="68" t="str">
        <f>IF('Marks Entry'!Q66="","",'Marks Entry'!Q66)</f>
        <v/>
      </c>
      <c r="Z66" s="68" t="str">
        <f>IF('Marks Entry'!R66="","",'Marks Entry'!R66)</f>
        <v/>
      </c>
      <c r="AA66" s="68" t="str">
        <f>IF('Marks Entry'!S66="","",'Marks Entry'!S66)</f>
        <v/>
      </c>
      <c r="AB66" s="514" t="str">
        <f t="shared" si="2"/>
        <v/>
      </c>
      <c r="AC66" s="68" t="str">
        <f>IF('Marks Entry'!T66="","",'Marks Entry'!T66)</f>
        <v/>
      </c>
      <c r="AD66" s="515" t="str">
        <f t="shared" si="3"/>
        <v/>
      </c>
      <c r="AE66" s="68" t="str">
        <f>IF('Marks Entry'!U66="","",'Marks Entry'!U66)</f>
        <v/>
      </c>
      <c r="AF66" s="96" t="str">
        <f t="shared" si="4"/>
        <v/>
      </c>
      <c r="AG66" s="65">
        <f t="shared" si="5"/>
        <v>0</v>
      </c>
      <c r="AH66" s="65">
        <f t="shared" si="6"/>
        <v>0</v>
      </c>
      <c r="AI66" s="66" t="str">
        <f t="shared" si="7"/>
        <v/>
      </c>
      <c r="AJ66" s="65" t="str">
        <f t="shared" si="8"/>
        <v/>
      </c>
      <c r="AK66" s="65" t="str">
        <f t="shared" si="9"/>
        <v/>
      </c>
      <c r="AL66" s="65" t="str">
        <f t="shared" si="10"/>
        <v/>
      </c>
      <c r="AM66" s="524" t="str">
        <f>IF('Marks Entry'!V66="","",IF('Marks Entry'!V66=1,'School Profile'!$I$9,IF('Marks Entry'!V66=2,'School Profile'!$I$10,IF('Marks Entry'!V66=3,'School Profile'!$I$11,IF('Marks Entry'!V66=4,'School Profile'!$I$12,IF('Marks Entry'!V66=5,'School Profile'!$I$13,IF('Marks Entry'!V66=6,'School Profile'!$I$14,"")))))))</f>
        <v/>
      </c>
      <c r="AN66" s="68" t="str">
        <f>IF('Marks Entry'!W66="","",'Marks Entry'!W66)</f>
        <v/>
      </c>
      <c r="AO66" s="68" t="str">
        <f>IF('Marks Entry'!X66="","",'Marks Entry'!X66)</f>
        <v/>
      </c>
      <c r="AP66" s="68" t="str">
        <f>IF('Marks Entry'!Y66="","",'Marks Entry'!Y66)</f>
        <v/>
      </c>
      <c r="AQ66" s="514" t="str">
        <f t="shared" si="11"/>
        <v/>
      </c>
      <c r="AR66" s="68" t="str">
        <f>IF('Marks Entry'!Z66="","",'Marks Entry'!Z66)</f>
        <v/>
      </c>
      <c r="AS66" s="515" t="str">
        <f t="shared" si="12"/>
        <v/>
      </c>
      <c r="AT66" s="68" t="str">
        <f>IF('Marks Entry'!AA66="","",'Marks Entry'!AA66)</f>
        <v/>
      </c>
      <c r="AU66" s="96" t="str">
        <f t="shared" si="13"/>
        <v/>
      </c>
      <c r="AV66" s="65">
        <f t="shared" si="14"/>
        <v>0</v>
      </c>
      <c r="AW66" s="65">
        <f t="shared" si="15"/>
        <v>0</v>
      </c>
      <c r="AX66" s="66" t="str">
        <f t="shared" si="16"/>
        <v/>
      </c>
      <c r="AY66" s="65" t="str">
        <f t="shared" si="17"/>
        <v/>
      </c>
      <c r="AZ66" s="65" t="str">
        <f t="shared" si="18"/>
        <v/>
      </c>
      <c r="BA66" s="65" t="str">
        <f t="shared" si="19"/>
        <v/>
      </c>
      <c r="BB66" s="68" t="str">
        <f>IF('Marks Entry'!AB66="","",'Marks Entry'!AB66)</f>
        <v/>
      </c>
      <c r="BC66" s="68" t="str">
        <f>IF('Marks Entry'!AC66="","",'Marks Entry'!AC66)</f>
        <v/>
      </c>
      <c r="BD66" s="68" t="str">
        <f>IF('Marks Entry'!AD66="","",'Marks Entry'!AD66)</f>
        <v/>
      </c>
      <c r="BE66" s="514" t="str">
        <f t="shared" si="20"/>
        <v/>
      </c>
      <c r="BF66" s="68" t="str">
        <f>IF('Marks Entry'!AE66="","",'Marks Entry'!AE66)</f>
        <v/>
      </c>
      <c r="BG66" s="515" t="str">
        <f t="shared" si="21"/>
        <v/>
      </c>
      <c r="BH66" s="68" t="str">
        <f>IF('Marks Entry'!AF66="","",'Marks Entry'!AF66)</f>
        <v/>
      </c>
      <c r="BI66" s="96" t="str">
        <f t="shared" si="22"/>
        <v/>
      </c>
      <c r="BJ66" s="65">
        <f t="shared" si="23"/>
        <v>0</v>
      </c>
      <c r="BK66" s="65">
        <f t="shared" si="92"/>
        <v>0</v>
      </c>
      <c r="BL66" s="66" t="str">
        <f t="shared" si="24"/>
        <v/>
      </c>
      <c r="BM66" s="65" t="str">
        <f t="shared" si="25"/>
        <v/>
      </c>
      <c r="BN66" s="65" t="str">
        <f t="shared" si="26"/>
        <v/>
      </c>
      <c r="BO66" s="65" t="str">
        <f t="shared" si="27"/>
        <v/>
      </c>
      <c r="BP66" s="68" t="str">
        <f>IF('Marks Entry'!AG66="","",'Marks Entry'!AG66)</f>
        <v/>
      </c>
      <c r="BQ66" s="68" t="str">
        <f>IF('Marks Entry'!AH66="","",'Marks Entry'!AH66)</f>
        <v/>
      </c>
      <c r="BR66" s="68" t="str">
        <f>IF('Marks Entry'!AI66="","",'Marks Entry'!AI66)</f>
        <v/>
      </c>
      <c r="BS66" s="514" t="str">
        <f t="shared" si="28"/>
        <v/>
      </c>
      <c r="BT66" s="68" t="str">
        <f>IF('Marks Entry'!AJ66="","",'Marks Entry'!AJ66)</f>
        <v/>
      </c>
      <c r="BU66" s="515" t="str">
        <f t="shared" si="29"/>
        <v/>
      </c>
      <c r="BV66" s="68" t="str">
        <f>IF('Marks Entry'!AK66="","",'Marks Entry'!AK66)</f>
        <v/>
      </c>
      <c r="BW66" s="96" t="str">
        <f t="shared" si="30"/>
        <v/>
      </c>
      <c r="BX66" s="65">
        <f t="shared" si="31"/>
        <v>0</v>
      </c>
      <c r="BY66" s="65">
        <f t="shared" si="32"/>
        <v>0</v>
      </c>
      <c r="BZ66" s="66" t="str">
        <f t="shared" si="33"/>
        <v/>
      </c>
      <c r="CA66" s="65" t="str">
        <f t="shared" si="34"/>
        <v/>
      </c>
      <c r="CB66" s="65" t="str">
        <f t="shared" si="35"/>
        <v/>
      </c>
      <c r="CC66" s="65" t="str">
        <f t="shared" si="36"/>
        <v/>
      </c>
      <c r="CD66" s="66">
        <f t="shared" si="161"/>
        <v>0</v>
      </c>
      <c r="CE66" s="68" t="str">
        <f>IF('Marks Entry'!AL66="","",'Marks Entry'!AL66)</f>
        <v/>
      </c>
      <c r="CF66" s="68" t="str">
        <f>IF('Marks Entry'!AM66="","",'Marks Entry'!AM66)</f>
        <v/>
      </c>
      <c r="CG66" s="68" t="str">
        <f>IF('Marks Entry'!AN66="","",'Marks Entry'!AN66)</f>
        <v/>
      </c>
      <c r="CH66" s="514" t="str">
        <f t="shared" si="37"/>
        <v/>
      </c>
      <c r="CI66" s="68" t="str">
        <f>IF('Marks Entry'!AO66="","",'Marks Entry'!AO66)</f>
        <v/>
      </c>
      <c r="CJ66" s="515" t="str">
        <f t="shared" si="38"/>
        <v/>
      </c>
      <c r="CK66" s="68" t="str">
        <f>IF('Marks Entry'!AP66="","",'Marks Entry'!AP66)</f>
        <v/>
      </c>
      <c r="CL66" s="96" t="str">
        <f t="shared" si="39"/>
        <v/>
      </c>
      <c r="CM66" s="65">
        <f t="shared" si="40"/>
        <v>0</v>
      </c>
      <c r="CN66" s="65">
        <f t="shared" si="41"/>
        <v>0</v>
      </c>
      <c r="CO66" s="66" t="str">
        <f t="shared" si="42"/>
        <v/>
      </c>
      <c r="CP66" s="65" t="str">
        <f t="shared" si="43"/>
        <v/>
      </c>
      <c r="CQ66" s="65" t="str">
        <f t="shared" si="44"/>
        <v/>
      </c>
      <c r="CR66" s="65" t="str">
        <f t="shared" si="45"/>
        <v/>
      </c>
      <c r="CS66" s="616"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8" t="str">
        <f>IF('School Profile'!$D$20="NO","",IF('Marks Entry'!AR66="","",'Marks Entry'!AR66))</f>
        <v/>
      </c>
      <c r="CU66" s="68" t="str">
        <f>IF('School Profile'!$D$20="NO","",IF('Marks Entry'!AS66="","",'Marks Entry'!AS66))</f>
        <v/>
      </c>
      <c r="CV66" s="68" t="str">
        <f>IF('School Profile'!$D$20="NO","",IF('Marks Entry'!AT66="","",'Marks Entry'!AT66))</f>
        <v/>
      </c>
      <c r="CW66" s="514" t="str">
        <f>IF('School Profile'!$D$20="NO","",IF(AND(CT66="",CU66="",CV66=""),"",SUM(CT66:CV66)))</f>
        <v/>
      </c>
      <c r="CX66" s="68" t="str">
        <f>IF('School Profile'!$D$20="NO","",IF('Marks Entry'!AU66="","",'Marks Entry'!AU66))</f>
        <v/>
      </c>
      <c r="CY66" s="68" t="str">
        <f>IF('School Profile'!$D$20="NO","",IF('Marks Entry'!AV66="","",'Marks Entry'!AV66))</f>
        <v/>
      </c>
      <c r="CZ66" s="515" t="str">
        <f>IF('School Profile'!$D$20="NO","",IF(AND(CX66="",CY66=""),"",SUM(CX66,CY66)))</f>
        <v/>
      </c>
      <c r="DA66" s="69" t="str">
        <f>IF('School Profile'!$D$20="NO","",IF(AND(CW66="",CZ66=""),"",SUM(CW66+CZ66)))</f>
        <v/>
      </c>
      <c r="DB66" s="68" t="str">
        <f>IF('School Profile'!$D$20="NO","",IF('Marks Entry'!AW66="","",'Marks Entry'!AW66))</f>
        <v/>
      </c>
      <c r="DC66" s="68" t="str">
        <f>IF('School Profile'!$D$20="NO","",IF('Marks Entry'!AX66="","",'Marks Entry'!AX66))</f>
        <v/>
      </c>
      <c r="DD66" s="515" t="str">
        <f>IF('School Profile'!$D$20="NO","",IF(AND(DB66="",DC66=""),"",SUM(DB66,DC66)))</f>
        <v/>
      </c>
      <c r="DE66" s="96" t="str">
        <f>IF('School Profile'!$D$20="NO","",IF(AND(DA66="",DD66=""),"",SUM(DA66,DD66)))</f>
        <v/>
      </c>
      <c r="DF66" s="532">
        <f t="shared" si="46"/>
        <v>0</v>
      </c>
      <c r="DG66" s="65">
        <f t="shared" si="47"/>
        <v>0</v>
      </c>
      <c r="DH66" s="66" t="str">
        <f t="shared" si="48"/>
        <v/>
      </c>
      <c r="DI66" s="65" t="str">
        <f t="shared" si="49"/>
        <v/>
      </c>
      <c r="DJ66" s="65" t="str">
        <f t="shared" si="50"/>
        <v/>
      </c>
      <c r="DK66" s="65" t="str">
        <f t="shared" si="51"/>
        <v/>
      </c>
      <c r="DL66" s="97" t="str">
        <f t="shared" si="94"/>
        <v/>
      </c>
      <c r="DM66" s="97" t="str">
        <f t="shared" si="95"/>
        <v/>
      </c>
      <c r="DN66" s="97" t="str">
        <f t="shared" si="96"/>
        <v/>
      </c>
      <c r="DO66" s="97" t="str">
        <f t="shared" si="97"/>
        <v/>
      </c>
      <c r="DP66" s="97" t="str">
        <f t="shared" si="98"/>
        <v/>
      </c>
      <c r="DQ66" s="97" t="str">
        <f t="shared" si="99"/>
        <v/>
      </c>
      <c r="DR66" s="97" t="str">
        <f t="shared" si="100"/>
        <v/>
      </c>
      <c r="DS66" s="98">
        <f t="shared" si="101"/>
        <v>0</v>
      </c>
      <c r="DT66" s="98">
        <f t="shared" si="102"/>
        <v>0</v>
      </c>
      <c r="DU66" s="98">
        <f t="shared" si="103"/>
        <v>0</v>
      </c>
      <c r="DV66" s="98">
        <f t="shared" si="104"/>
        <v>0</v>
      </c>
      <c r="DW66" s="98">
        <f t="shared" si="105"/>
        <v>0</v>
      </c>
      <c r="DX66" s="98" t="str">
        <f t="shared" si="106"/>
        <v/>
      </c>
      <c r="DY66" s="99" t="str">
        <f t="shared" si="107"/>
        <v/>
      </c>
      <c r="DZ66" s="74" t="str">
        <f>IF('Marks Entry'!AY66="","",'Marks Entry'!AY66)</f>
        <v/>
      </c>
      <c r="EA66" s="74" t="str">
        <f>IF('Marks Entry'!AZ66="","",'Marks Entry'!AZ66)</f>
        <v/>
      </c>
      <c r="EB66" s="74" t="str">
        <f>IF('Marks Entry'!BA66="","",'Marks Entry'!BA66)</f>
        <v/>
      </c>
      <c r="EC66" s="527" t="str">
        <f t="shared" si="52"/>
        <v/>
      </c>
      <c r="ED66" s="74" t="str">
        <f>IF('Marks Entry'!BB66="","",'Marks Entry'!BB66)</f>
        <v/>
      </c>
      <c r="EE66" s="528" t="str">
        <f t="shared" si="53"/>
        <v/>
      </c>
      <c r="EF66" s="74" t="str">
        <f>IF('Marks Entry'!BC66="","",'Marks Entry'!BC66)</f>
        <v/>
      </c>
      <c r="EG66" s="530" t="str">
        <f t="shared" si="54"/>
        <v/>
      </c>
      <c r="EH66" s="368" t="str">
        <f t="shared" si="108"/>
        <v/>
      </c>
      <c r="EI66" s="65">
        <f t="shared" si="109"/>
        <v>0</v>
      </c>
      <c r="EJ66" s="65">
        <f t="shared" si="110"/>
        <v>0</v>
      </c>
      <c r="EK66" s="66" t="str">
        <f t="shared" si="111"/>
        <v/>
      </c>
      <c r="EL66" s="74" t="str">
        <f>IF('Marks Entry'!BD66="","",'Marks Entry'!BD66)</f>
        <v/>
      </c>
      <c r="EM66" s="74" t="str">
        <f>IF('Marks Entry'!BE66="","",'Marks Entry'!BE66)</f>
        <v/>
      </c>
      <c r="EN66" s="74" t="str">
        <f>IF('Marks Entry'!BF66="","",'Marks Entry'!BF66)</f>
        <v/>
      </c>
      <c r="EO66" s="527" t="str">
        <f t="shared" si="55"/>
        <v/>
      </c>
      <c r="EP66" s="74" t="str">
        <f>IF('Marks Entry'!BG66="","",'Marks Entry'!BG66)</f>
        <v/>
      </c>
      <c r="EQ66" s="74" t="str">
        <f>IF('Marks Entry'!BH66="","",'Marks Entry'!BH66)</f>
        <v/>
      </c>
      <c r="ER66" s="528" t="str">
        <f t="shared" si="56"/>
        <v/>
      </c>
      <c r="ES66" s="529" t="str">
        <f t="shared" si="57"/>
        <v/>
      </c>
      <c r="ET66" s="74" t="str">
        <f>IF('Marks Entry'!BI66="","",'Marks Entry'!BI66)</f>
        <v/>
      </c>
      <c r="EU66" s="74" t="str">
        <f>IF('Marks Entry'!BJ66="","",'Marks Entry'!BJ66)</f>
        <v/>
      </c>
      <c r="EV66" s="528" t="str">
        <f t="shared" si="58"/>
        <v/>
      </c>
      <c r="EW66" s="530" t="str">
        <f t="shared" si="59"/>
        <v/>
      </c>
      <c r="EX66" s="368" t="str">
        <f t="shared" si="112"/>
        <v/>
      </c>
      <c r="EY66" s="65">
        <f t="shared" si="113"/>
        <v>0</v>
      </c>
      <c r="EZ66" s="65">
        <f t="shared" si="114"/>
        <v>0</v>
      </c>
      <c r="FA66" s="66" t="str">
        <f t="shared" si="115"/>
        <v/>
      </c>
      <c r="FB66" s="74" t="str">
        <f>IF('Marks Entry'!BK66="","",'Marks Entry'!BK66)</f>
        <v/>
      </c>
      <c r="FC66" s="74" t="str">
        <f>IF('Marks Entry'!BL66="","",'Marks Entry'!BL66)</f>
        <v/>
      </c>
      <c r="FD66" s="74" t="str">
        <f>IF('Marks Entry'!BM66="","",'Marks Entry'!BM66)</f>
        <v/>
      </c>
      <c r="FE66" s="74" t="str">
        <f>IF('Marks Entry'!BN66="","",'Marks Entry'!BN66)</f>
        <v/>
      </c>
      <c r="FF66" s="74" t="str">
        <f>IF('Marks Entry'!BO66="","",'Marks Entry'!BO66)</f>
        <v/>
      </c>
      <c r="FG66" s="74" t="str">
        <f>IF('Marks Entry'!BP66="","",'Marks Entry'!BP66)</f>
        <v/>
      </c>
      <c r="FH66" s="527" t="str">
        <f t="shared" si="60"/>
        <v/>
      </c>
      <c r="FI66" s="74" t="str">
        <f>IF('Marks Entry'!BQ66="","",'Marks Entry'!BQ66)</f>
        <v/>
      </c>
      <c r="FJ66" s="74" t="str">
        <f>IF('Marks Entry'!BR66="","",'Marks Entry'!BR66)</f>
        <v/>
      </c>
      <c r="FK66" s="528" t="str">
        <f t="shared" si="61"/>
        <v/>
      </c>
      <c r="FL66" s="529" t="str">
        <f t="shared" si="62"/>
        <v/>
      </c>
      <c r="FM66" s="74" t="str">
        <f>IF('Marks Entry'!BS66="","",'Marks Entry'!BS66)</f>
        <v/>
      </c>
      <c r="FN66" s="74" t="str">
        <f>IF('Marks Entry'!BT66="","",'Marks Entry'!BT66)</f>
        <v/>
      </c>
      <c r="FO66" s="528" t="str">
        <f t="shared" si="63"/>
        <v/>
      </c>
      <c r="FP66" s="530" t="str">
        <f t="shared" si="64"/>
        <v/>
      </c>
      <c r="FQ66" s="368" t="str">
        <f t="shared" si="116"/>
        <v/>
      </c>
      <c r="FR66" s="65">
        <f t="shared" si="117"/>
        <v>0</v>
      </c>
      <c r="FS66" s="65">
        <f t="shared" si="118"/>
        <v>0</v>
      </c>
      <c r="FT66" s="66" t="str">
        <f t="shared" si="119"/>
        <v/>
      </c>
      <c r="FU66" s="74" t="str">
        <f>IF('Marks Entry'!BU66="","",'Marks Entry'!BU66)</f>
        <v/>
      </c>
      <c r="FV66" s="74" t="str">
        <f>IF('Marks Entry'!BV66="","",'Marks Entry'!BV66)</f>
        <v/>
      </c>
      <c r="FW66" s="74" t="str">
        <f>IF('Marks Entry'!BW66="","",'Marks Entry'!BW66)</f>
        <v/>
      </c>
      <c r="FX66" s="75" t="str">
        <f t="shared" si="65"/>
        <v/>
      </c>
      <c r="FY66" s="368" t="str">
        <f t="shared" si="120"/>
        <v/>
      </c>
      <c r="FZ66" s="65">
        <f t="shared" si="121"/>
        <v>0</v>
      </c>
      <c r="GA66" s="66">
        <f t="shared" si="122"/>
        <v>0</v>
      </c>
      <c r="GB66" s="66" t="str">
        <f t="shared" si="123"/>
        <v/>
      </c>
      <c r="GC66" s="74" t="str">
        <f>IF('Marks Entry'!BX66="","",'Marks Entry'!BX66)</f>
        <v/>
      </c>
      <c r="GD66" s="74" t="str">
        <f>IF('Marks Entry'!BY66="","",'Marks Entry'!BY66)</f>
        <v/>
      </c>
      <c r="GE66" s="74" t="str">
        <f>IF('Marks Entry'!BZ66="","",'Marks Entry'!BZ66)</f>
        <v/>
      </c>
      <c r="GF66" s="75" t="str">
        <f t="shared" si="124"/>
        <v/>
      </c>
      <c r="GG66" s="368" t="str">
        <f t="shared" si="125"/>
        <v/>
      </c>
      <c r="GH66" s="65">
        <f t="shared" si="126"/>
        <v>0</v>
      </c>
      <c r="GI66" s="66">
        <f t="shared" si="127"/>
        <v>0</v>
      </c>
      <c r="GJ66" s="66" t="str">
        <f t="shared" si="128"/>
        <v/>
      </c>
      <c r="GK66" s="100" t="str">
        <f>IF(AND(F66="",B66=""),"",IF('Student DATA Entry'!M63="","",'Student DATA Entry'!M63))</f>
        <v/>
      </c>
      <c r="GL66" s="101" t="str">
        <f>IF(AND(B66="",F66=""),"",IF('Student DATA Entry'!N63="","",'Student DATA Entry'!N63))</f>
        <v/>
      </c>
      <c r="GM66" s="581" t="str">
        <f t="shared" si="129"/>
        <v/>
      </c>
      <c r="GN66" s="94" t="str">
        <f t="shared" si="130"/>
        <v/>
      </c>
      <c r="GO66" s="94" t="str">
        <f t="shared" si="131"/>
        <v/>
      </c>
      <c r="GP66" s="102" t="str">
        <f t="shared" si="162"/>
        <v/>
      </c>
      <c r="GQ66" s="94" t="str">
        <f t="shared" si="132"/>
        <v/>
      </c>
      <c r="GR66" s="103" t="str">
        <f t="shared" si="133"/>
        <v/>
      </c>
      <c r="GS66" s="102" t="str">
        <f t="shared" si="163"/>
        <v/>
      </c>
      <c r="GT66" s="104" t="str">
        <f t="shared" si="134"/>
        <v/>
      </c>
      <c r="GU66" s="94" t="str">
        <f>IF('Marks Entry'!V66=1,GT66,"")</f>
        <v/>
      </c>
      <c r="GV66" s="94" t="str">
        <f>IF('Marks Entry'!V66=2,GT66,"")</f>
        <v/>
      </c>
      <c r="GW66" s="94" t="str">
        <f>IF('Marks Entry'!V66=3,GT66,"")</f>
        <v/>
      </c>
      <c r="GX66" s="94" t="str">
        <f>IF('Marks Entry'!V66=4,GT66,"")</f>
        <v/>
      </c>
      <c r="GY66" s="94" t="str">
        <f>IF('Marks Entry'!V66=5,GT66,"")</f>
        <v/>
      </c>
      <c r="GZ66" s="94" t="str">
        <f t="shared" si="135"/>
        <v/>
      </c>
      <c r="HA66" s="105" t="str">
        <f t="shared" si="164"/>
        <v/>
      </c>
      <c r="HB66" s="94" t="str">
        <f t="shared" si="136"/>
        <v/>
      </c>
      <c r="HC66" s="94" t="str">
        <f t="shared" si="137"/>
        <v/>
      </c>
      <c r="HD66" s="105" t="str">
        <f t="shared" si="165"/>
        <v/>
      </c>
      <c r="HE66" s="94" t="str">
        <f t="shared" si="138"/>
        <v/>
      </c>
      <c r="HF66" s="94" t="str">
        <f t="shared" si="139"/>
        <v/>
      </c>
      <c r="HG66" s="105" t="str">
        <f t="shared" si="166"/>
        <v/>
      </c>
      <c r="HH66" s="94" t="str">
        <f t="shared" si="140"/>
        <v/>
      </c>
      <c r="HI66" s="94" t="str">
        <f t="shared" si="141"/>
        <v/>
      </c>
      <c r="HJ66" s="105" t="str">
        <f t="shared" si="167"/>
        <v/>
      </c>
      <c r="HK66" s="94" t="str">
        <f t="shared" si="142"/>
        <v/>
      </c>
      <c r="HL66" s="94" t="str">
        <f t="shared" si="143"/>
        <v/>
      </c>
      <c r="HM66" s="105" t="str">
        <f t="shared" si="168"/>
        <v/>
      </c>
      <c r="HN66" s="367" t="str">
        <f t="shared" si="144"/>
        <v xml:space="preserve">      </v>
      </c>
      <c r="HO66" s="418" t="str">
        <f t="shared" si="169"/>
        <v xml:space="preserve">      </v>
      </c>
      <c r="HP66" s="367" t="str">
        <f t="shared" si="146"/>
        <v xml:space="preserve">      </v>
      </c>
      <c r="HQ66" s="107" t="str">
        <f t="shared" si="147"/>
        <v xml:space="preserve">      </v>
      </c>
      <c r="HR66" s="366" t="str">
        <f t="shared" si="148"/>
        <v xml:space="preserve">      </v>
      </c>
      <c r="HS66" s="544" t="str">
        <f t="shared" si="170"/>
        <v/>
      </c>
      <c r="HT66" s="542" t="str">
        <f t="shared" si="149"/>
        <v/>
      </c>
      <c r="HU66" s="541" t="str">
        <f t="shared" si="160"/>
        <v/>
      </c>
      <c r="HV66" s="540" t="str">
        <f t="shared" si="150"/>
        <v/>
      </c>
      <c r="HW66" s="537" t="str">
        <f t="shared" si="151"/>
        <v/>
      </c>
      <c r="HX66" s="539" t="str">
        <f t="shared" si="152"/>
        <v/>
      </c>
      <c r="HY66" s="553" t="str">
        <f>IFERROR(IF(OR(HS66="SUPPLEMENTARY",HS66="RE-EXAM"),'Supp. Result Entry'!AQ64,""),"")</f>
        <v/>
      </c>
      <c r="HZ66" s="538" t="str">
        <f t="shared" si="153"/>
        <v/>
      </c>
      <c r="IA66" s="415" t="str">
        <f t="shared" si="154"/>
        <v/>
      </c>
      <c r="IB66" s="415" t="str">
        <f>IF(AND(HZ66="",IA66=""),"",IF(OR(HS66="SUPPLEMENTARY",HS66="RE-EXAM"),'Supp. Result Entry'!AQ64,HS66))</f>
        <v/>
      </c>
      <c r="IC66" s="87"/>
      <c r="IS66" s="109" t="str">
        <f>IF('Supp. Result Entry'!T64="","",'Supp. Result Entry'!$T$4)</f>
        <v/>
      </c>
      <c r="IT66" s="110" t="str">
        <f>IF('Supp. Result Entry'!W64="","",'Supp. Result Entry'!$W$4)</f>
        <v/>
      </c>
      <c r="IU66" s="110" t="str">
        <f>IF('Supp. Result Entry'!Z64="","",'Supp. Result Entry'!$Z$4)</f>
        <v/>
      </c>
      <c r="IV66" s="110" t="str">
        <f>IF('Supp. Result Entry'!AC64="","",'Supp. Result Entry'!$AC$4)</f>
        <v/>
      </c>
      <c r="IW66" s="110" t="str">
        <f>IF('Supp. Result Entry'!AF64="","",'Supp. Result Entry'!$AF$4)</f>
        <v/>
      </c>
      <c r="IX66" s="110" t="str">
        <f>IF('Supp. Result Entry'!AI64="","",'Supp. Result Entry'!$AI$4)</f>
        <v/>
      </c>
      <c r="IY66" s="110" t="str">
        <f>IF('Supp. Result Entry'!AI64="","",'Supp. Result Entry'!$AL$4)</f>
        <v/>
      </c>
      <c r="IZ66" s="110" t="str">
        <f>IF('Supp. Result Entry'!U64="","",'Supp. Result Entry'!U64)</f>
        <v/>
      </c>
      <c r="JA66" s="110" t="str">
        <f>IF('Supp. Result Entry'!X64="","",'Supp. Result Entry'!X64)</f>
        <v/>
      </c>
      <c r="JB66" s="110" t="str">
        <f>IF('Supp. Result Entry'!AA64="","",'Supp. Result Entry'!AA64)</f>
        <v/>
      </c>
      <c r="JC66" s="110" t="str">
        <f>IF('Supp. Result Entry'!AD64="","",'Supp. Result Entry'!AD64)</f>
        <v/>
      </c>
      <c r="JD66" s="110" t="str">
        <f>IF('Supp. Result Entry'!AG64="","",'Supp. Result Entry'!AG64)</f>
        <v/>
      </c>
      <c r="JE66" s="110" t="str">
        <f>IF('Supp. Result Entry'!AJ64="","",'Supp. Result Entry'!AJ64)</f>
        <v/>
      </c>
      <c r="JF66" s="110" t="str">
        <f>IF('Supp. Result Entry'!AM64="","",'Supp. Result Entry'!AM64)</f>
        <v/>
      </c>
      <c r="JG66" s="110" t="str">
        <f>IF('Supp. Result Entry'!V64="","",'Supp. Result Entry'!V64)</f>
        <v/>
      </c>
      <c r="JH66" s="110" t="str">
        <f>IF('Supp. Result Entry'!Y64="","",'Supp. Result Entry'!Y64)</f>
        <v/>
      </c>
      <c r="JI66" s="110" t="str">
        <f>IF('Supp. Result Entry'!AB64="","",'Supp. Result Entry'!AB64)</f>
        <v/>
      </c>
      <c r="JJ66" s="110" t="str">
        <f>IF('Supp. Result Entry'!AE64="","",'Supp. Result Entry'!AE64)</f>
        <v/>
      </c>
      <c r="JK66" s="110" t="str">
        <f>IF('Supp. Result Entry'!AH64="","",'Supp. Result Entry'!AH64)</f>
        <v/>
      </c>
      <c r="JL66" s="110" t="str">
        <f>IF('Supp. Result Entry'!AK64="","",'Supp. Result Entry'!AK64)</f>
        <v/>
      </c>
      <c r="JM66" s="110" t="str">
        <f>IF('Supp. Result Entry'!AN64="","",'Supp. Result Entry'!AN64)</f>
        <v/>
      </c>
      <c r="JN66" s="110">
        <f>COUNTIF('Supp. Result Entry'!K64:Q64,"S")</f>
        <v>0</v>
      </c>
      <c r="JO66" s="110">
        <f t="shared" si="155"/>
        <v>0</v>
      </c>
      <c r="JP66" s="110">
        <f t="shared" si="156"/>
        <v>0</v>
      </c>
      <c r="JQ66" s="110" t="str">
        <f t="shared" si="75"/>
        <v/>
      </c>
      <c r="JR66" s="110" t="str">
        <f t="shared" si="76"/>
        <v/>
      </c>
      <c r="JS66" s="110" t="str">
        <f t="shared" si="77"/>
        <v/>
      </c>
      <c r="JT66" s="110" t="str">
        <f t="shared" si="78"/>
        <v/>
      </c>
      <c r="JU66" s="110" t="str">
        <f t="shared" si="79"/>
        <v/>
      </c>
      <c r="JV66" s="110" t="str">
        <f t="shared" si="80"/>
        <v/>
      </c>
      <c r="JW66" s="110" t="str">
        <f t="shared" si="81"/>
        <v/>
      </c>
      <c r="JX66" s="110" t="str">
        <f t="shared" si="157"/>
        <v/>
      </c>
      <c r="JY66" s="110" t="str">
        <f t="shared" si="158"/>
        <v/>
      </c>
      <c r="JZ66" s="110" t="str">
        <f t="shared" si="82"/>
        <v/>
      </c>
      <c r="KA66" s="108" t="str">
        <f t="shared" si="159"/>
        <v/>
      </c>
    </row>
    <row r="67" spans="1:287" s="108" customFormat="1" ht="21.95" customHeight="1">
      <c r="A67" s="89">
        <v>61</v>
      </c>
      <c r="B67" s="90" t="str">
        <f>IF('Marks Entry'!B67="","",'Marks Entry'!B67)</f>
        <v/>
      </c>
      <c r="C67" s="94" t="str">
        <f>IF('Marks Entry'!D67="","",'Marks Entry'!D67)</f>
        <v/>
      </c>
      <c r="D67" s="91" t="str">
        <f>IF('Marks Entry'!E67="","",'Marks Entry'!E67)</f>
        <v/>
      </c>
      <c r="E67" s="92" t="str">
        <f>IF('Marks Entry'!F67="","",'Marks Entry'!F67)</f>
        <v/>
      </c>
      <c r="F67" s="93" t="str">
        <f>IF('Marks Entry'!G67="","",'Marks Entry'!G67)</f>
        <v/>
      </c>
      <c r="G67" s="93" t="str">
        <f>IF('Marks Entry'!H67="","",'Marks Entry'!H67)</f>
        <v/>
      </c>
      <c r="H67" s="93" t="str">
        <f>IF('Marks Entry'!I67="","",'Marks Entry'!I67)</f>
        <v/>
      </c>
      <c r="I67" s="94" t="str">
        <f>IF('Marks Entry'!J67="","",'Marks Entry'!J67)</f>
        <v/>
      </c>
      <c r="J67" s="95" t="str">
        <f>IF('Marks Entry'!K67="","",'Marks Entry'!K67)</f>
        <v/>
      </c>
      <c r="K67" s="68" t="str">
        <f>IF('Marks Entry'!L67="","",'Marks Entry'!L67)</f>
        <v/>
      </c>
      <c r="L67" s="68" t="str">
        <f>IF('Marks Entry'!M67="","",'Marks Entry'!M67)</f>
        <v/>
      </c>
      <c r="M67" s="68" t="str">
        <f>IF('Marks Entry'!N67="","",'Marks Entry'!N67)</f>
        <v/>
      </c>
      <c r="N67" s="514" t="str">
        <f t="shared" si="83"/>
        <v/>
      </c>
      <c r="O67" s="68" t="str">
        <f>IF('Marks Entry'!O67="","",'Marks Entry'!O67)</f>
        <v/>
      </c>
      <c r="P67" s="515" t="str">
        <f t="shared" si="84"/>
        <v/>
      </c>
      <c r="Q67" s="68" t="str">
        <f>IF('Marks Entry'!P67="","",'Marks Entry'!P67)</f>
        <v/>
      </c>
      <c r="R67" s="96" t="str">
        <f t="shared" si="85"/>
        <v/>
      </c>
      <c r="S67" s="65">
        <f t="shared" si="86"/>
        <v>0</v>
      </c>
      <c r="T67" s="65">
        <f t="shared" si="87"/>
        <v>0</v>
      </c>
      <c r="U67" s="66" t="str">
        <f t="shared" si="88"/>
        <v/>
      </c>
      <c r="V67" s="65" t="str">
        <f t="shared" si="89"/>
        <v/>
      </c>
      <c r="W67" s="65" t="str">
        <f t="shared" si="90"/>
        <v/>
      </c>
      <c r="X67" s="65" t="str">
        <f t="shared" si="91"/>
        <v/>
      </c>
      <c r="Y67" s="68" t="str">
        <f>IF('Marks Entry'!Q67="","",'Marks Entry'!Q67)</f>
        <v/>
      </c>
      <c r="Z67" s="68" t="str">
        <f>IF('Marks Entry'!R67="","",'Marks Entry'!R67)</f>
        <v/>
      </c>
      <c r="AA67" s="68" t="str">
        <f>IF('Marks Entry'!S67="","",'Marks Entry'!S67)</f>
        <v/>
      </c>
      <c r="AB67" s="514" t="str">
        <f t="shared" si="2"/>
        <v/>
      </c>
      <c r="AC67" s="68" t="str">
        <f>IF('Marks Entry'!T67="","",'Marks Entry'!T67)</f>
        <v/>
      </c>
      <c r="AD67" s="515" t="str">
        <f t="shared" si="3"/>
        <v/>
      </c>
      <c r="AE67" s="68" t="str">
        <f>IF('Marks Entry'!U67="","",'Marks Entry'!U67)</f>
        <v/>
      </c>
      <c r="AF67" s="96" t="str">
        <f t="shared" si="4"/>
        <v/>
      </c>
      <c r="AG67" s="65">
        <f t="shared" si="5"/>
        <v>0</v>
      </c>
      <c r="AH67" s="65">
        <f t="shared" si="6"/>
        <v>0</v>
      </c>
      <c r="AI67" s="66" t="str">
        <f t="shared" si="7"/>
        <v/>
      </c>
      <c r="AJ67" s="65" t="str">
        <f t="shared" si="8"/>
        <v/>
      </c>
      <c r="AK67" s="65" t="str">
        <f t="shared" si="9"/>
        <v/>
      </c>
      <c r="AL67" s="65" t="str">
        <f t="shared" si="10"/>
        <v/>
      </c>
      <c r="AM67" s="524" t="str">
        <f>IF('Marks Entry'!V67="","",IF('Marks Entry'!V67=1,'School Profile'!$I$9,IF('Marks Entry'!V67=2,'School Profile'!$I$10,IF('Marks Entry'!V67=3,'School Profile'!$I$11,IF('Marks Entry'!V67=4,'School Profile'!$I$12,IF('Marks Entry'!V67=5,'School Profile'!$I$13,IF('Marks Entry'!V67=6,'School Profile'!$I$14,"")))))))</f>
        <v/>
      </c>
      <c r="AN67" s="68" t="str">
        <f>IF('Marks Entry'!W67="","",'Marks Entry'!W67)</f>
        <v/>
      </c>
      <c r="AO67" s="68" t="str">
        <f>IF('Marks Entry'!X67="","",'Marks Entry'!X67)</f>
        <v/>
      </c>
      <c r="AP67" s="68" t="str">
        <f>IF('Marks Entry'!Y67="","",'Marks Entry'!Y67)</f>
        <v/>
      </c>
      <c r="AQ67" s="514" t="str">
        <f t="shared" si="11"/>
        <v/>
      </c>
      <c r="AR67" s="68" t="str">
        <f>IF('Marks Entry'!Z67="","",'Marks Entry'!Z67)</f>
        <v/>
      </c>
      <c r="AS67" s="515" t="str">
        <f t="shared" si="12"/>
        <v/>
      </c>
      <c r="AT67" s="68" t="str">
        <f>IF('Marks Entry'!AA67="","",'Marks Entry'!AA67)</f>
        <v/>
      </c>
      <c r="AU67" s="96" t="str">
        <f t="shared" si="13"/>
        <v/>
      </c>
      <c r="AV67" s="65">
        <f t="shared" si="14"/>
        <v>0</v>
      </c>
      <c r="AW67" s="65">
        <f t="shared" si="15"/>
        <v>0</v>
      </c>
      <c r="AX67" s="66" t="str">
        <f t="shared" si="16"/>
        <v/>
      </c>
      <c r="AY67" s="65" t="str">
        <f t="shared" si="17"/>
        <v/>
      </c>
      <c r="AZ67" s="65" t="str">
        <f t="shared" si="18"/>
        <v/>
      </c>
      <c r="BA67" s="65" t="str">
        <f t="shared" si="19"/>
        <v/>
      </c>
      <c r="BB67" s="68" t="str">
        <f>IF('Marks Entry'!AB67="","",'Marks Entry'!AB67)</f>
        <v/>
      </c>
      <c r="BC67" s="68" t="str">
        <f>IF('Marks Entry'!AC67="","",'Marks Entry'!AC67)</f>
        <v/>
      </c>
      <c r="BD67" s="68" t="str">
        <f>IF('Marks Entry'!AD67="","",'Marks Entry'!AD67)</f>
        <v/>
      </c>
      <c r="BE67" s="514" t="str">
        <f t="shared" si="20"/>
        <v/>
      </c>
      <c r="BF67" s="68" t="str">
        <f>IF('Marks Entry'!AE67="","",'Marks Entry'!AE67)</f>
        <v/>
      </c>
      <c r="BG67" s="515" t="str">
        <f t="shared" si="21"/>
        <v/>
      </c>
      <c r="BH67" s="68" t="str">
        <f>IF('Marks Entry'!AF67="","",'Marks Entry'!AF67)</f>
        <v/>
      </c>
      <c r="BI67" s="96" t="str">
        <f t="shared" si="22"/>
        <v/>
      </c>
      <c r="BJ67" s="65">
        <f t="shared" si="23"/>
        <v>0</v>
      </c>
      <c r="BK67" s="65">
        <f t="shared" si="92"/>
        <v>0</v>
      </c>
      <c r="BL67" s="66" t="str">
        <f t="shared" si="24"/>
        <v/>
      </c>
      <c r="BM67" s="65" t="str">
        <f t="shared" si="25"/>
        <v/>
      </c>
      <c r="BN67" s="65" t="str">
        <f t="shared" si="26"/>
        <v/>
      </c>
      <c r="BO67" s="65" t="str">
        <f t="shared" si="27"/>
        <v/>
      </c>
      <c r="BP67" s="68" t="str">
        <f>IF('Marks Entry'!AG67="","",'Marks Entry'!AG67)</f>
        <v/>
      </c>
      <c r="BQ67" s="68" t="str">
        <f>IF('Marks Entry'!AH67="","",'Marks Entry'!AH67)</f>
        <v/>
      </c>
      <c r="BR67" s="68" t="str">
        <f>IF('Marks Entry'!AI67="","",'Marks Entry'!AI67)</f>
        <v/>
      </c>
      <c r="BS67" s="514" t="str">
        <f t="shared" si="28"/>
        <v/>
      </c>
      <c r="BT67" s="68" t="str">
        <f>IF('Marks Entry'!AJ67="","",'Marks Entry'!AJ67)</f>
        <v/>
      </c>
      <c r="BU67" s="515" t="str">
        <f t="shared" si="29"/>
        <v/>
      </c>
      <c r="BV67" s="68" t="str">
        <f>IF('Marks Entry'!AK67="","",'Marks Entry'!AK67)</f>
        <v/>
      </c>
      <c r="BW67" s="96" t="str">
        <f t="shared" si="30"/>
        <v/>
      </c>
      <c r="BX67" s="65">
        <f t="shared" si="31"/>
        <v>0</v>
      </c>
      <c r="BY67" s="65">
        <f t="shared" si="32"/>
        <v>0</v>
      </c>
      <c r="BZ67" s="66" t="str">
        <f t="shared" si="33"/>
        <v/>
      </c>
      <c r="CA67" s="65" t="str">
        <f t="shared" si="34"/>
        <v/>
      </c>
      <c r="CB67" s="65" t="str">
        <f t="shared" si="35"/>
        <v/>
      </c>
      <c r="CC67" s="65" t="str">
        <f t="shared" si="36"/>
        <v/>
      </c>
      <c r="CD67" s="66">
        <f t="shared" si="161"/>
        <v>0</v>
      </c>
      <c r="CE67" s="68" t="str">
        <f>IF('Marks Entry'!AL67="","",'Marks Entry'!AL67)</f>
        <v/>
      </c>
      <c r="CF67" s="68" t="str">
        <f>IF('Marks Entry'!AM67="","",'Marks Entry'!AM67)</f>
        <v/>
      </c>
      <c r="CG67" s="68" t="str">
        <f>IF('Marks Entry'!AN67="","",'Marks Entry'!AN67)</f>
        <v/>
      </c>
      <c r="CH67" s="514" t="str">
        <f t="shared" si="37"/>
        <v/>
      </c>
      <c r="CI67" s="68" t="str">
        <f>IF('Marks Entry'!AO67="","",'Marks Entry'!AO67)</f>
        <v/>
      </c>
      <c r="CJ67" s="515" t="str">
        <f t="shared" si="38"/>
        <v/>
      </c>
      <c r="CK67" s="68" t="str">
        <f>IF('Marks Entry'!AP67="","",'Marks Entry'!AP67)</f>
        <v/>
      </c>
      <c r="CL67" s="96" t="str">
        <f t="shared" si="39"/>
        <v/>
      </c>
      <c r="CM67" s="65">
        <f t="shared" si="40"/>
        <v>0</v>
      </c>
      <c r="CN67" s="65">
        <f t="shared" si="41"/>
        <v>0</v>
      </c>
      <c r="CO67" s="66" t="str">
        <f t="shared" si="42"/>
        <v/>
      </c>
      <c r="CP67" s="65" t="str">
        <f t="shared" si="43"/>
        <v/>
      </c>
      <c r="CQ67" s="65" t="str">
        <f t="shared" si="44"/>
        <v/>
      </c>
      <c r="CR67" s="65" t="str">
        <f t="shared" si="45"/>
        <v/>
      </c>
      <c r="CS67" s="616"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8" t="str">
        <f>IF('School Profile'!$D$20="NO","",IF('Marks Entry'!AR67="","",'Marks Entry'!AR67))</f>
        <v/>
      </c>
      <c r="CU67" s="68" t="str">
        <f>IF('School Profile'!$D$20="NO","",IF('Marks Entry'!AS67="","",'Marks Entry'!AS67))</f>
        <v/>
      </c>
      <c r="CV67" s="68" t="str">
        <f>IF('School Profile'!$D$20="NO","",IF('Marks Entry'!AT67="","",'Marks Entry'!AT67))</f>
        <v/>
      </c>
      <c r="CW67" s="514" t="str">
        <f>IF('School Profile'!$D$20="NO","",IF(AND(CT67="",CU67="",CV67=""),"",SUM(CT67:CV67)))</f>
        <v/>
      </c>
      <c r="CX67" s="68" t="str">
        <f>IF('School Profile'!$D$20="NO","",IF('Marks Entry'!AU67="","",'Marks Entry'!AU67))</f>
        <v/>
      </c>
      <c r="CY67" s="68" t="str">
        <f>IF('School Profile'!$D$20="NO","",IF('Marks Entry'!AV67="","",'Marks Entry'!AV67))</f>
        <v/>
      </c>
      <c r="CZ67" s="515" t="str">
        <f>IF('School Profile'!$D$20="NO","",IF(AND(CX67="",CY67=""),"",SUM(CX67,CY67)))</f>
        <v/>
      </c>
      <c r="DA67" s="69" t="str">
        <f>IF('School Profile'!$D$20="NO","",IF(AND(CW67="",CZ67=""),"",SUM(CW67+CZ67)))</f>
        <v/>
      </c>
      <c r="DB67" s="68" t="str">
        <f>IF('School Profile'!$D$20="NO","",IF('Marks Entry'!AW67="","",'Marks Entry'!AW67))</f>
        <v/>
      </c>
      <c r="DC67" s="68" t="str">
        <f>IF('School Profile'!$D$20="NO","",IF('Marks Entry'!AX67="","",'Marks Entry'!AX67))</f>
        <v/>
      </c>
      <c r="DD67" s="515" t="str">
        <f>IF('School Profile'!$D$20="NO","",IF(AND(DB67="",DC67=""),"",SUM(DB67,DC67)))</f>
        <v/>
      </c>
      <c r="DE67" s="96" t="str">
        <f>IF('School Profile'!$D$20="NO","",IF(AND(DA67="",DD67=""),"",SUM(DA67,DD67)))</f>
        <v/>
      </c>
      <c r="DF67" s="532">
        <f t="shared" si="46"/>
        <v>0</v>
      </c>
      <c r="DG67" s="65">
        <f t="shared" si="47"/>
        <v>0</v>
      </c>
      <c r="DH67" s="66" t="str">
        <f t="shared" si="48"/>
        <v/>
      </c>
      <c r="DI67" s="65" t="str">
        <f t="shared" si="49"/>
        <v/>
      </c>
      <c r="DJ67" s="65" t="str">
        <f t="shared" si="50"/>
        <v/>
      </c>
      <c r="DK67" s="65" t="str">
        <f t="shared" si="51"/>
        <v/>
      </c>
      <c r="DL67" s="97" t="str">
        <f t="shared" si="94"/>
        <v/>
      </c>
      <c r="DM67" s="97" t="str">
        <f t="shared" si="95"/>
        <v/>
      </c>
      <c r="DN67" s="97" t="str">
        <f t="shared" si="96"/>
        <v/>
      </c>
      <c r="DO67" s="97" t="str">
        <f t="shared" si="97"/>
        <v/>
      </c>
      <c r="DP67" s="97" t="str">
        <f t="shared" si="98"/>
        <v/>
      </c>
      <c r="DQ67" s="97" t="str">
        <f t="shared" si="99"/>
        <v/>
      </c>
      <c r="DR67" s="97" t="str">
        <f t="shared" si="100"/>
        <v/>
      </c>
      <c r="DS67" s="98">
        <f t="shared" si="101"/>
        <v>0</v>
      </c>
      <c r="DT67" s="98">
        <f t="shared" si="102"/>
        <v>0</v>
      </c>
      <c r="DU67" s="98">
        <f t="shared" si="103"/>
        <v>0</v>
      </c>
      <c r="DV67" s="98">
        <f t="shared" si="104"/>
        <v>0</v>
      </c>
      <c r="DW67" s="98">
        <f t="shared" si="105"/>
        <v>0</v>
      </c>
      <c r="DX67" s="98" t="str">
        <f t="shared" si="106"/>
        <v/>
      </c>
      <c r="DY67" s="99" t="str">
        <f t="shared" si="107"/>
        <v/>
      </c>
      <c r="DZ67" s="74" t="str">
        <f>IF('Marks Entry'!AY67="","",'Marks Entry'!AY67)</f>
        <v/>
      </c>
      <c r="EA67" s="74" t="str">
        <f>IF('Marks Entry'!AZ67="","",'Marks Entry'!AZ67)</f>
        <v/>
      </c>
      <c r="EB67" s="74" t="str">
        <f>IF('Marks Entry'!BA67="","",'Marks Entry'!BA67)</f>
        <v/>
      </c>
      <c r="EC67" s="527" t="str">
        <f t="shared" si="52"/>
        <v/>
      </c>
      <c r="ED67" s="74" t="str">
        <f>IF('Marks Entry'!BB67="","",'Marks Entry'!BB67)</f>
        <v/>
      </c>
      <c r="EE67" s="528" t="str">
        <f t="shared" si="53"/>
        <v/>
      </c>
      <c r="EF67" s="74" t="str">
        <f>IF('Marks Entry'!BC67="","",'Marks Entry'!BC67)</f>
        <v/>
      </c>
      <c r="EG67" s="530" t="str">
        <f t="shared" si="54"/>
        <v/>
      </c>
      <c r="EH67" s="368" t="str">
        <f t="shared" si="108"/>
        <v/>
      </c>
      <c r="EI67" s="65">
        <f t="shared" si="109"/>
        <v>0</v>
      </c>
      <c r="EJ67" s="65">
        <f t="shared" si="110"/>
        <v>0</v>
      </c>
      <c r="EK67" s="66" t="str">
        <f t="shared" si="111"/>
        <v/>
      </c>
      <c r="EL67" s="74" t="str">
        <f>IF('Marks Entry'!BD67="","",'Marks Entry'!BD67)</f>
        <v/>
      </c>
      <c r="EM67" s="74" t="str">
        <f>IF('Marks Entry'!BE67="","",'Marks Entry'!BE67)</f>
        <v/>
      </c>
      <c r="EN67" s="74" t="str">
        <f>IF('Marks Entry'!BF67="","",'Marks Entry'!BF67)</f>
        <v/>
      </c>
      <c r="EO67" s="527" t="str">
        <f t="shared" si="55"/>
        <v/>
      </c>
      <c r="EP67" s="74" t="str">
        <f>IF('Marks Entry'!BG67="","",'Marks Entry'!BG67)</f>
        <v/>
      </c>
      <c r="EQ67" s="74" t="str">
        <f>IF('Marks Entry'!BH67="","",'Marks Entry'!BH67)</f>
        <v/>
      </c>
      <c r="ER67" s="528" t="str">
        <f t="shared" si="56"/>
        <v/>
      </c>
      <c r="ES67" s="529" t="str">
        <f t="shared" si="57"/>
        <v/>
      </c>
      <c r="ET67" s="74" t="str">
        <f>IF('Marks Entry'!BI67="","",'Marks Entry'!BI67)</f>
        <v/>
      </c>
      <c r="EU67" s="74" t="str">
        <f>IF('Marks Entry'!BJ67="","",'Marks Entry'!BJ67)</f>
        <v/>
      </c>
      <c r="EV67" s="528" t="str">
        <f t="shared" si="58"/>
        <v/>
      </c>
      <c r="EW67" s="530" t="str">
        <f t="shared" si="59"/>
        <v/>
      </c>
      <c r="EX67" s="368" t="str">
        <f t="shared" si="112"/>
        <v/>
      </c>
      <c r="EY67" s="65">
        <f t="shared" si="113"/>
        <v>0</v>
      </c>
      <c r="EZ67" s="65">
        <f t="shared" si="114"/>
        <v>0</v>
      </c>
      <c r="FA67" s="66" t="str">
        <f t="shared" si="115"/>
        <v/>
      </c>
      <c r="FB67" s="74" t="str">
        <f>IF('Marks Entry'!BK67="","",'Marks Entry'!BK67)</f>
        <v/>
      </c>
      <c r="FC67" s="74" t="str">
        <f>IF('Marks Entry'!BL67="","",'Marks Entry'!BL67)</f>
        <v/>
      </c>
      <c r="FD67" s="74" t="str">
        <f>IF('Marks Entry'!BM67="","",'Marks Entry'!BM67)</f>
        <v/>
      </c>
      <c r="FE67" s="74" t="str">
        <f>IF('Marks Entry'!BN67="","",'Marks Entry'!BN67)</f>
        <v/>
      </c>
      <c r="FF67" s="74" t="str">
        <f>IF('Marks Entry'!BO67="","",'Marks Entry'!BO67)</f>
        <v/>
      </c>
      <c r="FG67" s="74" t="str">
        <f>IF('Marks Entry'!BP67="","",'Marks Entry'!BP67)</f>
        <v/>
      </c>
      <c r="FH67" s="527" t="str">
        <f t="shared" si="60"/>
        <v/>
      </c>
      <c r="FI67" s="74" t="str">
        <f>IF('Marks Entry'!BQ67="","",'Marks Entry'!BQ67)</f>
        <v/>
      </c>
      <c r="FJ67" s="74" t="str">
        <f>IF('Marks Entry'!BR67="","",'Marks Entry'!BR67)</f>
        <v/>
      </c>
      <c r="FK67" s="528" t="str">
        <f t="shared" si="61"/>
        <v/>
      </c>
      <c r="FL67" s="529" t="str">
        <f t="shared" si="62"/>
        <v/>
      </c>
      <c r="FM67" s="74" t="str">
        <f>IF('Marks Entry'!BS67="","",'Marks Entry'!BS67)</f>
        <v/>
      </c>
      <c r="FN67" s="74" t="str">
        <f>IF('Marks Entry'!BT67="","",'Marks Entry'!BT67)</f>
        <v/>
      </c>
      <c r="FO67" s="528" t="str">
        <f t="shared" si="63"/>
        <v/>
      </c>
      <c r="FP67" s="530" t="str">
        <f t="shared" si="64"/>
        <v/>
      </c>
      <c r="FQ67" s="368" t="str">
        <f t="shared" si="116"/>
        <v/>
      </c>
      <c r="FR67" s="65">
        <f t="shared" si="117"/>
        <v>0</v>
      </c>
      <c r="FS67" s="65">
        <f t="shared" si="118"/>
        <v>0</v>
      </c>
      <c r="FT67" s="66" t="str">
        <f t="shared" si="119"/>
        <v/>
      </c>
      <c r="FU67" s="74" t="str">
        <f>IF('Marks Entry'!BU67="","",'Marks Entry'!BU67)</f>
        <v/>
      </c>
      <c r="FV67" s="74" t="str">
        <f>IF('Marks Entry'!BV67="","",'Marks Entry'!BV67)</f>
        <v/>
      </c>
      <c r="FW67" s="74" t="str">
        <f>IF('Marks Entry'!BW67="","",'Marks Entry'!BW67)</f>
        <v/>
      </c>
      <c r="FX67" s="75" t="str">
        <f t="shared" si="65"/>
        <v/>
      </c>
      <c r="FY67" s="368" t="str">
        <f t="shared" si="120"/>
        <v/>
      </c>
      <c r="FZ67" s="65">
        <f t="shared" si="121"/>
        <v>0</v>
      </c>
      <c r="GA67" s="66">
        <f t="shared" si="122"/>
        <v>0</v>
      </c>
      <c r="GB67" s="66" t="str">
        <f t="shared" si="123"/>
        <v/>
      </c>
      <c r="GC67" s="74" t="str">
        <f>IF('Marks Entry'!BX67="","",'Marks Entry'!BX67)</f>
        <v/>
      </c>
      <c r="GD67" s="74" t="str">
        <f>IF('Marks Entry'!BY67="","",'Marks Entry'!BY67)</f>
        <v/>
      </c>
      <c r="GE67" s="74" t="str">
        <f>IF('Marks Entry'!BZ67="","",'Marks Entry'!BZ67)</f>
        <v/>
      </c>
      <c r="GF67" s="75" t="str">
        <f t="shared" si="124"/>
        <v/>
      </c>
      <c r="GG67" s="368" t="str">
        <f t="shared" si="125"/>
        <v/>
      </c>
      <c r="GH67" s="65">
        <f t="shared" si="126"/>
        <v>0</v>
      </c>
      <c r="GI67" s="66">
        <f t="shared" si="127"/>
        <v>0</v>
      </c>
      <c r="GJ67" s="66" t="str">
        <f t="shared" si="128"/>
        <v/>
      </c>
      <c r="GK67" s="100" t="str">
        <f>IF(AND(F67="",B67=""),"",IF('Student DATA Entry'!M64="","",'Student DATA Entry'!M64))</f>
        <v/>
      </c>
      <c r="GL67" s="101" t="str">
        <f>IF(AND(B67="",F67=""),"",IF('Student DATA Entry'!N64="","",'Student DATA Entry'!N64))</f>
        <v/>
      </c>
      <c r="GM67" s="581" t="str">
        <f t="shared" si="129"/>
        <v/>
      </c>
      <c r="GN67" s="94" t="str">
        <f t="shared" si="130"/>
        <v/>
      </c>
      <c r="GO67" s="94" t="str">
        <f t="shared" si="131"/>
        <v/>
      </c>
      <c r="GP67" s="102" t="str">
        <f t="shared" si="162"/>
        <v/>
      </c>
      <c r="GQ67" s="94" t="str">
        <f t="shared" si="132"/>
        <v/>
      </c>
      <c r="GR67" s="103" t="str">
        <f t="shared" si="133"/>
        <v/>
      </c>
      <c r="GS67" s="102" t="str">
        <f t="shared" si="163"/>
        <v/>
      </c>
      <c r="GT67" s="104" t="str">
        <f t="shared" si="134"/>
        <v/>
      </c>
      <c r="GU67" s="94" t="str">
        <f>IF('Marks Entry'!V67=1,GT67,"")</f>
        <v/>
      </c>
      <c r="GV67" s="94" t="str">
        <f>IF('Marks Entry'!V67=2,GT67,"")</f>
        <v/>
      </c>
      <c r="GW67" s="94" t="str">
        <f>IF('Marks Entry'!V67=3,GT67,"")</f>
        <v/>
      </c>
      <c r="GX67" s="94" t="str">
        <f>IF('Marks Entry'!V67=4,GT67,"")</f>
        <v/>
      </c>
      <c r="GY67" s="94" t="str">
        <f>IF('Marks Entry'!V67=5,GT67,"")</f>
        <v/>
      </c>
      <c r="GZ67" s="94" t="str">
        <f t="shared" si="135"/>
        <v/>
      </c>
      <c r="HA67" s="105" t="str">
        <f t="shared" si="164"/>
        <v/>
      </c>
      <c r="HB67" s="94" t="str">
        <f t="shared" si="136"/>
        <v/>
      </c>
      <c r="HC67" s="94" t="str">
        <f t="shared" si="137"/>
        <v/>
      </c>
      <c r="HD67" s="105" t="str">
        <f t="shared" si="165"/>
        <v/>
      </c>
      <c r="HE67" s="94" t="str">
        <f t="shared" si="138"/>
        <v/>
      </c>
      <c r="HF67" s="94" t="str">
        <f t="shared" si="139"/>
        <v/>
      </c>
      <c r="HG67" s="105" t="str">
        <f t="shared" si="166"/>
        <v/>
      </c>
      <c r="HH67" s="94" t="str">
        <f t="shared" si="140"/>
        <v/>
      </c>
      <c r="HI67" s="94" t="str">
        <f t="shared" si="141"/>
        <v/>
      </c>
      <c r="HJ67" s="105" t="str">
        <f t="shared" si="167"/>
        <v/>
      </c>
      <c r="HK67" s="94" t="str">
        <f t="shared" si="142"/>
        <v/>
      </c>
      <c r="HL67" s="94" t="str">
        <f t="shared" si="143"/>
        <v/>
      </c>
      <c r="HM67" s="105" t="str">
        <f t="shared" si="168"/>
        <v/>
      </c>
      <c r="HN67" s="367" t="str">
        <f t="shared" si="144"/>
        <v xml:space="preserve">      </v>
      </c>
      <c r="HO67" s="418" t="str">
        <f t="shared" si="169"/>
        <v xml:space="preserve">      </v>
      </c>
      <c r="HP67" s="367" t="str">
        <f t="shared" si="146"/>
        <v xml:space="preserve">      </v>
      </c>
      <c r="HQ67" s="107" t="str">
        <f t="shared" si="147"/>
        <v xml:space="preserve">      </v>
      </c>
      <c r="HR67" s="366" t="str">
        <f t="shared" si="148"/>
        <v xml:space="preserve">      </v>
      </c>
      <c r="HS67" s="544" t="str">
        <f t="shared" si="170"/>
        <v/>
      </c>
      <c r="HT67" s="542" t="str">
        <f t="shared" si="149"/>
        <v/>
      </c>
      <c r="HU67" s="541" t="str">
        <f t="shared" si="160"/>
        <v/>
      </c>
      <c r="HV67" s="540" t="str">
        <f t="shared" si="150"/>
        <v/>
      </c>
      <c r="HW67" s="537" t="str">
        <f t="shared" si="151"/>
        <v/>
      </c>
      <c r="HX67" s="539" t="str">
        <f t="shared" si="152"/>
        <v/>
      </c>
      <c r="HY67" s="553" t="str">
        <f>IFERROR(IF(OR(HS67="SUPPLEMENTARY",HS67="RE-EXAM"),'Supp. Result Entry'!AQ65,""),"")</f>
        <v/>
      </c>
      <c r="HZ67" s="538" t="str">
        <f t="shared" si="153"/>
        <v/>
      </c>
      <c r="IA67" s="415" t="str">
        <f t="shared" si="154"/>
        <v/>
      </c>
      <c r="IB67" s="415" t="str">
        <f>IF(AND(HZ67="",IA67=""),"",IF(OR(HS67="SUPPLEMENTARY",HS67="RE-EXAM"),'Supp. Result Entry'!AQ65,HS67))</f>
        <v/>
      </c>
      <c r="IC67" s="87"/>
      <c r="IS67" s="109" t="str">
        <f>IF('Supp. Result Entry'!T65="","",'Supp. Result Entry'!$T$4)</f>
        <v/>
      </c>
      <c r="IT67" s="110" t="str">
        <f>IF('Supp. Result Entry'!W65="","",'Supp. Result Entry'!$W$4)</f>
        <v/>
      </c>
      <c r="IU67" s="110" t="str">
        <f>IF('Supp. Result Entry'!Z65="","",'Supp. Result Entry'!$Z$4)</f>
        <v/>
      </c>
      <c r="IV67" s="110" t="str">
        <f>IF('Supp. Result Entry'!AC65="","",'Supp. Result Entry'!$AC$4)</f>
        <v/>
      </c>
      <c r="IW67" s="110" t="str">
        <f>IF('Supp. Result Entry'!AF65="","",'Supp. Result Entry'!$AF$4)</f>
        <v/>
      </c>
      <c r="IX67" s="110" t="str">
        <f>IF('Supp. Result Entry'!AI65="","",'Supp. Result Entry'!$AI$4)</f>
        <v/>
      </c>
      <c r="IY67" s="110" t="str">
        <f>IF('Supp. Result Entry'!AI65="","",'Supp. Result Entry'!$AL$4)</f>
        <v/>
      </c>
      <c r="IZ67" s="110" t="str">
        <f>IF('Supp. Result Entry'!U65="","",'Supp. Result Entry'!U65)</f>
        <v/>
      </c>
      <c r="JA67" s="110" t="str">
        <f>IF('Supp. Result Entry'!X65="","",'Supp. Result Entry'!X65)</f>
        <v/>
      </c>
      <c r="JB67" s="110" t="str">
        <f>IF('Supp. Result Entry'!AA65="","",'Supp. Result Entry'!AA65)</f>
        <v/>
      </c>
      <c r="JC67" s="110" t="str">
        <f>IF('Supp. Result Entry'!AD65="","",'Supp. Result Entry'!AD65)</f>
        <v/>
      </c>
      <c r="JD67" s="110" t="str">
        <f>IF('Supp. Result Entry'!AG65="","",'Supp. Result Entry'!AG65)</f>
        <v/>
      </c>
      <c r="JE67" s="110" t="str">
        <f>IF('Supp. Result Entry'!AJ65="","",'Supp. Result Entry'!AJ65)</f>
        <v/>
      </c>
      <c r="JF67" s="110" t="str">
        <f>IF('Supp. Result Entry'!AM65="","",'Supp. Result Entry'!AM65)</f>
        <v/>
      </c>
      <c r="JG67" s="110" t="str">
        <f>IF('Supp. Result Entry'!V65="","",'Supp. Result Entry'!V65)</f>
        <v/>
      </c>
      <c r="JH67" s="110" t="str">
        <f>IF('Supp. Result Entry'!Y65="","",'Supp. Result Entry'!Y65)</f>
        <v/>
      </c>
      <c r="JI67" s="110" t="str">
        <f>IF('Supp. Result Entry'!AB65="","",'Supp. Result Entry'!AB65)</f>
        <v/>
      </c>
      <c r="JJ67" s="110" t="str">
        <f>IF('Supp. Result Entry'!AE65="","",'Supp. Result Entry'!AE65)</f>
        <v/>
      </c>
      <c r="JK67" s="110" t="str">
        <f>IF('Supp. Result Entry'!AH65="","",'Supp. Result Entry'!AH65)</f>
        <v/>
      </c>
      <c r="JL67" s="110" t="str">
        <f>IF('Supp. Result Entry'!AK65="","",'Supp. Result Entry'!AK65)</f>
        <v/>
      </c>
      <c r="JM67" s="110" t="str">
        <f>IF('Supp. Result Entry'!AN65="","",'Supp. Result Entry'!AN65)</f>
        <v/>
      </c>
      <c r="JN67" s="110">
        <f>COUNTIF('Supp. Result Entry'!K65:Q65,"S")</f>
        <v>0</v>
      </c>
      <c r="JO67" s="110">
        <f t="shared" si="155"/>
        <v>0</v>
      </c>
      <c r="JP67" s="110">
        <f t="shared" si="156"/>
        <v>0</v>
      </c>
      <c r="JQ67" s="110" t="str">
        <f t="shared" si="75"/>
        <v/>
      </c>
      <c r="JR67" s="110" t="str">
        <f t="shared" si="76"/>
        <v/>
      </c>
      <c r="JS67" s="110" t="str">
        <f t="shared" si="77"/>
        <v/>
      </c>
      <c r="JT67" s="110" t="str">
        <f t="shared" si="78"/>
        <v/>
      </c>
      <c r="JU67" s="110" t="str">
        <f t="shared" si="79"/>
        <v/>
      </c>
      <c r="JV67" s="110" t="str">
        <f t="shared" si="80"/>
        <v/>
      </c>
      <c r="JW67" s="110" t="str">
        <f t="shared" si="81"/>
        <v/>
      </c>
      <c r="JX67" s="110" t="str">
        <f t="shared" si="157"/>
        <v/>
      </c>
      <c r="JY67" s="110" t="str">
        <f t="shared" si="158"/>
        <v/>
      </c>
      <c r="JZ67" s="110" t="str">
        <f t="shared" si="82"/>
        <v/>
      </c>
      <c r="KA67" s="108" t="str">
        <f t="shared" si="159"/>
        <v/>
      </c>
    </row>
    <row r="68" spans="1:287" s="108" customFormat="1" ht="21.95" customHeight="1">
      <c r="A68" s="89">
        <v>62</v>
      </c>
      <c r="B68" s="90" t="str">
        <f>IF('Marks Entry'!B68="","",'Marks Entry'!B68)</f>
        <v/>
      </c>
      <c r="C68" s="94" t="str">
        <f>IF('Marks Entry'!D68="","",'Marks Entry'!D68)</f>
        <v/>
      </c>
      <c r="D68" s="91" t="str">
        <f>IF('Marks Entry'!E68="","",'Marks Entry'!E68)</f>
        <v/>
      </c>
      <c r="E68" s="92" t="str">
        <f>IF('Marks Entry'!F68="","",'Marks Entry'!F68)</f>
        <v/>
      </c>
      <c r="F68" s="93" t="str">
        <f>IF('Marks Entry'!G68="","",'Marks Entry'!G68)</f>
        <v/>
      </c>
      <c r="G68" s="93" t="str">
        <f>IF('Marks Entry'!H68="","",'Marks Entry'!H68)</f>
        <v/>
      </c>
      <c r="H68" s="93" t="str">
        <f>IF('Marks Entry'!I68="","",'Marks Entry'!I68)</f>
        <v/>
      </c>
      <c r="I68" s="94" t="str">
        <f>IF('Marks Entry'!J68="","",'Marks Entry'!J68)</f>
        <v/>
      </c>
      <c r="J68" s="95" t="str">
        <f>IF('Marks Entry'!K68="","",'Marks Entry'!K68)</f>
        <v/>
      </c>
      <c r="K68" s="68" t="str">
        <f>IF('Marks Entry'!L68="","",'Marks Entry'!L68)</f>
        <v/>
      </c>
      <c r="L68" s="68" t="str">
        <f>IF('Marks Entry'!M68="","",'Marks Entry'!M68)</f>
        <v/>
      </c>
      <c r="M68" s="68" t="str">
        <f>IF('Marks Entry'!N68="","",'Marks Entry'!N68)</f>
        <v/>
      </c>
      <c r="N68" s="514" t="str">
        <f t="shared" si="83"/>
        <v/>
      </c>
      <c r="O68" s="68" t="str">
        <f>IF('Marks Entry'!O68="","",'Marks Entry'!O68)</f>
        <v/>
      </c>
      <c r="P68" s="515" t="str">
        <f t="shared" si="84"/>
        <v/>
      </c>
      <c r="Q68" s="68" t="str">
        <f>IF('Marks Entry'!P68="","",'Marks Entry'!P68)</f>
        <v/>
      </c>
      <c r="R68" s="96" t="str">
        <f t="shared" si="85"/>
        <v/>
      </c>
      <c r="S68" s="65">
        <f t="shared" si="86"/>
        <v>0</v>
      </c>
      <c r="T68" s="65">
        <f t="shared" si="87"/>
        <v>0</v>
      </c>
      <c r="U68" s="66" t="str">
        <f t="shared" si="88"/>
        <v/>
      </c>
      <c r="V68" s="65" t="str">
        <f t="shared" si="89"/>
        <v/>
      </c>
      <c r="W68" s="65" t="str">
        <f t="shared" si="90"/>
        <v/>
      </c>
      <c r="X68" s="65" t="str">
        <f t="shared" si="91"/>
        <v/>
      </c>
      <c r="Y68" s="68" t="str">
        <f>IF('Marks Entry'!Q68="","",'Marks Entry'!Q68)</f>
        <v/>
      </c>
      <c r="Z68" s="68" t="str">
        <f>IF('Marks Entry'!R68="","",'Marks Entry'!R68)</f>
        <v/>
      </c>
      <c r="AA68" s="68" t="str">
        <f>IF('Marks Entry'!S68="","",'Marks Entry'!S68)</f>
        <v/>
      </c>
      <c r="AB68" s="514" t="str">
        <f t="shared" si="2"/>
        <v/>
      </c>
      <c r="AC68" s="68" t="str">
        <f>IF('Marks Entry'!T68="","",'Marks Entry'!T68)</f>
        <v/>
      </c>
      <c r="AD68" s="515" t="str">
        <f t="shared" si="3"/>
        <v/>
      </c>
      <c r="AE68" s="68" t="str">
        <f>IF('Marks Entry'!U68="","",'Marks Entry'!U68)</f>
        <v/>
      </c>
      <c r="AF68" s="96" t="str">
        <f t="shared" si="4"/>
        <v/>
      </c>
      <c r="AG68" s="65">
        <f t="shared" si="5"/>
        <v>0</v>
      </c>
      <c r="AH68" s="65">
        <f t="shared" si="6"/>
        <v>0</v>
      </c>
      <c r="AI68" s="66" t="str">
        <f t="shared" si="7"/>
        <v/>
      </c>
      <c r="AJ68" s="65" t="str">
        <f t="shared" si="8"/>
        <v/>
      </c>
      <c r="AK68" s="65" t="str">
        <f t="shared" si="9"/>
        <v/>
      </c>
      <c r="AL68" s="65" t="str">
        <f t="shared" si="10"/>
        <v/>
      </c>
      <c r="AM68" s="524" t="str">
        <f>IF('Marks Entry'!V68="","",IF('Marks Entry'!V68=1,'School Profile'!$I$9,IF('Marks Entry'!V68=2,'School Profile'!$I$10,IF('Marks Entry'!V68=3,'School Profile'!$I$11,IF('Marks Entry'!V68=4,'School Profile'!$I$12,IF('Marks Entry'!V68=5,'School Profile'!$I$13,IF('Marks Entry'!V68=6,'School Profile'!$I$14,"")))))))</f>
        <v/>
      </c>
      <c r="AN68" s="68" t="str">
        <f>IF('Marks Entry'!W68="","",'Marks Entry'!W68)</f>
        <v/>
      </c>
      <c r="AO68" s="68" t="str">
        <f>IF('Marks Entry'!X68="","",'Marks Entry'!X68)</f>
        <v/>
      </c>
      <c r="AP68" s="68" t="str">
        <f>IF('Marks Entry'!Y68="","",'Marks Entry'!Y68)</f>
        <v/>
      </c>
      <c r="AQ68" s="514" t="str">
        <f t="shared" si="11"/>
        <v/>
      </c>
      <c r="AR68" s="68" t="str">
        <f>IF('Marks Entry'!Z68="","",'Marks Entry'!Z68)</f>
        <v/>
      </c>
      <c r="AS68" s="515" t="str">
        <f t="shared" si="12"/>
        <v/>
      </c>
      <c r="AT68" s="68" t="str">
        <f>IF('Marks Entry'!AA68="","",'Marks Entry'!AA68)</f>
        <v/>
      </c>
      <c r="AU68" s="96" t="str">
        <f t="shared" si="13"/>
        <v/>
      </c>
      <c r="AV68" s="65">
        <f t="shared" si="14"/>
        <v>0</v>
      </c>
      <c r="AW68" s="65">
        <f t="shared" si="15"/>
        <v>0</v>
      </c>
      <c r="AX68" s="66" t="str">
        <f t="shared" si="16"/>
        <v/>
      </c>
      <c r="AY68" s="65" t="str">
        <f t="shared" si="17"/>
        <v/>
      </c>
      <c r="AZ68" s="65" t="str">
        <f t="shared" si="18"/>
        <v/>
      </c>
      <c r="BA68" s="65" t="str">
        <f t="shared" si="19"/>
        <v/>
      </c>
      <c r="BB68" s="68" t="str">
        <f>IF('Marks Entry'!AB68="","",'Marks Entry'!AB68)</f>
        <v/>
      </c>
      <c r="BC68" s="68" t="str">
        <f>IF('Marks Entry'!AC68="","",'Marks Entry'!AC68)</f>
        <v/>
      </c>
      <c r="BD68" s="68" t="str">
        <f>IF('Marks Entry'!AD68="","",'Marks Entry'!AD68)</f>
        <v/>
      </c>
      <c r="BE68" s="514" t="str">
        <f t="shared" si="20"/>
        <v/>
      </c>
      <c r="BF68" s="68" t="str">
        <f>IF('Marks Entry'!AE68="","",'Marks Entry'!AE68)</f>
        <v/>
      </c>
      <c r="BG68" s="515" t="str">
        <f t="shared" si="21"/>
        <v/>
      </c>
      <c r="BH68" s="68" t="str">
        <f>IF('Marks Entry'!AF68="","",'Marks Entry'!AF68)</f>
        <v/>
      </c>
      <c r="BI68" s="96" t="str">
        <f t="shared" si="22"/>
        <v/>
      </c>
      <c r="BJ68" s="65">
        <f t="shared" si="23"/>
        <v>0</v>
      </c>
      <c r="BK68" s="65">
        <f t="shared" si="92"/>
        <v>0</v>
      </c>
      <c r="BL68" s="66" t="str">
        <f t="shared" si="24"/>
        <v/>
      </c>
      <c r="BM68" s="65" t="str">
        <f t="shared" si="25"/>
        <v/>
      </c>
      <c r="BN68" s="65" t="str">
        <f t="shared" si="26"/>
        <v/>
      </c>
      <c r="BO68" s="65" t="str">
        <f t="shared" si="27"/>
        <v/>
      </c>
      <c r="BP68" s="68" t="str">
        <f>IF('Marks Entry'!AG68="","",'Marks Entry'!AG68)</f>
        <v/>
      </c>
      <c r="BQ68" s="68" t="str">
        <f>IF('Marks Entry'!AH68="","",'Marks Entry'!AH68)</f>
        <v/>
      </c>
      <c r="BR68" s="68" t="str">
        <f>IF('Marks Entry'!AI68="","",'Marks Entry'!AI68)</f>
        <v/>
      </c>
      <c r="BS68" s="514" t="str">
        <f t="shared" si="28"/>
        <v/>
      </c>
      <c r="BT68" s="68" t="str">
        <f>IF('Marks Entry'!AJ68="","",'Marks Entry'!AJ68)</f>
        <v/>
      </c>
      <c r="BU68" s="515" t="str">
        <f t="shared" si="29"/>
        <v/>
      </c>
      <c r="BV68" s="68" t="str">
        <f>IF('Marks Entry'!AK68="","",'Marks Entry'!AK68)</f>
        <v/>
      </c>
      <c r="BW68" s="96" t="str">
        <f t="shared" si="30"/>
        <v/>
      </c>
      <c r="BX68" s="65">
        <f t="shared" si="31"/>
        <v>0</v>
      </c>
      <c r="BY68" s="65">
        <f t="shared" si="32"/>
        <v>0</v>
      </c>
      <c r="BZ68" s="66" t="str">
        <f t="shared" si="33"/>
        <v/>
      </c>
      <c r="CA68" s="65" t="str">
        <f t="shared" si="34"/>
        <v/>
      </c>
      <c r="CB68" s="65" t="str">
        <f t="shared" si="35"/>
        <v/>
      </c>
      <c r="CC68" s="65" t="str">
        <f t="shared" si="36"/>
        <v/>
      </c>
      <c r="CD68" s="66">
        <f t="shared" si="161"/>
        <v>0</v>
      </c>
      <c r="CE68" s="68" t="str">
        <f>IF('Marks Entry'!AL68="","",'Marks Entry'!AL68)</f>
        <v/>
      </c>
      <c r="CF68" s="68" t="str">
        <f>IF('Marks Entry'!AM68="","",'Marks Entry'!AM68)</f>
        <v/>
      </c>
      <c r="CG68" s="68" t="str">
        <f>IF('Marks Entry'!AN68="","",'Marks Entry'!AN68)</f>
        <v/>
      </c>
      <c r="CH68" s="514" t="str">
        <f t="shared" si="37"/>
        <v/>
      </c>
      <c r="CI68" s="68" t="str">
        <f>IF('Marks Entry'!AO68="","",'Marks Entry'!AO68)</f>
        <v/>
      </c>
      <c r="CJ68" s="515" t="str">
        <f t="shared" si="38"/>
        <v/>
      </c>
      <c r="CK68" s="68" t="str">
        <f>IF('Marks Entry'!AP68="","",'Marks Entry'!AP68)</f>
        <v/>
      </c>
      <c r="CL68" s="96" t="str">
        <f t="shared" si="39"/>
        <v/>
      </c>
      <c r="CM68" s="65">
        <f t="shared" si="40"/>
        <v>0</v>
      </c>
      <c r="CN68" s="65">
        <f t="shared" si="41"/>
        <v>0</v>
      </c>
      <c r="CO68" s="66" t="str">
        <f t="shared" si="42"/>
        <v/>
      </c>
      <c r="CP68" s="65" t="str">
        <f t="shared" si="43"/>
        <v/>
      </c>
      <c r="CQ68" s="65" t="str">
        <f t="shared" si="44"/>
        <v/>
      </c>
      <c r="CR68" s="65" t="str">
        <f t="shared" si="45"/>
        <v/>
      </c>
      <c r="CS68" s="616"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8" t="str">
        <f>IF('School Profile'!$D$20="NO","",IF('Marks Entry'!AR68="","",'Marks Entry'!AR68))</f>
        <v/>
      </c>
      <c r="CU68" s="68" t="str">
        <f>IF('School Profile'!$D$20="NO","",IF('Marks Entry'!AS68="","",'Marks Entry'!AS68))</f>
        <v/>
      </c>
      <c r="CV68" s="68" t="str">
        <f>IF('School Profile'!$D$20="NO","",IF('Marks Entry'!AT68="","",'Marks Entry'!AT68))</f>
        <v/>
      </c>
      <c r="CW68" s="514" t="str">
        <f>IF('School Profile'!$D$20="NO","",IF(AND(CT68="",CU68="",CV68=""),"",SUM(CT68:CV68)))</f>
        <v/>
      </c>
      <c r="CX68" s="68" t="str">
        <f>IF('School Profile'!$D$20="NO","",IF('Marks Entry'!AU68="","",'Marks Entry'!AU68))</f>
        <v/>
      </c>
      <c r="CY68" s="68" t="str">
        <f>IF('School Profile'!$D$20="NO","",IF('Marks Entry'!AV68="","",'Marks Entry'!AV68))</f>
        <v/>
      </c>
      <c r="CZ68" s="515" t="str">
        <f>IF('School Profile'!$D$20="NO","",IF(AND(CX68="",CY68=""),"",SUM(CX68,CY68)))</f>
        <v/>
      </c>
      <c r="DA68" s="69" t="str">
        <f>IF('School Profile'!$D$20="NO","",IF(AND(CW68="",CZ68=""),"",SUM(CW68+CZ68)))</f>
        <v/>
      </c>
      <c r="DB68" s="68" t="str">
        <f>IF('School Profile'!$D$20="NO","",IF('Marks Entry'!AW68="","",'Marks Entry'!AW68))</f>
        <v/>
      </c>
      <c r="DC68" s="68" t="str">
        <f>IF('School Profile'!$D$20="NO","",IF('Marks Entry'!AX68="","",'Marks Entry'!AX68))</f>
        <v/>
      </c>
      <c r="DD68" s="515" t="str">
        <f>IF('School Profile'!$D$20="NO","",IF(AND(DB68="",DC68=""),"",SUM(DB68,DC68)))</f>
        <v/>
      </c>
      <c r="DE68" s="96" t="str">
        <f>IF('School Profile'!$D$20="NO","",IF(AND(DA68="",DD68=""),"",SUM(DA68,DD68)))</f>
        <v/>
      </c>
      <c r="DF68" s="532">
        <f t="shared" si="46"/>
        <v>0</v>
      </c>
      <c r="DG68" s="65">
        <f t="shared" si="47"/>
        <v>0</v>
      </c>
      <c r="DH68" s="66" t="str">
        <f t="shared" si="48"/>
        <v/>
      </c>
      <c r="DI68" s="65" t="str">
        <f t="shared" si="49"/>
        <v/>
      </c>
      <c r="DJ68" s="65" t="str">
        <f t="shared" si="50"/>
        <v/>
      </c>
      <c r="DK68" s="65" t="str">
        <f t="shared" si="51"/>
        <v/>
      </c>
      <c r="DL68" s="97" t="str">
        <f t="shared" si="94"/>
        <v/>
      </c>
      <c r="DM68" s="97" t="str">
        <f t="shared" si="95"/>
        <v/>
      </c>
      <c r="DN68" s="97" t="str">
        <f t="shared" si="96"/>
        <v/>
      </c>
      <c r="DO68" s="97" t="str">
        <f t="shared" si="97"/>
        <v/>
      </c>
      <c r="DP68" s="97" t="str">
        <f t="shared" si="98"/>
        <v/>
      </c>
      <c r="DQ68" s="97" t="str">
        <f t="shared" si="99"/>
        <v/>
      </c>
      <c r="DR68" s="97" t="str">
        <f t="shared" si="100"/>
        <v/>
      </c>
      <c r="DS68" s="98">
        <f t="shared" si="101"/>
        <v>0</v>
      </c>
      <c r="DT68" s="98">
        <f t="shared" si="102"/>
        <v>0</v>
      </c>
      <c r="DU68" s="98">
        <f t="shared" si="103"/>
        <v>0</v>
      </c>
      <c r="DV68" s="98">
        <f t="shared" si="104"/>
        <v>0</v>
      </c>
      <c r="DW68" s="98">
        <f t="shared" si="105"/>
        <v>0</v>
      </c>
      <c r="DX68" s="98" t="str">
        <f t="shared" si="106"/>
        <v/>
      </c>
      <c r="DY68" s="99" t="str">
        <f t="shared" si="107"/>
        <v/>
      </c>
      <c r="DZ68" s="74" t="str">
        <f>IF('Marks Entry'!AY68="","",'Marks Entry'!AY68)</f>
        <v/>
      </c>
      <c r="EA68" s="74" t="str">
        <f>IF('Marks Entry'!AZ68="","",'Marks Entry'!AZ68)</f>
        <v/>
      </c>
      <c r="EB68" s="74" t="str">
        <f>IF('Marks Entry'!BA68="","",'Marks Entry'!BA68)</f>
        <v/>
      </c>
      <c r="EC68" s="527" t="str">
        <f t="shared" si="52"/>
        <v/>
      </c>
      <c r="ED68" s="74" t="str">
        <f>IF('Marks Entry'!BB68="","",'Marks Entry'!BB68)</f>
        <v/>
      </c>
      <c r="EE68" s="528" t="str">
        <f t="shared" si="53"/>
        <v/>
      </c>
      <c r="EF68" s="74" t="str">
        <f>IF('Marks Entry'!BC68="","",'Marks Entry'!BC68)</f>
        <v/>
      </c>
      <c r="EG68" s="530" t="str">
        <f t="shared" si="54"/>
        <v/>
      </c>
      <c r="EH68" s="368" t="str">
        <f t="shared" si="108"/>
        <v/>
      </c>
      <c r="EI68" s="65">
        <f t="shared" si="109"/>
        <v>0</v>
      </c>
      <c r="EJ68" s="65">
        <f t="shared" si="110"/>
        <v>0</v>
      </c>
      <c r="EK68" s="66" t="str">
        <f t="shared" si="111"/>
        <v/>
      </c>
      <c r="EL68" s="74" t="str">
        <f>IF('Marks Entry'!BD68="","",'Marks Entry'!BD68)</f>
        <v/>
      </c>
      <c r="EM68" s="74" t="str">
        <f>IF('Marks Entry'!BE68="","",'Marks Entry'!BE68)</f>
        <v/>
      </c>
      <c r="EN68" s="74" t="str">
        <f>IF('Marks Entry'!BF68="","",'Marks Entry'!BF68)</f>
        <v/>
      </c>
      <c r="EO68" s="527" t="str">
        <f t="shared" si="55"/>
        <v/>
      </c>
      <c r="EP68" s="74" t="str">
        <f>IF('Marks Entry'!BG68="","",'Marks Entry'!BG68)</f>
        <v/>
      </c>
      <c r="EQ68" s="74" t="str">
        <f>IF('Marks Entry'!BH68="","",'Marks Entry'!BH68)</f>
        <v/>
      </c>
      <c r="ER68" s="528" t="str">
        <f t="shared" si="56"/>
        <v/>
      </c>
      <c r="ES68" s="529" t="str">
        <f t="shared" si="57"/>
        <v/>
      </c>
      <c r="ET68" s="74" t="str">
        <f>IF('Marks Entry'!BI68="","",'Marks Entry'!BI68)</f>
        <v/>
      </c>
      <c r="EU68" s="74" t="str">
        <f>IF('Marks Entry'!BJ68="","",'Marks Entry'!BJ68)</f>
        <v/>
      </c>
      <c r="EV68" s="528" t="str">
        <f t="shared" si="58"/>
        <v/>
      </c>
      <c r="EW68" s="530" t="str">
        <f t="shared" si="59"/>
        <v/>
      </c>
      <c r="EX68" s="368" t="str">
        <f t="shared" si="112"/>
        <v/>
      </c>
      <c r="EY68" s="65">
        <f t="shared" si="113"/>
        <v>0</v>
      </c>
      <c r="EZ68" s="65">
        <f t="shared" si="114"/>
        <v>0</v>
      </c>
      <c r="FA68" s="66" t="str">
        <f t="shared" si="115"/>
        <v/>
      </c>
      <c r="FB68" s="74" t="str">
        <f>IF('Marks Entry'!BK68="","",'Marks Entry'!BK68)</f>
        <v/>
      </c>
      <c r="FC68" s="74" t="str">
        <f>IF('Marks Entry'!BL68="","",'Marks Entry'!BL68)</f>
        <v/>
      </c>
      <c r="FD68" s="74" t="str">
        <f>IF('Marks Entry'!BM68="","",'Marks Entry'!BM68)</f>
        <v/>
      </c>
      <c r="FE68" s="74" t="str">
        <f>IF('Marks Entry'!BN68="","",'Marks Entry'!BN68)</f>
        <v/>
      </c>
      <c r="FF68" s="74" t="str">
        <f>IF('Marks Entry'!BO68="","",'Marks Entry'!BO68)</f>
        <v/>
      </c>
      <c r="FG68" s="74" t="str">
        <f>IF('Marks Entry'!BP68="","",'Marks Entry'!BP68)</f>
        <v/>
      </c>
      <c r="FH68" s="527" t="str">
        <f t="shared" si="60"/>
        <v/>
      </c>
      <c r="FI68" s="74" t="str">
        <f>IF('Marks Entry'!BQ68="","",'Marks Entry'!BQ68)</f>
        <v/>
      </c>
      <c r="FJ68" s="74" t="str">
        <f>IF('Marks Entry'!BR68="","",'Marks Entry'!BR68)</f>
        <v/>
      </c>
      <c r="FK68" s="528" t="str">
        <f t="shared" si="61"/>
        <v/>
      </c>
      <c r="FL68" s="529" t="str">
        <f t="shared" si="62"/>
        <v/>
      </c>
      <c r="FM68" s="74" t="str">
        <f>IF('Marks Entry'!BS68="","",'Marks Entry'!BS68)</f>
        <v/>
      </c>
      <c r="FN68" s="74" t="str">
        <f>IF('Marks Entry'!BT68="","",'Marks Entry'!BT68)</f>
        <v/>
      </c>
      <c r="FO68" s="528" t="str">
        <f t="shared" si="63"/>
        <v/>
      </c>
      <c r="FP68" s="530" t="str">
        <f t="shared" si="64"/>
        <v/>
      </c>
      <c r="FQ68" s="368" t="str">
        <f t="shared" si="116"/>
        <v/>
      </c>
      <c r="FR68" s="65">
        <f t="shared" si="117"/>
        <v>0</v>
      </c>
      <c r="FS68" s="65">
        <f t="shared" si="118"/>
        <v>0</v>
      </c>
      <c r="FT68" s="66" t="str">
        <f t="shared" si="119"/>
        <v/>
      </c>
      <c r="FU68" s="74" t="str">
        <f>IF('Marks Entry'!BU68="","",'Marks Entry'!BU68)</f>
        <v/>
      </c>
      <c r="FV68" s="74" t="str">
        <f>IF('Marks Entry'!BV68="","",'Marks Entry'!BV68)</f>
        <v/>
      </c>
      <c r="FW68" s="74" t="str">
        <f>IF('Marks Entry'!BW68="","",'Marks Entry'!BW68)</f>
        <v/>
      </c>
      <c r="FX68" s="75" t="str">
        <f t="shared" si="65"/>
        <v/>
      </c>
      <c r="FY68" s="368" t="str">
        <f t="shared" si="120"/>
        <v/>
      </c>
      <c r="FZ68" s="65">
        <f t="shared" si="121"/>
        <v>0</v>
      </c>
      <c r="GA68" s="66">
        <f t="shared" si="122"/>
        <v>0</v>
      </c>
      <c r="GB68" s="66" t="str">
        <f t="shared" si="123"/>
        <v/>
      </c>
      <c r="GC68" s="74" t="str">
        <f>IF('Marks Entry'!BX68="","",'Marks Entry'!BX68)</f>
        <v/>
      </c>
      <c r="GD68" s="74" t="str">
        <f>IF('Marks Entry'!BY68="","",'Marks Entry'!BY68)</f>
        <v/>
      </c>
      <c r="GE68" s="74" t="str">
        <f>IF('Marks Entry'!BZ68="","",'Marks Entry'!BZ68)</f>
        <v/>
      </c>
      <c r="GF68" s="75" t="str">
        <f t="shared" si="124"/>
        <v/>
      </c>
      <c r="GG68" s="368" t="str">
        <f t="shared" si="125"/>
        <v/>
      </c>
      <c r="GH68" s="65">
        <f t="shared" si="126"/>
        <v>0</v>
      </c>
      <c r="GI68" s="66">
        <f t="shared" si="127"/>
        <v>0</v>
      </c>
      <c r="GJ68" s="66" t="str">
        <f t="shared" si="128"/>
        <v/>
      </c>
      <c r="GK68" s="100" t="str">
        <f>IF(AND(F68="",B68=""),"",IF('Student DATA Entry'!M65="","",'Student DATA Entry'!M65))</f>
        <v/>
      </c>
      <c r="GL68" s="101" t="str">
        <f>IF(AND(B68="",F68=""),"",IF('Student DATA Entry'!N65="","",'Student DATA Entry'!N65))</f>
        <v/>
      </c>
      <c r="GM68" s="581" t="str">
        <f t="shared" si="129"/>
        <v/>
      </c>
      <c r="GN68" s="94" t="str">
        <f t="shared" si="130"/>
        <v/>
      </c>
      <c r="GO68" s="94" t="str">
        <f t="shared" si="131"/>
        <v/>
      </c>
      <c r="GP68" s="102" t="str">
        <f t="shared" si="162"/>
        <v/>
      </c>
      <c r="GQ68" s="94" t="str">
        <f t="shared" si="132"/>
        <v/>
      </c>
      <c r="GR68" s="103" t="str">
        <f t="shared" si="133"/>
        <v/>
      </c>
      <c r="GS68" s="102" t="str">
        <f t="shared" si="163"/>
        <v/>
      </c>
      <c r="GT68" s="104" t="str">
        <f t="shared" si="134"/>
        <v/>
      </c>
      <c r="GU68" s="94" t="str">
        <f>IF('Marks Entry'!V68=1,GT68,"")</f>
        <v/>
      </c>
      <c r="GV68" s="94" t="str">
        <f>IF('Marks Entry'!V68=2,GT68,"")</f>
        <v/>
      </c>
      <c r="GW68" s="94" t="str">
        <f>IF('Marks Entry'!V68=3,GT68,"")</f>
        <v/>
      </c>
      <c r="GX68" s="94" t="str">
        <f>IF('Marks Entry'!V68=4,GT68,"")</f>
        <v/>
      </c>
      <c r="GY68" s="94" t="str">
        <f>IF('Marks Entry'!V68=5,GT68,"")</f>
        <v/>
      </c>
      <c r="GZ68" s="94" t="str">
        <f t="shared" si="135"/>
        <v/>
      </c>
      <c r="HA68" s="105" t="str">
        <f t="shared" si="164"/>
        <v/>
      </c>
      <c r="HB68" s="94" t="str">
        <f t="shared" si="136"/>
        <v/>
      </c>
      <c r="HC68" s="94" t="str">
        <f t="shared" si="137"/>
        <v/>
      </c>
      <c r="HD68" s="105" t="str">
        <f t="shared" si="165"/>
        <v/>
      </c>
      <c r="HE68" s="94" t="str">
        <f t="shared" si="138"/>
        <v/>
      </c>
      <c r="HF68" s="94" t="str">
        <f t="shared" si="139"/>
        <v/>
      </c>
      <c r="HG68" s="105" t="str">
        <f t="shared" si="166"/>
        <v/>
      </c>
      <c r="HH68" s="94" t="str">
        <f t="shared" si="140"/>
        <v/>
      </c>
      <c r="HI68" s="94" t="str">
        <f t="shared" si="141"/>
        <v/>
      </c>
      <c r="HJ68" s="105" t="str">
        <f t="shared" si="167"/>
        <v/>
      </c>
      <c r="HK68" s="94" t="str">
        <f t="shared" si="142"/>
        <v/>
      </c>
      <c r="HL68" s="94" t="str">
        <f t="shared" si="143"/>
        <v/>
      </c>
      <c r="HM68" s="105" t="str">
        <f t="shared" si="168"/>
        <v/>
      </c>
      <c r="HN68" s="367" t="str">
        <f t="shared" si="144"/>
        <v xml:space="preserve">      </v>
      </c>
      <c r="HO68" s="418" t="str">
        <f t="shared" si="169"/>
        <v xml:space="preserve">      </v>
      </c>
      <c r="HP68" s="367" t="str">
        <f t="shared" si="146"/>
        <v xml:space="preserve">      </v>
      </c>
      <c r="HQ68" s="107" t="str">
        <f t="shared" si="147"/>
        <v xml:space="preserve">      </v>
      </c>
      <c r="HR68" s="366" t="str">
        <f t="shared" si="148"/>
        <v xml:space="preserve">      </v>
      </c>
      <c r="HS68" s="544" t="str">
        <f t="shared" si="170"/>
        <v/>
      </c>
      <c r="HT68" s="542" t="str">
        <f t="shared" si="149"/>
        <v/>
      </c>
      <c r="HU68" s="541" t="str">
        <f t="shared" si="160"/>
        <v/>
      </c>
      <c r="HV68" s="540" t="str">
        <f t="shared" si="150"/>
        <v/>
      </c>
      <c r="HW68" s="537" t="str">
        <f t="shared" si="151"/>
        <v/>
      </c>
      <c r="HX68" s="539" t="str">
        <f t="shared" si="152"/>
        <v/>
      </c>
      <c r="HY68" s="553" t="str">
        <f>IFERROR(IF(OR(HS68="SUPPLEMENTARY",HS68="RE-EXAM"),'Supp. Result Entry'!AQ66,""),"")</f>
        <v/>
      </c>
      <c r="HZ68" s="538" t="str">
        <f t="shared" si="153"/>
        <v/>
      </c>
      <c r="IA68" s="415" t="str">
        <f t="shared" si="154"/>
        <v/>
      </c>
      <c r="IB68" s="415" t="str">
        <f>IF(AND(HZ68="",IA68=""),"",IF(OR(HS68="SUPPLEMENTARY",HS68="RE-EXAM"),'Supp. Result Entry'!AQ66,HS68))</f>
        <v/>
      </c>
      <c r="IC68" s="87"/>
      <c r="IS68" s="109" t="str">
        <f>IF('Supp. Result Entry'!T66="","",'Supp. Result Entry'!$T$4)</f>
        <v/>
      </c>
      <c r="IT68" s="110" t="str">
        <f>IF('Supp. Result Entry'!W66="","",'Supp. Result Entry'!$W$4)</f>
        <v/>
      </c>
      <c r="IU68" s="110" t="str">
        <f>IF('Supp. Result Entry'!Z66="","",'Supp. Result Entry'!$Z$4)</f>
        <v/>
      </c>
      <c r="IV68" s="110" t="str">
        <f>IF('Supp. Result Entry'!AC66="","",'Supp. Result Entry'!$AC$4)</f>
        <v/>
      </c>
      <c r="IW68" s="110" t="str">
        <f>IF('Supp. Result Entry'!AF66="","",'Supp. Result Entry'!$AF$4)</f>
        <v/>
      </c>
      <c r="IX68" s="110" t="str">
        <f>IF('Supp. Result Entry'!AI66="","",'Supp. Result Entry'!$AI$4)</f>
        <v/>
      </c>
      <c r="IY68" s="110" t="str">
        <f>IF('Supp. Result Entry'!AI66="","",'Supp. Result Entry'!$AL$4)</f>
        <v/>
      </c>
      <c r="IZ68" s="110" t="str">
        <f>IF('Supp. Result Entry'!U66="","",'Supp. Result Entry'!U66)</f>
        <v/>
      </c>
      <c r="JA68" s="110" t="str">
        <f>IF('Supp. Result Entry'!X66="","",'Supp. Result Entry'!X66)</f>
        <v/>
      </c>
      <c r="JB68" s="110" t="str">
        <f>IF('Supp. Result Entry'!AA66="","",'Supp. Result Entry'!AA66)</f>
        <v/>
      </c>
      <c r="JC68" s="110" t="str">
        <f>IF('Supp. Result Entry'!AD66="","",'Supp. Result Entry'!AD66)</f>
        <v/>
      </c>
      <c r="JD68" s="110" t="str">
        <f>IF('Supp. Result Entry'!AG66="","",'Supp. Result Entry'!AG66)</f>
        <v/>
      </c>
      <c r="JE68" s="110" t="str">
        <f>IF('Supp. Result Entry'!AJ66="","",'Supp. Result Entry'!AJ66)</f>
        <v/>
      </c>
      <c r="JF68" s="110" t="str">
        <f>IF('Supp. Result Entry'!AM66="","",'Supp. Result Entry'!AM66)</f>
        <v/>
      </c>
      <c r="JG68" s="110" t="str">
        <f>IF('Supp. Result Entry'!V66="","",'Supp. Result Entry'!V66)</f>
        <v/>
      </c>
      <c r="JH68" s="110" t="str">
        <f>IF('Supp. Result Entry'!Y66="","",'Supp. Result Entry'!Y66)</f>
        <v/>
      </c>
      <c r="JI68" s="110" t="str">
        <f>IF('Supp. Result Entry'!AB66="","",'Supp. Result Entry'!AB66)</f>
        <v/>
      </c>
      <c r="JJ68" s="110" t="str">
        <f>IF('Supp. Result Entry'!AE66="","",'Supp. Result Entry'!AE66)</f>
        <v/>
      </c>
      <c r="JK68" s="110" t="str">
        <f>IF('Supp. Result Entry'!AH66="","",'Supp. Result Entry'!AH66)</f>
        <v/>
      </c>
      <c r="JL68" s="110" t="str">
        <f>IF('Supp. Result Entry'!AK66="","",'Supp. Result Entry'!AK66)</f>
        <v/>
      </c>
      <c r="JM68" s="110" t="str">
        <f>IF('Supp. Result Entry'!AN66="","",'Supp. Result Entry'!AN66)</f>
        <v/>
      </c>
      <c r="JN68" s="110">
        <f>COUNTIF('Supp. Result Entry'!K66:Q66,"S")</f>
        <v>0</v>
      </c>
      <c r="JO68" s="110">
        <f t="shared" si="155"/>
        <v>0</v>
      </c>
      <c r="JP68" s="110">
        <f t="shared" si="156"/>
        <v>0</v>
      </c>
      <c r="JQ68" s="110" t="str">
        <f t="shared" si="75"/>
        <v/>
      </c>
      <c r="JR68" s="110" t="str">
        <f t="shared" si="76"/>
        <v/>
      </c>
      <c r="JS68" s="110" t="str">
        <f t="shared" si="77"/>
        <v/>
      </c>
      <c r="JT68" s="110" t="str">
        <f t="shared" si="78"/>
        <v/>
      </c>
      <c r="JU68" s="110" t="str">
        <f t="shared" si="79"/>
        <v/>
      </c>
      <c r="JV68" s="110" t="str">
        <f t="shared" si="80"/>
        <v/>
      </c>
      <c r="JW68" s="110" t="str">
        <f t="shared" si="81"/>
        <v/>
      </c>
      <c r="JX68" s="110" t="str">
        <f t="shared" si="157"/>
        <v/>
      </c>
      <c r="JY68" s="110" t="str">
        <f t="shared" si="158"/>
        <v/>
      </c>
      <c r="JZ68" s="110" t="str">
        <f t="shared" si="82"/>
        <v/>
      </c>
      <c r="KA68" s="108" t="str">
        <f t="shared" si="159"/>
        <v/>
      </c>
    </row>
    <row r="69" spans="1:287" s="108" customFormat="1" ht="21.95" customHeight="1">
      <c r="A69" s="89">
        <v>63</v>
      </c>
      <c r="B69" s="90" t="str">
        <f>IF('Marks Entry'!B69="","",'Marks Entry'!B69)</f>
        <v/>
      </c>
      <c r="C69" s="94" t="str">
        <f>IF('Marks Entry'!D69="","",'Marks Entry'!D69)</f>
        <v/>
      </c>
      <c r="D69" s="91" t="str">
        <f>IF('Marks Entry'!E69="","",'Marks Entry'!E69)</f>
        <v/>
      </c>
      <c r="E69" s="92" t="str">
        <f>IF('Marks Entry'!F69="","",'Marks Entry'!F69)</f>
        <v/>
      </c>
      <c r="F69" s="93" t="str">
        <f>IF('Marks Entry'!G69="","",'Marks Entry'!G69)</f>
        <v/>
      </c>
      <c r="G69" s="93" t="str">
        <f>IF('Marks Entry'!H69="","",'Marks Entry'!H69)</f>
        <v/>
      </c>
      <c r="H69" s="93" t="str">
        <f>IF('Marks Entry'!I69="","",'Marks Entry'!I69)</f>
        <v/>
      </c>
      <c r="I69" s="94" t="str">
        <f>IF('Marks Entry'!J69="","",'Marks Entry'!J69)</f>
        <v/>
      </c>
      <c r="J69" s="95" t="str">
        <f>IF('Marks Entry'!K69="","",'Marks Entry'!K69)</f>
        <v/>
      </c>
      <c r="K69" s="68" t="str">
        <f>IF('Marks Entry'!L69="","",'Marks Entry'!L69)</f>
        <v/>
      </c>
      <c r="L69" s="68" t="str">
        <f>IF('Marks Entry'!M69="","",'Marks Entry'!M69)</f>
        <v/>
      </c>
      <c r="M69" s="68" t="str">
        <f>IF('Marks Entry'!N69="","",'Marks Entry'!N69)</f>
        <v/>
      </c>
      <c r="N69" s="514" t="str">
        <f t="shared" si="83"/>
        <v/>
      </c>
      <c r="O69" s="68" t="str">
        <f>IF('Marks Entry'!O69="","",'Marks Entry'!O69)</f>
        <v/>
      </c>
      <c r="P69" s="515" t="str">
        <f t="shared" si="84"/>
        <v/>
      </c>
      <c r="Q69" s="68" t="str">
        <f>IF('Marks Entry'!P69="","",'Marks Entry'!P69)</f>
        <v/>
      </c>
      <c r="R69" s="96" t="str">
        <f t="shared" si="85"/>
        <v/>
      </c>
      <c r="S69" s="65">
        <f t="shared" si="86"/>
        <v>0</v>
      </c>
      <c r="T69" s="65">
        <f t="shared" si="87"/>
        <v>0</v>
      </c>
      <c r="U69" s="66" t="str">
        <f t="shared" si="88"/>
        <v/>
      </c>
      <c r="V69" s="65" t="str">
        <f t="shared" si="89"/>
        <v/>
      </c>
      <c r="W69" s="65" t="str">
        <f t="shared" si="90"/>
        <v/>
      </c>
      <c r="X69" s="65" t="str">
        <f t="shared" si="91"/>
        <v/>
      </c>
      <c r="Y69" s="68" t="str">
        <f>IF('Marks Entry'!Q69="","",'Marks Entry'!Q69)</f>
        <v/>
      </c>
      <c r="Z69" s="68" t="str">
        <f>IF('Marks Entry'!R69="","",'Marks Entry'!R69)</f>
        <v/>
      </c>
      <c r="AA69" s="68" t="str">
        <f>IF('Marks Entry'!S69="","",'Marks Entry'!S69)</f>
        <v/>
      </c>
      <c r="AB69" s="514" t="str">
        <f t="shared" si="2"/>
        <v/>
      </c>
      <c r="AC69" s="68" t="str">
        <f>IF('Marks Entry'!T69="","",'Marks Entry'!T69)</f>
        <v/>
      </c>
      <c r="AD69" s="515" t="str">
        <f t="shared" si="3"/>
        <v/>
      </c>
      <c r="AE69" s="68" t="str">
        <f>IF('Marks Entry'!U69="","",'Marks Entry'!U69)</f>
        <v/>
      </c>
      <c r="AF69" s="96" t="str">
        <f t="shared" si="4"/>
        <v/>
      </c>
      <c r="AG69" s="65">
        <f t="shared" si="5"/>
        <v>0</v>
      </c>
      <c r="AH69" s="65">
        <f t="shared" si="6"/>
        <v>0</v>
      </c>
      <c r="AI69" s="66" t="str">
        <f t="shared" si="7"/>
        <v/>
      </c>
      <c r="AJ69" s="65" t="str">
        <f t="shared" si="8"/>
        <v/>
      </c>
      <c r="AK69" s="65" t="str">
        <f t="shared" si="9"/>
        <v/>
      </c>
      <c r="AL69" s="65" t="str">
        <f t="shared" si="10"/>
        <v/>
      </c>
      <c r="AM69" s="524" t="str">
        <f>IF('Marks Entry'!V69="","",IF('Marks Entry'!V69=1,'School Profile'!$I$9,IF('Marks Entry'!V69=2,'School Profile'!$I$10,IF('Marks Entry'!V69=3,'School Profile'!$I$11,IF('Marks Entry'!V69=4,'School Profile'!$I$12,IF('Marks Entry'!V69=5,'School Profile'!$I$13,IF('Marks Entry'!V69=6,'School Profile'!$I$14,"")))))))</f>
        <v/>
      </c>
      <c r="AN69" s="68" t="str">
        <f>IF('Marks Entry'!W69="","",'Marks Entry'!W69)</f>
        <v/>
      </c>
      <c r="AO69" s="68" t="str">
        <f>IF('Marks Entry'!X69="","",'Marks Entry'!X69)</f>
        <v/>
      </c>
      <c r="AP69" s="68" t="str">
        <f>IF('Marks Entry'!Y69="","",'Marks Entry'!Y69)</f>
        <v/>
      </c>
      <c r="AQ69" s="514" t="str">
        <f t="shared" si="11"/>
        <v/>
      </c>
      <c r="AR69" s="68" t="str">
        <f>IF('Marks Entry'!Z69="","",'Marks Entry'!Z69)</f>
        <v/>
      </c>
      <c r="AS69" s="515" t="str">
        <f t="shared" si="12"/>
        <v/>
      </c>
      <c r="AT69" s="68" t="str">
        <f>IF('Marks Entry'!AA69="","",'Marks Entry'!AA69)</f>
        <v/>
      </c>
      <c r="AU69" s="96" t="str">
        <f t="shared" si="13"/>
        <v/>
      </c>
      <c r="AV69" s="65">
        <f t="shared" si="14"/>
        <v>0</v>
      </c>
      <c r="AW69" s="65">
        <f t="shared" si="15"/>
        <v>0</v>
      </c>
      <c r="AX69" s="66" t="str">
        <f t="shared" si="16"/>
        <v/>
      </c>
      <c r="AY69" s="65" t="str">
        <f t="shared" si="17"/>
        <v/>
      </c>
      <c r="AZ69" s="65" t="str">
        <f t="shared" si="18"/>
        <v/>
      </c>
      <c r="BA69" s="65" t="str">
        <f t="shared" si="19"/>
        <v/>
      </c>
      <c r="BB69" s="68" t="str">
        <f>IF('Marks Entry'!AB69="","",'Marks Entry'!AB69)</f>
        <v/>
      </c>
      <c r="BC69" s="68" t="str">
        <f>IF('Marks Entry'!AC69="","",'Marks Entry'!AC69)</f>
        <v/>
      </c>
      <c r="BD69" s="68" t="str">
        <f>IF('Marks Entry'!AD69="","",'Marks Entry'!AD69)</f>
        <v/>
      </c>
      <c r="BE69" s="514" t="str">
        <f t="shared" si="20"/>
        <v/>
      </c>
      <c r="BF69" s="68" t="str">
        <f>IF('Marks Entry'!AE69="","",'Marks Entry'!AE69)</f>
        <v/>
      </c>
      <c r="BG69" s="515" t="str">
        <f t="shared" si="21"/>
        <v/>
      </c>
      <c r="BH69" s="68" t="str">
        <f>IF('Marks Entry'!AF69="","",'Marks Entry'!AF69)</f>
        <v/>
      </c>
      <c r="BI69" s="96" t="str">
        <f t="shared" si="22"/>
        <v/>
      </c>
      <c r="BJ69" s="65">
        <f t="shared" si="23"/>
        <v>0</v>
      </c>
      <c r="BK69" s="65">
        <f t="shared" si="92"/>
        <v>0</v>
      </c>
      <c r="BL69" s="66" t="str">
        <f t="shared" si="24"/>
        <v/>
      </c>
      <c r="BM69" s="65" t="str">
        <f t="shared" si="25"/>
        <v/>
      </c>
      <c r="BN69" s="65" t="str">
        <f t="shared" si="26"/>
        <v/>
      </c>
      <c r="BO69" s="65" t="str">
        <f t="shared" si="27"/>
        <v/>
      </c>
      <c r="BP69" s="68" t="str">
        <f>IF('Marks Entry'!AG69="","",'Marks Entry'!AG69)</f>
        <v/>
      </c>
      <c r="BQ69" s="68" t="str">
        <f>IF('Marks Entry'!AH69="","",'Marks Entry'!AH69)</f>
        <v/>
      </c>
      <c r="BR69" s="68" t="str">
        <f>IF('Marks Entry'!AI69="","",'Marks Entry'!AI69)</f>
        <v/>
      </c>
      <c r="BS69" s="514" t="str">
        <f t="shared" si="28"/>
        <v/>
      </c>
      <c r="BT69" s="68" t="str">
        <f>IF('Marks Entry'!AJ69="","",'Marks Entry'!AJ69)</f>
        <v/>
      </c>
      <c r="BU69" s="515" t="str">
        <f t="shared" si="29"/>
        <v/>
      </c>
      <c r="BV69" s="68" t="str">
        <f>IF('Marks Entry'!AK69="","",'Marks Entry'!AK69)</f>
        <v/>
      </c>
      <c r="BW69" s="96" t="str">
        <f t="shared" si="30"/>
        <v/>
      </c>
      <c r="BX69" s="65">
        <f t="shared" si="31"/>
        <v>0</v>
      </c>
      <c r="BY69" s="65">
        <f t="shared" si="32"/>
        <v>0</v>
      </c>
      <c r="BZ69" s="66" t="str">
        <f t="shared" si="33"/>
        <v/>
      </c>
      <c r="CA69" s="65" t="str">
        <f t="shared" si="34"/>
        <v/>
      </c>
      <c r="CB69" s="65" t="str">
        <f t="shared" si="35"/>
        <v/>
      </c>
      <c r="CC69" s="65" t="str">
        <f t="shared" si="36"/>
        <v/>
      </c>
      <c r="CD69" s="66">
        <f t="shared" si="161"/>
        <v>0</v>
      </c>
      <c r="CE69" s="68" t="str">
        <f>IF('Marks Entry'!AL69="","",'Marks Entry'!AL69)</f>
        <v/>
      </c>
      <c r="CF69" s="68" t="str">
        <f>IF('Marks Entry'!AM69="","",'Marks Entry'!AM69)</f>
        <v/>
      </c>
      <c r="CG69" s="68" t="str">
        <f>IF('Marks Entry'!AN69="","",'Marks Entry'!AN69)</f>
        <v/>
      </c>
      <c r="CH69" s="514" t="str">
        <f t="shared" si="37"/>
        <v/>
      </c>
      <c r="CI69" s="68" t="str">
        <f>IF('Marks Entry'!AO69="","",'Marks Entry'!AO69)</f>
        <v/>
      </c>
      <c r="CJ69" s="515" t="str">
        <f t="shared" si="38"/>
        <v/>
      </c>
      <c r="CK69" s="68" t="str">
        <f>IF('Marks Entry'!AP69="","",'Marks Entry'!AP69)</f>
        <v/>
      </c>
      <c r="CL69" s="96" t="str">
        <f t="shared" si="39"/>
        <v/>
      </c>
      <c r="CM69" s="65">
        <f t="shared" si="40"/>
        <v>0</v>
      </c>
      <c r="CN69" s="65">
        <f t="shared" si="41"/>
        <v>0</v>
      </c>
      <c r="CO69" s="66" t="str">
        <f t="shared" si="42"/>
        <v/>
      </c>
      <c r="CP69" s="65" t="str">
        <f t="shared" si="43"/>
        <v/>
      </c>
      <c r="CQ69" s="65" t="str">
        <f t="shared" si="44"/>
        <v/>
      </c>
      <c r="CR69" s="65" t="str">
        <f t="shared" si="45"/>
        <v/>
      </c>
      <c r="CS69" s="616"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8" t="str">
        <f>IF('School Profile'!$D$20="NO","",IF('Marks Entry'!AR69="","",'Marks Entry'!AR69))</f>
        <v/>
      </c>
      <c r="CU69" s="68" t="str">
        <f>IF('School Profile'!$D$20="NO","",IF('Marks Entry'!AS69="","",'Marks Entry'!AS69))</f>
        <v/>
      </c>
      <c r="CV69" s="68" t="str">
        <f>IF('School Profile'!$D$20="NO","",IF('Marks Entry'!AT69="","",'Marks Entry'!AT69))</f>
        <v/>
      </c>
      <c r="CW69" s="514" t="str">
        <f>IF('School Profile'!$D$20="NO","",IF(AND(CT69="",CU69="",CV69=""),"",SUM(CT69:CV69)))</f>
        <v/>
      </c>
      <c r="CX69" s="68" t="str">
        <f>IF('School Profile'!$D$20="NO","",IF('Marks Entry'!AU69="","",'Marks Entry'!AU69))</f>
        <v/>
      </c>
      <c r="CY69" s="68" t="str">
        <f>IF('School Profile'!$D$20="NO","",IF('Marks Entry'!AV69="","",'Marks Entry'!AV69))</f>
        <v/>
      </c>
      <c r="CZ69" s="515" t="str">
        <f>IF('School Profile'!$D$20="NO","",IF(AND(CX69="",CY69=""),"",SUM(CX69,CY69)))</f>
        <v/>
      </c>
      <c r="DA69" s="69" t="str">
        <f>IF('School Profile'!$D$20="NO","",IF(AND(CW69="",CZ69=""),"",SUM(CW69+CZ69)))</f>
        <v/>
      </c>
      <c r="DB69" s="68" t="str">
        <f>IF('School Profile'!$D$20="NO","",IF('Marks Entry'!AW69="","",'Marks Entry'!AW69))</f>
        <v/>
      </c>
      <c r="DC69" s="68" t="str">
        <f>IF('School Profile'!$D$20="NO","",IF('Marks Entry'!AX69="","",'Marks Entry'!AX69))</f>
        <v/>
      </c>
      <c r="DD69" s="515" t="str">
        <f>IF('School Profile'!$D$20="NO","",IF(AND(DB69="",DC69=""),"",SUM(DB69,DC69)))</f>
        <v/>
      </c>
      <c r="DE69" s="96" t="str">
        <f>IF('School Profile'!$D$20="NO","",IF(AND(DA69="",DD69=""),"",SUM(DA69,DD69)))</f>
        <v/>
      </c>
      <c r="DF69" s="532">
        <f t="shared" si="46"/>
        <v>0</v>
      </c>
      <c r="DG69" s="65">
        <f t="shared" si="47"/>
        <v>0</v>
      </c>
      <c r="DH69" s="66" t="str">
        <f t="shared" si="48"/>
        <v/>
      </c>
      <c r="DI69" s="65" t="str">
        <f t="shared" si="49"/>
        <v/>
      </c>
      <c r="DJ69" s="65" t="str">
        <f t="shared" si="50"/>
        <v/>
      </c>
      <c r="DK69" s="65" t="str">
        <f t="shared" si="51"/>
        <v/>
      </c>
      <c r="DL69" s="97" t="str">
        <f t="shared" si="94"/>
        <v/>
      </c>
      <c r="DM69" s="97" t="str">
        <f t="shared" si="95"/>
        <v/>
      </c>
      <c r="DN69" s="97" t="str">
        <f t="shared" si="96"/>
        <v/>
      </c>
      <c r="DO69" s="97" t="str">
        <f t="shared" si="97"/>
        <v/>
      </c>
      <c r="DP69" s="97" t="str">
        <f t="shared" si="98"/>
        <v/>
      </c>
      <c r="DQ69" s="97" t="str">
        <f t="shared" si="99"/>
        <v/>
      </c>
      <c r="DR69" s="97" t="str">
        <f t="shared" si="100"/>
        <v/>
      </c>
      <c r="DS69" s="98">
        <f t="shared" si="101"/>
        <v>0</v>
      </c>
      <c r="DT69" s="98">
        <f t="shared" si="102"/>
        <v>0</v>
      </c>
      <c r="DU69" s="98">
        <f t="shared" si="103"/>
        <v>0</v>
      </c>
      <c r="DV69" s="98">
        <f t="shared" si="104"/>
        <v>0</v>
      </c>
      <c r="DW69" s="98">
        <f t="shared" si="105"/>
        <v>0</v>
      </c>
      <c r="DX69" s="98" t="str">
        <f t="shared" si="106"/>
        <v/>
      </c>
      <c r="DY69" s="99" t="str">
        <f t="shared" si="107"/>
        <v/>
      </c>
      <c r="DZ69" s="74" t="str">
        <f>IF('Marks Entry'!AY69="","",'Marks Entry'!AY69)</f>
        <v/>
      </c>
      <c r="EA69" s="74" t="str">
        <f>IF('Marks Entry'!AZ69="","",'Marks Entry'!AZ69)</f>
        <v/>
      </c>
      <c r="EB69" s="74" t="str">
        <f>IF('Marks Entry'!BA69="","",'Marks Entry'!BA69)</f>
        <v/>
      </c>
      <c r="EC69" s="527" t="str">
        <f t="shared" si="52"/>
        <v/>
      </c>
      <c r="ED69" s="74" t="str">
        <f>IF('Marks Entry'!BB69="","",'Marks Entry'!BB69)</f>
        <v/>
      </c>
      <c r="EE69" s="528" t="str">
        <f t="shared" si="53"/>
        <v/>
      </c>
      <c r="EF69" s="74" t="str">
        <f>IF('Marks Entry'!BC69="","",'Marks Entry'!BC69)</f>
        <v/>
      </c>
      <c r="EG69" s="530" t="str">
        <f t="shared" si="54"/>
        <v/>
      </c>
      <c r="EH69" s="368" t="str">
        <f t="shared" si="108"/>
        <v/>
      </c>
      <c r="EI69" s="65">
        <f t="shared" si="109"/>
        <v>0</v>
      </c>
      <c r="EJ69" s="65">
        <f t="shared" si="110"/>
        <v>0</v>
      </c>
      <c r="EK69" s="66" t="str">
        <f t="shared" si="111"/>
        <v/>
      </c>
      <c r="EL69" s="74" t="str">
        <f>IF('Marks Entry'!BD69="","",'Marks Entry'!BD69)</f>
        <v/>
      </c>
      <c r="EM69" s="74" t="str">
        <f>IF('Marks Entry'!BE69="","",'Marks Entry'!BE69)</f>
        <v/>
      </c>
      <c r="EN69" s="74" t="str">
        <f>IF('Marks Entry'!BF69="","",'Marks Entry'!BF69)</f>
        <v/>
      </c>
      <c r="EO69" s="527" t="str">
        <f t="shared" si="55"/>
        <v/>
      </c>
      <c r="EP69" s="74" t="str">
        <f>IF('Marks Entry'!BG69="","",'Marks Entry'!BG69)</f>
        <v/>
      </c>
      <c r="EQ69" s="74" t="str">
        <f>IF('Marks Entry'!BH69="","",'Marks Entry'!BH69)</f>
        <v/>
      </c>
      <c r="ER69" s="528" t="str">
        <f t="shared" si="56"/>
        <v/>
      </c>
      <c r="ES69" s="529" t="str">
        <f t="shared" si="57"/>
        <v/>
      </c>
      <c r="ET69" s="74" t="str">
        <f>IF('Marks Entry'!BI69="","",'Marks Entry'!BI69)</f>
        <v/>
      </c>
      <c r="EU69" s="74" t="str">
        <f>IF('Marks Entry'!BJ69="","",'Marks Entry'!BJ69)</f>
        <v/>
      </c>
      <c r="EV69" s="528" t="str">
        <f t="shared" si="58"/>
        <v/>
      </c>
      <c r="EW69" s="530" t="str">
        <f t="shared" si="59"/>
        <v/>
      </c>
      <c r="EX69" s="368" t="str">
        <f t="shared" si="112"/>
        <v/>
      </c>
      <c r="EY69" s="65">
        <f t="shared" si="113"/>
        <v>0</v>
      </c>
      <c r="EZ69" s="65">
        <f t="shared" si="114"/>
        <v>0</v>
      </c>
      <c r="FA69" s="66" t="str">
        <f t="shared" si="115"/>
        <v/>
      </c>
      <c r="FB69" s="74" t="str">
        <f>IF('Marks Entry'!BK69="","",'Marks Entry'!BK69)</f>
        <v/>
      </c>
      <c r="FC69" s="74" t="str">
        <f>IF('Marks Entry'!BL69="","",'Marks Entry'!BL69)</f>
        <v/>
      </c>
      <c r="FD69" s="74" t="str">
        <f>IF('Marks Entry'!BM69="","",'Marks Entry'!BM69)</f>
        <v/>
      </c>
      <c r="FE69" s="74" t="str">
        <f>IF('Marks Entry'!BN69="","",'Marks Entry'!BN69)</f>
        <v/>
      </c>
      <c r="FF69" s="74" t="str">
        <f>IF('Marks Entry'!BO69="","",'Marks Entry'!BO69)</f>
        <v/>
      </c>
      <c r="FG69" s="74" t="str">
        <f>IF('Marks Entry'!BP69="","",'Marks Entry'!BP69)</f>
        <v/>
      </c>
      <c r="FH69" s="527" t="str">
        <f t="shared" si="60"/>
        <v/>
      </c>
      <c r="FI69" s="74" t="str">
        <f>IF('Marks Entry'!BQ69="","",'Marks Entry'!BQ69)</f>
        <v/>
      </c>
      <c r="FJ69" s="74" t="str">
        <f>IF('Marks Entry'!BR69="","",'Marks Entry'!BR69)</f>
        <v/>
      </c>
      <c r="FK69" s="528" t="str">
        <f t="shared" si="61"/>
        <v/>
      </c>
      <c r="FL69" s="529" t="str">
        <f t="shared" si="62"/>
        <v/>
      </c>
      <c r="FM69" s="74" t="str">
        <f>IF('Marks Entry'!BS69="","",'Marks Entry'!BS69)</f>
        <v/>
      </c>
      <c r="FN69" s="74" t="str">
        <f>IF('Marks Entry'!BT69="","",'Marks Entry'!BT69)</f>
        <v/>
      </c>
      <c r="FO69" s="528" t="str">
        <f t="shared" si="63"/>
        <v/>
      </c>
      <c r="FP69" s="530" t="str">
        <f t="shared" si="64"/>
        <v/>
      </c>
      <c r="FQ69" s="368" t="str">
        <f t="shared" si="116"/>
        <v/>
      </c>
      <c r="FR69" s="65">
        <f t="shared" si="117"/>
        <v>0</v>
      </c>
      <c r="FS69" s="65">
        <f t="shared" si="118"/>
        <v>0</v>
      </c>
      <c r="FT69" s="66" t="str">
        <f t="shared" si="119"/>
        <v/>
      </c>
      <c r="FU69" s="74" t="str">
        <f>IF('Marks Entry'!BU69="","",'Marks Entry'!BU69)</f>
        <v/>
      </c>
      <c r="FV69" s="74" t="str">
        <f>IF('Marks Entry'!BV69="","",'Marks Entry'!BV69)</f>
        <v/>
      </c>
      <c r="FW69" s="74" t="str">
        <f>IF('Marks Entry'!BW69="","",'Marks Entry'!BW69)</f>
        <v/>
      </c>
      <c r="FX69" s="75" t="str">
        <f t="shared" si="65"/>
        <v/>
      </c>
      <c r="FY69" s="368" t="str">
        <f t="shared" si="120"/>
        <v/>
      </c>
      <c r="FZ69" s="65">
        <f t="shared" si="121"/>
        <v>0</v>
      </c>
      <c r="GA69" s="66">
        <f t="shared" si="122"/>
        <v>0</v>
      </c>
      <c r="GB69" s="66" t="str">
        <f t="shared" si="123"/>
        <v/>
      </c>
      <c r="GC69" s="74" t="str">
        <f>IF('Marks Entry'!BX69="","",'Marks Entry'!BX69)</f>
        <v/>
      </c>
      <c r="GD69" s="74" t="str">
        <f>IF('Marks Entry'!BY69="","",'Marks Entry'!BY69)</f>
        <v/>
      </c>
      <c r="GE69" s="74" t="str">
        <f>IF('Marks Entry'!BZ69="","",'Marks Entry'!BZ69)</f>
        <v/>
      </c>
      <c r="GF69" s="75" t="str">
        <f t="shared" si="124"/>
        <v/>
      </c>
      <c r="GG69" s="368" t="str">
        <f t="shared" si="125"/>
        <v/>
      </c>
      <c r="GH69" s="65">
        <f t="shared" si="126"/>
        <v>0</v>
      </c>
      <c r="GI69" s="66">
        <f t="shared" si="127"/>
        <v>0</v>
      </c>
      <c r="GJ69" s="66" t="str">
        <f t="shared" si="128"/>
        <v/>
      </c>
      <c r="GK69" s="100" t="str">
        <f>IF(AND(F69="",B69=""),"",IF('Student DATA Entry'!M66="","",'Student DATA Entry'!M66))</f>
        <v/>
      </c>
      <c r="GL69" s="101" t="str">
        <f>IF(AND(B69="",F69=""),"",IF('Student DATA Entry'!N66="","",'Student DATA Entry'!N66))</f>
        <v/>
      </c>
      <c r="GM69" s="581" t="str">
        <f t="shared" si="129"/>
        <v/>
      </c>
      <c r="GN69" s="94" t="str">
        <f t="shared" si="130"/>
        <v/>
      </c>
      <c r="GO69" s="94" t="str">
        <f t="shared" si="131"/>
        <v/>
      </c>
      <c r="GP69" s="102" t="str">
        <f t="shared" si="162"/>
        <v/>
      </c>
      <c r="GQ69" s="94" t="str">
        <f t="shared" si="132"/>
        <v/>
      </c>
      <c r="GR69" s="103" t="str">
        <f t="shared" si="133"/>
        <v/>
      </c>
      <c r="GS69" s="102" t="str">
        <f t="shared" si="163"/>
        <v/>
      </c>
      <c r="GT69" s="104" t="str">
        <f t="shared" si="134"/>
        <v/>
      </c>
      <c r="GU69" s="94" t="str">
        <f>IF('Marks Entry'!V69=1,GT69,"")</f>
        <v/>
      </c>
      <c r="GV69" s="94" t="str">
        <f>IF('Marks Entry'!V69=2,GT69,"")</f>
        <v/>
      </c>
      <c r="GW69" s="94" t="str">
        <f>IF('Marks Entry'!V69=3,GT69,"")</f>
        <v/>
      </c>
      <c r="GX69" s="94" t="str">
        <f>IF('Marks Entry'!V69=4,GT69,"")</f>
        <v/>
      </c>
      <c r="GY69" s="94" t="str">
        <f>IF('Marks Entry'!V69=5,GT69,"")</f>
        <v/>
      </c>
      <c r="GZ69" s="94" t="str">
        <f t="shared" si="135"/>
        <v/>
      </c>
      <c r="HA69" s="105" t="str">
        <f t="shared" si="164"/>
        <v/>
      </c>
      <c r="HB69" s="94" t="str">
        <f t="shared" si="136"/>
        <v/>
      </c>
      <c r="HC69" s="94" t="str">
        <f t="shared" si="137"/>
        <v/>
      </c>
      <c r="HD69" s="105" t="str">
        <f t="shared" si="165"/>
        <v/>
      </c>
      <c r="HE69" s="94" t="str">
        <f t="shared" si="138"/>
        <v/>
      </c>
      <c r="HF69" s="94" t="str">
        <f t="shared" si="139"/>
        <v/>
      </c>
      <c r="HG69" s="105" t="str">
        <f t="shared" si="166"/>
        <v/>
      </c>
      <c r="HH69" s="94" t="str">
        <f t="shared" si="140"/>
        <v/>
      </c>
      <c r="HI69" s="94" t="str">
        <f t="shared" si="141"/>
        <v/>
      </c>
      <c r="HJ69" s="105" t="str">
        <f t="shared" si="167"/>
        <v/>
      </c>
      <c r="HK69" s="94" t="str">
        <f t="shared" si="142"/>
        <v/>
      </c>
      <c r="HL69" s="94" t="str">
        <f t="shared" si="143"/>
        <v/>
      </c>
      <c r="HM69" s="105" t="str">
        <f t="shared" si="168"/>
        <v/>
      </c>
      <c r="HN69" s="367" t="str">
        <f t="shared" si="144"/>
        <v xml:space="preserve">      </v>
      </c>
      <c r="HO69" s="418" t="str">
        <f t="shared" si="169"/>
        <v xml:space="preserve">      </v>
      </c>
      <c r="HP69" s="367" t="str">
        <f t="shared" si="146"/>
        <v xml:space="preserve">      </v>
      </c>
      <c r="HQ69" s="107" t="str">
        <f t="shared" si="147"/>
        <v xml:space="preserve">      </v>
      </c>
      <c r="HR69" s="366" t="str">
        <f t="shared" si="148"/>
        <v xml:space="preserve">      </v>
      </c>
      <c r="HS69" s="544" t="str">
        <f t="shared" si="170"/>
        <v/>
      </c>
      <c r="HT69" s="542" t="str">
        <f t="shared" si="149"/>
        <v/>
      </c>
      <c r="HU69" s="541" t="str">
        <f t="shared" si="160"/>
        <v/>
      </c>
      <c r="HV69" s="540" t="str">
        <f t="shared" si="150"/>
        <v/>
      </c>
      <c r="HW69" s="537" t="str">
        <f t="shared" si="151"/>
        <v/>
      </c>
      <c r="HX69" s="539" t="str">
        <f t="shared" si="152"/>
        <v/>
      </c>
      <c r="HY69" s="553" t="str">
        <f>IFERROR(IF(OR(HS69="SUPPLEMENTARY",HS69="RE-EXAM"),'Supp. Result Entry'!AQ67,""),"")</f>
        <v/>
      </c>
      <c r="HZ69" s="538" t="str">
        <f t="shared" si="153"/>
        <v/>
      </c>
      <c r="IA69" s="415" t="str">
        <f t="shared" si="154"/>
        <v/>
      </c>
      <c r="IB69" s="415" t="str">
        <f>IF(AND(HZ69="",IA69=""),"",IF(OR(HS69="SUPPLEMENTARY",HS69="RE-EXAM"),'Supp. Result Entry'!AQ67,HS69))</f>
        <v/>
      </c>
      <c r="IC69" s="87"/>
      <c r="IS69" s="109" t="str">
        <f>IF('Supp. Result Entry'!T67="","",'Supp. Result Entry'!$T$4)</f>
        <v/>
      </c>
      <c r="IT69" s="110" t="str">
        <f>IF('Supp. Result Entry'!W67="","",'Supp. Result Entry'!$W$4)</f>
        <v/>
      </c>
      <c r="IU69" s="110" t="str">
        <f>IF('Supp. Result Entry'!Z67="","",'Supp. Result Entry'!$Z$4)</f>
        <v/>
      </c>
      <c r="IV69" s="110" t="str">
        <f>IF('Supp. Result Entry'!AC67="","",'Supp. Result Entry'!$AC$4)</f>
        <v/>
      </c>
      <c r="IW69" s="110" t="str">
        <f>IF('Supp. Result Entry'!AF67="","",'Supp. Result Entry'!$AF$4)</f>
        <v/>
      </c>
      <c r="IX69" s="110" t="str">
        <f>IF('Supp. Result Entry'!AI67="","",'Supp. Result Entry'!$AI$4)</f>
        <v/>
      </c>
      <c r="IY69" s="110" t="str">
        <f>IF('Supp. Result Entry'!AI67="","",'Supp. Result Entry'!$AL$4)</f>
        <v/>
      </c>
      <c r="IZ69" s="110" t="str">
        <f>IF('Supp. Result Entry'!U67="","",'Supp. Result Entry'!U67)</f>
        <v/>
      </c>
      <c r="JA69" s="110" t="str">
        <f>IF('Supp. Result Entry'!X67="","",'Supp. Result Entry'!X67)</f>
        <v/>
      </c>
      <c r="JB69" s="110" t="str">
        <f>IF('Supp. Result Entry'!AA67="","",'Supp. Result Entry'!AA67)</f>
        <v/>
      </c>
      <c r="JC69" s="110" t="str">
        <f>IF('Supp. Result Entry'!AD67="","",'Supp. Result Entry'!AD67)</f>
        <v/>
      </c>
      <c r="JD69" s="110" t="str">
        <f>IF('Supp. Result Entry'!AG67="","",'Supp. Result Entry'!AG67)</f>
        <v/>
      </c>
      <c r="JE69" s="110" t="str">
        <f>IF('Supp. Result Entry'!AJ67="","",'Supp. Result Entry'!AJ67)</f>
        <v/>
      </c>
      <c r="JF69" s="110" t="str">
        <f>IF('Supp. Result Entry'!AM67="","",'Supp. Result Entry'!AM67)</f>
        <v/>
      </c>
      <c r="JG69" s="110" t="str">
        <f>IF('Supp. Result Entry'!V67="","",'Supp. Result Entry'!V67)</f>
        <v/>
      </c>
      <c r="JH69" s="110" t="str">
        <f>IF('Supp. Result Entry'!Y67="","",'Supp. Result Entry'!Y67)</f>
        <v/>
      </c>
      <c r="JI69" s="110" t="str">
        <f>IF('Supp. Result Entry'!AB67="","",'Supp. Result Entry'!AB67)</f>
        <v/>
      </c>
      <c r="JJ69" s="110" t="str">
        <f>IF('Supp. Result Entry'!AE67="","",'Supp. Result Entry'!AE67)</f>
        <v/>
      </c>
      <c r="JK69" s="110" t="str">
        <f>IF('Supp. Result Entry'!AH67="","",'Supp. Result Entry'!AH67)</f>
        <v/>
      </c>
      <c r="JL69" s="110" t="str">
        <f>IF('Supp. Result Entry'!AK67="","",'Supp. Result Entry'!AK67)</f>
        <v/>
      </c>
      <c r="JM69" s="110" t="str">
        <f>IF('Supp. Result Entry'!AN67="","",'Supp. Result Entry'!AN67)</f>
        <v/>
      </c>
      <c r="JN69" s="110">
        <f>COUNTIF('Supp. Result Entry'!K67:Q67,"S")</f>
        <v>0</v>
      </c>
      <c r="JO69" s="110">
        <f t="shared" si="155"/>
        <v>0</v>
      </c>
      <c r="JP69" s="110">
        <f t="shared" si="156"/>
        <v>0</v>
      </c>
      <c r="JQ69" s="110" t="str">
        <f t="shared" si="75"/>
        <v/>
      </c>
      <c r="JR69" s="110" t="str">
        <f t="shared" si="76"/>
        <v/>
      </c>
      <c r="JS69" s="110" t="str">
        <f t="shared" si="77"/>
        <v/>
      </c>
      <c r="JT69" s="110" t="str">
        <f t="shared" si="78"/>
        <v/>
      </c>
      <c r="JU69" s="110" t="str">
        <f t="shared" si="79"/>
        <v/>
      </c>
      <c r="JV69" s="110" t="str">
        <f t="shared" si="80"/>
        <v/>
      </c>
      <c r="JW69" s="110" t="str">
        <f t="shared" si="81"/>
        <v/>
      </c>
      <c r="JX69" s="110" t="str">
        <f t="shared" si="157"/>
        <v/>
      </c>
      <c r="JY69" s="110" t="str">
        <f t="shared" si="158"/>
        <v/>
      </c>
      <c r="JZ69" s="110" t="str">
        <f t="shared" si="82"/>
        <v/>
      </c>
      <c r="KA69" s="108" t="str">
        <f t="shared" si="159"/>
        <v/>
      </c>
    </row>
    <row r="70" spans="1:287" s="108" customFormat="1" ht="21.95" customHeight="1">
      <c r="A70" s="89">
        <v>64</v>
      </c>
      <c r="B70" s="90" t="str">
        <f>IF('Marks Entry'!B70="","",'Marks Entry'!B70)</f>
        <v/>
      </c>
      <c r="C70" s="94" t="str">
        <f>IF('Marks Entry'!D70="","",'Marks Entry'!D70)</f>
        <v/>
      </c>
      <c r="D70" s="91" t="str">
        <f>IF('Marks Entry'!E70="","",'Marks Entry'!E70)</f>
        <v/>
      </c>
      <c r="E70" s="92" t="str">
        <f>IF('Marks Entry'!F70="","",'Marks Entry'!F70)</f>
        <v/>
      </c>
      <c r="F70" s="93" t="str">
        <f>IF('Marks Entry'!G70="","",'Marks Entry'!G70)</f>
        <v/>
      </c>
      <c r="G70" s="93" t="str">
        <f>IF('Marks Entry'!H70="","",'Marks Entry'!H70)</f>
        <v/>
      </c>
      <c r="H70" s="93" t="str">
        <f>IF('Marks Entry'!I70="","",'Marks Entry'!I70)</f>
        <v/>
      </c>
      <c r="I70" s="94" t="str">
        <f>IF('Marks Entry'!J70="","",'Marks Entry'!J70)</f>
        <v/>
      </c>
      <c r="J70" s="95" t="str">
        <f>IF('Marks Entry'!K70="","",'Marks Entry'!K70)</f>
        <v/>
      </c>
      <c r="K70" s="68" t="str">
        <f>IF('Marks Entry'!L70="","",'Marks Entry'!L70)</f>
        <v/>
      </c>
      <c r="L70" s="68" t="str">
        <f>IF('Marks Entry'!M70="","",'Marks Entry'!M70)</f>
        <v/>
      </c>
      <c r="M70" s="68" t="str">
        <f>IF('Marks Entry'!N70="","",'Marks Entry'!N70)</f>
        <v/>
      </c>
      <c r="N70" s="514" t="str">
        <f t="shared" si="83"/>
        <v/>
      </c>
      <c r="O70" s="68" t="str">
        <f>IF('Marks Entry'!O70="","",'Marks Entry'!O70)</f>
        <v/>
      </c>
      <c r="P70" s="515" t="str">
        <f t="shared" si="84"/>
        <v/>
      </c>
      <c r="Q70" s="68" t="str">
        <f>IF('Marks Entry'!P70="","",'Marks Entry'!P70)</f>
        <v/>
      </c>
      <c r="R70" s="96" t="str">
        <f t="shared" si="85"/>
        <v/>
      </c>
      <c r="S70" s="65">
        <f t="shared" si="86"/>
        <v>0</v>
      </c>
      <c r="T70" s="65">
        <f t="shared" si="87"/>
        <v>0</v>
      </c>
      <c r="U70" s="66" t="str">
        <f t="shared" si="88"/>
        <v/>
      </c>
      <c r="V70" s="65" t="str">
        <f t="shared" si="89"/>
        <v/>
      </c>
      <c r="W70" s="65" t="str">
        <f t="shared" si="90"/>
        <v/>
      </c>
      <c r="X70" s="65" t="str">
        <f t="shared" si="91"/>
        <v/>
      </c>
      <c r="Y70" s="68" t="str">
        <f>IF('Marks Entry'!Q70="","",'Marks Entry'!Q70)</f>
        <v/>
      </c>
      <c r="Z70" s="68" t="str">
        <f>IF('Marks Entry'!R70="","",'Marks Entry'!R70)</f>
        <v/>
      </c>
      <c r="AA70" s="68" t="str">
        <f>IF('Marks Entry'!S70="","",'Marks Entry'!S70)</f>
        <v/>
      </c>
      <c r="AB70" s="514" t="str">
        <f t="shared" si="2"/>
        <v/>
      </c>
      <c r="AC70" s="68" t="str">
        <f>IF('Marks Entry'!T70="","",'Marks Entry'!T70)</f>
        <v/>
      </c>
      <c r="AD70" s="515" t="str">
        <f t="shared" si="3"/>
        <v/>
      </c>
      <c r="AE70" s="68" t="str">
        <f>IF('Marks Entry'!U70="","",'Marks Entry'!U70)</f>
        <v/>
      </c>
      <c r="AF70" s="96" t="str">
        <f t="shared" si="4"/>
        <v/>
      </c>
      <c r="AG70" s="65">
        <f t="shared" si="5"/>
        <v>0</v>
      </c>
      <c r="AH70" s="65">
        <f t="shared" si="6"/>
        <v>0</v>
      </c>
      <c r="AI70" s="66" t="str">
        <f t="shared" si="7"/>
        <v/>
      </c>
      <c r="AJ70" s="65" t="str">
        <f t="shared" si="8"/>
        <v/>
      </c>
      <c r="AK70" s="65" t="str">
        <f t="shared" si="9"/>
        <v/>
      </c>
      <c r="AL70" s="65" t="str">
        <f t="shared" si="10"/>
        <v/>
      </c>
      <c r="AM70" s="524" t="str">
        <f>IF('Marks Entry'!V70="","",IF('Marks Entry'!V70=1,'School Profile'!$I$9,IF('Marks Entry'!V70=2,'School Profile'!$I$10,IF('Marks Entry'!V70=3,'School Profile'!$I$11,IF('Marks Entry'!V70=4,'School Profile'!$I$12,IF('Marks Entry'!V70=5,'School Profile'!$I$13,IF('Marks Entry'!V70=6,'School Profile'!$I$14,"")))))))</f>
        <v/>
      </c>
      <c r="AN70" s="68" t="str">
        <f>IF('Marks Entry'!W70="","",'Marks Entry'!W70)</f>
        <v/>
      </c>
      <c r="AO70" s="68" t="str">
        <f>IF('Marks Entry'!X70="","",'Marks Entry'!X70)</f>
        <v/>
      </c>
      <c r="AP70" s="68" t="str">
        <f>IF('Marks Entry'!Y70="","",'Marks Entry'!Y70)</f>
        <v/>
      </c>
      <c r="AQ70" s="514" t="str">
        <f t="shared" si="11"/>
        <v/>
      </c>
      <c r="AR70" s="68" t="str">
        <f>IF('Marks Entry'!Z70="","",'Marks Entry'!Z70)</f>
        <v/>
      </c>
      <c r="AS70" s="515" t="str">
        <f t="shared" si="12"/>
        <v/>
      </c>
      <c r="AT70" s="68" t="str">
        <f>IF('Marks Entry'!AA70="","",'Marks Entry'!AA70)</f>
        <v/>
      </c>
      <c r="AU70" s="96" t="str">
        <f t="shared" si="13"/>
        <v/>
      </c>
      <c r="AV70" s="65">
        <f t="shared" si="14"/>
        <v>0</v>
      </c>
      <c r="AW70" s="65">
        <f t="shared" si="15"/>
        <v>0</v>
      </c>
      <c r="AX70" s="66" t="str">
        <f t="shared" si="16"/>
        <v/>
      </c>
      <c r="AY70" s="65" t="str">
        <f t="shared" si="17"/>
        <v/>
      </c>
      <c r="AZ70" s="65" t="str">
        <f t="shared" si="18"/>
        <v/>
      </c>
      <c r="BA70" s="65" t="str">
        <f t="shared" si="19"/>
        <v/>
      </c>
      <c r="BB70" s="68" t="str">
        <f>IF('Marks Entry'!AB70="","",'Marks Entry'!AB70)</f>
        <v/>
      </c>
      <c r="BC70" s="68" t="str">
        <f>IF('Marks Entry'!AC70="","",'Marks Entry'!AC70)</f>
        <v/>
      </c>
      <c r="BD70" s="68" t="str">
        <f>IF('Marks Entry'!AD70="","",'Marks Entry'!AD70)</f>
        <v/>
      </c>
      <c r="BE70" s="514" t="str">
        <f t="shared" si="20"/>
        <v/>
      </c>
      <c r="BF70" s="68" t="str">
        <f>IF('Marks Entry'!AE70="","",'Marks Entry'!AE70)</f>
        <v/>
      </c>
      <c r="BG70" s="515" t="str">
        <f t="shared" si="21"/>
        <v/>
      </c>
      <c r="BH70" s="68" t="str">
        <f>IF('Marks Entry'!AF70="","",'Marks Entry'!AF70)</f>
        <v/>
      </c>
      <c r="BI70" s="96" t="str">
        <f t="shared" si="22"/>
        <v/>
      </c>
      <c r="BJ70" s="65">
        <f t="shared" si="23"/>
        <v>0</v>
      </c>
      <c r="BK70" s="65">
        <f t="shared" si="92"/>
        <v>0</v>
      </c>
      <c r="BL70" s="66" t="str">
        <f t="shared" si="24"/>
        <v/>
      </c>
      <c r="BM70" s="65" t="str">
        <f t="shared" si="25"/>
        <v/>
      </c>
      <c r="BN70" s="65" t="str">
        <f t="shared" si="26"/>
        <v/>
      </c>
      <c r="BO70" s="65" t="str">
        <f t="shared" si="27"/>
        <v/>
      </c>
      <c r="BP70" s="68" t="str">
        <f>IF('Marks Entry'!AG70="","",'Marks Entry'!AG70)</f>
        <v/>
      </c>
      <c r="BQ70" s="68" t="str">
        <f>IF('Marks Entry'!AH70="","",'Marks Entry'!AH70)</f>
        <v/>
      </c>
      <c r="BR70" s="68" t="str">
        <f>IF('Marks Entry'!AI70="","",'Marks Entry'!AI70)</f>
        <v/>
      </c>
      <c r="BS70" s="514" t="str">
        <f t="shared" si="28"/>
        <v/>
      </c>
      <c r="BT70" s="68" t="str">
        <f>IF('Marks Entry'!AJ70="","",'Marks Entry'!AJ70)</f>
        <v/>
      </c>
      <c r="BU70" s="515" t="str">
        <f t="shared" si="29"/>
        <v/>
      </c>
      <c r="BV70" s="68" t="str">
        <f>IF('Marks Entry'!AK70="","",'Marks Entry'!AK70)</f>
        <v/>
      </c>
      <c r="BW70" s="96" t="str">
        <f t="shared" si="30"/>
        <v/>
      </c>
      <c r="BX70" s="65">
        <f t="shared" si="31"/>
        <v>0</v>
      </c>
      <c r="BY70" s="65">
        <f t="shared" si="32"/>
        <v>0</v>
      </c>
      <c r="BZ70" s="66" t="str">
        <f t="shared" si="33"/>
        <v/>
      </c>
      <c r="CA70" s="65" t="str">
        <f t="shared" si="34"/>
        <v/>
      </c>
      <c r="CB70" s="65" t="str">
        <f t="shared" si="35"/>
        <v/>
      </c>
      <c r="CC70" s="65" t="str">
        <f t="shared" si="36"/>
        <v/>
      </c>
      <c r="CD70" s="66">
        <f t="shared" si="161"/>
        <v>0</v>
      </c>
      <c r="CE70" s="68" t="str">
        <f>IF('Marks Entry'!AL70="","",'Marks Entry'!AL70)</f>
        <v/>
      </c>
      <c r="CF70" s="68" t="str">
        <f>IF('Marks Entry'!AM70="","",'Marks Entry'!AM70)</f>
        <v/>
      </c>
      <c r="CG70" s="68" t="str">
        <f>IF('Marks Entry'!AN70="","",'Marks Entry'!AN70)</f>
        <v/>
      </c>
      <c r="CH70" s="514" t="str">
        <f t="shared" si="37"/>
        <v/>
      </c>
      <c r="CI70" s="68" t="str">
        <f>IF('Marks Entry'!AO70="","",'Marks Entry'!AO70)</f>
        <v/>
      </c>
      <c r="CJ70" s="515" t="str">
        <f t="shared" si="38"/>
        <v/>
      </c>
      <c r="CK70" s="68" t="str">
        <f>IF('Marks Entry'!AP70="","",'Marks Entry'!AP70)</f>
        <v/>
      </c>
      <c r="CL70" s="96" t="str">
        <f t="shared" si="39"/>
        <v/>
      </c>
      <c r="CM70" s="65">
        <f t="shared" si="40"/>
        <v>0</v>
      </c>
      <c r="CN70" s="65">
        <f t="shared" si="41"/>
        <v>0</v>
      </c>
      <c r="CO70" s="66" t="str">
        <f t="shared" si="42"/>
        <v/>
      </c>
      <c r="CP70" s="65" t="str">
        <f t="shared" si="43"/>
        <v/>
      </c>
      <c r="CQ70" s="65" t="str">
        <f t="shared" si="44"/>
        <v/>
      </c>
      <c r="CR70" s="65" t="str">
        <f t="shared" si="45"/>
        <v/>
      </c>
      <c r="CS70" s="616"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8" t="str">
        <f>IF('School Profile'!$D$20="NO","",IF('Marks Entry'!AR70="","",'Marks Entry'!AR70))</f>
        <v/>
      </c>
      <c r="CU70" s="68" t="str">
        <f>IF('School Profile'!$D$20="NO","",IF('Marks Entry'!AS70="","",'Marks Entry'!AS70))</f>
        <v/>
      </c>
      <c r="CV70" s="68" t="str">
        <f>IF('School Profile'!$D$20="NO","",IF('Marks Entry'!AT70="","",'Marks Entry'!AT70))</f>
        <v/>
      </c>
      <c r="CW70" s="514" t="str">
        <f>IF('School Profile'!$D$20="NO","",IF(AND(CT70="",CU70="",CV70=""),"",SUM(CT70:CV70)))</f>
        <v/>
      </c>
      <c r="CX70" s="68" t="str">
        <f>IF('School Profile'!$D$20="NO","",IF('Marks Entry'!AU70="","",'Marks Entry'!AU70))</f>
        <v/>
      </c>
      <c r="CY70" s="68" t="str">
        <f>IF('School Profile'!$D$20="NO","",IF('Marks Entry'!AV70="","",'Marks Entry'!AV70))</f>
        <v/>
      </c>
      <c r="CZ70" s="515" t="str">
        <f>IF('School Profile'!$D$20="NO","",IF(AND(CX70="",CY70=""),"",SUM(CX70,CY70)))</f>
        <v/>
      </c>
      <c r="DA70" s="69" t="str">
        <f>IF('School Profile'!$D$20="NO","",IF(AND(CW70="",CZ70=""),"",SUM(CW70+CZ70)))</f>
        <v/>
      </c>
      <c r="DB70" s="68" t="str">
        <f>IF('School Profile'!$D$20="NO","",IF('Marks Entry'!AW70="","",'Marks Entry'!AW70))</f>
        <v/>
      </c>
      <c r="DC70" s="68" t="str">
        <f>IF('School Profile'!$D$20="NO","",IF('Marks Entry'!AX70="","",'Marks Entry'!AX70))</f>
        <v/>
      </c>
      <c r="DD70" s="515" t="str">
        <f>IF('School Profile'!$D$20="NO","",IF(AND(DB70="",DC70=""),"",SUM(DB70,DC70)))</f>
        <v/>
      </c>
      <c r="DE70" s="96" t="str">
        <f>IF('School Profile'!$D$20="NO","",IF(AND(DA70="",DD70=""),"",SUM(DA70,DD70)))</f>
        <v/>
      </c>
      <c r="DF70" s="532">
        <f t="shared" si="46"/>
        <v>0</v>
      </c>
      <c r="DG70" s="65">
        <f t="shared" si="47"/>
        <v>0</v>
      </c>
      <c r="DH70" s="66" t="str">
        <f t="shared" si="48"/>
        <v/>
      </c>
      <c r="DI70" s="65" t="str">
        <f t="shared" si="49"/>
        <v/>
      </c>
      <c r="DJ70" s="65" t="str">
        <f t="shared" si="50"/>
        <v/>
      </c>
      <c r="DK70" s="65" t="str">
        <f t="shared" si="51"/>
        <v/>
      </c>
      <c r="DL70" s="97" t="str">
        <f t="shared" si="94"/>
        <v/>
      </c>
      <c r="DM70" s="97" t="str">
        <f t="shared" si="95"/>
        <v/>
      </c>
      <c r="DN70" s="97" t="str">
        <f t="shared" si="96"/>
        <v/>
      </c>
      <c r="DO70" s="97" t="str">
        <f t="shared" si="97"/>
        <v/>
      </c>
      <c r="DP70" s="97" t="str">
        <f t="shared" si="98"/>
        <v/>
      </c>
      <c r="DQ70" s="97" t="str">
        <f t="shared" si="99"/>
        <v/>
      </c>
      <c r="DR70" s="97" t="str">
        <f t="shared" si="100"/>
        <v/>
      </c>
      <c r="DS70" s="98">
        <f t="shared" si="101"/>
        <v>0</v>
      </c>
      <c r="DT70" s="98">
        <f t="shared" si="102"/>
        <v>0</v>
      </c>
      <c r="DU70" s="98">
        <f t="shared" si="103"/>
        <v>0</v>
      </c>
      <c r="DV70" s="98">
        <f t="shared" si="104"/>
        <v>0</v>
      </c>
      <c r="DW70" s="98">
        <f t="shared" si="105"/>
        <v>0</v>
      </c>
      <c r="DX70" s="98" t="str">
        <f t="shared" si="106"/>
        <v/>
      </c>
      <c r="DY70" s="99" t="str">
        <f t="shared" si="107"/>
        <v/>
      </c>
      <c r="DZ70" s="74" t="str">
        <f>IF('Marks Entry'!AY70="","",'Marks Entry'!AY70)</f>
        <v/>
      </c>
      <c r="EA70" s="74" t="str">
        <f>IF('Marks Entry'!AZ70="","",'Marks Entry'!AZ70)</f>
        <v/>
      </c>
      <c r="EB70" s="74" t="str">
        <f>IF('Marks Entry'!BA70="","",'Marks Entry'!BA70)</f>
        <v/>
      </c>
      <c r="EC70" s="527" t="str">
        <f t="shared" si="52"/>
        <v/>
      </c>
      <c r="ED70" s="74" t="str">
        <f>IF('Marks Entry'!BB70="","",'Marks Entry'!BB70)</f>
        <v/>
      </c>
      <c r="EE70" s="528" t="str">
        <f t="shared" si="53"/>
        <v/>
      </c>
      <c r="EF70" s="74" t="str">
        <f>IF('Marks Entry'!BC70="","",'Marks Entry'!BC70)</f>
        <v/>
      </c>
      <c r="EG70" s="530" t="str">
        <f t="shared" si="54"/>
        <v/>
      </c>
      <c r="EH70" s="368" t="str">
        <f t="shared" si="108"/>
        <v/>
      </c>
      <c r="EI70" s="65">
        <f t="shared" si="109"/>
        <v>0</v>
      </c>
      <c r="EJ70" s="65">
        <f t="shared" si="110"/>
        <v>0</v>
      </c>
      <c r="EK70" s="66" t="str">
        <f t="shared" si="111"/>
        <v/>
      </c>
      <c r="EL70" s="74" t="str">
        <f>IF('Marks Entry'!BD70="","",'Marks Entry'!BD70)</f>
        <v/>
      </c>
      <c r="EM70" s="74" t="str">
        <f>IF('Marks Entry'!BE70="","",'Marks Entry'!BE70)</f>
        <v/>
      </c>
      <c r="EN70" s="74" t="str">
        <f>IF('Marks Entry'!BF70="","",'Marks Entry'!BF70)</f>
        <v/>
      </c>
      <c r="EO70" s="527" t="str">
        <f t="shared" si="55"/>
        <v/>
      </c>
      <c r="EP70" s="74" t="str">
        <f>IF('Marks Entry'!BG70="","",'Marks Entry'!BG70)</f>
        <v/>
      </c>
      <c r="EQ70" s="74" t="str">
        <f>IF('Marks Entry'!BH70="","",'Marks Entry'!BH70)</f>
        <v/>
      </c>
      <c r="ER70" s="528" t="str">
        <f t="shared" si="56"/>
        <v/>
      </c>
      <c r="ES70" s="529" t="str">
        <f t="shared" si="57"/>
        <v/>
      </c>
      <c r="ET70" s="74" t="str">
        <f>IF('Marks Entry'!BI70="","",'Marks Entry'!BI70)</f>
        <v/>
      </c>
      <c r="EU70" s="74" t="str">
        <f>IF('Marks Entry'!BJ70="","",'Marks Entry'!BJ70)</f>
        <v/>
      </c>
      <c r="EV70" s="528" t="str">
        <f t="shared" si="58"/>
        <v/>
      </c>
      <c r="EW70" s="530" t="str">
        <f t="shared" si="59"/>
        <v/>
      </c>
      <c r="EX70" s="368" t="str">
        <f t="shared" si="112"/>
        <v/>
      </c>
      <c r="EY70" s="65">
        <f t="shared" si="113"/>
        <v>0</v>
      </c>
      <c r="EZ70" s="65">
        <f t="shared" si="114"/>
        <v>0</v>
      </c>
      <c r="FA70" s="66" t="str">
        <f t="shared" si="115"/>
        <v/>
      </c>
      <c r="FB70" s="74" t="str">
        <f>IF('Marks Entry'!BK70="","",'Marks Entry'!BK70)</f>
        <v/>
      </c>
      <c r="FC70" s="74" t="str">
        <f>IF('Marks Entry'!BL70="","",'Marks Entry'!BL70)</f>
        <v/>
      </c>
      <c r="FD70" s="74" t="str">
        <f>IF('Marks Entry'!BM70="","",'Marks Entry'!BM70)</f>
        <v/>
      </c>
      <c r="FE70" s="74" t="str">
        <f>IF('Marks Entry'!BN70="","",'Marks Entry'!BN70)</f>
        <v/>
      </c>
      <c r="FF70" s="74" t="str">
        <f>IF('Marks Entry'!BO70="","",'Marks Entry'!BO70)</f>
        <v/>
      </c>
      <c r="FG70" s="74" t="str">
        <f>IF('Marks Entry'!BP70="","",'Marks Entry'!BP70)</f>
        <v/>
      </c>
      <c r="FH70" s="527" t="str">
        <f t="shared" si="60"/>
        <v/>
      </c>
      <c r="FI70" s="74" t="str">
        <f>IF('Marks Entry'!BQ70="","",'Marks Entry'!BQ70)</f>
        <v/>
      </c>
      <c r="FJ70" s="74" t="str">
        <f>IF('Marks Entry'!BR70="","",'Marks Entry'!BR70)</f>
        <v/>
      </c>
      <c r="FK70" s="528" t="str">
        <f t="shared" si="61"/>
        <v/>
      </c>
      <c r="FL70" s="529" t="str">
        <f t="shared" si="62"/>
        <v/>
      </c>
      <c r="FM70" s="74" t="str">
        <f>IF('Marks Entry'!BS70="","",'Marks Entry'!BS70)</f>
        <v/>
      </c>
      <c r="FN70" s="74" t="str">
        <f>IF('Marks Entry'!BT70="","",'Marks Entry'!BT70)</f>
        <v/>
      </c>
      <c r="FO70" s="528" t="str">
        <f t="shared" si="63"/>
        <v/>
      </c>
      <c r="FP70" s="530" t="str">
        <f t="shared" si="64"/>
        <v/>
      </c>
      <c r="FQ70" s="368" t="str">
        <f t="shared" si="116"/>
        <v/>
      </c>
      <c r="FR70" s="65">
        <f t="shared" si="117"/>
        <v>0</v>
      </c>
      <c r="FS70" s="65">
        <f t="shared" si="118"/>
        <v>0</v>
      </c>
      <c r="FT70" s="66" t="str">
        <f t="shared" si="119"/>
        <v/>
      </c>
      <c r="FU70" s="74" t="str">
        <f>IF('Marks Entry'!BU70="","",'Marks Entry'!BU70)</f>
        <v/>
      </c>
      <c r="FV70" s="74" t="str">
        <f>IF('Marks Entry'!BV70="","",'Marks Entry'!BV70)</f>
        <v/>
      </c>
      <c r="FW70" s="74" t="str">
        <f>IF('Marks Entry'!BW70="","",'Marks Entry'!BW70)</f>
        <v/>
      </c>
      <c r="FX70" s="75" t="str">
        <f t="shared" si="65"/>
        <v/>
      </c>
      <c r="FY70" s="368" t="str">
        <f t="shared" si="120"/>
        <v/>
      </c>
      <c r="FZ70" s="65">
        <f t="shared" si="121"/>
        <v>0</v>
      </c>
      <c r="GA70" s="66">
        <f t="shared" si="122"/>
        <v>0</v>
      </c>
      <c r="GB70" s="66" t="str">
        <f t="shared" si="123"/>
        <v/>
      </c>
      <c r="GC70" s="74" t="str">
        <f>IF('Marks Entry'!BX70="","",'Marks Entry'!BX70)</f>
        <v/>
      </c>
      <c r="GD70" s="74" t="str">
        <f>IF('Marks Entry'!BY70="","",'Marks Entry'!BY70)</f>
        <v/>
      </c>
      <c r="GE70" s="74" t="str">
        <f>IF('Marks Entry'!BZ70="","",'Marks Entry'!BZ70)</f>
        <v/>
      </c>
      <c r="GF70" s="75" t="str">
        <f t="shared" si="124"/>
        <v/>
      </c>
      <c r="GG70" s="368" t="str">
        <f t="shared" si="125"/>
        <v/>
      </c>
      <c r="GH70" s="65">
        <f t="shared" si="126"/>
        <v>0</v>
      </c>
      <c r="GI70" s="66">
        <f t="shared" si="127"/>
        <v>0</v>
      </c>
      <c r="GJ70" s="66" t="str">
        <f t="shared" si="128"/>
        <v/>
      </c>
      <c r="GK70" s="100" t="str">
        <f>IF(AND(F70="",B70=""),"",IF('Student DATA Entry'!M67="","",'Student DATA Entry'!M67))</f>
        <v/>
      </c>
      <c r="GL70" s="101" t="str">
        <f>IF(AND(B70="",F70=""),"",IF('Student DATA Entry'!N67="","",'Student DATA Entry'!N67))</f>
        <v/>
      </c>
      <c r="GM70" s="581" t="str">
        <f t="shared" si="129"/>
        <v/>
      </c>
      <c r="GN70" s="94" t="str">
        <f t="shared" si="130"/>
        <v/>
      </c>
      <c r="GO70" s="94" t="str">
        <f t="shared" si="131"/>
        <v/>
      </c>
      <c r="GP70" s="102" t="str">
        <f t="shared" si="162"/>
        <v/>
      </c>
      <c r="GQ70" s="94" t="str">
        <f t="shared" si="132"/>
        <v/>
      </c>
      <c r="GR70" s="103" t="str">
        <f t="shared" si="133"/>
        <v/>
      </c>
      <c r="GS70" s="102" t="str">
        <f t="shared" si="163"/>
        <v/>
      </c>
      <c r="GT70" s="104" t="str">
        <f t="shared" si="134"/>
        <v/>
      </c>
      <c r="GU70" s="94" t="str">
        <f>IF('Marks Entry'!V70=1,GT70,"")</f>
        <v/>
      </c>
      <c r="GV70" s="94" t="str">
        <f>IF('Marks Entry'!V70=2,GT70,"")</f>
        <v/>
      </c>
      <c r="GW70" s="94" t="str">
        <f>IF('Marks Entry'!V70=3,GT70,"")</f>
        <v/>
      </c>
      <c r="GX70" s="94" t="str">
        <f>IF('Marks Entry'!V70=4,GT70,"")</f>
        <v/>
      </c>
      <c r="GY70" s="94" t="str">
        <f>IF('Marks Entry'!V70=5,GT70,"")</f>
        <v/>
      </c>
      <c r="GZ70" s="94" t="str">
        <f t="shared" si="135"/>
        <v/>
      </c>
      <c r="HA70" s="105" t="str">
        <f t="shared" si="164"/>
        <v/>
      </c>
      <c r="HB70" s="94" t="str">
        <f t="shared" si="136"/>
        <v/>
      </c>
      <c r="HC70" s="94" t="str">
        <f t="shared" si="137"/>
        <v/>
      </c>
      <c r="HD70" s="105" t="str">
        <f t="shared" si="165"/>
        <v/>
      </c>
      <c r="HE70" s="94" t="str">
        <f t="shared" si="138"/>
        <v/>
      </c>
      <c r="HF70" s="94" t="str">
        <f t="shared" si="139"/>
        <v/>
      </c>
      <c r="HG70" s="105" t="str">
        <f t="shared" si="166"/>
        <v/>
      </c>
      <c r="HH70" s="94" t="str">
        <f t="shared" si="140"/>
        <v/>
      </c>
      <c r="HI70" s="94" t="str">
        <f t="shared" si="141"/>
        <v/>
      </c>
      <c r="HJ70" s="105" t="str">
        <f t="shared" si="167"/>
        <v/>
      </c>
      <c r="HK70" s="94" t="str">
        <f t="shared" si="142"/>
        <v/>
      </c>
      <c r="HL70" s="94" t="str">
        <f t="shared" si="143"/>
        <v/>
      </c>
      <c r="HM70" s="105" t="str">
        <f t="shared" si="168"/>
        <v/>
      </c>
      <c r="HN70" s="367" t="str">
        <f t="shared" si="144"/>
        <v xml:space="preserve">      </v>
      </c>
      <c r="HO70" s="418" t="str">
        <f t="shared" si="169"/>
        <v xml:space="preserve">      </v>
      </c>
      <c r="HP70" s="367" t="str">
        <f t="shared" si="146"/>
        <v xml:space="preserve">      </v>
      </c>
      <c r="HQ70" s="107" t="str">
        <f t="shared" si="147"/>
        <v xml:space="preserve">      </v>
      </c>
      <c r="HR70" s="366" t="str">
        <f t="shared" si="148"/>
        <v xml:space="preserve">      </v>
      </c>
      <c r="HS70" s="544" t="str">
        <f t="shared" si="170"/>
        <v/>
      </c>
      <c r="HT70" s="542" t="str">
        <f t="shared" si="149"/>
        <v/>
      </c>
      <c r="HU70" s="541" t="str">
        <f t="shared" si="160"/>
        <v/>
      </c>
      <c r="HV70" s="540" t="str">
        <f t="shared" si="150"/>
        <v/>
      </c>
      <c r="HW70" s="537" t="str">
        <f t="shared" si="151"/>
        <v/>
      </c>
      <c r="HX70" s="539" t="str">
        <f t="shared" si="152"/>
        <v/>
      </c>
      <c r="HY70" s="553" t="str">
        <f>IFERROR(IF(OR(HS70="SUPPLEMENTARY",HS70="RE-EXAM"),'Supp. Result Entry'!AQ68,""),"")</f>
        <v/>
      </c>
      <c r="HZ70" s="538" t="str">
        <f t="shared" si="153"/>
        <v/>
      </c>
      <c r="IA70" s="415" t="str">
        <f t="shared" si="154"/>
        <v/>
      </c>
      <c r="IB70" s="415" t="str">
        <f>IF(AND(HZ70="",IA70=""),"",IF(OR(HS70="SUPPLEMENTARY",HS70="RE-EXAM"),'Supp. Result Entry'!AQ68,HS70))</f>
        <v/>
      </c>
      <c r="IC70" s="87"/>
      <c r="IS70" s="109" t="str">
        <f>IF('Supp. Result Entry'!T68="","",'Supp. Result Entry'!$T$4)</f>
        <v/>
      </c>
      <c r="IT70" s="110" t="str">
        <f>IF('Supp. Result Entry'!W68="","",'Supp. Result Entry'!$W$4)</f>
        <v/>
      </c>
      <c r="IU70" s="110" t="str">
        <f>IF('Supp. Result Entry'!Z68="","",'Supp. Result Entry'!$Z$4)</f>
        <v/>
      </c>
      <c r="IV70" s="110" t="str">
        <f>IF('Supp. Result Entry'!AC68="","",'Supp. Result Entry'!$AC$4)</f>
        <v/>
      </c>
      <c r="IW70" s="110" t="str">
        <f>IF('Supp. Result Entry'!AF68="","",'Supp. Result Entry'!$AF$4)</f>
        <v/>
      </c>
      <c r="IX70" s="110" t="str">
        <f>IF('Supp. Result Entry'!AI68="","",'Supp. Result Entry'!$AI$4)</f>
        <v/>
      </c>
      <c r="IY70" s="110" t="str">
        <f>IF('Supp. Result Entry'!AI68="","",'Supp. Result Entry'!$AL$4)</f>
        <v/>
      </c>
      <c r="IZ70" s="110" t="str">
        <f>IF('Supp. Result Entry'!U68="","",'Supp. Result Entry'!U68)</f>
        <v/>
      </c>
      <c r="JA70" s="110" t="str">
        <f>IF('Supp. Result Entry'!X68="","",'Supp. Result Entry'!X68)</f>
        <v/>
      </c>
      <c r="JB70" s="110" t="str">
        <f>IF('Supp. Result Entry'!AA68="","",'Supp. Result Entry'!AA68)</f>
        <v/>
      </c>
      <c r="JC70" s="110" t="str">
        <f>IF('Supp. Result Entry'!AD68="","",'Supp. Result Entry'!AD68)</f>
        <v/>
      </c>
      <c r="JD70" s="110" t="str">
        <f>IF('Supp. Result Entry'!AG68="","",'Supp. Result Entry'!AG68)</f>
        <v/>
      </c>
      <c r="JE70" s="110" t="str">
        <f>IF('Supp. Result Entry'!AJ68="","",'Supp. Result Entry'!AJ68)</f>
        <v/>
      </c>
      <c r="JF70" s="110" t="str">
        <f>IF('Supp. Result Entry'!AM68="","",'Supp. Result Entry'!AM68)</f>
        <v/>
      </c>
      <c r="JG70" s="110" t="str">
        <f>IF('Supp. Result Entry'!V68="","",'Supp. Result Entry'!V68)</f>
        <v/>
      </c>
      <c r="JH70" s="110" t="str">
        <f>IF('Supp. Result Entry'!Y68="","",'Supp. Result Entry'!Y68)</f>
        <v/>
      </c>
      <c r="JI70" s="110" t="str">
        <f>IF('Supp. Result Entry'!AB68="","",'Supp. Result Entry'!AB68)</f>
        <v/>
      </c>
      <c r="JJ70" s="110" t="str">
        <f>IF('Supp. Result Entry'!AE68="","",'Supp. Result Entry'!AE68)</f>
        <v/>
      </c>
      <c r="JK70" s="110" t="str">
        <f>IF('Supp. Result Entry'!AH68="","",'Supp. Result Entry'!AH68)</f>
        <v/>
      </c>
      <c r="JL70" s="110" t="str">
        <f>IF('Supp. Result Entry'!AK68="","",'Supp. Result Entry'!AK68)</f>
        <v/>
      </c>
      <c r="JM70" s="110" t="str">
        <f>IF('Supp. Result Entry'!AN68="","",'Supp. Result Entry'!AN68)</f>
        <v/>
      </c>
      <c r="JN70" s="110">
        <f>COUNTIF('Supp. Result Entry'!K68:Q68,"S")</f>
        <v>0</v>
      </c>
      <c r="JO70" s="110">
        <f t="shared" si="155"/>
        <v>0</v>
      </c>
      <c r="JP70" s="110">
        <f t="shared" si="156"/>
        <v>0</v>
      </c>
      <c r="JQ70" s="110" t="str">
        <f t="shared" si="75"/>
        <v/>
      </c>
      <c r="JR70" s="110" t="str">
        <f t="shared" si="76"/>
        <v/>
      </c>
      <c r="JS70" s="110" t="str">
        <f t="shared" si="77"/>
        <v/>
      </c>
      <c r="JT70" s="110" t="str">
        <f t="shared" si="78"/>
        <v/>
      </c>
      <c r="JU70" s="110" t="str">
        <f t="shared" si="79"/>
        <v/>
      </c>
      <c r="JV70" s="110" t="str">
        <f t="shared" si="80"/>
        <v/>
      </c>
      <c r="JW70" s="110" t="str">
        <f t="shared" si="81"/>
        <v/>
      </c>
      <c r="JX70" s="110" t="str">
        <f t="shared" si="157"/>
        <v/>
      </c>
      <c r="JY70" s="110" t="str">
        <f t="shared" si="158"/>
        <v/>
      </c>
      <c r="JZ70" s="110" t="str">
        <f t="shared" si="82"/>
        <v/>
      </c>
      <c r="KA70" s="108" t="str">
        <f t="shared" si="159"/>
        <v/>
      </c>
    </row>
    <row r="71" spans="1:287" s="108" customFormat="1" ht="21.95" customHeight="1">
      <c r="A71" s="89">
        <v>65</v>
      </c>
      <c r="B71" s="90" t="str">
        <f>IF('Marks Entry'!B71="","",'Marks Entry'!B71)</f>
        <v/>
      </c>
      <c r="C71" s="94" t="str">
        <f>IF('Marks Entry'!D71="","",'Marks Entry'!D71)</f>
        <v/>
      </c>
      <c r="D71" s="91" t="str">
        <f>IF('Marks Entry'!E71="","",'Marks Entry'!E71)</f>
        <v/>
      </c>
      <c r="E71" s="92" t="str">
        <f>IF('Marks Entry'!F71="","",'Marks Entry'!F71)</f>
        <v/>
      </c>
      <c r="F71" s="93" t="str">
        <f>IF('Marks Entry'!G71="","",'Marks Entry'!G71)</f>
        <v/>
      </c>
      <c r="G71" s="93" t="str">
        <f>IF('Marks Entry'!H71="","",'Marks Entry'!H71)</f>
        <v/>
      </c>
      <c r="H71" s="93" t="str">
        <f>IF('Marks Entry'!I71="","",'Marks Entry'!I71)</f>
        <v/>
      </c>
      <c r="I71" s="94" t="str">
        <f>IF('Marks Entry'!J71="","",'Marks Entry'!J71)</f>
        <v/>
      </c>
      <c r="J71" s="95" t="str">
        <f>IF('Marks Entry'!K71="","",'Marks Entry'!K71)</f>
        <v/>
      </c>
      <c r="K71" s="68" t="str">
        <f>IF('Marks Entry'!L71="","",'Marks Entry'!L71)</f>
        <v/>
      </c>
      <c r="L71" s="68" t="str">
        <f>IF('Marks Entry'!M71="","",'Marks Entry'!M71)</f>
        <v/>
      </c>
      <c r="M71" s="68" t="str">
        <f>IF('Marks Entry'!N71="","",'Marks Entry'!N71)</f>
        <v/>
      </c>
      <c r="N71" s="514" t="str">
        <f t="shared" si="83"/>
        <v/>
      </c>
      <c r="O71" s="68" t="str">
        <f>IF('Marks Entry'!O71="","",'Marks Entry'!O71)</f>
        <v/>
      </c>
      <c r="P71" s="515" t="str">
        <f t="shared" si="84"/>
        <v/>
      </c>
      <c r="Q71" s="68" t="str">
        <f>IF('Marks Entry'!P71="","",'Marks Entry'!P71)</f>
        <v/>
      </c>
      <c r="R71" s="96" t="str">
        <f t="shared" si="85"/>
        <v/>
      </c>
      <c r="S71" s="65">
        <f t="shared" si="86"/>
        <v>0</v>
      </c>
      <c r="T71" s="65">
        <f t="shared" si="87"/>
        <v>0</v>
      </c>
      <c r="U71" s="66" t="str">
        <f t="shared" ref="U71:U134" si="171">IF(AND(K71="",L71="",M71="",O71="",Q71=""),"",IF(AND(L71="",K71="",M71=""),170-S71-T71,IF(AND(O71=""),130-S71-T71,IF(Q71="",100-S71-T71,200-S71-T71))))</f>
        <v/>
      </c>
      <c r="V71" s="65" t="str">
        <f t="shared" ref="V71:V134" si="172">IF(OR($B71="NSO",$B71="",Q71=""),"",IF(AND(OR(K71="ab",K71="ml"),OR(L71="ab",L71="ml"),OR(M71="ab",M71="ml")),"AB",IF(AND(OR(K71="NA",K71=""),OR(L71="NA",L71=""),OR(M71="NA",M71="")),"AB",IF(AND(OR(K71="ab",K71="ml"),OR(L71="ab",L71="ml"),OR(O71="ab",O71="ml")),"AB",IF(AND(OR(O71="ab",O71="ml"),OR(Q71="ab",Q71="ml"),OR(O71="ab",Q71="ml")),"AB",IF(AND(OR(Q71="ab",Q71="ml"),OR(K71="ab",K71="ml"),OR(L71="ab",L71="ml")),"AB",""))))))</f>
        <v/>
      </c>
      <c r="W71" s="65" t="str">
        <f t="shared" si="90"/>
        <v/>
      </c>
      <c r="X71" s="65" t="str">
        <f t="shared" ref="X71:X134" si="173">IF(OR(W71="",W71=0,W71="S",W71="RE",W71="F",W71="AB"),W71,IF(R71&gt;=75%*U71,"D",IF(R71&gt;=60%*U71,"I",IF(R71&gt;=48%*U71,"II",IF(R71&gt;=36%*U71,"III",W71)))))</f>
        <v/>
      </c>
      <c r="Y71" s="68" t="str">
        <f>IF('Marks Entry'!Q71="","",'Marks Entry'!Q71)</f>
        <v/>
      </c>
      <c r="Z71" s="68" t="str">
        <f>IF('Marks Entry'!R71="","",'Marks Entry'!R71)</f>
        <v/>
      </c>
      <c r="AA71" s="68" t="str">
        <f>IF('Marks Entry'!S71="","",'Marks Entry'!S71)</f>
        <v/>
      </c>
      <c r="AB71" s="514" t="str">
        <f t="shared" ref="AB71:AB134" si="174">IF(AND(Y71="",Z71="",AA71=""),"",SUM(Y71:AA71))</f>
        <v/>
      </c>
      <c r="AC71" s="68" t="str">
        <f>IF('Marks Entry'!T71="","",'Marks Entry'!T71)</f>
        <v/>
      </c>
      <c r="AD71" s="515" t="str">
        <f t="shared" ref="AD71:AD134" si="175">IF(AND(AB71="",AC71=""),"",SUM(AB71,AC71))</f>
        <v/>
      </c>
      <c r="AE71" s="68" t="str">
        <f>IF('Marks Entry'!U71="","",'Marks Entry'!U71)</f>
        <v/>
      </c>
      <c r="AF71" s="96" t="str">
        <f t="shared" ref="AF71:AF134" si="176">IF(AND(AE71="",AD71=""),"",SUM(AD71,AE71))</f>
        <v/>
      </c>
      <c r="AG71" s="65">
        <f t="shared" ref="AG71:AG134" si="177">COUNTIF(Y71:AA71,"NA")*10</f>
        <v>0</v>
      </c>
      <c r="AH71" s="65">
        <f t="shared" ref="AH71:AH134" si="178">(COUNTIF(Y71:AA71,"ML")*10)+(COUNTIF(AC71,"ML")*70)+(COUNTIF(AE71,"ML")*100)</f>
        <v>0</v>
      </c>
      <c r="AI71" s="66" t="str">
        <f t="shared" ref="AI71:AI134" si="179">IF(AND(Y71="",Z71="",AA71="",AC71="",AE71=""),"",IF(AND(Z71="",Y71="",AA71=""),170-AG71-AH71,IF(AND(AC71=""),130-AG71-AH71,IF(AE71="",100-AG71-AH71,200-AG71-AH71))))</f>
        <v/>
      </c>
      <c r="AJ71" s="65"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5" t="str">
        <f t="shared" ref="AK71:AK134" si="181">IF(OR($B71="NSO",$B71="",AE71=""),"",IF(OR(AJ71="AB",AE71="ab"),"AB",IF(AE71="ML","RE",IF(AE71&lt;20%*$AE$6,"F",IF(AND(AF71&gt;=36%*AI71,AE71&gt;=20),"P",IF(AND(AF71&gt;=34%*AI71,AH71=0,AE71&gt;=20),"G2",IF(AND(AF71&gt;=31%*AI71,AH71=0,AE71&gt;=20),"G1",IF(AF71&gt;=25%*AI71,"S","F"))))))))</f>
        <v/>
      </c>
      <c r="AL71" s="65" t="str">
        <f t="shared" ref="AL71:AL134" si="182">IF(OR(AK71="",AK71=0,AK71="S",AK71="RE",AK71="F",AK71="AB"),AK71,IF(AF71&gt;=75%*AI71,"D",IF(AF71&gt;=60%*AI71,"I",IF(AF71&gt;=48%*AI71,"II",IF(AF71&gt;=36%*AI71,"III",AK71)))))</f>
        <v/>
      </c>
      <c r="AM71" s="524" t="str">
        <f>IF('Marks Entry'!V71="","",IF('Marks Entry'!V71=1,'School Profile'!$I$9,IF('Marks Entry'!V71=2,'School Profile'!$I$10,IF('Marks Entry'!V71=3,'School Profile'!$I$11,IF('Marks Entry'!V71=4,'School Profile'!$I$12,IF('Marks Entry'!V71=5,'School Profile'!$I$13,IF('Marks Entry'!V71=6,'School Profile'!$I$14,"")))))))</f>
        <v/>
      </c>
      <c r="AN71" s="68" t="str">
        <f>IF('Marks Entry'!W71="","",'Marks Entry'!W71)</f>
        <v/>
      </c>
      <c r="AO71" s="68" t="str">
        <f>IF('Marks Entry'!X71="","",'Marks Entry'!X71)</f>
        <v/>
      </c>
      <c r="AP71" s="68" t="str">
        <f>IF('Marks Entry'!Y71="","",'Marks Entry'!Y71)</f>
        <v/>
      </c>
      <c r="AQ71" s="514" t="str">
        <f t="shared" ref="AQ71:AQ134" si="183">IF(AND(AN71="",AO71="",AP71=""),"",SUM(AN71:AP71))</f>
        <v/>
      </c>
      <c r="AR71" s="68" t="str">
        <f>IF('Marks Entry'!Z71="","",'Marks Entry'!Z71)</f>
        <v/>
      </c>
      <c r="AS71" s="515" t="str">
        <f t="shared" ref="AS71:AS134" si="184">IF(AND(AQ71="",AR71=""),"",SUM(AQ71,AR71))</f>
        <v/>
      </c>
      <c r="AT71" s="68" t="str">
        <f>IF('Marks Entry'!AA71="","",'Marks Entry'!AA71)</f>
        <v/>
      </c>
      <c r="AU71" s="96" t="str">
        <f t="shared" ref="AU71:AU134" si="185">IF(AND(AT71="",AS71=""),"",SUM(AS71,AT71))</f>
        <v/>
      </c>
      <c r="AV71" s="65">
        <f t="shared" ref="AV71:AV134" si="186">COUNTIF(AN71:AP71,"NA")*10</f>
        <v>0</v>
      </c>
      <c r="AW71" s="65">
        <f t="shared" ref="AW71:AW134" si="187">(COUNTIF(AN71:AP71,"ML")*10)+(COUNTIF(AR71,"ML")*70)+(COUNTIF(AT71,"ML")*100)</f>
        <v>0</v>
      </c>
      <c r="AX71" s="66" t="str">
        <f t="shared" ref="AX71:AX134" si="188">IF(AND(AN71="",AO71="",AP71="",AR71="",AT71=""),"",IF(AND(AO71="",AN71="",AP71=""),170-AV71-AW71,IF(AND(AR71=""),130-AV71-AW71,IF(AT71="",100-AV71-AW71,200-AV71-AW71))))</f>
        <v/>
      </c>
      <c r="AY71" s="65"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5" t="str">
        <f t="shared" ref="AZ71:AZ134" si="190">IF(OR($B71="NSO",$B71="",AT71=""),"",IF(OR(AY71="AB",AT71="ab"),"AB",IF(AT71="ML","RE",IF(AT71&lt;20%*$AT$6,"F",IF(AND(AU71&gt;=36%*AX71,AT71&gt;=20),"P",IF(AND(AU71&gt;=34%*AX71,AW71=0,AT71&gt;=20),"G2",IF(AND(AU71&gt;=31%*AX71,AW71=0,AT71&gt;=20),"G1",IF(AU71&gt;=25%*AX71,"S","F"))))))))</f>
        <v/>
      </c>
      <c r="BA71" s="65" t="str">
        <f t="shared" ref="BA71:BA134" si="191">IF(OR(AZ71="",AZ71=0,AZ71="S",AZ71="RE",AZ71="F",AZ71="AB"),AZ71,IF(AU71&gt;=75%*AX71,"D",IF(AU71&gt;=60%*AX71,"I",IF(AU71&gt;=48%*AX71,"II",IF(AU71&gt;=36%*AX71,"III",AZ71)))))</f>
        <v/>
      </c>
      <c r="BB71" s="68" t="str">
        <f>IF('Marks Entry'!AB71="","",'Marks Entry'!AB71)</f>
        <v/>
      </c>
      <c r="BC71" s="68" t="str">
        <f>IF('Marks Entry'!AC71="","",'Marks Entry'!AC71)</f>
        <v/>
      </c>
      <c r="BD71" s="68" t="str">
        <f>IF('Marks Entry'!AD71="","",'Marks Entry'!AD71)</f>
        <v/>
      </c>
      <c r="BE71" s="514" t="str">
        <f t="shared" ref="BE71:BE134" si="192">IF(AND(BB71="",BC71="",BD71=""),"",SUM(BB71:BD71))</f>
        <v/>
      </c>
      <c r="BF71" s="68" t="str">
        <f>IF('Marks Entry'!AE71="","",'Marks Entry'!AE71)</f>
        <v/>
      </c>
      <c r="BG71" s="515" t="str">
        <f t="shared" ref="BG71:BG134" si="193">IF(AND(BE71="",BF71=""),"",SUM(BE71,BF71))</f>
        <v/>
      </c>
      <c r="BH71" s="68" t="str">
        <f>IF('Marks Entry'!AF71="","",'Marks Entry'!AF71)</f>
        <v/>
      </c>
      <c r="BI71" s="96" t="str">
        <f t="shared" ref="BI71:BI134" si="194">IF(AND(BH71="",BG71=""),"",SUM(BG71,BH71))</f>
        <v/>
      </c>
      <c r="BJ71" s="65">
        <f t="shared" ref="BJ71:BJ134" si="195">COUNTIF(BB71:BD71,"NA")*10</f>
        <v>0</v>
      </c>
      <c r="BK71" s="65">
        <f t="shared" si="92"/>
        <v>0</v>
      </c>
      <c r="BL71" s="66" t="str">
        <f t="shared" ref="BL71:BL134" si="196">IF(AND(BB71="",BC71="",BD71="",BF71="",BH71=""),"",IF(AND(BC71="",BB71="",BD71=""),170-BJ71-BK71,IF(AND(BF71=""),130-BJ71-BK71,IF(BH71="",100-BJ71-BK71,200-BJ71-BK71))))</f>
        <v/>
      </c>
      <c r="BM71" s="65"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5" t="str">
        <f t="shared" ref="BN71:BN134" si="198">IF(OR($B71="NSO",$B71="",BH71=""),"",IF(OR(BM71="AB",BH71="ab"),"AB",IF(BH71="ML","RE",IF(BH71&lt;20%*$BH$6,"F",IF(AND(BI71&gt;=36%*BL71,BH71&gt;=20),"P",IF(AND(BI71&gt;=34%*BL71,BK71=0,BH71&gt;=20),"G2",IF(AND(BI71&gt;=31%*BL71,BK71=0,BH71&gt;=20),"G1",IF(BI71&gt;=25%*BL71,"S","F"))))))))</f>
        <v/>
      </c>
      <c r="BO71" s="65" t="str">
        <f t="shared" ref="BO71:BO134" si="199">IF(OR(BN71="",BN71=0,BN71="S",BN71="RE",BN71="F",BN71="AB"),BN71,IF(BI71&gt;=75%*BL71,"D",IF(BI71&gt;=60%*BL71,"I",IF(BI71&gt;=48%*BL71,"II",IF(BI71&gt;=36%*BL71,"III",BN71)))))</f>
        <v/>
      </c>
      <c r="BP71" s="68" t="str">
        <f>IF('Marks Entry'!AG71="","",'Marks Entry'!AG71)</f>
        <v/>
      </c>
      <c r="BQ71" s="68" t="str">
        <f>IF('Marks Entry'!AH71="","",'Marks Entry'!AH71)</f>
        <v/>
      </c>
      <c r="BR71" s="68" t="str">
        <f>IF('Marks Entry'!AI71="","",'Marks Entry'!AI71)</f>
        <v/>
      </c>
      <c r="BS71" s="514" t="str">
        <f t="shared" ref="BS71:BS134" si="200">IF(AND(BP71="",BQ71="",BR71=""),"",SUM(BP71:BR71))</f>
        <v/>
      </c>
      <c r="BT71" s="68" t="str">
        <f>IF('Marks Entry'!AJ71="","",'Marks Entry'!AJ71)</f>
        <v/>
      </c>
      <c r="BU71" s="515" t="str">
        <f t="shared" ref="BU71:BU134" si="201">IF(AND(BS71="",BT71=""),"",SUM(BS71,BT71))</f>
        <v/>
      </c>
      <c r="BV71" s="68" t="str">
        <f>IF('Marks Entry'!AK71="","",'Marks Entry'!AK71)</f>
        <v/>
      </c>
      <c r="BW71" s="96" t="str">
        <f t="shared" ref="BW71:BW134" si="202">IF(AND(BV71="",BU71=""),"",SUM(BU71,BV71))</f>
        <v/>
      </c>
      <c r="BX71" s="65">
        <f t="shared" ref="BX71:BX134" si="203">COUNTIF(BP71:BR71,"NA")*10</f>
        <v>0</v>
      </c>
      <c r="BY71" s="65">
        <f t="shared" ref="BY71:BY134" si="204">(COUNTIF(BP71:BR71,"ML")*10)+(COUNTIF(BT71,"ML")*70)+(COUNTIF(BV71,"ML")*100)</f>
        <v>0</v>
      </c>
      <c r="BZ71" s="66" t="str">
        <f t="shared" ref="BZ71:BZ134" si="205">IF(AND(BP71="",BQ71="",BR71="",BT71="",BV71=""),"",IF(AND(BQ71="",BP71="",BR71=""),170-BX71-BY71,IF(AND(BT71=""),130-BX71-BY71,IF(BV71="",100-BX71-BY71,200-BX71-BY71))))</f>
        <v/>
      </c>
      <c r="CA71" s="65"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5" t="str">
        <f t="shared" ref="CB71:CB134" si="207">IF(OR($B71="NSO",$B71="",BV71=""),"",IF(OR(CA71="AB",BV71="ab"),"AB",IF(BV71="ML","RE",IF(BV71&lt;20%*$BV$6,"F",IF(AND(BW71&gt;=36%*BZ71,BV71&gt;=20),"P",IF(AND(BW71&gt;=34%*BZ71,BY71=0,BV71&gt;=20),"G2",IF(AND(BW71&gt;=31%*BZ71,BY71=0,BV71&gt;=20),"G1",IF(BW71&gt;=25%*BZ71,"S","F"))))))))</f>
        <v/>
      </c>
      <c r="CC71" s="65" t="str">
        <f t="shared" ref="CC71:CC134" si="208">IF(OR(CB71="",CB71=0,CB71="S",CB71="RE",CB71="F",CB71="AB"),CB71,IF(BW71&gt;=75%*BZ71,"D",IF(BW71&gt;=60%*BZ71,"I",IF(BW71&gt;=48%*BZ71,"II",IF(BW71&gt;=36%*BZ71,"III",CB71)))))</f>
        <v/>
      </c>
      <c r="CD71" s="66">
        <f t="shared" ref="CD71:CD102" si="209">SUM(S71,T71,AG71,AH71,AV71,AW71,BJ71,BK71,BX71,BY71,CM71,CN71)</f>
        <v>0</v>
      </c>
      <c r="CE71" s="68" t="str">
        <f>IF('Marks Entry'!AL71="","",'Marks Entry'!AL71)</f>
        <v/>
      </c>
      <c r="CF71" s="68" t="str">
        <f>IF('Marks Entry'!AM71="","",'Marks Entry'!AM71)</f>
        <v/>
      </c>
      <c r="CG71" s="68" t="str">
        <f>IF('Marks Entry'!AN71="","",'Marks Entry'!AN71)</f>
        <v/>
      </c>
      <c r="CH71" s="514" t="str">
        <f t="shared" ref="CH71:CH134" si="210">IF(AND(CE71="",CF71="",CG71=""),"",SUM(CE71:CG71))</f>
        <v/>
      </c>
      <c r="CI71" s="68" t="str">
        <f>IF('Marks Entry'!AO71="","",'Marks Entry'!AO71)</f>
        <v/>
      </c>
      <c r="CJ71" s="515" t="str">
        <f t="shared" ref="CJ71:CJ134" si="211">IF(AND(CH71="",CI71=""),"",SUM(CH71,CI71))</f>
        <v/>
      </c>
      <c r="CK71" s="68" t="str">
        <f>IF('Marks Entry'!AP71="","",'Marks Entry'!AP71)</f>
        <v/>
      </c>
      <c r="CL71" s="96" t="str">
        <f t="shared" ref="CL71:CL134" si="212">IF(AND(CK71="",CJ71=""),"",SUM(CJ71,CK71))</f>
        <v/>
      </c>
      <c r="CM71" s="65">
        <f t="shared" ref="CM71:CM134" si="213">COUNTIF(CE71:CG71,"NA")*10</f>
        <v>0</v>
      </c>
      <c r="CN71" s="65">
        <f t="shared" ref="CN71:CN134" si="214">(COUNTIF(CE71:CG71,"ML")*10)+(COUNTIF(CI71,"ML")*70)+(COUNTIF(CK71,"ML")*100)</f>
        <v>0</v>
      </c>
      <c r="CO71" s="66" t="str">
        <f t="shared" ref="CO71:CO134" si="215">IF(AND(CE71="",CF71="",CG71="",CI71="",CK71=""),"",IF(AND(CF71="",CE71="",CG71=""),170-CM71-CN71,IF(AND(CI71=""),130-CM71-CN71,IF(CK71="",100-CM71-CN71,200-CM71-CN71))))</f>
        <v/>
      </c>
      <c r="CP71" s="65"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5" t="str">
        <f t="shared" ref="CQ71:CQ134" si="217">IF(OR($B71="NSO",$B71="",CK71=""),"",IF(OR(CP71="AB",CK71="ab"),"AB",IF(CK71="ML","RE",IF(CK71&lt;20%*$CK$6,"F",IF(AND(CL71&gt;=36%*CO71,CK71&gt;=20),"P",IF(AND(CL71&gt;=34%*CO71,CN71=0,CK71&gt;=20),"G2",IF(AND(CL71&gt;=31%*CO71,CN71=0,CK71&gt;=20),"G1",IF(CL71&gt;=25%*CO71,"S","F"))))))))</f>
        <v/>
      </c>
      <c r="CR71" s="65" t="str">
        <f t="shared" ref="CR71:CR134" si="218">IF(OR(CQ71="",CQ71=0,CQ71="S",CQ71="RE",CQ71="F",CQ71="AB"),CQ71,IF(CL71&gt;=75%*CO71,"D",IF(CL71&gt;=60%*CO71,"I",IF(CL71&gt;=48%*CO71,"II",IF(CL71&gt;=36%*CO71,"III",CQ71)))))</f>
        <v/>
      </c>
      <c r="CS71" s="616"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8" t="str">
        <f>IF('School Profile'!$D$20="NO","",IF('Marks Entry'!AR71="","",'Marks Entry'!AR71))</f>
        <v/>
      </c>
      <c r="CU71" s="68" t="str">
        <f>IF('School Profile'!$D$20="NO","",IF('Marks Entry'!AS71="","",'Marks Entry'!AS71))</f>
        <v/>
      </c>
      <c r="CV71" s="68" t="str">
        <f>IF('School Profile'!$D$20="NO","",IF('Marks Entry'!AT71="","",'Marks Entry'!AT71))</f>
        <v/>
      </c>
      <c r="CW71" s="514" t="str">
        <f>IF('School Profile'!$D$20="NO","",IF(AND(CT71="",CU71="",CV71=""),"",SUM(CT71:CV71)))</f>
        <v/>
      </c>
      <c r="CX71" s="68" t="str">
        <f>IF('School Profile'!$D$20="NO","",IF('Marks Entry'!AU71="","",'Marks Entry'!AU71))</f>
        <v/>
      </c>
      <c r="CY71" s="68" t="str">
        <f>IF('School Profile'!$D$20="NO","",IF('Marks Entry'!AV71="","",'Marks Entry'!AV71))</f>
        <v/>
      </c>
      <c r="CZ71" s="515" t="str">
        <f>IF('School Profile'!$D$20="NO","",IF(AND(CX71="",CY71=""),"",SUM(CX71,CY71)))</f>
        <v/>
      </c>
      <c r="DA71" s="69" t="str">
        <f>IF('School Profile'!$D$20="NO","",IF(AND(CW71="",CZ71=""),"",SUM(CW71+CZ71)))</f>
        <v/>
      </c>
      <c r="DB71" s="68" t="str">
        <f>IF('School Profile'!$D$20="NO","",IF('Marks Entry'!AW71="","",'Marks Entry'!AW71))</f>
        <v/>
      </c>
      <c r="DC71" s="68" t="str">
        <f>IF('School Profile'!$D$20="NO","",IF('Marks Entry'!AX71="","",'Marks Entry'!AX71))</f>
        <v/>
      </c>
      <c r="DD71" s="515" t="str">
        <f>IF('School Profile'!$D$20="NO","",IF(AND(DB71="",DC71=""),"",SUM(DB71,DC71)))</f>
        <v/>
      </c>
      <c r="DE71" s="96" t="str">
        <f>IF('School Profile'!$D$20="NO","",IF(AND(DA71="",DD71=""),"",SUM(DA71,DD71)))</f>
        <v/>
      </c>
      <c r="DF71" s="532">
        <f t="shared" ref="DF71:DF134" si="219">COUNTIF(CX71:CZ71,"NA")*10</f>
        <v>0</v>
      </c>
      <c r="DG71" s="65">
        <f t="shared" ref="DG71:DG134" si="220">(COUNTIF(CX71:CZ71,"ML")*10)+(COUNTIF(DB71,"ML")*70)+(COUNTIF(DD71,"ML")*100)</f>
        <v>0</v>
      </c>
      <c r="DH71" s="66" t="str">
        <f t="shared" ref="DH71:DH134" si="221">IF(AND(CX71="",CY71="",CZ71="",DB71="",DD71=""),"",IF(AND(CY71="",CX71="",CZ71=""),170-DF71-DG71,IF(AND(DB71=""),130-DF71-DG71,IF(DD71="",100-DF71-DG71,200-DF71-DG71))))</f>
        <v/>
      </c>
      <c r="DI71" s="65"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5" t="str">
        <f t="shared" ref="DJ71:DJ134" si="223">IF(OR($B71="NSO",$B71="",DD71=""),"",IF(OR(DI71="AB",DD71="ab"),"AB",IF(DD71="ML","RE",IF(DD71&lt;20%*$DD$6,"F",IF(AND(DE71&gt;=36%*DH71,DD71&gt;=20),"P",IF(AND(DE71&gt;=34%*DH71,DG71=0,DD71&gt;=20),"G2",IF(AND(DE71&gt;=31%*DH71,DG71=0,DD71&gt;=20),"G1",IF(DE71&gt;=25%*DH71,"S","F"))))))))</f>
        <v/>
      </c>
      <c r="DK71" s="65" t="str">
        <f t="shared" ref="DK71:DK134" si="224">IF(OR(DJ71="",DJ71=0,DJ71="S",DJ71="RE",DJ71="F",DJ71="AB"),DJ71,IF(DE71&gt;=75%*DH71,"D",IF(DE71&gt;=60%*DH71,"I",IF(DE71&gt;=48%*DH71,"II",IF(DE71&gt;=36%*DH71,"III",DJ71)))))</f>
        <v/>
      </c>
      <c r="DL71" s="97" t="str">
        <f t="shared" si="94"/>
        <v/>
      </c>
      <c r="DM71" s="97" t="str">
        <f t="shared" si="95"/>
        <v/>
      </c>
      <c r="DN71" s="97" t="str">
        <f t="shared" si="96"/>
        <v/>
      </c>
      <c r="DO71" s="97" t="str">
        <f t="shared" si="97"/>
        <v/>
      </c>
      <c r="DP71" s="97" t="str">
        <f t="shared" si="98"/>
        <v/>
      </c>
      <c r="DQ71" s="97" t="str">
        <f t="shared" si="99"/>
        <v/>
      </c>
      <c r="DR71" s="97" t="str">
        <f t="shared" si="100"/>
        <v/>
      </c>
      <c r="DS71" s="98">
        <f t="shared" si="101"/>
        <v>0</v>
      </c>
      <c r="DT71" s="98">
        <f t="shared" si="102"/>
        <v>0</v>
      </c>
      <c r="DU71" s="98">
        <f t="shared" si="103"/>
        <v>0</v>
      </c>
      <c r="DV71" s="98">
        <f t="shared" si="104"/>
        <v>0</v>
      </c>
      <c r="DW71" s="98">
        <f t="shared" si="105"/>
        <v>0</v>
      </c>
      <c r="DX71" s="98" t="str">
        <f t="shared" si="106"/>
        <v/>
      </c>
      <c r="DY71" s="99" t="str">
        <f t="shared" si="107"/>
        <v/>
      </c>
      <c r="DZ71" s="74" t="str">
        <f>IF('Marks Entry'!AY71="","",'Marks Entry'!AY71)</f>
        <v/>
      </c>
      <c r="EA71" s="74" t="str">
        <f>IF('Marks Entry'!AZ71="","",'Marks Entry'!AZ71)</f>
        <v/>
      </c>
      <c r="EB71" s="74" t="str">
        <f>IF('Marks Entry'!BA71="","",'Marks Entry'!BA71)</f>
        <v/>
      </c>
      <c r="EC71" s="527" t="str">
        <f t="shared" ref="EC71:EC134" si="225">IF(AND(DZ71="",EA71="",EB71=""),"",SUM(DZ71:EB71))</f>
        <v/>
      </c>
      <c r="ED71" s="74" t="str">
        <f>IF('Marks Entry'!BB71="","",'Marks Entry'!BB71)</f>
        <v/>
      </c>
      <c r="EE71" s="528" t="str">
        <f t="shared" ref="EE71:EE134" si="226">IF(AND(EC71="",ED71=""),"",SUM(EC71,ED71))</f>
        <v/>
      </c>
      <c r="EF71" s="74" t="str">
        <f>IF('Marks Entry'!BC71="","",'Marks Entry'!BC71)</f>
        <v/>
      </c>
      <c r="EG71" s="530" t="str">
        <f t="shared" ref="EG71:EG134" si="227">IF(AND(EF71="",EE71=""),"",SUM(EE71,EF71))</f>
        <v/>
      </c>
      <c r="EH71" s="368" t="str">
        <f t="shared" si="108"/>
        <v/>
      </c>
      <c r="EI71" s="65">
        <f t="shared" si="109"/>
        <v>0</v>
      </c>
      <c r="EJ71" s="65">
        <f t="shared" si="110"/>
        <v>0</v>
      </c>
      <c r="EK71" s="66" t="str">
        <f t="shared" si="111"/>
        <v/>
      </c>
      <c r="EL71" s="74" t="str">
        <f>IF('Marks Entry'!BD71="","",'Marks Entry'!BD71)</f>
        <v/>
      </c>
      <c r="EM71" s="74" t="str">
        <f>IF('Marks Entry'!BE71="","",'Marks Entry'!BE71)</f>
        <v/>
      </c>
      <c r="EN71" s="74" t="str">
        <f>IF('Marks Entry'!BF71="","",'Marks Entry'!BF71)</f>
        <v/>
      </c>
      <c r="EO71" s="527" t="str">
        <f t="shared" ref="EO71:EO134" si="228">IF(AND(EL71="",EM71="",EN71=""),"",SUM(EL71:EN71))</f>
        <v/>
      </c>
      <c r="EP71" s="74" t="str">
        <f>IF('Marks Entry'!BG71="","",'Marks Entry'!BG71)</f>
        <v/>
      </c>
      <c r="EQ71" s="74" t="str">
        <f>IF('Marks Entry'!BH71="","",'Marks Entry'!BH71)</f>
        <v/>
      </c>
      <c r="ER71" s="528" t="str">
        <f t="shared" ref="ER71:ER134" si="229">IF(AND(EP71="",EQ71=""),"",SUM(EP71,EQ71))</f>
        <v/>
      </c>
      <c r="ES71" s="529" t="str">
        <f t="shared" ref="ES71:ES134" si="230">IF(AND(EO71="",ER71=""),"",SUM(EO71+ER71))</f>
        <v/>
      </c>
      <c r="ET71" s="74" t="str">
        <f>IF('Marks Entry'!BI71="","",'Marks Entry'!BI71)</f>
        <v/>
      </c>
      <c r="EU71" s="74" t="str">
        <f>IF('Marks Entry'!BJ71="","",'Marks Entry'!BJ71)</f>
        <v/>
      </c>
      <c r="EV71" s="528" t="str">
        <f t="shared" ref="EV71:EV134" si="231">IF(AND(ET71="",EU71=""),"",SUM(ET71,EU71))</f>
        <v/>
      </c>
      <c r="EW71" s="530" t="str">
        <f t="shared" ref="EW71:EW134" si="232">IF(AND(ES71="",EV71=""),"",SUM(ES71,EV71))</f>
        <v/>
      </c>
      <c r="EX71" s="368" t="str">
        <f t="shared" si="112"/>
        <v/>
      </c>
      <c r="EY71" s="65">
        <f t="shared" si="113"/>
        <v>0</v>
      </c>
      <c r="EZ71" s="65">
        <f t="shared" si="114"/>
        <v>0</v>
      </c>
      <c r="FA71" s="66" t="str">
        <f t="shared" si="115"/>
        <v/>
      </c>
      <c r="FB71" s="74" t="str">
        <f>IF('Marks Entry'!BK71="","",'Marks Entry'!BK71)</f>
        <v/>
      </c>
      <c r="FC71" s="74" t="str">
        <f>IF('Marks Entry'!BL71="","",'Marks Entry'!BL71)</f>
        <v/>
      </c>
      <c r="FD71" s="74" t="str">
        <f>IF('Marks Entry'!BM71="","",'Marks Entry'!BM71)</f>
        <v/>
      </c>
      <c r="FE71" s="74" t="str">
        <f>IF('Marks Entry'!BN71="","",'Marks Entry'!BN71)</f>
        <v/>
      </c>
      <c r="FF71" s="74" t="str">
        <f>IF('Marks Entry'!BO71="","",'Marks Entry'!BO71)</f>
        <v/>
      </c>
      <c r="FG71" s="74" t="str">
        <f>IF('Marks Entry'!BP71="","",'Marks Entry'!BP71)</f>
        <v/>
      </c>
      <c r="FH71" s="527" t="str">
        <f t="shared" ref="FH71:FH134" si="233">IF(AND(FB71="",FC71="",FE71="",FF71="",FG71=""),"",SUM(FB71:FG71))</f>
        <v/>
      </c>
      <c r="FI71" s="74" t="str">
        <f>IF('Marks Entry'!BQ71="","",'Marks Entry'!BQ71)</f>
        <v/>
      </c>
      <c r="FJ71" s="74" t="str">
        <f>IF('Marks Entry'!BR71="","",'Marks Entry'!BR71)</f>
        <v/>
      </c>
      <c r="FK71" s="528" t="str">
        <f t="shared" ref="FK71:FK134" si="234">IF(AND(FI71="",FJ71=""),"",SUM(FI71,FJ71))</f>
        <v/>
      </c>
      <c r="FL71" s="529" t="str">
        <f t="shared" ref="FL71:FL134" si="235">IF(AND(FH71="",FK71=""),"",SUM(FH71+FK71))</f>
        <v/>
      </c>
      <c r="FM71" s="74" t="str">
        <f>IF('Marks Entry'!BS71="","",'Marks Entry'!BS71)</f>
        <v/>
      </c>
      <c r="FN71" s="74" t="str">
        <f>IF('Marks Entry'!BT71="","",'Marks Entry'!BT71)</f>
        <v/>
      </c>
      <c r="FO71" s="528" t="str">
        <f t="shared" ref="FO71:FO134" si="236">IF(AND(FM71="",FN71=""),"",SUM(FM71,FN71))</f>
        <v/>
      </c>
      <c r="FP71" s="530" t="str">
        <f t="shared" ref="FP71:FP134" si="237">IF(AND(FL71="",FO71=""),"",SUM(FL71,FO71))</f>
        <v/>
      </c>
      <c r="FQ71" s="368" t="str">
        <f t="shared" si="116"/>
        <v/>
      </c>
      <c r="FR71" s="65">
        <f t="shared" si="117"/>
        <v>0</v>
      </c>
      <c r="FS71" s="65">
        <f t="shared" si="118"/>
        <v>0</v>
      </c>
      <c r="FT71" s="66" t="str">
        <f t="shared" si="119"/>
        <v/>
      </c>
      <c r="FU71" s="74" t="str">
        <f>IF('Marks Entry'!BU71="","",'Marks Entry'!BU71)</f>
        <v/>
      </c>
      <c r="FV71" s="74" t="str">
        <f>IF('Marks Entry'!BV71="","",'Marks Entry'!BV71)</f>
        <v/>
      </c>
      <c r="FW71" s="74" t="str">
        <f>IF('Marks Entry'!BW71="","",'Marks Entry'!BW71)</f>
        <v/>
      </c>
      <c r="FX71" s="75" t="str">
        <f t="shared" ref="FX71:FX134" si="238">IF(AND(FU71="",FV71="",FW71=""),"",SUM(FU71,FV71,FW71))</f>
        <v/>
      </c>
      <c r="FY71" s="368" t="str">
        <f t="shared" si="120"/>
        <v/>
      </c>
      <c r="FZ71" s="65">
        <f t="shared" si="121"/>
        <v>0</v>
      </c>
      <c r="GA71" s="66">
        <f t="shared" si="122"/>
        <v>0</v>
      </c>
      <c r="GB71" s="66" t="str">
        <f t="shared" si="123"/>
        <v/>
      </c>
      <c r="GC71" s="74" t="str">
        <f>IF('Marks Entry'!BX71="","",'Marks Entry'!BX71)</f>
        <v/>
      </c>
      <c r="GD71" s="74" t="str">
        <f>IF('Marks Entry'!BY71="","",'Marks Entry'!BY71)</f>
        <v/>
      </c>
      <c r="GE71" s="74" t="str">
        <f>IF('Marks Entry'!BZ71="","",'Marks Entry'!BZ71)</f>
        <v/>
      </c>
      <c r="GF71" s="75" t="str">
        <f t="shared" si="124"/>
        <v/>
      </c>
      <c r="GG71" s="368" t="str">
        <f t="shared" si="125"/>
        <v/>
      </c>
      <c r="GH71" s="65">
        <f t="shared" si="126"/>
        <v>0</v>
      </c>
      <c r="GI71" s="66">
        <f t="shared" si="127"/>
        <v>0</v>
      </c>
      <c r="GJ71" s="66" t="str">
        <f t="shared" si="128"/>
        <v/>
      </c>
      <c r="GK71" s="100" t="str">
        <f>IF(AND(F71="",B71=""),"",IF('Student DATA Entry'!M68="","",'Student DATA Entry'!M68))</f>
        <v/>
      </c>
      <c r="GL71" s="101" t="str">
        <f>IF(AND(B71="",F71=""),"",IF('Student DATA Entry'!N68="","",'Student DATA Entry'!N68))</f>
        <v/>
      </c>
      <c r="GM71" s="581" t="str">
        <f t="shared" si="129"/>
        <v/>
      </c>
      <c r="GN71" s="94" t="str">
        <f t="shared" si="130"/>
        <v/>
      </c>
      <c r="GO71" s="94" t="str">
        <f t="shared" si="131"/>
        <v/>
      </c>
      <c r="GP71" s="102" t="str">
        <f t="shared" ref="GP71:GP102" si="239">IF(GN71="G",ROUNDUP(36%*U71-R71,0),"")</f>
        <v/>
      </c>
      <c r="GQ71" s="94" t="str">
        <f t="shared" si="132"/>
        <v/>
      </c>
      <c r="GR71" s="103" t="str">
        <f t="shared" si="133"/>
        <v/>
      </c>
      <c r="GS71" s="102" t="str">
        <f t="shared" ref="GS71:GS102" si="240">IF(GQ71="G",ROUNDUP(36%*AI71-AF71,0),"")</f>
        <v/>
      </c>
      <c r="GT71" s="104" t="str">
        <f t="shared" si="134"/>
        <v/>
      </c>
      <c r="GU71" s="94" t="str">
        <f>IF('Marks Entry'!V71=1,GT71,"")</f>
        <v/>
      </c>
      <c r="GV71" s="94" t="str">
        <f>IF('Marks Entry'!V71=2,GT71,"")</f>
        <v/>
      </c>
      <c r="GW71" s="94" t="str">
        <f>IF('Marks Entry'!V71=3,GT71,"")</f>
        <v/>
      </c>
      <c r="GX71" s="94" t="str">
        <f>IF('Marks Entry'!V71=4,GT71,"")</f>
        <v/>
      </c>
      <c r="GY71" s="94" t="str">
        <f>IF('Marks Entry'!V71=5,GT71,"")</f>
        <v/>
      </c>
      <c r="GZ71" s="94" t="str">
        <f t="shared" si="135"/>
        <v/>
      </c>
      <c r="HA71" s="105" t="str">
        <f t="shared" ref="HA71:HA102" si="241">IF(GT71="G",ROUNDUP(36%*AX71-AU71,0),"")</f>
        <v/>
      </c>
      <c r="HB71" s="94" t="str">
        <f t="shared" si="136"/>
        <v/>
      </c>
      <c r="HC71" s="94" t="str">
        <f t="shared" si="137"/>
        <v/>
      </c>
      <c r="HD71" s="105" t="str">
        <f t="shared" ref="HD71:HD102" si="242">IF(HB71="G",ROUNDUP(36%*BL71-BI71,0),"")</f>
        <v/>
      </c>
      <c r="HE71" s="94" t="str">
        <f t="shared" si="138"/>
        <v/>
      </c>
      <c r="HF71" s="94" t="str">
        <f t="shared" si="139"/>
        <v/>
      </c>
      <c r="HG71" s="105" t="str">
        <f t="shared" ref="HG71:HG102" si="243">IF(HE71="G",ROUNDUP(36%*BZ71-BW71,0),"")</f>
        <v/>
      </c>
      <c r="HH71" s="94" t="str">
        <f t="shared" si="140"/>
        <v/>
      </c>
      <c r="HI71" s="94" t="str">
        <f t="shared" si="141"/>
        <v/>
      </c>
      <c r="HJ71" s="105" t="str">
        <f t="shared" ref="HJ71:HJ102" si="244">IF(HH71="G",ROUNDUP(36%*CO71-CL71,0),"")</f>
        <v/>
      </c>
      <c r="HK71" s="94" t="str">
        <f t="shared" si="142"/>
        <v/>
      </c>
      <c r="HL71" s="94" t="str">
        <f t="shared" si="143"/>
        <v/>
      </c>
      <c r="HM71" s="105" t="str">
        <f t="shared" ref="HM71:HM102" si="245">IF(HK71="G",ROUNDUP(36%*DH71-DE71,0),"")</f>
        <v/>
      </c>
      <c r="HN71" s="367" t="str">
        <f t="shared" si="144"/>
        <v xml:space="preserve">      </v>
      </c>
      <c r="HO71" s="418" t="str">
        <f t="shared" ref="HO71:HO102" si="246">IF(COUNTIF(DL71:DR71,"F")&gt;0,"",CONCATENATE(IF(GN71="S",$GN$5,"")," ",IF(GQ71="S",$GQ$5,"")," ",IF(GU71="S",$GU$5,IF(GV71="S",$GV$5,IF(GW71="S",$GW$5,IF(GX71="S",$GX$5,IF(GY71="S",$GY$5,"")))))," ",IF(HB71="S",$HB$5,"")," ",IF(HE71="S",$HE$5,"")," ",IF(HH71="S",$HH$5,"")," ",IF(HK71="S",$HK$5,"")))</f>
        <v xml:space="preserve">      </v>
      </c>
      <c r="HP71" s="367" t="str">
        <f t="shared" si="146"/>
        <v xml:space="preserve">      </v>
      </c>
      <c r="HQ71" s="107" t="str">
        <f t="shared" si="147"/>
        <v xml:space="preserve">      </v>
      </c>
      <c r="HR71" s="366" t="str">
        <f t="shared" si="148"/>
        <v xml:space="preserve">      </v>
      </c>
      <c r="HS71" s="544" t="str">
        <f t="shared" ref="HS71:HS102" si="247">IF(B71="NSO","NSO",IF(AND(OR(DY71="PASS",DY71="BY GRACE PASS",DY71="RE-EXAM"),DX71="F"),"FAIL",IF(AND(OR(DY71="PASS",DY71="BY GRACE PASS"),DX71="RE"),"RE-EXAM",DY71)))</f>
        <v/>
      </c>
      <c r="HT71" s="542" t="str">
        <f t="shared" si="149"/>
        <v/>
      </c>
      <c r="HU71" s="541" t="str">
        <f t="shared" si="160"/>
        <v/>
      </c>
      <c r="HV71" s="540" t="str">
        <f t="shared" si="150"/>
        <v/>
      </c>
      <c r="HW71" s="537" t="str">
        <f t="shared" si="151"/>
        <v/>
      </c>
      <c r="HX71" s="539" t="str">
        <f t="shared" si="152"/>
        <v/>
      </c>
      <c r="HY71" s="553" t="str">
        <f>IFERROR(IF(OR(HS71="SUPPLEMENTARY",HS71="RE-EXAM"),'Supp. Result Entry'!AQ69,""),"")</f>
        <v/>
      </c>
      <c r="HZ71" s="538" t="str">
        <f t="shared" si="153"/>
        <v/>
      </c>
      <c r="IA71" s="415" t="str">
        <f t="shared" si="154"/>
        <v/>
      </c>
      <c r="IB71" s="415" t="str">
        <f>IF(AND(HZ71="",IA71=""),"",IF(OR(HS71="SUPPLEMENTARY",HS71="RE-EXAM"),'Supp. Result Entry'!AQ69,HS71))</f>
        <v/>
      </c>
      <c r="IC71" s="87"/>
      <c r="IS71" s="109" t="str">
        <f>IF('Supp. Result Entry'!T69="","",'Supp. Result Entry'!$T$4)</f>
        <v/>
      </c>
      <c r="IT71" s="110" t="str">
        <f>IF('Supp. Result Entry'!W69="","",'Supp. Result Entry'!$W$4)</f>
        <v/>
      </c>
      <c r="IU71" s="110" t="str">
        <f>IF('Supp. Result Entry'!Z69="","",'Supp. Result Entry'!$Z$4)</f>
        <v/>
      </c>
      <c r="IV71" s="110" t="str">
        <f>IF('Supp. Result Entry'!AC69="","",'Supp. Result Entry'!$AC$4)</f>
        <v/>
      </c>
      <c r="IW71" s="110" t="str">
        <f>IF('Supp. Result Entry'!AF69="","",'Supp. Result Entry'!$AF$4)</f>
        <v/>
      </c>
      <c r="IX71" s="110" t="str">
        <f>IF('Supp. Result Entry'!AI69="","",'Supp. Result Entry'!$AI$4)</f>
        <v/>
      </c>
      <c r="IY71" s="110" t="str">
        <f>IF('Supp. Result Entry'!AI69="","",'Supp. Result Entry'!$AL$4)</f>
        <v/>
      </c>
      <c r="IZ71" s="110" t="str">
        <f>IF('Supp. Result Entry'!U69="","",'Supp. Result Entry'!U69)</f>
        <v/>
      </c>
      <c r="JA71" s="110" t="str">
        <f>IF('Supp. Result Entry'!X69="","",'Supp. Result Entry'!X69)</f>
        <v/>
      </c>
      <c r="JB71" s="110" t="str">
        <f>IF('Supp. Result Entry'!AA69="","",'Supp. Result Entry'!AA69)</f>
        <v/>
      </c>
      <c r="JC71" s="110" t="str">
        <f>IF('Supp. Result Entry'!AD69="","",'Supp. Result Entry'!AD69)</f>
        <v/>
      </c>
      <c r="JD71" s="110" t="str">
        <f>IF('Supp. Result Entry'!AG69="","",'Supp. Result Entry'!AG69)</f>
        <v/>
      </c>
      <c r="JE71" s="110" t="str">
        <f>IF('Supp. Result Entry'!AJ69="","",'Supp. Result Entry'!AJ69)</f>
        <v/>
      </c>
      <c r="JF71" s="110" t="str">
        <f>IF('Supp. Result Entry'!AM69="","",'Supp. Result Entry'!AM69)</f>
        <v/>
      </c>
      <c r="JG71" s="110" t="str">
        <f>IF('Supp. Result Entry'!V69="","",'Supp. Result Entry'!V69)</f>
        <v/>
      </c>
      <c r="JH71" s="110" t="str">
        <f>IF('Supp. Result Entry'!Y69="","",'Supp. Result Entry'!Y69)</f>
        <v/>
      </c>
      <c r="JI71" s="110" t="str">
        <f>IF('Supp. Result Entry'!AB69="","",'Supp. Result Entry'!AB69)</f>
        <v/>
      </c>
      <c r="JJ71" s="110" t="str">
        <f>IF('Supp. Result Entry'!AE69="","",'Supp. Result Entry'!AE69)</f>
        <v/>
      </c>
      <c r="JK71" s="110" t="str">
        <f>IF('Supp. Result Entry'!AH69="","",'Supp. Result Entry'!AH69)</f>
        <v/>
      </c>
      <c r="JL71" s="110" t="str">
        <f>IF('Supp. Result Entry'!AK69="","",'Supp. Result Entry'!AK69)</f>
        <v/>
      </c>
      <c r="JM71" s="110" t="str">
        <f>IF('Supp. Result Entry'!AN69="","",'Supp. Result Entry'!AN69)</f>
        <v/>
      </c>
      <c r="JN71" s="110">
        <f>COUNTIF('Supp. Result Entry'!K69:Q69,"S")</f>
        <v>0</v>
      </c>
      <c r="JO71" s="110">
        <f t="shared" ref="JO71:JO134" si="248">COUNTIF(GN71:HM71,"RE")+COUNTIF(GN71:HM71,"REP")</f>
        <v>0</v>
      </c>
      <c r="JP71" s="110">
        <f t="shared" si="156"/>
        <v>0</v>
      </c>
      <c r="JQ71" s="110" t="str">
        <f t="shared" ref="JQ71:JQ134" si="249">IF(OR(JN71=0,JN71&lt;JP71),"",IF(OR(GN71="RE",GN71="REP"),SUM(R71,IZ71),IF(GN71="S",IZ71,R71)))</f>
        <v/>
      </c>
      <c r="JR71" s="110" t="str">
        <f t="shared" ref="JR71:JR134" si="250">IF(OR(JN71=0,JN71&lt;JP71),"",IF(OR(GQ71="RE",GQ71="REP"),SUM(AF71,JA71),IF(GQ71="S",JA71,AF71)))</f>
        <v/>
      </c>
      <c r="JS71" s="110" t="str">
        <f t="shared" ref="JS71:JS134" si="251">IF(OR(JN71=0,JN71&lt;JP71),"",IF(OR(GT71="RE",GT71="REP"),SUM(AU71,JB71),IF(GT71="S",JB71,AU71)))</f>
        <v/>
      </c>
      <c r="JT71" s="110" t="str">
        <f t="shared" ref="JT71:JT134" si="252">IF(OR(JN71=0,JN71&lt;JP71),"",IF(OR(HB71="RE",HB71="REP"),SUM(BI71,JC71),IF(HB71="S",JC71,BI71)))</f>
        <v/>
      </c>
      <c r="JU71" s="110" t="str">
        <f t="shared" ref="JU71:JU134" si="253">IF(OR(JN71=0,JN71&lt;JP71),"",IF(OR(HE71="RE",HE71="REP"),SUM(BW71,JD71),IF(HE71="S",JD71,BW71)))</f>
        <v/>
      </c>
      <c r="JV71" s="110" t="str">
        <f t="shared" ref="JV71:JV134" si="254">IF(OR(JN71=0,JN71&lt;JP71),"",IF(OR(HH71="RE",HH71="REP"),SUM(CL71,JE71),IF(HH71="S",JE71,CL71)))</f>
        <v/>
      </c>
      <c r="JW71" s="110" t="str">
        <f t="shared" ref="JW71:JW134" si="255">IF(OR(JN71=0,JN71&lt;JP71),"",IF(OR(HK71="RE",HK71="REP"),SUM(DE71,JF71),IF(HK71="S",JF71,DE71)))</f>
        <v/>
      </c>
      <c r="JX71" s="110" t="str">
        <f t="shared" si="157"/>
        <v/>
      </c>
      <c r="JY71" s="110" t="str">
        <f t="shared" si="158"/>
        <v/>
      </c>
      <c r="JZ71" s="110" t="str">
        <f t="shared" ref="JZ71:JZ134" si="256">IF(OR(JN71=0,JN71&lt;JP71),"",SUM(($R$6+$AF$6+$AU$6+$BI$6+$BW$6+$CL$6))-(JP71*100))</f>
        <v/>
      </c>
      <c r="KA71" s="108" t="str">
        <f t="shared" si="159"/>
        <v/>
      </c>
    </row>
    <row r="72" spans="1:287" s="108" customFormat="1" ht="21.95" customHeight="1">
      <c r="A72" s="89">
        <v>66</v>
      </c>
      <c r="B72" s="90" t="str">
        <f>IF('Marks Entry'!B72="","",'Marks Entry'!B72)</f>
        <v/>
      </c>
      <c r="C72" s="94" t="str">
        <f>IF('Marks Entry'!D72="","",'Marks Entry'!D72)</f>
        <v/>
      </c>
      <c r="D72" s="91" t="str">
        <f>IF('Marks Entry'!E72="","",'Marks Entry'!E72)</f>
        <v/>
      </c>
      <c r="E72" s="92" t="str">
        <f>IF('Marks Entry'!F72="","",'Marks Entry'!F72)</f>
        <v/>
      </c>
      <c r="F72" s="93" t="str">
        <f>IF('Marks Entry'!G72="","",'Marks Entry'!G72)</f>
        <v/>
      </c>
      <c r="G72" s="93" t="str">
        <f>IF('Marks Entry'!H72="","",'Marks Entry'!H72)</f>
        <v/>
      </c>
      <c r="H72" s="93" t="str">
        <f>IF('Marks Entry'!I72="","",'Marks Entry'!I72)</f>
        <v/>
      </c>
      <c r="I72" s="94" t="str">
        <f>IF('Marks Entry'!J72="","",'Marks Entry'!J72)</f>
        <v/>
      </c>
      <c r="J72" s="95" t="str">
        <f>IF('Marks Entry'!K72="","",'Marks Entry'!K72)</f>
        <v/>
      </c>
      <c r="K72" s="68" t="str">
        <f>IF('Marks Entry'!L72="","",'Marks Entry'!L72)</f>
        <v/>
      </c>
      <c r="L72" s="68" t="str">
        <f>IF('Marks Entry'!M72="","",'Marks Entry'!M72)</f>
        <v/>
      </c>
      <c r="M72" s="68" t="str">
        <f>IF('Marks Entry'!N72="","",'Marks Entry'!N72)</f>
        <v/>
      </c>
      <c r="N72" s="514" t="str">
        <f t="shared" ref="N72:N135" si="257">IF(AND(K72="",L72="",M72=""),"",IF(AND(K72="AB",L72="AB",M72="AB"),"AB",IF(AND(K72="ML",L72="ML",M72="ML"),"ML",SUM(K72:M72))))</f>
        <v/>
      </c>
      <c r="O72" s="68" t="str">
        <f>IF('Marks Entry'!O72="","",'Marks Entry'!O72)</f>
        <v/>
      </c>
      <c r="P72" s="515" t="str">
        <f t="shared" ref="P72:P135" si="258">IF(AND(N72="",O72=""),"",SUM(N72,O72))</f>
        <v/>
      </c>
      <c r="Q72" s="68" t="str">
        <f>IF('Marks Entry'!P72="","",'Marks Entry'!P72)</f>
        <v/>
      </c>
      <c r="R72" s="96" t="str">
        <f t="shared" ref="R72:R135" si="259">IF(AND(P72="",Q72=""),"",SUM(Q72,P72))</f>
        <v/>
      </c>
      <c r="S72" s="65">
        <f t="shared" ref="S72:S135" si="260">COUNTIF(K72:M72,"NA")*$K$6</f>
        <v>0</v>
      </c>
      <c r="T72" s="65">
        <f t="shared" ref="T72:T135" si="261">(COUNTIF(K72:M72,"ML")*$K$6)+(COUNTIF(O72,"ML")*$O$6)+(COUNTIF(Q72,"ML")*$Q$6)</f>
        <v>0</v>
      </c>
      <c r="U72" s="66" t="str">
        <f t="shared" si="171"/>
        <v/>
      </c>
      <c r="V72" s="65" t="str">
        <f t="shared" si="172"/>
        <v/>
      </c>
      <c r="W72" s="65" t="str">
        <f t="shared" ref="W72:W135" si="262">IF(OR($B72="NSO",$B72="",Q72=""),"",IF(OR(V72="AB",Q72="ab"),"AB",IF(Q72="ML","RE",IF(Q72&lt;20%*$Q$6,"F",IF(AND(R72&gt;=36%*U72,Q72&gt;=20%*$Q$6),"P",IF(AND(R72&gt;=34%*U72,T72=0,Q72&gt;=20%*$Q$6),"G2",IF(AND(R72&gt;=31%*U72,T72=0,Q72&gt;=20%*$Q$6),"G1",IF(R72&gt;=25%*U72,"S","F"))))))))</f>
        <v/>
      </c>
      <c r="X72" s="65" t="str">
        <f t="shared" si="173"/>
        <v/>
      </c>
      <c r="Y72" s="68" t="str">
        <f>IF('Marks Entry'!Q72="","",'Marks Entry'!Q72)</f>
        <v/>
      </c>
      <c r="Z72" s="68" t="str">
        <f>IF('Marks Entry'!R72="","",'Marks Entry'!R72)</f>
        <v/>
      </c>
      <c r="AA72" s="68" t="str">
        <f>IF('Marks Entry'!S72="","",'Marks Entry'!S72)</f>
        <v/>
      </c>
      <c r="AB72" s="514" t="str">
        <f t="shared" si="174"/>
        <v/>
      </c>
      <c r="AC72" s="68" t="str">
        <f>IF('Marks Entry'!T72="","",'Marks Entry'!T72)</f>
        <v/>
      </c>
      <c r="AD72" s="515" t="str">
        <f t="shared" si="175"/>
        <v/>
      </c>
      <c r="AE72" s="68" t="str">
        <f>IF('Marks Entry'!U72="","",'Marks Entry'!U72)</f>
        <v/>
      </c>
      <c r="AF72" s="96" t="str">
        <f t="shared" si="176"/>
        <v/>
      </c>
      <c r="AG72" s="65">
        <f t="shared" si="177"/>
        <v>0</v>
      </c>
      <c r="AH72" s="65">
        <f t="shared" si="178"/>
        <v>0</v>
      </c>
      <c r="AI72" s="66" t="str">
        <f t="shared" si="179"/>
        <v/>
      </c>
      <c r="AJ72" s="65" t="str">
        <f t="shared" si="180"/>
        <v/>
      </c>
      <c r="AK72" s="65" t="str">
        <f t="shared" si="181"/>
        <v/>
      </c>
      <c r="AL72" s="65" t="str">
        <f t="shared" si="182"/>
        <v/>
      </c>
      <c r="AM72" s="524" t="str">
        <f>IF('Marks Entry'!V72="","",IF('Marks Entry'!V72=1,'School Profile'!$I$9,IF('Marks Entry'!V72=2,'School Profile'!$I$10,IF('Marks Entry'!V72=3,'School Profile'!$I$11,IF('Marks Entry'!V72=4,'School Profile'!$I$12,IF('Marks Entry'!V72=5,'School Profile'!$I$13,IF('Marks Entry'!V72=6,'School Profile'!$I$14,"")))))))</f>
        <v/>
      </c>
      <c r="AN72" s="68" t="str">
        <f>IF('Marks Entry'!W72="","",'Marks Entry'!W72)</f>
        <v/>
      </c>
      <c r="AO72" s="68" t="str">
        <f>IF('Marks Entry'!X72="","",'Marks Entry'!X72)</f>
        <v/>
      </c>
      <c r="AP72" s="68" t="str">
        <f>IF('Marks Entry'!Y72="","",'Marks Entry'!Y72)</f>
        <v/>
      </c>
      <c r="AQ72" s="514" t="str">
        <f t="shared" si="183"/>
        <v/>
      </c>
      <c r="AR72" s="68" t="str">
        <f>IF('Marks Entry'!Z72="","",'Marks Entry'!Z72)</f>
        <v/>
      </c>
      <c r="AS72" s="515" t="str">
        <f t="shared" si="184"/>
        <v/>
      </c>
      <c r="AT72" s="68" t="str">
        <f>IF('Marks Entry'!AA72="","",'Marks Entry'!AA72)</f>
        <v/>
      </c>
      <c r="AU72" s="96" t="str">
        <f t="shared" si="185"/>
        <v/>
      </c>
      <c r="AV72" s="65">
        <f t="shared" si="186"/>
        <v>0</v>
      </c>
      <c r="AW72" s="65">
        <f t="shared" si="187"/>
        <v>0</v>
      </c>
      <c r="AX72" s="66" t="str">
        <f t="shared" si="188"/>
        <v/>
      </c>
      <c r="AY72" s="65" t="str">
        <f t="shared" si="189"/>
        <v/>
      </c>
      <c r="AZ72" s="65" t="str">
        <f t="shared" si="190"/>
        <v/>
      </c>
      <c r="BA72" s="65" t="str">
        <f t="shared" si="191"/>
        <v/>
      </c>
      <c r="BB72" s="68" t="str">
        <f>IF('Marks Entry'!AB72="","",'Marks Entry'!AB72)</f>
        <v/>
      </c>
      <c r="BC72" s="68" t="str">
        <f>IF('Marks Entry'!AC72="","",'Marks Entry'!AC72)</f>
        <v/>
      </c>
      <c r="BD72" s="68" t="str">
        <f>IF('Marks Entry'!AD72="","",'Marks Entry'!AD72)</f>
        <v/>
      </c>
      <c r="BE72" s="514" t="str">
        <f t="shared" si="192"/>
        <v/>
      </c>
      <c r="BF72" s="68" t="str">
        <f>IF('Marks Entry'!AE72="","",'Marks Entry'!AE72)</f>
        <v/>
      </c>
      <c r="BG72" s="515" t="str">
        <f t="shared" si="193"/>
        <v/>
      </c>
      <c r="BH72" s="68" t="str">
        <f>IF('Marks Entry'!AF72="","",'Marks Entry'!AF72)</f>
        <v/>
      </c>
      <c r="BI72" s="96" t="str">
        <f t="shared" si="194"/>
        <v/>
      </c>
      <c r="BJ72" s="65">
        <f t="shared" si="195"/>
        <v>0</v>
      </c>
      <c r="BK72" s="65">
        <f t="shared" ref="BK72:BK135" si="263">(COUNTIF(BB72:BD72,"ML")*10)+(COUNTIF(BF72,"ML")*$BF$6)+(COUNTIF(BH72,"ML")*$BH$6)</f>
        <v>0</v>
      </c>
      <c r="BL72" s="66" t="str">
        <f t="shared" si="196"/>
        <v/>
      </c>
      <c r="BM72" s="65" t="str">
        <f t="shared" si="197"/>
        <v/>
      </c>
      <c r="BN72" s="65" t="str">
        <f t="shared" si="198"/>
        <v/>
      </c>
      <c r="BO72" s="65" t="str">
        <f t="shared" si="199"/>
        <v/>
      </c>
      <c r="BP72" s="68" t="str">
        <f>IF('Marks Entry'!AG72="","",'Marks Entry'!AG72)</f>
        <v/>
      </c>
      <c r="BQ72" s="68" t="str">
        <f>IF('Marks Entry'!AH72="","",'Marks Entry'!AH72)</f>
        <v/>
      </c>
      <c r="BR72" s="68" t="str">
        <f>IF('Marks Entry'!AI72="","",'Marks Entry'!AI72)</f>
        <v/>
      </c>
      <c r="BS72" s="514" t="str">
        <f t="shared" si="200"/>
        <v/>
      </c>
      <c r="BT72" s="68" t="str">
        <f>IF('Marks Entry'!AJ72="","",'Marks Entry'!AJ72)</f>
        <v/>
      </c>
      <c r="BU72" s="515" t="str">
        <f t="shared" si="201"/>
        <v/>
      </c>
      <c r="BV72" s="68" t="str">
        <f>IF('Marks Entry'!AK72="","",'Marks Entry'!AK72)</f>
        <v/>
      </c>
      <c r="BW72" s="96" t="str">
        <f t="shared" si="202"/>
        <v/>
      </c>
      <c r="BX72" s="65">
        <f t="shared" si="203"/>
        <v>0</v>
      </c>
      <c r="BY72" s="65">
        <f t="shared" si="204"/>
        <v>0</v>
      </c>
      <c r="BZ72" s="66" t="str">
        <f t="shared" si="205"/>
        <v/>
      </c>
      <c r="CA72" s="65" t="str">
        <f t="shared" si="206"/>
        <v/>
      </c>
      <c r="CB72" s="65" t="str">
        <f t="shared" si="207"/>
        <v/>
      </c>
      <c r="CC72" s="65" t="str">
        <f t="shared" si="208"/>
        <v/>
      </c>
      <c r="CD72" s="66">
        <f t="shared" si="209"/>
        <v>0</v>
      </c>
      <c r="CE72" s="68" t="str">
        <f>IF('Marks Entry'!AL72="","",'Marks Entry'!AL72)</f>
        <v/>
      </c>
      <c r="CF72" s="68" t="str">
        <f>IF('Marks Entry'!AM72="","",'Marks Entry'!AM72)</f>
        <v/>
      </c>
      <c r="CG72" s="68" t="str">
        <f>IF('Marks Entry'!AN72="","",'Marks Entry'!AN72)</f>
        <v/>
      </c>
      <c r="CH72" s="514" t="str">
        <f t="shared" si="210"/>
        <v/>
      </c>
      <c r="CI72" s="68" t="str">
        <f>IF('Marks Entry'!AO72="","",'Marks Entry'!AO72)</f>
        <v/>
      </c>
      <c r="CJ72" s="515" t="str">
        <f t="shared" si="211"/>
        <v/>
      </c>
      <c r="CK72" s="68" t="str">
        <f>IF('Marks Entry'!AP72="","",'Marks Entry'!AP72)</f>
        <v/>
      </c>
      <c r="CL72" s="96" t="str">
        <f t="shared" si="212"/>
        <v/>
      </c>
      <c r="CM72" s="65">
        <f t="shared" si="213"/>
        <v>0</v>
      </c>
      <c r="CN72" s="65">
        <f t="shared" si="214"/>
        <v>0</v>
      </c>
      <c r="CO72" s="66" t="str">
        <f t="shared" si="215"/>
        <v/>
      </c>
      <c r="CP72" s="65" t="str">
        <f t="shared" si="216"/>
        <v/>
      </c>
      <c r="CQ72" s="65" t="str">
        <f t="shared" si="217"/>
        <v/>
      </c>
      <c r="CR72" s="65" t="str">
        <f t="shared" si="218"/>
        <v/>
      </c>
      <c r="CS72" s="616"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8" t="str">
        <f>IF('School Profile'!$D$20="NO","",IF('Marks Entry'!AR72="","",'Marks Entry'!AR72))</f>
        <v/>
      </c>
      <c r="CU72" s="68" t="str">
        <f>IF('School Profile'!$D$20="NO","",IF('Marks Entry'!AS72="","",'Marks Entry'!AS72))</f>
        <v/>
      </c>
      <c r="CV72" s="68" t="str">
        <f>IF('School Profile'!$D$20="NO","",IF('Marks Entry'!AT72="","",'Marks Entry'!AT72))</f>
        <v/>
      </c>
      <c r="CW72" s="514" t="str">
        <f>IF('School Profile'!$D$20="NO","",IF(AND(CT72="",CU72="",CV72=""),"",SUM(CT72:CV72)))</f>
        <v/>
      </c>
      <c r="CX72" s="68" t="str">
        <f>IF('School Profile'!$D$20="NO","",IF('Marks Entry'!AU72="","",'Marks Entry'!AU72))</f>
        <v/>
      </c>
      <c r="CY72" s="68" t="str">
        <f>IF('School Profile'!$D$20="NO","",IF('Marks Entry'!AV72="","",'Marks Entry'!AV72))</f>
        <v/>
      </c>
      <c r="CZ72" s="515" t="str">
        <f>IF('School Profile'!$D$20="NO","",IF(AND(CX72="",CY72=""),"",SUM(CX72,CY72)))</f>
        <v/>
      </c>
      <c r="DA72" s="69" t="str">
        <f>IF('School Profile'!$D$20="NO","",IF(AND(CW72="",CZ72=""),"",SUM(CW72+CZ72)))</f>
        <v/>
      </c>
      <c r="DB72" s="68" t="str">
        <f>IF('School Profile'!$D$20="NO","",IF('Marks Entry'!AW72="","",'Marks Entry'!AW72))</f>
        <v/>
      </c>
      <c r="DC72" s="68" t="str">
        <f>IF('School Profile'!$D$20="NO","",IF('Marks Entry'!AX72="","",'Marks Entry'!AX72))</f>
        <v/>
      </c>
      <c r="DD72" s="515" t="str">
        <f>IF('School Profile'!$D$20="NO","",IF(AND(DB72="",DC72=""),"",SUM(DB72,DC72)))</f>
        <v/>
      </c>
      <c r="DE72" s="96" t="str">
        <f>IF('School Profile'!$D$20="NO","",IF(AND(DA72="",DD72=""),"",SUM(DA72,DD72)))</f>
        <v/>
      </c>
      <c r="DF72" s="532">
        <f t="shared" si="219"/>
        <v>0</v>
      </c>
      <c r="DG72" s="65">
        <f t="shared" si="220"/>
        <v>0</v>
      </c>
      <c r="DH72" s="66" t="str">
        <f t="shared" si="221"/>
        <v/>
      </c>
      <c r="DI72" s="65" t="str">
        <f t="shared" si="222"/>
        <v/>
      </c>
      <c r="DJ72" s="65" t="str">
        <f t="shared" si="223"/>
        <v/>
      </c>
      <c r="DK72" s="65" t="str">
        <f t="shared" si="224"/>
        <v/>
      </c>
      <c r="DL72" s="97" t="str">
        <f t="shared" ref="DL72:DL135" si="264">X72</f>
        <v/>
      </c>
      <c r="DM72" s="97" t="str">
        <f t="shared" ref="DM72:DM135" si="265">AL72</f>
        <v/>
      </c>
      <c r="DN72" s="97" t="str">
        <f t="shared" ref="DN72:DN135" si="266">BA72</f>
        <v/>
      </c>
      <c r="DO72" s="97" t="str">
        <f t="shared" ref="DO72:DO135" si="267">BO72</f>
        <v/>
      </c>
      <c r="DP72" s="97" t="str">
        <f t="shared" ref="DP72:DP135" si="268">CC72</f>
        <v/>
      </c>
      <c r="DQ72" s="97" t="str">
        <f t="shared" ref="DQ72:DQ135" si="269">CR72</f>
        <v/>
      </c>
      <c r="DR72" s="97" t="str">
        <f t="shared" ref="DR72:DR135" si="270">DK72</f>
        <v/>
      </c>
      <c r="DS72" s="98">
        <f t="shared" ref="DS72:DS135" si="271">COUNTIF(DL72:DR72,"F")+COUNTIF(DL72:DR72,"AB")</f>
        <v>0</v>
      </c>
      <c r="DT72" s="98">
        <f t="shared" ref="DT72:DT135" si="272">COUNTIF(DL72:DR72,"S")</f>
        <v>0</v>
      </c>
      <c r="DU72" s="98">
        <f t="shared" ref="DU72:DU135" si="273">COUNTIF(DL72:DR72,"G1")</f>
        <v>0</v>
      </c>
      <c r="DV72" s="98">
        <f t="shared" ref="DV72:DV135" si="274">COUNTIF(DL72:DR72,"G2")</f>
        <v>0</v>
      </c>
      <c r="DW72" s="98">
        <f t="shared" ref="DW72:DW135" si="275">COUNTIF(DL72:DR72,"RE")+COUNTIF(DL72:DR72,"REP")</f>
        <v>0</v>
      </c>
      <c r="DX72" s="98" t="str">
        <f t="shared" ref="DX72:DX135" si="276">IF(OR(DK72="AB",DK72="F"),"F",IF(OR(DK72="RE"),"RE",""))</f>
        <v/>
      </c>
      <c r="DY72" s="99" t="str">
        <f t="shared" ref="DY72:DY135" si="277">IF(B72="NSO","NSO",IF(OR(B72="",B72=0,Q72="",AE72="",AT72="",BH72="",BV72="",CK72=""),"",IF(OR(DS72&gt;0,(DT72+DU72+DV72)&gt;2),"FAIL",IF(DW72&gt;0,"RE-EXAM",IF(OR(DT72&gt;0,DU72&gt;1),"SUPPLEMENTARY",IF(AND(DU72&gt;0,DV72&gt;0),"SUPPLEMENTARY",IF((DU72+DV72)&gt;0,"BY GRACE PASS","PASS")))))))</f>
        <v/>
      </c>
      <c r="DZ72" s="74" t="str">
        <f>IF('Marks Entry'!AY72="","",'Marks Entry'!AY72)</f>
        <v/>
      </c>
      <c r="EA72" s="74" t="str">
        <f>IF('Marks Entry'!AZ72="","",'Marks Entry'!AZ72)</f>
        <v/>
      </c>
      <c r="EB72" s="74" t="str">
        <f>IF('Marks Entry'!BA72="","",'Marks Entry'!BA72)</f>
        <v/>
      </c>
      <c r="EC72" s="527" t="str">
        <f t="shared" si="225"/>
        <v/>
      </c>
      <c r="ED72" s="74" t="str">
        <f>IF('Marks Entry'!BB72="","",'Marks Entry'!BB72)</f>
        <v/>
      </c>
      <c r="EE72" s="528" t="str">
        <f t="shared" si="226"/>
        <v/>
      </c>
      <c r="EF72" s="74" t="str">
        <f>IF('Marks Entry'!BC72="","",'Marks Entry'!BC72)</f>
        <v/>
      </c>
      <c r="EG72" s="530" t="str">
        <f t="shared" si="227"/>
        <v/>
      </c>
      <c r="EH72" s="368" t="str">
        <f t="shared" ref="EH72:EH135" si="278">IF(OR($B72="NSO",$B72=0,EG72=""),"",IF(OR(EG72="AB",EE72="AB",EF72="AB"),"AB",IF(AND(DY72="FAIL",(OR(EG72&lt;36%*EK72))),"D",IF(OR(EF72="ML",EF72&lt;20%*EF$6,EG72&lt;36%*EK72),"D",IF(EG72&gt;80%*EK72,"A",IF(EG72&gt;60%*EK72,"B",IF(EG72&gt;40%*EK72,"C","D")))))))</f>
        <v/>
      </c>
      <c r="EI72" s="65">
        <f t="shared" ref="EI72:EI135" si="279">COUNTIF(DZ72:EB72,"NA")*10</f>
        <v>0</v>
      </c>
      <c r="EJ72" s="65">
        <f t="shared" ref="EJ72:EJ135" si="280">(COUNTIF(DZ72:EB72,"ML")*10)+(COUNTIF(ED72,"ML")*70)+(COUNTIF(EF72,"ML")*100)</f>
        <v>0</v>
      </c>
      <c r="EK72" s="66" t="str">
        <f t="shared" ref="EK72:EK135" si="281">IF(OR($B72="NSO",$B72=0),"",IF(AND(DZ72="",EA72="",EC72="",EE72=""),"",IF(AND(EA72="",EC72="",ED72="",EE72="",EF72=""),($DZ$6)-EI72-EJ72,IF(AND(DZ72="",EC72="",ED72="",EE72="",EF72=""),($EA$6)-EI72-EJ72,IF(AND(EC72="",ED72="",EE72="",EF72=""),($DZ$6+$EA$6)-EI72-EJ72,IF(AND(EE72="",EF72=""),($EC$6+$ED$6)-EI72-EJ72,($EG$6)-EI72-EJ72))))))</f>
        <v/>
      </c>
      <c r="EL72" s="74" t="str">
        <f>IF('Marks Entry'!BD72="","",'Marks Entry'!BD72)</f>
        <v/>
      </c>
      <c r="EM72" s="74" t="str">
        <f>IF('Marks Entry'!BE72="","",'Marks Entry'!BE72)</f>
        <v/>
      </c>
      <c r="EN72" s="74" t="str">
        <f>IF('Marks Entry'!BF72="","",'Marks Entry'!BF72)</f>
        <v/>
      </c>
      <c r="EO72" s="527" t="str">
        <f t="shared" si="228"/>
        <v/>
      </c>
      <c r="EP72" s="74" t="str">
        <f>IF('Marks Entry'!BG72="","",'Marks Entry'!BG72)</f>
        <v/>
      </c>
      <c r="EQ72" s="74" t="str">
        <f>IF('Marks Entry'!BH72="","",'Marks Entry'!BH72)</f>
        <v/>
      </c>
      <c r="ER72" s="528" t="str">
        <f t="shared" si="229"/>
        <v/>
      </c>
      <c r="ES72" s="529" t="str">
        <f t="shared" si="230"/>
        <v/>
      </c>
      <c r="ET72" s="74" t="str">
        <f>IF('Marks Entry'!BI72="","",'Marks Entry'!BI72)</f>
        <v/>
      </c>
      <c r="EU72" s="74" t="str">
        <f>IF('Marks Entry'!BJ72="","",'Marks Entry'!BJ72)</f>
        <v/>
      </c>
      <c r="EV72" s="528" t="str">
        <f t="shared" si="231"/>
        <v/>
      </c>
      <c r="EW72" s="530" t="str">
        <f t="shared" si="232"/>
        <v/>
      </c>
      <c r="EX72" s="368" t="str">
        <f t="shared" ref="EX72:EX135" si="282">IF(OR($B72="NSO",$B72=0,EW72=""),"",IF(OR(ET72="AB",EU72="AB",EV72="AB"),"AB",IF(AND($DY72="FAIL",(OR(EW72&lt;36%*FA72))),"D",IF(OR(EV72="ML",EV72&lt;20%*EV$6,EW72&lt;36%*FA72),"D",IF(EW72&gt;80%*FA72,"A",IF(EW72&gt;60%*FA72,"B",IF(EW72&gt;40%*FA72,"C","D")))))))</f>
        <v/>
      </c>
      <c r="EY72" s="65">
        <f t="shared" ref="EY72:EY135" si="283">COUNTIF(EL72:EN72,"NA")*10</f>
        <v>0</v>
      </c>
      <c r="EZ72" s="65">
        <f t="shared" ref="EZ72:EZ135" si="284">(COUNTIF(EL72:EN72,"ML")*10)+(COUNTIF(ER72,"ML")*70)+(COUNTIF(EV72,"ML")*100)</f>
        <v>0</v>
      </c>
      <c r="FA72" s="66" t="str">
        <f t="shared" ref="FA72:FA135" si="285">IF(OR($B72="NSO",$B72=0),"",IF(AND(EL72="",EM72="",EP72="",ET72=""),"",IF(AND(EM72="",EP72="",EQ72="",ET72="",EU72=""),($EL$6)-EY72-EZ72,IF(AND(EL72="",EP72="",EQ72="",ET72="",EU72=""),($EM$6)-EY72-EZ72,IF(AND(EP72="",EQ72="",ET72="",EU72=""),($EL$6+$EM$6)-EY72-EZ72,IF(AND(ET72="",EU72=""),($EP$6+$EQ$6)-EY72-EZ72,($EW$6)-EY72-EZ72))))))</f>
        <v/>
      </c>
      <c r="FB72" s="74" t="str">
        <f>IF('Marks Entry'!BK72="","",'Marks Entry'!BK72)</f>
        <v/>
      </c>
      <c r="FC72" s="74" t="str">
        <f>IF('Marks Entry'!BL72="","",'Marks Entry'!BL72)</f>
        <v/>
      </c>
      <c r="FD72" s="74" t="str">
        <f>IF('Marks Entry'!BM72="","",'Marks Entry'!BM72)</f>
        <v/>
      </c>
      <c r="FE72" s="74" t="str">
        <f>IF('Marks Entry'!BN72="","",'Marks Entry'!BN72)</f>
        <v/>
      </c>
      <c r="FF72" s="74" t="str">
        <f>IF('Marks Entry'!BO72="","",'Marks Entry'!BO72)</f>
        <v/>
      </c>
      <c r="FG72" s="74" t="str">
        <f>IF('Marks Entry'!BP72="","",'Marks Entry'!BP72)</f>
        <v/>
      </c>
      <c r="FH72" s="527" t="str">
        <f t="shared" si="233"/>
        <v/>
      </c>
      <c r="FI72" s="74" t="str">
        <f>IF('Marks Entry'!BQ72="","",'Marks Entry'!BQ72)</f>
        <v/>
      </c>
      <c r="FJ72" s="74" t="str">
        <f>IF('Marks Entry'!BR72="","",'Marks Entry'!BR72)</f>
        <v/>
      </c>
      <c r="FK72" s="528" t="str">
        <f t="shared" si="234"/>
        <v/>
      </c>
      <c r="FL72" s="529" t="str">
        <f t="shared" si="235"/>
        <v/>
      </c>
      <c r="FM72" s="74" t="str">
        <f>IF('Marks Entry'!BS72="","",'Marks Entry'!BS72)</f>
        <v/>
      </c>
      <c r="FN72" s="74" t="str">
        <f>IF('Marks Entry'!BT72="","",'Marks Entry'!BT72)</f>
        <v/>
      </c>
      <c r="FO72" s="528" t="str">
        <f t="shared" si="236"/>
        <v/>
      </c>
      <c r="FP72" s="530" t="str">
        <f t="shared" si="237"/>
        <v/>
      </c>
      <c r="FQ72" s="368" t="str">
        <f t="shared" ref="FQ72:FQ135" si="286">IF(OR($B72="NSO",$B72=0,FP72=""),"",IF(OR(FM72="AB",FN72="AB",FO72="AB"),"AB",IF(AND($DY72="FAIL",(OR(FP72&lt;36%*FT72))),"D",IF(OR(FO72="ML",FO72&lt;20%*FO$6,FP72&lt;36%*FT72),"D",IF(FP72&gt;80%*FT72,"A",IF(FP72&gt;60%*FT72,"B",IF(FP72&gt;40%*FT72,"C","D")))))))</f>
        <v/>
      </c>
      <c r="FR72" s="65">
        <f t="shared" ref="FR72:FR135" si="287">COUNTIF(FB72,"NA")*10+COUNTIF(FD72,"NA")*10+COUNTIF(FF72,"NA")*10</f>
        <v>0</v>
      </c>
      <c r="FS72" s="65">
        <f t="shared" ref="FS72:FS135" si="288">(COUNTIF(FB72,"ML")*10)+(COUNTIF(FD72,"ML")*10)+(COUNTIF(FF72,"ML")*10)+(COUNTIF(FI72,"ML")*25)+(COUNTIF(FJ72,"ML")*15)+(COUNTIF(FM72,"ML")*30)+(COUNTIF(FN72,"ML")*70)</f>
        <v>0</v>
      </c>
      <c r="FT72" s="66" t="str">
        <f t="shared" ref="FT72:FT135" si="289">IF(OR($B72="NSO",$B72=0),"",IF(AND(FB72="",FD72="",FF72="",FI72="",FM72=""),"",IF(AND(FC72="",FI72="",FJ72="",FE72="",FN72=""),($FB$6)-FR72-FS72,IF(AND(FB72="",FI72="",FJ72="",FM72="",FN72=""),($FC$6)-FR72-FS72,IF(AND(FI72="",FJ72="",FM72="",FN72=""),($FB$6+$FC$6)-FR72-FS72,IF(AND(FM72="",FN72=""),($FI$6+$FJ$6)-FR72-FS72,($FP$6)-FR72-FS72))))))</f>
        <v/>
      </c>
      <c r="FU72" s="74" t="str">
        <f>IF('Marks Entry'!BU72="","",'Marks Entry'!BU72)</f>
        <v/>
      </c>
      <c r="FV72" s="74" t="str">
        <f>IF('Marks Entry'!BV72="","",'Marks Entry'!BV72)</f>
        <v/>
      </c>
      <c r="FW72" s="74" t="str">
        <f>IF('Marks Entry'!BW72="","",'Marks Entry'!BW72)</f>
        <v/>
      </c>
      <c r="FX72" s="75" t="str">
        <f t="shared" si="238"/>
        <v/>
      </c>
      <c r="FY72" s="368" t="str">
        <f t="shared" ref="FY72:FY135" si="290">IFERROR(IF(OR($B72="NSO",$B72=0,FX72=""),"",IF(OR(FU72="AB",FV72="AB",FW72="AB"),"AB",IF(AND($DY72="FAIL",(OR(FX72&lt;36%*GB72))),"D",IF(OR(FW72="ML",FX72&lt;20%*FX$6,FX72&lt;36%*GB72),"D",IF(FX72&gt;80%*GB72,"A",IF(FX72&gt;60%*GB72,"B",IF(FX72&gt;40%*GB72,"C","D"))))))),"")</f>
        <v/>
      </c>
      <c r="FZ72" s="65">
        <f t="shared" ref="FZ72:FZ135" si="291">COUNTIF(FU72,"NA")*25</f>
        <v>0</v>
      </c>
      <c r="GA72" s="66">
        <f t="shared" ref="GA72:GA135" si="292">IF(AND(FW72="",FU72="",FW72=""),(COUNTIF(FU72,"ML")*25+(COUNTIF(FW72,"ML"))*FW$6+(COUNTIF(FV72,"ML"))*FV$6),(COUNTIF(FU72,"ML")*25+(COUNTIF(FW72,"ML"))*FW$6+(COUNTIF(FX72,"ML"))*FX$6))</f>
        <v>0</v>
      </c>
      <c r="GB72" s="66" t="str">
        <f t="shared" ref="GB72:GB135" si="293">IF(OR($B72="NSO",$B72=0),"",IF(AND(FU72="",FV72="",FW72=""),"",IF(AND(FU72="",FV72="",FW72=""),($FX$6)-FZ72-GA72,IF(AND(FW72=""),($FW$6)-FZ72-GA72,IF(AND(FV72=""),($FV$6)-FZ72-GA72,IF(AND(FU72=""),($FU$6)-FZ72-GA72,($FX$6)-FZ72-GA72))))))</f>
        <v/>
      </c>
      <c r="GC72" s="74" t="str">
        <f>IF('Marks Entry'!BX72="","",'Marks Entry'!BX72)</f>
        <v/>
      </c>
      <c r="GD72" s="74" t="str">
        <f>IF('Marks Entry'!BY72="","",'Marks Entry'!BY72)</f>
        <v/>
      </c>
      <c r="GE72" s="74" t="str">
        <f>IF('Marks Entry'!BZ72="","",'Marks Entry'!BZ72)</f>
        <v/>
      </c>
      <c r="GF72" s="75" t="str">
        <f t="shared" ref="GF72:GF135" si="294">IF(AND(GC72="",GD72="",GE72=""),"",SUM(GC72,GD72,GE72))</f>
        <v/>
      </c>
      <c r="GG72" s="368" t="str">
        <f t="shared" ref="GG72:GG135" si="295">IFERROR(IF(OR($B72="NSO",$B72=0,GF72=""),"",IF(OR(GC72="AB",GD72="AB",GE72="AB"),"AB",IF(AND($DY72="FAIL",(OR(GF72&lt;36%*GJ72))),"D",IF(OR(GE72="ML",GF72&lt;20%*GF$6,GF72&lt;36%*GJ72),"D",IF(GF72&gt;80%*GJ72,"A",IF(GF72&gt;60%*GJ72,"B",IF(GF72&gt;40%*GJ72,"C","D"))))))),"")</f>
        <v/>
      </c>
      <c r="GH72" s="65">
        <f t="shared" ref="GH72:GH135" si="296">COUNTIF(GC72,"NA")*25</f>
        <v>0</v>
      </c>
      <c r="GI72" s="66">
        <f t="shared" ref="GI72:GI135" si="297">IF(AND(GE72="",GC72="",GE72=""),(COUNTIF(GC72,"ML")*25+(COUNTIF(GE72,"ML"))*GE$6+(COUNTIF(GD72,"ML"))*GD$6),(COUNTIF(GC72,"ML")*25+(COUNTIF(GE72,"ML"))*GE$6+(COUNTIF(GF72,"ML"))*GF$6))</f>
        <v>0</v>
      </c>
      <c r="GJ72" s="66" t="str">
        <f t="shared" ref="GJ72:GJ135" si="298">IF(OR($B72="NSO",$B72=0),"",IF(AND(GC72="",GD72="",GE72=""),"",IF(AND(GC72="",GD72="",GE72=""),($GF$6)-GH72-GI72,IF(AND(GE72=""),($GE$6)-GH72-GI72,IF(AND(GD72=""),($GD$6)-GH72-GI72,IF(AND(GC72=""),($GC$6)-GH72-GI72,($GF$6)-GH72-GI72))))))</f>
        <v/>
      </c>
      <c r="GK72" s="100" t="str">
        <f>IF(AND(F72="",B72=""),"",IF('Student DATA Entry'!M69="","",'Student DATA Entry'!M69))</f>
        <v/>
      </c>
      <c r="GL72" s="101" t="str">
        <f>IF(AND(B72="",F72=""),"",IF('Student DATA Entry'!N69="","",'Student DATA Entry'!N69))</f>
        <v/>
      </c>
      <c r="GM72" s="581" t="str">
        <f t="shared" ref="GM72:GM135" si="299">IF(OR(GK72=0,GL72=0,GK72="",GL72=""),"",GL72/GK72*100)</f>
        <v/>
      </c>
      <c r="GN72" s="94" t="str">
        <f t="shared" ref="GN72:GN135" si="300">IF(AND(DY72="FAIL",(OR(DL72="G1",DL72="G2",DL72="S",DL72="RE"))),"F",IF(AND(DY72="RE-EXAM",(OR(DL72="G1",DL72="G2",DL72="S"))),"S",IF(AND(DY72="SUPPLEMENTARY",(OR(DL72="G1",DL72="G2"))),"S",IF(AND(DY72="BY GRACE PASS",(OR(DL72="G1",DL72="G2"))),"G",DL72))))</f>
        <v/>
      </c>
      <c r="GO72" s="94" t="str">
        <f t="shared" ref="GO72:GO135" si="301">IF(GN72="G",",+","")</f>
        <v/>
      </c>
      <c r="GP72" s="102" t="str">
        <f t="shared" si="239"/>
        <v/>
      </c>
      <c r="GQ72" s="94" t="str">
        <f t="shared" ref="GQ72:GQ135" si="302">IF(AND(DY72="vuqRrh.kZ",(OR(DM72="G1",DM72="G2",DM72="S",DM72="RE"))),"F",IF(AND(DY72="iqu% ijh{kk",(OR(DM72="G1",DM72="G2",DM72="S"))),"S",IF(AND(DY72="iwjd",(OR(DM72="G1",DM72="G2"))),"S",IF(AND(DY72="lk- mRrh.kZ",(OR(DM72="G1",DM72="G2"))),"G",DM72))))</f>
        <v/>
      </c>
      <c r="GR72" s="103" t="str">
        <f t="shared" ref="GR72:GR135" si="303">IF(GQ72="G",",+","")</f>
        <v/>
      </c>
      <c r="GS72" s="102" t="str">
        <f t="shared" si="240"/>
        <v/>
      </c>
      <c r="GT72" s="104" t="str">
        <f t="shared" ref="GT72:GT135" si="304">IF(AND(DY72="FAIL",(OR(DN72="G1",DN72="G2",DN72="S",DN72="RE"))),"F",IF(AND(DY72="RE-EXAM",(OR(DN72="G1",DN72="G2",DN72="S"))),"S",IF(AND(DY72="SUPPLEMENTARY",(OR(DN72="G1",DN72="G2"))),"S",IF(AND(DY72="BY GRACE PASS",(OR(DN72="G1",DN72="G2"))),"G",DN72))))</f>
        <v/>
      </c>
      <c r="GU72" s="94" t="str">
        <f>IF('Marks Entry'!V72=1,GT72,"")</f>
        <v/>
      </c>
      <c r="GV72" s="94" t="str">
        <f>IF('Marks Entry'!V72=2,GT72,"")</f>
        <v/>
      </c>
      <c r="GW72" s="94" t="str">
        <f>IF('Marks Entry'!V72=3,GT72,"")</f>
        <v/>
      </c>
      <c r="GX72" s="94" t="str">
        <f>IF('Marks Entry'!V72=4,GT72,"")</f>
        <v/>
      </c>
      <c r="GY72" s="94" t="str">
        <f>IF('Marks Entry'!V72=5,GT72,"")</f>
        <v/>
      </c>
      <c r="GZ72" s="94" t="str">
        <f t="shared" ref="GZ72:GZ135" si="305">IF(GT72="G",",+","")</f>
        <v/>
      </c>
      <c r="HA72" s="105" t="str">
        <f t="shared" si="241"/>
        <v/>
      </c>
      <c r="HB72" s="94" t="str">
        <f t="shared" ref="HB72:HB135" si="306">IF(AND(DY72="FAIL",(OR(DO72="G1",DO72="G2",DO72="S",DO72="RE",))),"F",IF(AND(DY72="RE-EXAM",(OR(DO72="G1",DO72="G2",DO72="S"))),"S",IF(AND(DY72="SUPPLEMENTARY",(OR(DO72="G1",DO72="G2"))),"S",IF(AND(DY72="BY GRACE PASS",(OR(DO72="G1",DO72="G2"))),"G",DO72))))</f>
        <v/>
      </c>
      <c r="HC72" s="94" t="str">
        <f t="shared" ref="HC72:HC135" si="307">IF(HB72="G",",+","")</f>
        <v/>
      </c>
      <c r="HD72" s="105" t="str">
        <f t="shared" si="242"/>
        <v/>
      </c>
      <c r="HE72" s="94" t="str">
        <f t="shared" ref="HE72:HE135" si="308">IF(AND(DY72="FAIL",(OR(DP72="G1",DP72="G2",DP72="S",DP72="RE"))),"F",IF(AND(DY72="RE-EXAM",(OR(DP72="G1",DP72="G2",DP72="S"))),"S",IF(AND(DY72="SUPPLEMENTARY",(OR(DP72="G1",DP72="G2"))),"S",IF(AND(DY72="BY GRACE PASS",(OR(DP72="G1",DP72="G2"))),"G",DP72))))</f>
        <v/>
      </c>
      <c r="HF72" s="94" t="str">
        <f t="shared" ref="HF72:HF135" si="309">IF(HE72="G",",+","")</f>
        <v/>
      </c>
      <c r="HG72" s="105" t="str">
        <f t="shared" si="243"/>
        <v/>
      </c>
      <c r="HH72" s="94" t="str">
        <f t="shared" ref="HH72:HH135" si="310">IF(AND(DY72="FAIL",(OR(DQ72="G1",DQ72="G2",DQ72="S",DQ72="RE"))),"F",IF(AND(DY72="RE-EXAM",(OR(DQ72="G1",DQ72="G2",DQ72="S"))),"S",IF(AND(DY72="SUPPLEMENTARY",(OR(DQ72="G1",DQ72="G2"))),"S",IF(AND(DY72="BY GRACE PASS",(OR(DQ72="G1",DQ72="G2"))),"G",DQ72))))</f>
        <v/>
      </c>
      <c r="HI72" s="94" t="str">
        <f t="shared" ref="HI72:HI135" si="311">IF(HH72="G",",+","")</f>
        <v/>
      </c>
      <c r="HJ72" s="105" t="str">
        <f t="shared" si="244"/>
        <v/>
      </c>
      <c r="HK72" s="94" t="str">
        <f t="shared" ref="HK72:HK135" si="312">IF(AND(DY72="FAIL",(OR(DR72="G1",DR72="G2",DR72="S",DR72="RE"))),"F",IF(AND(DY72="RE-EXAM",(OR(DR72="G1",DR72="G2",DR72="S"))),"S",IF(AND(DY72="SUPPLEMENTARY",(OR(DR72="G1",DR72="G2"))),"S",IF(AND(DY72="BY GRACE PASS",(OR(DR72="G1",DR72="G2"))),"G",DR72))))</f>
        <v/>
      </c>
      <c r="HL72" s="94" t="str">
        <f t="shared" ref="HL72:HL135" si="313">IF(HK72="G",",+","")</f>
        <v/>
      </c>
      <c r="HM72" s="105" t="str">
        <f t="shared" si="245"/>
        <v/>
      </c>
      <c r="HN72" s="367"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18" t="str">
        <f t="shared" si="246"/>
        <v xml:space="preserve">      </v>
      </c>
      <c r="HP72" s="367" t="str">
        <f t="shared" ref="HP72:HP135" si="315">CONCATENATE(IF(GN72="G",$GN$5,"")," ",IF(GQ72="G",$GQ$5,"")," ",IF(GU72="G",$GU$5,IF(GV72="G",$GV$5,IF(GW72="G",$GW$5,IF(GX72="G",$GX$5,IF(GY72="G",$GY$5,"")))))," ",IF(HB72="G",$HB$5,"")," ",IF(HE72="G",$HE$5,"")," ",IF(HH72="G",$HH$5,"")," ",IF(HK72="G",$HK$5,""))</f>
        <v xml:space="preserve">      </v>
      </c>
      <c r="HQ72" s="107"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66" t="str">
        <f t="shared" ref="HR72:HR135" si="317">CONCATENATE(IF(GN72="D",$GN$5,"")," ",IF($GQ72="D",$GQ$5,"")," ",IF(GU72="D",$GU$5,IF(GV72="D",$GV$5,IF(GW72="D",$GW$5,IF(GX72="D",$GX$5,IF(GY72="D",$GY$5,"")))))," ",IF(HB72="D",$HB$5,"")," ",IF(HE72="D",$HE$5,"")," ",IF(HH72="D",$HH$5,"")," ",IF(HK72="D",$HK$5,""))</f>
        <v xml:space="preserve">      </v>
      </c>
      <c r="HS72" s="544" t="str">
        <f t="shared" si="247"/>
        <v/>
      </c>
      <c r="HT72" s="542" t="str">
        <f t="shared" ref="HT72:HT135" si="318">IF(AND(R72="",AF72="",AU72="",BI72="",BW72=""),"",IF(OR(CS72="",DE72=""),SUM(R72,AF72,AU72,BI72,BW72,CL72),IF((CL72/CO72*100)&gt;=(DE72/DH72*100),SUM(R72,AF72,AU72,BI72,BW72,CL72),SUM(R72,AF72,AU72,BI72,BW72,DE72))))</f>
        <v/>
      </c>
      <c r="HU72" s="541" t="str">
        <f t="shared" ref="HU72:HU135" si="319">IF(HT72="","",HT72*100/($HT$6-CD72))</f>
        <v/>
      </c>
      <c r="HV72" s="540" t="str">
        <f t="shared" ref="HV72:HV135" si="320">IFERROR(IF(HU72="","",IF(AND(HU72&gt;=60,(HS72="PASS")),"1st",IF(AND(HU72&gt;=60,(HS72="BY GRACE PASS")),"1st",IF(AND(HU72&gt;=48,(HS72="PASS")),"2nd",IF(AND(HU72&gt;=48,(HS72="BY GRACE PASS")),"2nd",IF(AND(HU72&gt;=36,(HS72="PASS")),"3rd",IF(AND(HU72&gt;=36,(HS72="BY GRACE PASS")),"3rd",""))))))),"")</f>
        <v/>
      </c>
      <c r="HW72" s="537" t="str">
        <f t="shared" ref="HW72:HW135" si="321">IFERROR(IF(OR(HS72="PASS",HS72="BY GRACE PASS"),HU72,""),"")</f>
        <v/>
      </c>
      <c r="HX72" s="539" t="str">
        <f t="shared" ref="HX72:HX135" si="322">IFERROR(IF(HW72="","",SUMPRODUCT((HW72&lt;HW$7:HW$206)/COUNTIF(HW$7:HW$206,HW$7:HW$206))),"")</f>
        <v/>
      </c>
      <c r="HY72" s="553" t="str">
        <f>IFERROR(IF(OR(HS72="SUPPLEMENTARY",HS72="RE-EXAM"),'Supp. Result Entry'!AQ70,""),"")</f>
        <v/>
      </c>
      <c r="HZ72" s="538" t="str">
        <f t="shared" ref="HZ72:HZ135" si="323">IF(OR(KA72="",JP72=0),"",IF(JY72="","",JY72))</f>
        <v/>
      </c>
      <c r="IA72" s="415" t="str">
        <f t="shared" ref="IA72:IA135" si="324">IF(AND(KA72=""),"",IF(HZ72="","",IF(AND(KA72="FAIL"),"Failed",KA72)))</f>
        <v/>
      </c>
      <c r="IB72" s="415" t="str">
        <f>IF(AND(HZ72="",IA72=""),"",IF(OR(HS72="SUPPLEMENTARY",HS72="RE-EXAM"),'Supp. Result Entry'!AQ70,HS72))</f>
        <v/>
      </c>
      <c r="IC72" s="87"/>
      <c r="IS72" s="109" t="str">
        <f>IF('Supp. Result Entry'!T70="","",'Supp. Result Entry'!$T$4)</f>
        <v/>
      </c>
      <c r="IT72" s="110" t="str">
        <f>IF('Supp. Result Entry'!W70="","",'Supp. Result Entry'!$W$4)</f>
        <v/>
      </c>
      <c r="IU72" s="110" t="str">
        <f>IF('Supp. Result Entry'!Z70="","",'Supp. Result Entry'!$Z$4)</f>
        <v/>
      </c>
      <c r="IV72" s="110" t="str">
        <f>IF('Supp. Result Entry'!AC70="","",'Supp. Result Entry'!$AC$4)</f>
        <v/>
      </c>
      <c r="IW72" s="110" t="str">
        <f>IF('Supp. Result Entry'!AF70="","",'Supp. Result Entry'!$AF$4)</f>
        <v/>
      </c>
      <c r="IX72" s="110" t="str">
        <f>IF('Supp. Result Entry'!AI70="","",'Supp. Result Entry'!$AI$4)</f>
        <v/>
      </c>
      <c r="IY72" s="110" t="str">
        <f>IF('Supp. Result Entry'!AI70="","",'Supp. Result Entry'!$AL$4)</f>
        <v/>
      </c>
      <c r="IZ72" s="110" t="str">
        <f>IF('Supp. Result Entry'!U70="","",'Supp. Result Entry'!U70)</f>
        <v/>
      </c>
      <c r="JA72" s="110" t="str">
        <f>IF('Supp. Result Entry'!X70="","",'Supp. Result Entry'!X70)</f>
        <v/>
      </c>
      <c r="JB72" s="110" t="str">
        <f>IF('Supp. Result Entry'!AA70="","",'Supp. Result Entry'!AA70)</f>
        <v/>
      </c>
      <c r="JC72" s="110" t="str">
        <f>IF('Supp. Result Entry'!AD70="","",'Supp. Result Entry'!AD70)</f>
        <v/>
      </c>
      <c r="JD72" s="110" t="str">
        <f>IF('Supp. Result Entry'!AG70="","",'Supp. Result Entry'!AG70)</f>
        <v/>
      </c>
      <c r="JE72" s="110" t="str">
        <f>IF('Supp. Result Entry'!AJ70="","",'Supp. Result Entry'!AJ70)</f>
        <v/>
      </c>
      <c r="JF72" s="110" t="str">
        <f>IF('Supp. Result Entry'!AM70="","",'Supp. Result Entry'!AM70)</f>
        <v/>
      </c>
      <c r="JG72" s="110" t="str">
        <f>IF('Supp. Result Entry'!V70="","",'Supp. Result Entry'!V70)</f>
        <v/>
      </c>
      <c r="JH72" s="110" t="str">
        <f>IF('Supp. Result Entry'!Y70="","",'Supp. Result Entry'!Y70)</f>
        <v/>
      </c>
      <c r="JI72" s="110" t="str">
        <f>IF('Supp. Result Entry'!AB70="","",'Supp. Result Entry'!AB70)</f>
        <v/>
      </c>
      <c r="JJ72" s="110" t="str">
        <f>IF('Supp. Result Entry'!AE70="","",'Supp. Result Entry'!AE70)</f>
        <v/>
      </c>
      <c r="JK72" s="110" t="str">
        <f>IF('Supp. Result Entry'!AH70="","",'Supp. Result Entry'!AH70)</f>
        <v/>
      </c>
      <c r="JL72" s="110" t="str">
        <f>IF('Supp. Result Entry'!AK70="","",'Supp. Result Entry'!AK70)</f>
        <v/>
      </c>
      <c r="JM72" s="110" t="str">
        <f>IF('Supp. Result Entry'!AN70="","",'Supp. Result Entry'!AN70)</f>
        <v/>
      </c>
      <c r="JN72" s="110">
        <f>COUNTIF('Supp. Result Entry'!K70:Q70,"S")</f>
        <v>0</v>
      </c>
      <c r="JO72" s="110">
        <f t="shared" si="248"/>
        <v>0</v>
      </c>
      <c r="JP72" s="110">
        <f t="shared" ref="JP72:JP135" si="325">COUNTIF(JG72:JM72,"P")</f>
        <v>0</v>
      </c>
      <c r="JQ72" s="110" t="str">
        <f t="shared" si="249"/>
        <v/>
      </c>
      <c r="JR72" s="110" t="str">
        <f t="shared" si="250"/>
        <v/>
      </c>
      <c r="JS72" s="110" t="str">
        <f t="shared" si="251"/>
        <v/>
      </c>
      <c r="JT72" s="110" t="str">
        <f t="shared" si="252"/>
        <v/>
      </c>
      <c r="JU72" s="110" t="str">
        <f t="shared" si="253"/>
        <v/>
      </c>
      <c r="JV72" s="110" t="str">
        <f t="shared" si="254"/>
        <v/>
      </c>
      <c r="JW72" s="110" t="str">
        <f t="shared" si="255"/>
        <v/>
      </c>
      <c r="JX72" s="110" t="str">
        <f t="shared" ref="JX72:JX135" si="326">IF(OR(JN72=0,JN72&lt;JP72),"",SUM(JQ72:JW72))</f>
        <v/>
      </c>
      <c r="JY72" s="110" t="str">
        <f t="shared" ref="JY72:JY135" si="327">IF(OR(JN72=0,JN72&lt;JP72),"",JX72/JZ72*100)</f>
        <v/>
      </c>
      <c r="JZ72" s="110" t="str">
        <f t="shared" si="256"/>
        <v/>
      </c>
      <c r="KA72" s="108" t="str">
        <f t="shared" ref="KA72:KA135" si="328">IF(JY72="","",IF(JY72&gt;=60,"I",IF(JY72&gt;=48,"II",IF(JY72&gt;=36,"III",""))))</f>
        <v/>
      </c>
    </row>
    <row r="73" spans="1:287" s="108" customFormat="1" ht="21.95" customHeight="1">
      <c r="A73" s="89">
        <v>67</v>
      </c>
      <c r="B73" s="90" t="str">
        <f>IF('Marks Entry'!B73="","",'Marks Entry'!B73)</f>
        <v/>
      </c>
      <c r="C73" s="94" t="str">
        <f>IF('Marks Entry'!D73="","",'Marks Entry'!D73)</f>
        <v/>
      </c>
      <c r="D73" s="91" t="str">
        <f>IF('Marks Entry'!E73="","",'Marks Entry'!E73)</f>
        <v/>
      </c>
      <c r="E73" s="92" t="str">
        <f>IF('Marks Entry'!F73="","",'Marks Entry'!F73)</f>
        <v/>
      </c>
      <c r="F73" s="93" t="str">
        <f>IF('Marks Entry'!G73="","",'Marks Entry'!G73)</f>
        <v/>
      </c>
      <c r="G73" s="93" t="str">
        <f>IF('Marks Entry'!H73="","",'Marks Entry'!H73)</f>
        <v/>
      </c>
      <c r="H73" s="93" t="str">
        <f>IF('Marks Entry'!I73="","",'Marks Entry'!I73)</f>
        <v/>
      </c>
      <c r="I73" s="94" t="str">
        <f>IF('Marks Entry'!J73="","",'Marks Entry'!J73)</f>
        <v/>
      </c>
      <c r="J73" s="95" t="str">
        <f>IF('Marks Entry'!K73="","",'Marks Entry'!K73)</f>
        <v/>
      </c>
      <c r="K73" s="68" t="str">
        <f>IF('Marks Entry'!L73="","",'Marks Entry'!L73)</f>
        <v/>
      </c>
      <c r="L73" s="68" t="str">
        <f>IF('Marks Entry'!M73="","",'Marks Entry'!M73)</f>
        <v/>
      </c>
      <c r="M73" s="68" t="str">
        <f>IF('Marks Entry'!N73="","",'Marks Entry'!N73)</f>
        <v/>
      </c>
      <c r="N73" s="514" t="str">
        <f t="shared" si="257"/>
        <v/>
      </c>
      <c r="O73" s="68" t="str">
        <f>IF('Marks Entry'!O73="","",'Marks Entry'!O73)</f>
        <v/>
      </c>
      <c r="P73" s="515" t="str">
        <f t="shared" si="258"/>
        <v/>
      </c>
      <c r="Q73" s="68" t="str">
        <f>IF('Marks Entry'!P73="","",'Marks Entry'!P73)</f>
        <v/>
      </c>
      <c r="R73" s="96" t="str">
        <f t="shared" si="259"/>
        <v/>
      </c>
      <c r="S73" s="65">
        <f t="shared" si="260"/>
        <v>0</v>
      </c>
      <c r="T73" s="65">
        <f t="shared" si="261"/>
        <v>0</v>
      </c>
      <c r="U73" s="66" t="str">
        <f t="shared" si="171"/>
        <v/>
      </c>
      <c r="V73" s="65" t="str">
        <f t="shared" si="172"/>
        <v/>
      </c>
      <c r="W73" s="65" t="str">
        <f t="shared" si="262"/>
        <v/>
      </c>
      <c r="X73" s="65" t="str">
        <f t="shared" si="173"/>
        <v/>
      </c>
      <c r="Y73" s="68" t="str">
        <f>IF('Marks Entry'!Q73="","",'Marks Entry'!Q73)</f>
        <v/>
      </c>
      <c r="Z73" s="68" t="str">
        <f>IF('Marks Entry'!R73="","",'Marks Entry'!R73)</f>
        <v/>
      </c>
      <c r="AA73" s="68" t="str">
        <f>IF('Marks Entry'!S73="","",'Marks Entry'!S73)</f>
        <v/>
      </c>
      <c r="AB73" s="514" t="str">
        <f t="shared" si="174"/>
        <v/>
      </c>
      <c r="AC73" s="68" t="str">
        <f>IF('Marks Entry'!T73="","",'Marks Entry'!T73)</f>
        <v/>
      </c>
      <c r="AD73" s="515" t="str">
        <f t="shared" si="175"/>
        <v/>
      </c>
      <c r="AE73" s="68" t="str">
        <f>IF('Marks Entry'!U73="","",'Marks Entry'!U73)</f>
        <v/>
      </c>
      <c r="AF73" s="96" t="str">
        <f t="shared" si="176"/>
        <v/>
      </c>
      <c r="AG73" s="65">
        <f t="shared" si="177"/>
        <v>0</v>
      </c>
      <c r="AH73" s="65">
        <f t="shared" si="178"/>
        <v>0</v>
      </c>
      <c r="AI73" s="66" t="str">
        <f t="shared" si="179"/>
        <v/>
      </c>
      <c r="AJ73" s="65" t="str">
        <f t="shared" si="180"/>
        <v/>
      </c>
      <c r="AK73" s="65" t="str">
        <f t="shared" si="181"/>
        <v/>
      </c>
      <c r="AL73" s="65" t="str">
        <f t="shared" si="182"/>
        <v/>
      </c>
      <c r="AM73" s="524" t="str">
        <f>IF('Marks Entry'!V73="","",IF('Marks Entry'!V73=1,'School Profile'!$I$9,IF('Marks Entry'!V73=2,'School Profile'!$I$10,IF('Marks Entry'!V73=3,'School Profile'!$I$11,IF('Marks Entry'!V73=4,'School Profile'!$I$12,IF('Marks Entry'!V73=5,'School Profile'!$I$13,IF('Marks Entry'!V73=6,'School Profile'!$I$14,"")))))))</f>
        <v/>
      </c>
      <c r="AN73" s="68" t="str">
        <f>IF('Marks Entry'!W73="","",'Marks Entry'!W73)</f>
        <v/>
      </c>
      <c r="AO73" s="68" t="str">
        <f>IF('Marks Entry'!X73="","",'Marks Entry'!X73)</f>
        <v/>
      </c>
      <c r="AP73" s="68" t="str">
        <f>IF('Marks Entry'!Y73="","",'Marks Entry'!Y73)</f>
        <v/>
      </c>
      <c r="AQ73" s="514" t="str">
        <f t="shared" si="183"/>
        <v/>
      </c>
      <c r="AR73" s="68" t="str">
        <f>IF('Marks Entry'!Z73="","",'Marks Entry'!Z73)</f>
        <v/>
      </c>
      <c r="AS73" s="515" t="str">
        <f t="shared" si="184"/>
        <v/>
      </c>
      <c r="AT73" s="68" t="str">
        <f>IF('Marks Entry'!AA73="","",'Marks Entry'!AA73)</f>
        <v/>
      </c>
      <c r="AU73" s="96" t="str">
        <f t="shared" si="185"/>
        <v/>
      </c>
      <c r="AV73" s="65">
        <f t="shared" si="186"/>
        <v>0</v>
      </c>
      <c r="AW73" s="65">
        <f t="shared" si="187"/>
        <v>0</v>
      </c>
      <c r="AX73" s="66" t="str">
        <f t="shared" si="188"/>
        <v/>
      </c>
      <c r="AY73" s="65" t="str">
        <f t="shared" si="189"/>
        <v/>
      </c>
      <c r="AZ73" s="65" t="str">
        <f t="shared" si="190"/>
        <v/>
      </c>
      <c r="BA73" s="65" t="str">
        <f t="shared" si="191"/>
        <v/>
      </c>
      <c r="BB73" s="68" t="str">
        <f>IF('Marks Entry'!AB73="","",'Marks Entry'!AB73)</f>
        <v/>
      </c>
      <c r="BC73" s="68" t="str">
        <f>IF('Marks Entry'!AC73="","",'Marks Entry'!AC73)</f>
        <v/>
      </c>
      <c r="BD73" s="68" t="str">
        <f>IF('Marks Entry'!AD73="","",'Marks Entry'!AD73)</f>
        <v/>
      </c>
      <c r="BE73" s="514" t="str">
        <f t="shared" si="192"/>
        <v/>
      </c>
      <c r="BF73" s="68" t="str">
        <f>IF('Marks Entry'!AE73="","",'Marks Entry'!AE73)</f>
        <v/>
      </c>
      <c r="BG73" s="515" t="str">
        <f t="shared" si="193"/>
        <v/>
      </c>
      <c r="BH73" s="68" t="str">
        <f>IF('Marks Entry'!AF73="","",'Marks Entry'!AF73)</f>
        <v/>
      </c>
      <c r="BI73" s="96" t="str">
        <f t="shared" si="194"/>
        <v/>
      </c>
      <c r="BJ73" s="65">
        <f t="shared" si="195"/>
        <v>0</v>
      </c>
      <c r="BK73" s="65">
        <f t="shared" si="263"/>
        <v>0</v>
      </c>
      <c r="BL73" s="66" t="str">
        <f t="shared" si="196"/>
        <v/>
      </c>
      <c r="BM73" s="65" t="str">
        <f t="shared" si="197"/>
        <v/>
      </c>
      <c r="BN73" s="65" t="str">
        <f t="shared" si="198"/>
        <v/>
      </c>
      <c r="BO73" s="65" t="str">
        <f t="shared" si="199"/>
        <v/>
      </c>
      <c r="BP73" s="68" t="str">
        <f>IF('Marks Entry'!AG73="","",'Marks Entry'!AG73)</f>
        <v/>
      </c>
      <c r="BQ73" s="68" t="str">
        <f>IF('Marks Entry'!AH73="","",'Marks Entry'!AH73)</f>
        <v/>
      </c>
      <c r="BR73" s="68" t="str">
        <f>IF('Marks Entry'!AI73="","",'Marks Entry'!AI73)</f>
        <v/>
      </c>
      <c r="BS73" s="514" t="str">
        <f t="shared" si="200"/>
        <v/>
      </c>
      <c r="BT73" s="68" t="str">
        <f>IF('Marks Entry'!AJ73="","",'Marks Entry'!AJ73)</f>
        <v/>
      </c>
      <c r="BU73" s="515" t="str">
        <f t="shared" si="201"/>
        <v/>
      </c>
      <c r="BV73" s="68" t="str">
        <f>IF('Marks Entry'!AK73="","",'Marks Entry'!AK73)</f>
        <v/>
      </c>
      <c r="BW73" s="96" t="str">
        <f t="shared" si="202"/>
        <v/>
      </c>
      <c r="BX73" s="65">
        <f t="shared" si="203"/>
        <v>0</v>
      </c>
      <c r="BY73" s="65">
        <f t="shared" si="204"/>
        <v>0</v>
      </c>
      <c r="BZ73" s="66" t="str">
        <f t="shared" si="205"/>
        <v/>
      </c>
      <c r="CA73" s="65" t="str">
        <f t="shared" si="206"/>
        <v/>
      </c>
      <c r="CB73" s="65" t="str">
        <f t="shared" si="207"/>
        <v/>
      </c>
      <c r="CC73" s="65" t="str">
        <f t="shared" si="208"/>
        <v/>
      </c>
      <c r="CD73" s="66">
        <f t="shared" si="209"/>
        <v>0</v>
      </c>
      <c r="CE73" s="68" t="str">
        <f>IF('Marks Entry'!AL73="","",'Marks Entry'!AL73)</f>
        <v/>
      </c>
      <c r="CF73" s="68" t="str">
        <f>IF('Marks Entry'!AM73="","",'Marks Entry'!AM73)</f>
        <v/>
      </c>
      <c r="CG73" s="68" t="str">
        <f>IF('Marks Entry'!AN73="","",'Marks Entry'!AN73)</f>
        <v/>
      </c>
      <c r="CH73" s="514" t="str">
        <f t="shared" si="210"/>
        <v/>
      </c>
      <c r="CI73" s="68" t="str">
        <f>IF('Marks Entry'!AO73="","",'Marks Entry'!AO73)</f>
        <v/>
      </c>
      <c r="CJ73" s="515" t="str">
        <f t="shared" si="211"/>
        <v/>
      </c>
      <c r="CK73" s="68" t="str">
        <f>IF('Marks Entry'!AP73="","",'Marks Entry'!AP73)</f>
        <v/>
      </c>
      <c r="CL73" s="96" t="str">
        <f t="shared" si="212"/>
        <v/>
      </c>
      <c r="CM73" s="65">
        <f t="shared" si="213"/>
        <v>0</v>
      </c>
      <c r="CN73" s="65">
        <f t="shared" si="214"/>
        <v>0</v>
      </c>
      <c r="CO73" s="66" t="str">
        <f t="shared" si="215"/>
        <v/>
      </c>
      <c r="CP73" s="65" t="str">
        <f t="shared" si="216"/>
        <v/>
      </c>
      <c r="CQ73" s="65" t="str">
        <f t="shared" si="217"/>
        <v/>
      </c>
      <c r="CR73" s="65" t="str">
        <f t="shared" si="218"/>
        <v/>
      </c>
      <c r="CS73" s="616"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8" t="str">
        <f>IF('School Profile'!$D$20="NO","",IF('Marks Entry'!AR73="","",'Marks Entry'!AR73))</f>
        <v/>
      </c>
      <c r="CU73" s="68" t="str">
        <f>IF('School Profile'!$D$20="NO","",IF('Marks Entry'!AS73="","",'Marks Entry'!AS73))</f>
        <v/>
      </c>
      <c r="CV73" s="68" t="str">
        <f>IF('School Profile'!$D$20="NO","",IF('Marks Entry'!AT73="","",'Marks Entry'!AT73))</f>
        <v/>
      </c>
      <c r="CW73" s="514" t="str">
        <f>IF('School Profile'!$D$20="NO","",IF(AND(CT73="",CU73="",CV73=""),"",SUM(CT73:CV73)))</f>
        <v/>
      </c>
      <c r="CX73" s="68" t="str">
        <f>IF('School Profile'!$D$20="NO","",IF('Marks Entry'!AU73="","",'Marks Entry'!AU73))</f>
        <v/>
      </c>
      <c r="CY73" s="68" t="str">
        <f>IF('School Profile'!$D$20="NO","",IF('Marks Entry'!AV73="","",'Marks Entry'!AV73))</f>
        <v/>
      </c>
      <c r="CZ73" s="515" t="str">
        <f>IF('School Profile'!$D$20="NO","",IF(AND(CX73="",CY73=""),"",SUM(CX73,CY73)))</f>
        <v/>
      </c>
      <c r="DA73" s="69" t="str">
        <f>IF('School Profile'!$D$20="NO","",IF(AND(CW73="",CZ73=""),"",SUM(CW73+CZ73)))</f>
        <v/>
      </c>
      <c r="DB73" s="68" t="str">
        <f>IF('School Profile'!$D$20="NO","",IF('Marks Entry'!AW73="","",'Marks Entry'!AW73))</f>
        <v/>
      </c>
      <c r="DC73" s="68" t="str">
        <f>IF('School Profile'!$D$20="NO","",IF('Marks Entry'!AX73="","",'Marks Entry'!AX73))</f>
        <v/>
      </c>
      <c r="DD73" s="515" t="str">
        <f>IF('School Profile'!$D$20="NO","",IF(AND(DB73="",DC73=""),"",SUM(DB73,DC73)))</f>
        <v/>
      </c>
      <c r="DE73" s="96" t="str">
        <f>IF('School Profile'!$D$20="NO","",IF(AND(DA73="",DD73=""),"",SUM(DA73,DD73)))</f>
        <v/>
      </c>
      <c r="DF73" s="532">
        <f t="shared" si="219"/>
        <v>0</v>
      </c>
      <c r="DG73" s="65">
        <f t="shared" si="220"/>
        <v>0</v>
      </c>
      <c r="DH73" s="66" t="str">
        <f t="shared" si="221"/>
        <v/>
      </c>
      <c r="DI73" s="65" t="str">
        <f t="shared" si="222"/>
        <v/>
      </c>
      <c r="DJ73" s="65" t="str">
        <f t="shared" si="223"/>
        <v/>
      </c>
      <c r="DK73" s="65" t="str">
        <f t="shared" si="224"/>
        <v/>
      </c>
      <c r="DL73" s="97" t="str">
        <f t="shared" si="264"/>
        <v/>
      </c>
      <c r="DM73" s="97" t="str">
        <f t="shared" si="265"/>
        <v/>
      </c>
      <c r="DN73" s="97" t="str">
        <f t="shared" si="266"/>
        <v/>
      </c>
      <c r="DO73" s="97" t="str">
        <f t="shared" si="267"/>
        <v/>
      </c>
      <c r="DP73" s="97" t="str">
        <f t="shared" si="268"/>
        <v/>
      </c>
      <c r="DQ73" s="97" t="str">
        <f t="shared" si="269"/>
        <v/>
      </c>
      <c r="DR73" s="97" t="str">
        <f t="shared" si="270"/>
        <v/>
      </c>
      <c r="DS73" s="98">
        <f t="shared" si="271"/>
        <v>0</v>
      </c>
      <c r="DT73" s="98">
        <f t="shared" si="272"/>
        <v>0</v>
      </c>
      <c r="DU73" s="98">
        <f t="shared" si="273"/>
        <v>0</v>
      </c>
      <c r="DV73" s="98">
        <f t="shared" si="274"/>
        <v>0</v>
      </c>
      <c r="DW73" s="98">
        <f t="shared" si="275"/>
        <v>0</v>
      </c>
      <c r="DX73" s="98" t="str">
        <f t="shared" si="276"/>
        <v/>
      </c>
      <c r="DY73" s="99" t="str">
        <f t="shared" si="277"/>
        <v/>
      </c>
      <c r="DZ73" s="74" t="str">
        <f>IF('Marks Entry'!AY73="","",'Marks Entry'!AY73)</f>
        <v/>
      </c>
      <c r="EA73" s="74" t="str">
        <f>IF('Marks Entry'!AZ73="","",'Marks Entry'!AZ73)</f>
        <v/>
      </c>
      <c r="EB73" s="74" t="str">
        <f>IF('Marks Entry'!BA73="","",'Marks Entry'!BA73)</f>
        <v/>
      </c>
      <c r="EC73" s="527" t="str">
        <f t="shared" si="225"/>
        <v/>
      </c>
      <c r="ED73" s="74" t="str">
        <f>IF('Marks Entry'!BB73="","",'Marks Entry'!BB73)</f>
        <v/>
      </c>
      <c r="EE73" s="528" t="str">
        <f t="shared" si="226"/>
        <v/>
      </c>
      <c r="EF73" s="74" t="str">
        <f>IF('Marks Entry'!BC73="","",'Marks Entry'!BC73)</f>
        <v/>
      </c>
      <c r="EG73" s="530" t="str">
        <f t="shared" si="227"/>
        <v/>
      </c>
      <c r="EH73" s="368" t="str">
        <f t="shared" si="278"/>
        <v/>
      </c>
      <c r="EI73" s="65">
        <f t="shared" si="279"/>
        <v>0</v>
      </c>
      <c r="EJ73" s="65">
        <f t="shared" si="280"/>
        <v>0</v>
      </c>
      <c r="EK73" s="66" t="str">
        <f t="shared" si="281"/>
        <v/>
      </c>
      <c r="EL73" s="74" t="str">
        <f>IF('Marks Entry'!BD73="","",'Marks Entry'!BD73)</f>
        <v/>
      </c>
      <c r="EM73" s="74" t="str">
        <f>IF('Marks Entry'!BE73="","",'Marks Entry'!BE73)</f>
        <v/>
      </c>
      <c r="EN73" s="74" t="str">
        <f>IF('Marks Entry'!BF73="","",'Marks Entry'!BF73)</f>
        <v/>
      </c>
      <c r="EO73" s="527" t="str">
        <f t="shared" si="228"/>
        <v/>
      </c>
      <c r="EP73" s="74" t="str">
        <f>IF('Marks Entry'!BG73="","",'Marks Entry'!BG73)</f>
        <v/>
      </c>
      <c r="EQ73" s="74" t="str">
        <f>IF('Marks Entry'!BH73="","",'Marks Entry'!BH73)</f>
        <v/>
      </c>
      <c r="ER73" s="528" t="str">
        <f t="shared" si="229"/>
        <v/>
      </c>
      <c r="ES73" s="529" t="str">
        <f t="shared" si="230"/>
        <v/>
      </c>
      <c r="ET73" s="74" t="str">
        <f>IF('Marks Entry'!BI73="","",'Marks Entry'!BI73)</f>
        <v/>
      </c>
      <c r="EU73" s="74" t="str">
        <f>IF('Marks Entry'!BJ73="","",'Marks Entry'!BJ73)</f>
        <v/>
      </c>
      <c r="EV73" s="528" t="str">
        <f t="shared" si="231"/>
        <v/>
      </c>
      <c r="EW73" s="530" t="str">
        <f t="shared" si="232"/>
        <v/>
      </c>
      <c r="EX73" s="368" t="str">
        <f t="shared" si="282"/>
        <v/>
      </c>
      <c r="EY73" s="65">
        <f t="shared" si="283"/>
        <v>0</v>
      </c>
      <c r="EZ73" s="65">
        <f t="shared" si="284"/>
        <v>0</v>
      </c>
      <c r="FA73" s="66" t="str">
        <f t="shared" si="285"/>
        <v/>
      </c>
      <c r="FB73" s="74" t="str">
        <f>IF('Marks Entry'!BK73="","",'Marks Entry'!BK73)</f>
        <v/>
      </c>
      <c r="FC73" s="74" t="str">
        <f>IF('Marks Entry'!BL73="","",'Marks Entry'!BL73)</f>
        <v/>
      </c>
      <c r="FD73" s="74" t="str">
        <f>IF('Marks Entry'!BM73="","",'Marks Entry'!BM73)</f>
        <v/>
      </c>
      <c r="FE73" s="74" t="str">
        <f>IF('Marks Entry'!BN73="","",'Marks Entry'!BN73)</f>
        <v/>
      </c>
      <c r="FF73" s="74" t="str">
        <f>IF('Marks Entry'!BO73="","",'Marks Entry'!BO73)</f>
        <v/>
      </c>
      <c r="FG73" s="74" t="str">
        <f>IF('Marks Entry'!BP73="","",'Marks Entry'!BP73)</f>
        <v/>
      </c>
      <c r="FH73" s="527" t="str">
        <f t="shared" si="233"/>
        <v/>
      </c>
      <c r="FI73" s="74" t="str">
        <f>IF('Marks Entry'!BQ73="","",'Marks Entry'!BQ73)</f>
        <v/>
      </c>
      <c r="FJ73" s="74" t="str">
        <f>IF('Marks Entry'!BR73="","",'Marks Entry'!BR73)</f>
        <v/>
      </c>
      <c r="FK73" s="528" t="str">
        <f t="shared" si="234"/>
        <v/>
      </c>
      <c r="FL73" s="529" t="str">
        <f t="shared" si="235"/>
        <v/>
      </c>
      <c r="FM73" s="74" t="str">
        <f>IF('Marks Entry'!BS73="","",'Marks Entry'!BS73)</f>
        <v/>
      </c>
      <c r="FN73" s="74" t="str">
        <f>IF('Marks Entry'!BT73="","",'Marks Entry'!BT73)</f>
        <v/>
      </c>
      <c r="FO73" s="528" t="str">
        <f t="shared" si="236"/>
        <v/>
      </c>
      <c r="FP73" s="530" t="str">
        <f t="shared" si="237"/>
        <v/>
      </c>
      <c r="FQ73" s="368" t="str">
        <f t="shared" si="286"/>
        <v/>
      </c>
      <c r="FR73" s="65">
        <f t="shared" si="287"/>
        <v>0</v>
      </c>
      <c r="FS73" s="65">
        <f t="shared" si="288"/>
        <v>0</v>
      </c>
      <c r="FT73" s="66" t="str">
        <f t="shared" si="289"/>
        <v/>
      </c>
      <c r="FU73" s="74" t="str">
        <f>IF('Marks Entry'!BU73="","",'Marks Entry'!BU73)</f>
        <v/>
      </c>
      <c r="FV73" s="74" t="str">
        <f>IF('Marks Entry'!BV73="","",'Marks Entry'!BV73)</f>
        <v/>
      </c>
      <c r="FW73" s="74" t="str">
        <f>IF('Marks Entry'!BW73="","",'Marks Entry'!BW73)</f>
        <v/>
      </c>
      <c r="FX73" s="75" t="str">
        <f t="shared" si="238"/>
        <v/>
      </c>
      <c r="FY73" s="368" t="str">
        <f t="shared" si="290"/>
        <v/>
      </c>
      <c r="FZ73" s="65">
        <f t="shared" si="291"/>
        <v>0</v>
      </c>
      <c r="GA73" s="66">
        <f t="shared" si="292"/>
        <v>0</v>
      </c>
      <c r="GB73" s="66" t="str">
        <f t="shared" si="293"/>
        <v/>
      </c>
      <c r="GC73" s="74" t="str">
        <f>IF('Marks Entry'!BX73="","",'Marks Entry'!BX73)</f>
        <v/>
      </c>
      <c r="GD73" s="74" t="str">
        <f>IF('Marks Entry'!BY73="","",'Marks Entry'!BY73)</f>
        <v/>
      </c>
      <c r="GE73" s="74" t="str">
        <f>IF('Marks Entry'!BZ73="","",'Marks Entry'!BZ73)</f>
        <v/>
      </c>
      <c r="GF73" s="75" t="str">
        <f t="shared" si="294"/>
        <v/>
      </c>
      <c r="GG73" s="368" t="str">
        <f t="shared" si="295"/>
        <v/>
      </c>
      <c r="GH73" s="65">
        <f t="shared" si="296"/>
        <v>0</v>
      </c>
      <c r="GI73" s="66">
        <f t="shared" si="297"/>
        <v>0</v>
      </c>
      <c r="GJ73" s="66" t="str">
        <f t="shared" si="298"/>
        <v/>
      </c>
      <c r="GK73" s="100" t="str">
        <f>IF(AND(F73="",B73=""),"",IF('Student DATA Entry'!M70="","",'Student DATA Entry'!M70))</f>
        <v/>
      </c>
      <c r="GL73" s="101" t="str">
        <f>IF(AND(B73="",F73=""),"",IF('Student DATA Entry'!N70="","",'Student DATA Entry'!N70))</f>
        <v/>
      </c>
      <c r="GM73" s="581" t="str">
        <f t="shared" si="299"/>
        <v/>
      </c>
      <c r="GN73" s="94" t="str">
        <f t="shared" si="300"/>
        <v/>
      </c>
      <c r="GO73" s="94" t="str">
        <f t="shared" si="301"/>
        <v/>
      </c>
      <c r="GP73" s="102" t="str">
        <f t="shared" si="239"/>
        <v/>
      </c>
      <c r="GQ73" s="94" t="str">
        <f t="shared" si="302"/>
        <v/>
      </c>
      <c r="GR73" s="103" t="str">
        <f t="shared" si="303"/>
        <v/>
      </c>
      <c r="GS73" s="102" t="str">
        <f t="shared" si="240"/>
        <v/>
      </c>
      <c r="GT73" s="104" t="str">
        <f t="shared" si="304"/>
        <v/>
      </c>
      <c r="GU73" s="94" t="str">
        <f>IF('Marks Entry'!V73=1,GT73,"")</f>
        <v/>
      </c>
      <c r="GV73" s="94" t="str">
        <f>IF('Marks Entry'!V73=2,GT73,"")</f>
        <v/>
      </c>
      <c r="GW73" s="94" t="str">
        <f>IF('Marks Entry'!V73=3,GT73,"")</f>
        <v/>
      </c>
      <c r="GX73" s="94" t="str">
        <f>IF('Marks Entry'!V73=4,GT73,"")</f>
        <v/>
      </c>
      <c r="GY73" s="94" t="str">
        <f>IF('Marks Entry'!V73=5,GT73,"")</f>
        <v/>
      </c>
      <c r="GZ73" s="94" t="str">
        <f t="shared" si="305"/>
        <v/>
      </c>
      <c r="HA73" s="105" t="str">
        <f t="shared" si="241"/>
        <v/>
      </c>
      <c r="HB73" s="94" t="str">
        <f t="shared" si="306"/>
        <v/>
      </c>
      <c r="HC73" s="94" t="str">
        <f t="shared" si="307"/>
        <v/>
      </c>
      <c r="HD73" s="105" t="str">
        <f t="shared" si="242"/>
        <v/>
      </c>
      <c r="HE73" s="94" t="str">
        <f t="shared" si="308"/>
        <v/>
      </c>
      <c r="HF73" s="94" t="str">
        <f t="shared" si="309"/>
        <v/>
      </c>
      <c r="HG73" s="105" t="str">
        <f t="shared" si="243"/>
        <v/>
      </c>
      <c r="HH73" s="94" t="str">
        <f t="shared" si="310"/>
        <v/>
      </c>
      <c r="HI73" s="94" t="str">
        <f t="shared" si="311"/>
        <v/>
      </c>
      <c r="HJ73" s="105" t="str">
        <f t="shared" si="244"/>
        <v/>
      </c>
      <c r="HK73" s="94" t="str">
        <f t="shared" si="312"/>
        <v/>
      </c>
      <c r="HL73" s="94" t="str">
        <f t="shared" si="313"/>
        <v/>
      </c>
      <c r="HM73" s="105" t="str">
        <f t="shared" si="245"/>
        <v/>
      </c>
      <c r="HN73" s="367" t="str">
        <f t="shared" si="314"/>
        <v xml:space="preserve">      </v>
      </c>
      <c r="HO73" s="418" t="str">
        <f t="shared" si="246"/>
        <v xml:space="preserve">      </v>
      </c>
      <c r="HP73" s="367" t="str">
        <f t="shared" si="315"/>
        <v xml:space="preserve">      </v>
      </c>
      <c r="HQ73" s="107" t="str">
        <f t="shared" si="316"/>
        <v xml:space="preserve">      </v>
      </c>
      <c r="HR73" s="366" t="str">
        <f t="shared" si="317"/>
        <v xml:space="preserve">      </v>
      </c>
      <c r="HS73" s="544" t="str">
        <f t="shared" si="247"/>
        <v/>
      </c>
      <c r="HT73" s="542" t="str">
        <f t="shared" si="318"/>
        <v/>
      </c>
      <c r="HU73" s="541" t="str">
        <f t="shared" si="319"/>
        <v/>
      </c>
      <c r="HV73" s="540" t="str">
        <f t="shared" si="320"/>
        <v/>
      </c>
      <c r="HW73" s="537" t="str">
        <f t="shared" si="321"/>
        <v/>
      </c>
      <c r="HX73" s="539" t="str">
        <f t="shared" si="322"/>
        <v/>
      </c>
      <c r="HY73" s="553" t="str">
        <f>IFERROR(IF(OR(HS73="SUPPLEMENTARY",HS73="RE-EXAM"),'Supp. Result Entry'!AQ71,""),"")</f>
        <v/>
      </c>
      <c r="HZ73" s="538" t="str">
        <f t="shared" si="323"/>
        <v/>
      </c>
      <c r="IA73" s="415" t="str">
        <f t="shared" si="324"/>
        <v/>
      </c>
      <c r="IB73" s="415" t="str">
        <f>IF(AND(HZ73="",IA73=""),"",IF(OR(HS73="SUPPLEMENTARY",HS73="RE-EXAM"),'Supp. Result Entry'!AQ71,HS73))</f>
        <v/>
      </c>
      <c r="IC73" s="87"/>
      <c r="IS73" s="109" t="str">
        <f>IF('Supp. Result Entry'!T71="","",'Supp. Result Entry'!$T$4)</f>
        <v/>
      </c>
      <c r="IT73" s="110" t="str">
        <f>IF('Supp. Result Entry'!W71="","",'Supp. Result Entry'!$W$4)</f>
        <v/>
      </c>
      <c r="IU73" s="110" t="str">
        <f>IF('Supp. Result Entry'!Z71="","",'Supp. Result Entry'!$Z$4)</f>
        <v/>
      </c>
      <c r="IV73" s="110" t="str">
        <f>IF('Supp. Result Entry'!AC71="","",'Supp. Result Entry'!$AC$4)</f>
        <v/>
      </c>
      <c r="IW73" s="110" t="str">
        <f>IF('Supp. Result Entry'!AF71="","",'Supp. Result Entry'!$AF$4)</f>
        <v/>
      </c>
      <c r="IX73" s="110" t="str">
        <f>IF('Supp. Result Entry'!AI71="","",'Supp. Result Entry'!$AI$4)</f>
        <v/>
      </c>
      <c r="IY73" s="110" t="str">
        <f>IF('Supp. Result Entry'!AI71="","",'Supp. Result Entry'!$AL$4)</f>
        <v/>
      </c>
      <c r="IZ73" s="110" t="str">
        <f>IF('Supp. Result Entry'!U71="","",'Supp. Result Entry'!U71)</f>
        <v/>
      </c>
      <c r="JA73" s="110" t="str">
        <f>IF('Supp. Result Entry'!X71="","",'Supp. Result Entry'!X71)</f>
        <v/>
      </c>
      <c r="JB73" s="110" t="str">
        <f>IF('Supp. Result Entry'!AA71="","",'Supp. Result Entry'!AA71)</f>
        <v/>
      </c>
      <c r="JC73" s="110" t="str">
        <f>IF('Supp. Result Entry'!AD71="","",'Supp. Result Entry'!AD71)</f>
        <v/>
      </c>
      <c r="JD73" s="110" t="str">
        <f>IF('Supp. Result Entry'!AG71="","",'Supp. Result Entry'!AG71)</f>
        <v/>
      </c>
      <c r="JE73" s="110" t="str">
        <f>IF('Supp. Result Entry'!AJ71="","",'Supp. Result Entry'!AJ71)</f>
        <v/>
      </c>
      <c r="JF73" s="110" t="str">
        <f>IF('Supp. Result Entry'!AM71="","",'Supp. Result Entry'!AM71)</f>
        <v/>
      </c>
      <c r="JG73" s="110" t="str">
        <f>IF('Supp. Result Entry'!V71="","",'Supp. Result Entry'!V71)</f>
        <v/>
      </c>
      <c r="JH73" s="110" t="str">
        <f>IF('Supp. Result Entry'!Y71="","",'Supp. Result Entry'!Y71)</f>
        <v/>
      </c>
      <c r="JI73" s="110" t="str">
        <f>IF('Supp. Result Entry'!AB71="","",'Supp. Result Entry'!AB71)</f>
        <v/>
      </c>
      <c r="JJ73" s="110" t="str">
        <f>IF('Supp. Result Entry'!AE71="","",'Supp. Result Entry'!AE71)</f>
        <v/>
      </c>
      <c r="JK73" s="110" t="str">
        <f>IF('Supp. Result Entry'!AH71="","",'Supp. Result Entry'!AH71)</f>
        <v/>
      </c>
      <c r="JL73" s="110" t="str">
        <f>IF('Supp. Result Entry'!AK71="","",'Supp. Result Entry'!AK71)</f>
        <v/>
      </c>
      <c r="JM73" s="110" t="str">
        <f>IF('Supp. Result Entry'!AN71="","",'Supp. Result Entry'!AN71)</f>
        <v/>
      </c>
      <c r="JN73" s="110">
        <f>COUNTIF('Supp. Result Entry'!K71:Q71,"S")</f>
        <v>0</v>
      </c>
      <c r="JO73" s="110">
        <f t="shared" si="248"/>
        <v>0</v>
      </c>
      <c r="JP73" s="110">
        <f t="shared" si="325"/>
        <v>0</v>
      </c>
      <c r="JQ73" s="110" t="str">
        <f t="shared" si="249"/>
        <v/>
      </c>
      <c r="JR73" s="110" t="str">
        <f t="shared" si="250"/>
        <v/>
      </c>
      <c r="JS73" s="110" t="str">
        <f t="shared" si="251"/>
        <v/>
      </c>
      <c r="JT73" s="110" t="str">
        <f t="shared" si="252"/>
        <v/>
      </c>
      <c r="JU73" s="110" t="str">
        <f t="shared" si="253"/>
        <v/>
      </c>
      <c r="JV73" s="110" t="str">
        <f t="shared" si="254"/>
        <v/>
      </c>
      <c r="JW73" s="110" t="str">
        <f t="shared" si="255"/>
        <v/>
      </c>
      <c r="JX73" s="110" t="str">
        <f t="shared" si="326"/>
        <v/>
      </c>
      <c r="JY73" s="110" t="str">
        <f t="shared" si="327"/>
        <v/>
      </c>
      <c r="JZ73" s="110" t="str">
        <f t="shared" si="256"/>
        <v/>
      </c>
      <c r="KA73" s="108" t="str">
        <f t="shared" si="328"/>
        <v/>
      </c>
    </row>
    <row r="74" spans="1:287" s="108" customFormat="1" ht="21.95" customHeight="1">
      <c r="A74" s="89">
        <v>68</v>
      </c>
      <c r="B74" s="90" t="str">
        <f>IF('Marks Entry'!B74="","",'Marks Entry'!B74)</f>
        <v/>
      </c>
      <c r="C74" s="94" t="str">
        <f>IF('Marks Entry'!D74="","",'Marks Entry'!D74)</f>
        <v/>
      </c>
      <c r="D74" s="91" t="str">
        <f>IF('Marks Entry'!E74="","",'Marks Entry'!E74)</f>
        <v/>
      </c>
      <c r="E74" s="92" t="str">
        <f>IF('Marks Entry'!F74="","",'Marks Entry'!F74)</f>
        <v/>
      </c>
      <c r="F74" s="93" t="str">
        <f>IF('Marks Entry'!G74="","",'Marks Entry'!G74)</f>
        <v/>
      </c>
      <c r="G74" s="93" t="str">
        <f>IF('Marks Entry'!H74="","",'Marks Entry'!H74)</f>
        <v/>
      </c>
      <c r="H74" s="93" t="str">
        <f>IF('Marks Entry'!I74="","",'Marks Entry'!I74)</f>
        <v/>
      </c>
      <c r="I74" s="94" t="str">
        <f>IF('Marks Entry'!J74="","",'Marks Entry'!J74)</f>
        <v/>
      </c>
      <c r="J74" s="95" t="str">
        <f>IF('Marks Entry'!K74="","",'Marks Entry'!K74)</f>
        <v/>
      </c>
      <c r="K74" s="68" t="str">
        <f>IF('Marks Entry'!L74="","",'Marks Entry'!L74)</f>
        <v/>
      </c>
      <c r="L74" s="68" t="str">
        <f>IF('Marks Entry'!M74="","",'Marks Entry'!M74)</f>
        <v/>
      </c>
      <c r="M74" s="68" t="str">
        <f>IF('Marks Entry'!N74="","",'Marks Entry'!N74)</f>
        <v/>
      </c>
      <c r="N74" s="514" t="str">
        <f t="shared" si="257"/>
        <v/>
      </c>
      <c r="O74" s="68" t="str">
        <f>IF('Marks Entry'!O74="","",'Marks Entry'!O74)</f>
        <v/>
      </c>
      <c r="P74" s="515" t="str">
        <f t="shared" si="258"/>
        <v/>
      </c>
      <c r="Q74" s="68" t="str">
        <f>IF('Marks Entry'!P74="","",'Marks Entry'!P74)</f>
        <v/>
      </c>
      <c r="R74" s="96" t="str">
        <f t="shared" si="259"/>
        <v/>
      </c>
      <c r="S74" s="65">
        <f t="shared" si="260"/>
        <v>0</v>
      </c>
      <c r="T74" s="65">
        <f t="shared" si="261"/>
        <v>0</v>
      </c>
      <c r="U74" s="66" t="str">
        <f t="shared" si="171"/>
        <v/>
      </c>
      <c r="V74" s="65" t="str">
        <f t="shared" si="172"/>
        <v/>
      </c>
      <c r="W74" s="65" t="str">
        <f t="shared" si="262"/>
        <v/>
      </c>
      <c r="X74" s="65" t="str">
        <f t="shared" si="173"/>
        <v/>
      </c>
      <c r="Y74" s="68" t="str">
        <f>IF('Marks Entry'!Q74="","",'Marks Entry'!Q74)</f>
        <v/>
      </c>
      <c r="Z74" s="68" t="str">
        <f>IF('Marks Entry'!R74="","",'Marks Entry'!R74)</f>
        <v/>
      </c>
      <c r="AA74" s="68" t="str">
        <f>IF('Marks Entry'!S74="","",'Marks Entry'!S74)</f>
        <v/>
      </c>
      <c r="AB74" s="514" t="str">
        <f t="shared" si="174"/>
        <v/>
      </c>
      <c r="AC74" s="68" t="str">
        <f>IF('Marks Entry'!T74="","",'Marks Entry'!T74)</f>
        <v/>
      </c>
      <c r="AD74" s="515" t="str">
        <f t="shared" si="175"/>
        <v/>
      </c>
      <c r="AE74" s="68" t="str">
        <f>IF('Marks Entry'!U74="","",'Marks Entry'!U74)</f>
        <v/>
      </c>
      <c r="AF74" s="96" t="str">
        <f t="shared" si="176"/>
        <v/>
      </c>
      <c r="AG74" s="65">
        <f t="shared" si="177"/>
        <v>0</v>
      </c>
      <c r="AH74" s="65">
        <f t="shared" si="178"/>
        <v>0</v>
      </c>
      <c r="AI74" s="66" t="str">
        <f t="shared" si="179"/>
        <v/>
      </c>
      <c r="AJ74" s="65" t="str">
        <f t="shared" si="180"/>
        <v/>
      </c>
      <c r="AK74" s="65" t="str">
        <f t="shared" si="181"/>
        <v/>
      </c>
      <c r="AL74" s="65" t="str">
        <f t="shared" si="182"/>
        <v/>
      </c>
      <c r="AM74" s="524" t="str">
        <f>IF('Marks Entry'!V74="","",IF('Marks Entry'!V74=1,'School Profile'!$I$9,IF('Marks Entry'!V74=2,'School Profile'!$I$10,IF('Marks Entry'!V74=3,'School Profile'!$I$11,IF('Marks Entry'!V74=4,'School Profile'!$I$12,IF('Marks Entry'!V74=5,'School Profile'!$I$13,IF('Marks Entry'!V74=6,'School Profile'!$I$14,"")))))))</f>
        <v/>
      </c>
      <c r="AN74" s="68" t="str">
        <f>IF('Marks Entry'!W74="","",'Marks Entry'!W74)</f>
        <v/>
      </c>
      <c r="AO74" s="68" t="str">
        <f>IF('Marks Entry'!X74="","",'Marks Entry'!X74)</f>
        <v/>
      </c>
      <c r="AP74" s="68" t="str">
        <f>IF('Marks Entry'!Y74="","",'Marks Entry'!Y74)</f>
        <v/>
      </c>
      <c r="AQ74" s="514" t="str">
        <f t="shared" si="183"/>
        <v/>
      </c>
      <c r="AR74" s="68" t="str">
        <f>IF('Marks Entry'!Z74="","",'Marks Entry'!Z74)</f>
        <v/>
      </c>
      <c r="AS74" s="515" t="str">
        <f t="shared" si="184"/>
        <v/>
      </c>
      <c r="AT74" s="68" t="str">
        <f>IF('Marks Entry'!AA74="","",'Marks Entry'!AA74)</f>
        <v/>
      </c>
      <c r="AU74" s="96" t="str">
        <f t="shared" si="185"/>
        <v/>
      </c>
      <c r="AV74" s="65">
        <f t="shared" si="186"/>
        <v>0</v>
      </c>
      <c r="AW74" s="65">
        <f t="shared" si="187"/>
        <v>0</v>
      </c>
      <c r="AX74" s="66" t="str">
        <f t="shared" si="188"/>
        <v/>
      </c>
      <c r="AY74" s="65" t="str">
        <f t="shared" si="189"/>
        <v/>
      </c>
      <c r="AZ74" s="65" t="str">
        <f t="shared" si="190"/>
        <v/>
      </c>
      <c r="BA74" s="65" t="str">
        <f t="shared" si="191"/>
        <v/>
      </c>
      <c r="BB74" s="68" t="str">
        <f>IF('Marks Entry'!AB74="","",'Marks Entry'!AB74)</f>
        <v/>
      </c>
      <c r="BC74" s="68" t="str">
        <f>IF('Marks Entry'!AC74="","",'Marks Entry'!AC74)</f>
        <v/>
      </c>
      <c r="BD74" s="68" t="str">
        <f>IF('Marks Entry'!AD74="","",'Marks Entry'!AD74)</f>
        <v/>
      </c>
      <c r="BE74" s="514" t="str">
        <f t="shared" si="192"/>
        <v/>
      </c>
      <c r="BF74" s="68" t="str">
        <f>IF('Marks Entry'!AE74="","",'Marks Entry'!AE74)</f>
        <v/>
      </c>
      <c r="BG74" s="515" t="str">
        <f t="shared" si="193"/>
        <v/>
      </c>
      <c r="BH74" s="68" t="str">
        <f>IF('Marks Entry'!AF74="","",'Marks Entry'!AF74)</f>
        <v/>
      </c>
      <c r="BI74" s="96" t="str">
        <f t="shared" si="194"/>
        <v/>
      </c>
      <c r="BJ74" s="65">
        <f t="shared" si="195"/>
        <v>0</v>
      </c>
      <c r="BK74" s="65">
        <f t="shared" si="263"/>
        <v>0</v>
      </c>
      <c r="BL74" s="66" t="str">
        <f t="shared" si="196"/>
        <v/>
      </c>
      <c r="BM74" s="65" t="str">
        <f t="shared" si="197"/>
        <v/>
      </c>
      <c r="BN74" s="65" t="str">
        <f t="shared" si="198"/>
        <v/>
      </c>
      <c r="BO74" s="65" t="str">
        <f t="shared" si="199"/>
        <v/>
      </c>
      <c r="BP74" s="68" t="str">
        <f>IF('Marks Entry'!AG74="","",'Marks Entry'!AG74)</f>
        <v/>
      </c>
      <c r="BQ74" s="68" t="str">
        <f>IF('Marks Entry'!AH74="","",'Marks Entry'!AH74)</f>
        <v/>
      </c>
      <c r="BR74" s="68" t="str">
        <f>IF('Marks Entry'!AI74="","",'Marks Entry'!AI74)</f>
        <v/>
      </c>
      <c r="BS74" s="514" t="str">
        <f t="shared" si="200"/>
        <v/>
      </c>
      <c r="BT74" s="68" t="str">
        <f>IF('Marks Entry'!AJ74="","",'Marks Entry'!AJ74)</f>
        <v/>
      </c>
      <c r="BU74" s="515" t="str">
        <f t="shared" si="201"/>
        <v/>
      </c>
      <c r="BV74" s="68" t="str">
        <f>IF('Marks Entry'!AK74="","",'Marks Entry'!AK74)</f>
        <v/>
      </c>
      <c r="BW74" s="96" t="str">
        <f t="shared" si="202"/>
        <v/>
      </c>
      <c r="BX74" s="65">
        <f t="shared" si="203"/>
        <v>0</v>
      </c>
      <c r="BY74" s="65">
        <f t="shared" si="204"/>
        <v>0</v>
      </c>
      <c r="BZ74" s="66" t="str">
        <f t="shared" si="205"/>
        <v/>
      </c>
      <c r="CA74" s="65" t="str">
        <f t="shared" si="206"/>
        <v/>
      </c>
      <c r="CB74" s="65" t="str">
        <f t="shared" si="207"/>
        <v/>
      </c>
      <c r="CC74" s="65" t="str">
        <f t="shared" si="208"/>
        <v/>
      </c>
      <c r="CD74" s="66">
        <f t="shared" si="209"/>
        <v>0</v>
      </c>
      <c r="CE74" s="68" t="str">
        <f>IF('Marks Entry'!AL74="","",'Marks Entry'!AL74)</f>
        <v/>
      </c>
      <c r="CF74" s="68" t="str">
        <f>IF('Marks Entry'!AM74="","",'Marks Entry'!AM74)</f>
        <v/>
      </c>
      <c r="CG74" s="68" t="str">
        <f>IF('Marks Entry'!AN74="","",'Marks Entry'!AN74)</f>
        <v/>
      </c>
      <c r="CH74" s="514" t="str">
        <f t="shared" si="210"/>
        <v/>
      </c>
      <c r="CI74" s="68" t="str">
        <f>IF('Marks Entry'!AO74="","",'Marks Entry'!AO74)</f>
        <v/>
      </c>
      <c r="CJ74" s="515" t="str">
        <f t="shared" si="211"/>
        <v/>
      </c>
      <c r="CK74" s="68" t="str">
        <f>IF('Marks Entry'!AP74="","",'Marks Entry'!AP74)</f>
        <v/>
      </c>
      <c r="CL74" s="96" t="str">
        <f t="shared" si="212"/>
        <v/>
      </c>
      <c r="CM74" s="65">
        <f t="shared" si="213"/>
        <v>0</v>
      </c>
      <c r="CN74" s="65">
        <f t="shared" si="214"/>
        <v>0</v>
      </c>
      <c r="CO74" s="66" t="str">
        <f t="shared" si="215"/>
        <v/>
      </c>
      <c r="CP74" s="65" t="str">
        <f t="shared" si="216"/>
        <v/>
      </c>
      <c r="CQ74" s="65" t="str">
        <f t="shared" si="217"/>
        <v/>
      </c>
      <c r="CR74" s="65" t="str">
        <f t="shared" si="218"/>
        <v/>
      </c>
      <c r="CS74" s="616"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8" t="str">
        <f>IF('School Profile'!$D$20="NO","",IF('Marks Entry'!AR74="","",'Marks Entry'!AR74))</f>
        <v/>
      </c>
      <c r="CU74" s="68" t="str">
        <f>IF('School Profile'!$D$20="NO","",IF('Marks Entry'!AS74="","",'Marks Entry'!AS74))</f>
        <v/>
      </c>
      <c r="CV74" s="68" t="str">
        <f>IF('School Profile'!$D$20="NO","",IF('Marks Entry'!AT74="","",'Marks Entry'!AT74))</f>
        <v/>
      </c>
      <c r="CW74" s="514" t="str">
        <f>IF('School Profile'!$D$20="NO","",IF(AND(CT74="",CU74="",CV74=""),"",SUM(CT74:CV74)))</f>
        <v/>
      </c>
      <c r="CX74" s="68" t="str">
        <f>IF('School Profile'!$D$20="NO","",IF('Marks Entry'!AU74="","",'Marks Entry'!AU74))</f>
        <v/>
      </c>
      <c r="CY74" s="68" t="str">
        <f>IF('School Profile'!$D$20="NO","",IF('Marks Entry'!AV74="","",'Marks Entry'!AV74))</f>
        <v/>
      </c>
      <c r="CZ74" s="515" t="str">
        <f>IF('School Profile'!$D$20="NO","",IF(AND(CX74="",CY74=""),"",SUM(CX74,CY74)))</f>
        <v/>
      </c>
      <c r="DA74" s="69" t="str">
        <f>IF('School Profile'!$D$20="NO","",IF(AND(CW74="",CZ74=""),"",SUM(CW74+CZ74)))</f>
        <v/>
      </c>
      <c r="DB74" s="68" t="str">
        <f>IF('School Profile'!$D$20="NO","",IF('Marks Entry'!AW74="","",'Marks Entry'!AW74))</f>
        <v/>
      </c>
      <c r="DC74" s="68" t="str">
        <f>IF('School Profile'!$D$20="NO","",IF('Marks Entry'!AX74="","",'Marks Entry'!AX74))</f>
        <v/>
      </c>
      <c r="DD74" s="515" t="str">
        <f>IF('School Profile'!$D$20="NO","",IF(AND(DB74="",DC74=""),"",SUM(DB74,DC74)))</f>
        <v/>
      </c>
      <c r="DE74" s="96" t="str">
        <f>IF('School Profile'!$D$20="NO","",IF(AND(DA74="",DD74=""),"",SUM(DA74,DD74)))</f>
        <v/>
      </c>
      <c r="DF74" s="532">
        <f t="shared" si="219"/>
        <v>0</v>
      </c>
      <c r="DG74" s="65">
        <f t="shared" si="220"/>
        <v>0</v>
      </c>
      <c r="DH74" s="66" t="str">
        <f t="shared" si="221"/>
        <v/>
      </c>
      <c r="DI74" s="65" t="str">
        <f t="shared" si="222"/>
        <v/>
      </c>
      <c r="DJ74" s="65" t="str">
        <f t="shared" si="223"/>
        <v/>
      </c>
      <c r="DK74" s="65" t="str">
        <f t="shared" si="224"/>
        <v/>
      </c>
      <c r="DL74" s="97" t="str">
        <f t="shared" si="264"/>
        <v/>
      </c>
      <c r="DM74" s="97" t="str">
        <f t="shared" si="265"/>
        <v/>
      </c>
      <c r="DN74" s="97" t="str">
        <f t="shared" si="266"/>
        <v/>
      </c>
      <c r="DO74" s="97" t="str">
        <f t="shared" si="267"/>
        <v/>
      </c>
      <c r="DP74" s="97" t="str">
        <f t="shared" si="268"/>
        <v/>
      </c>
      <c r="DQ74" s="97" t="str">
        <f t="shared" si="269"/>
        <v/>
      </c>
      <c r="DR74" s="97" t="str">
        <f t="shared" si="270"/>
        <v/>
      </c>
      <c r="DS74" s="98">
        <f t="shared" si="271"/>
        <v>0</v>
      </c>
      <c r="DT74" s="98">
        <f t="shared" si="272"/>
        <v>0</v>
      </c>
      <c r="DU74" s="98">
        <f t="shared" si="273"/>
        <v>0</v>
      </c>
      <c r="DV74" s="98">
        <f t="shared" si="274"/>
        <v>0</v>
      </c>
      <c r="DW74" s="98">
        <f t="shared" si="275"/>
        <v>0</v>
      </c>
      <c r="DX74" s="98" t="str">
        <f t="shared" si="276"/>
        <v/>
      </c>
      <c r="DY74" s="99" t="str">
        <f t="shared" si="277"/>
        <v/>
      </c>
      <c r="DZ74" s="74" t="str">
        <f>IF('Marks Entry'!AY74="","",'Marks Entry'!AY74)</f>
        <v/>
      </c>
      <c r="EA74" s="74" t="str">
        <f>IF('Marks Entry'!AZ74="","",'Marks Entry'!AZ74)</f>
        <v/>
      </c>
      <c r="EB74" s="74" t="str">
        <f>IF('Marks Entry'!BA74="","",'Marks Entry'!BA74)</f>
        <v/>
      </c>
      <c r="EC74" s="527" t="str">
        <f t="shared" si="225"/>
        <v/>
      </c>
      <c r="ED74" s="74" t="str">
        <f>IF('Marks Entry'!BB74="","",'Marks Entry'!BB74)</f>
        <v/>
      </c>
      <c r="EE74" s="528" t="str">
        <f t="shared" si="226"/>
        <v/>
      </c>
      <c r="EF74" s="74" t="str">
        <f>IF('Marks Entry'!BC74="","",'Marks Entry'!BC74)</f>
        <v/>
      </c>
      <c r="EG74" s="530" t="str">
        <f t="shared" si="227"/>
        <v/>
      </c>
      <c r="EH74" s="368" t="str">
        <f t="shared" si="278"/>
        <v/>
      </c>
      <c r="EI74" s="65">
        <f t="shared" si="279"/>
        <v>0</v>
      </c>
      <c r="EJ74" s="65">
        <f t="shared" si="280"/>
        <v>0</v>
      </c>
      <c r="EK74" s="66" t="str">
        <f t="shared" si="281"/>
        <v/>
      </c>
      <c r="EL74" s="74" t="str">
        <f>IF('Marks Entry'!BD74="","",'Marks Entry'!BD74)</f>
        <v/>
      </c>
      <c r="EM74" s="74" t="str">
        <f>IF('Marks Entry'!BE74="","",'Marks Entry'!BE74)</f>
        <v/>
      </c>
      <c r="EN74" s="74" t="str">
        <f>IF('Marks Entry'!BF74="","",'Marks Entry'!BF74)</f>
        <v/>
      </c>
      <c r="EO74" s="527" t="str">
        <f t="shared" si="228"/>
        <v/>
      </c>
      <c r="EP74" s="74" t="str">
        <f>IF('Marks Entry'!BG74="","",'Marks Entry'!BG74)</f>
        <v/>
      </c>
      <c r="EQ74" s="74" t="str">
        <f>IF('Marks Entry'!BH74="","",'Marks Entry'!BH74)</f>
        <v/>
      </c>
      <c r="ER74" s="528" t="str">
        <f t="shared" si="229"/>
        <v/>
      </c>
      <c r="ES74" s="529" t="str">
        <f t="shared" si="230"/>
        <v/>
      </c>
      <c r="ET74" s="74" t="str">
        <f>IF('Marks Entry'!BI74="","",'Marks Entry'!BI74)</f>
        <v/>
      </c>
      <c r="EU74" s="74" t="str">
        <f>IF('Marks Entry'!BJ74="","",'Marks Entry'!BJ74)</f>
        <v/>
      </c>
      <c r="EV74" s="528" t="str">
        <f t="shared" si="231"/>
        <v/>
      </c>
      <c r="EW74" s="530" t="str">
        <f t="shared" si="232"/>
        <v/>
      </c>
      <c r="EX74" s="368" t="str">
        <f t="shared" si="282"/>
        <v/>
      </c>
      <c r="EY74" s="65">
        <f t="shared" si="283"/>
        <v>0</v>
      </c>
      <c r="EZ74" s="65">
        <f t="shared" si="284"/>
        <v>0</v>
      </c>
      <c r="FA74" s="66" t="str">
        <f t="shared" si="285"/>
        <v/>
      </c>
      <c r="FB74" s="74" t="str">
        <f>IF('Marks Entry'!BK74="","",'Marks Entry'!BK74)</f>
        <v/>
      </c>
      <c r="FC74" s="74" t="str">
        <f>IF('Marks Entry'!BL74="","",'Marks Entry'!BL74)</f>
        <v/>
      </c>
      <c r="FD74" s="74" t="str">
        <f>IF('Marks Entry'!BM74="","",'Marks Entry'!BM74)</f>
        <v/>
      </c>
      <c r="FE74" s="74" t="str">
        <f>IF('Marks Entry'!BN74="","",'Marks Entry'!BN74)</f>
        <v/>
      </c>
      <c r="FF74" s="74" t="str">
        <f>IF('Marks Entry'!BO74="","",'Marks Entry'!BO74)</f>
        <v/>
      </c>
      <c r="FG74" s="74" t="str">
        <f>IF('Marks Entry'!BP74="","",'Marks Entry'!BP74)</f>
        <v/>
      </c>
      <c r="FH74" s="527" t="str">
        <f t="shared" si="233"/>
        <v/>
      </c>
      <c r="FI74" s="74" t="str">
        <f>IF('Marks Entry'!BQ74="","",'Marks Entry'!BQ74)</f>
        <v/>
      </c>
      <c r="FJ74" s="74" t="str">
        <f>IF('Marks Entry'!BR74="","",'Marks Entry'!BR74)</f>
        <v/>
      </c>
      <c r="FK74" s="528" t="str">
        <f t="shared" si="234"/>
        <v/>
      </c>
      <c r="FL74" s="529" t="str">
        <f t="shared" si="235"/>
        <v/>
      </c>
      <c r="FM74" s="74" t="str">
        <f>IF('Marks Entry'!BS74="","",'Marks Entry'!BS74)</f>
        <v/>
      </c>
      <c r="FN74" s="74" t="str">
        <f>IF('Marks Entry'!BT74="","",'Marks Entry'!BT74)</f>
        <v/>
      </c>
      <c r="FO74" s="528" t="str">
        <f t="shared" si="236"/>
        <v/>
      </c>
      <c r="FP74" s="530" t="str">
        <f t="shared" si="237"/>
        <v/>
      </c>
      <c r="FQ74" s="368" t="str">
        <f t="shared" si="286"/>
        <v/>
      </c>
      <c r="FR74" s="65">
        <f t="shared" si="287"/>
        <v>0</v>
      </c>
      <c r="FS74" s="65">
        <f t="shared" si="288"/>
        <v>0</v>
      </c>
      <c r="FT74" s="66" t="str">
        <f t="shared" si="289"/>
        <v/>
      </c>
      <c r="FU74" s="74" t="str">
        <f>IF('Marks Entry'!BU74="","",'Marks Entry'!BU74)</f>
        <v/>
      </c>
      <c r="FV74" s="74" t="str">
        <f>IF('Marks Entry'!BV74="","",'Marks Entry'!BV74)</f>
        <v/>
      </c>
      <c r="FW74" s="74" t="str">
        <f>IF('Marks Entry'!BW74="","",'Marks Entry'!BW74)</f>
        <v/>
      </c>
      <c r="FX74" s="75" t="str">
        <f t="shared" si="238"/>
        <v/>
      </c>
      <c r="FY74" s="368" t="str">
        <f t="shared" si="290"/>
        <v/>
      </c>
      <c r="FZ74" s="65">
        <f t="shared" si="291"/>
        <v>0</v>
      </c>
      <c r="GA74" s="66">
        <f t="shared" si="292"/>
        <v>0</v>
      </c>
      <c r="GB74" s="66" t="str">
        <f t="shared" si="293"/>
        <v/>
      </c>
      <c r="GC74" s="74" t="str">
        <f>IF('Marks Entry'!BX74="","",'Marks Entry'!BX74)</f>
        <v/>
      </c>
      <c r="GD74" s="74" t="str">
        <f>IF('Marks Entry'!BY74="","",'Marks Entry'!BY74)</f>
        <v/>
      </c>
      <c r="GE74" s="74" t="str">
        <f>IF('Marks Entry'!BZ74="","",'Marks Entry'!BZ74)</f>
        <v/>
      </c>
      <c r="GF74" s="75" t="str">
        <f t="shared" si="294"/>
        <v/>
      </c>
      <c r="GG74" s="368" t="str">
        <f t="shared" si="295"/>
        <v/>
      </c>
      <c r="GH74" s="65">
        <f t="shared" si="296"/>
        <v>0</v>
      </c>
      <c r="GI74" s="66">
        <f t="shared" si="297"/>
        <v>0</v>
      </c>
      <c r="GJ74" s="66" t="str">
        <f t="shared" si="298"/>
        <v/>
      </c>
      <c r="GK74" s="100" t="str">
        <f>IF(AND(F74="",B74=""),"",IF('Student DATA Entry'!M71="","",'Student DATA Entry'!M71))</f>
        <v/>
      </c>
      <c r="GL74" s="101" t="str">
        <f>IF(AND(B74="",F74=""),"",IF('Student DATA Entry'!N71="","",'Student DATA Entry'!N71))</f>
        <v/>
      </c>
      <c r="GM74" s="581" t="str">
        <f t="shared" si="299"/>
        <v/>
      </c>
      <c r="GN74" s="94" t="str">
        <f t="shared" si="300"/>
        <v/>
      </c>
      <c r="GO74" s="94" t="str">
        <f t="shared" si="301"/>
        <v/>
      </c>
      <c r="GP74" s="102" t="str">
        <f t="shared" si="239"/>
        <v/>
      </c>
      <c r="GQ74" s="94" t="str">
        <f t="shared" si="302"/>
        <v/>
      </c>
      <c r="GR74" s="103" t="str">
        <f t="shared" si="303"/>
        <v/>
      </c>
      <c r="GS74" s="102" t="str">
        <f t="shared" si="240"/>
        <v/>
      </c>
      <c r="GT74" s="104" t="str">
        <f t="shared" si="304"/>
        <v/>
      </c>
      <c r="GU74" s="94" t="str">
        <f>IF('Marks Entry'!V74=1,GT74,"")</f>
        <v/>
      </c>
      <c r="GV74" s="94" t="str">
        <f>IF('Marks Entry'!V74=2,GT74,"")</f>
        <v/>
      </c>
      <c r="GW74" s="94" t="str">
        <f>IF('Marks Entry'!V74=3,GT74,"")</f>
        <v/>
      </c>
      <c r="GX74" s="94" t="str">
        <f>IF('Marks Entry'!V74=4,GT74,"")</f>
        <v/>
      </c>
      <c r="GY74" s="94" t="str">
        <f>IF('Marks Entry'!V74=5,GT74,"")</f>
        <v/>
      </c>
      <c r="GZ74" s="94" t="str">
        <f t="shared" si="305"/>
        <v/>
      </c>
      <c r="HA74" s="105" t="str">
        <f t="shared" si="241"/>
        <v/>
      </c>
      <c r="HB74" s="94" t="str">
        <f t="shared" si="306"/>
        <v/>
      </c>
      <c r="HC74" s="94" t="str">
        <f t="shared" si="307"/>
        <v/>
      </c>
      <c r="HD74" s="105" t="str">
        <f t="shared" si="242"/>
        <v/>
      </c>
      <c r="HE74" s="94" t="str">
        <f t="shared" si="308"/>
        <v/>
      </c>
      <c r="HF74" s="94" t="str">
        <f t="shared" si="309"/>
        <v/>
      </c>
      <c r="HG74" s="105" t="str">
        <f t="shared" si="243"/>
        <v/>
      </c>
      <c r="HH74" s="94" t="str">
        <f t="shared" si="310"/>
        <v/>
      </c>
      <c r="HI74" s="94" t="str">
        <f t="shared" si="311"/>
        <v/>
      </c>
      <c r="HJ74" s="105" t="str">
        <f t="shared" si="244"/>
        <v/>
      </c>
      <c r="HK74" s="94" t="str">
        <f t="shared" si="312"/>
        <v/>
      </c>
      <c r="HL74" s="94" t="str">
        <f t="shared" si="313"/>
        <v/>
      </c>
      <c r="HM74" s="105" t="str">
        <f t="shared" si="245"/>
        <v/>
      </c>
      <c r="HN74" s="367" t="str">
        <f t="shared" si="314"/>
        <v xml:space="preserve">      </v>
      </c>
      <c r="HO74" s="418" t="str">
        <f t="shared" si="246"/>
        <v xml:space="preserve">      </v>
      </c>
      <c r="HP74" s="367" t="str">
        <f t="shared" si="315"/>
        <v xml:space="preserve">      </v>
      </c>
      <c r="HQ74" s="107" t="str">
        <f t="shared" si="316"/>
        <v xml:space="preserve">      </v>
      </c>
      <c r="HR74" s="366" t="str">
        <f t="shared" si="317"/>
        <v xml:space="preserve">      </v>
      </c>
      <c r="HS74" s="544" t="str">
        <f t="shared" si="247"/>
        <v/>
      </c>
      <c r="HT74" s="542" t="str">
        <f t="shared" si="318"/>
        <v/>
      </c>
      <c r="HU74" s="541" t="str">
        <f t="shared" si="319"/>
        <v/>
      </c>
      <c r="HV74" s="540" t="str">
        <f t="shared" si="320"/>
        <v/>
      </c>
      <c r="HW74" s="537" t="str">
        <f t="shared" si="321"/>
        <v/>
      </c>
      <c r="HX74" s="539" t="str">
        <f t="shared" si="322"/>
        <v/>
      </c>
      <c r="HY74" s="553" t="str">
        <f>IFERROR(IF(OR(HS74="SUPPLEMENTARY",HS74="RE-EXAM"),'Supp. Result Entry'!AQ72,""),"")</f>
        <v/>
      </c>
      <c r="HZ74" s="538" t="str">
        <f t="shared" si="323"/>
        <v/>
      </c>
      <c r="IA74" s="415" t="str">
        <f t="shared" si="324"/>
        <v/>
      </c>
      <c r="IB74" s="415" t="str">
        <f>IF(AND(HZ74="",IA74=""),"",IF(OR(HS74="SUPPLEMENTARY",HS74="RE-EXAM"),'Supp. Result Entry'!AQ72,HS74))</f>
        <v/>
      </c>
      <c r="IC74" s="87"/>
      <c r="IS74" s="109" t="str">
        <f>IF('Supp. Result Entry'!T72="","",'Supp. Result Entry'!$T$4)</f>
        <v/>
      </c>
      <c r="IT74" s="110" t="str">
        <f>IF('Supp. Result Entry'!W72="","",'Supp. Result Entry'!$W$4)</f>
        <v/>
      </c>
      <c r="IU74" s="110" t="str">
        <f>IF('Supp. Result Entry'!Z72="","",'Supp. Result Entry'!$Z$4)</f>
        <v/>
      </c>
      <c r="IV74" s="110" t="str">
        <f>IF('Supp. Result Entry'!AC72="","",'Supp. Result Entry'!$AC$4)</f>
        <v/>
      </c>
      <c r="IW74" s="110" t="str">
        <f>IF('Supp. Result Entry'!AF72="","",'Supp. Result Entry'!$AF$4)</f>
        <v/>
      </c>
      <c r="IX74" s="110" t="str">
        <f>IF('Supp. Result Entry'!AI72="","",'Supp. Result Entry'!$AI$4)</f>
        <v/>
      </c>
      <c r="IY74" s="110" t="str">
        <f>IF('Supp. Result Entry'!AI72="","",'Supp. Result Entry'!$AL$4)</f>
        <v/>
      </c>
      <c r="IZ74" s="110" t="str">
        <f>IF('Supp. Result Entry'!U72="","",'Supp. Result Entry'!U72)</f>
        <v/>
      </c>
      <c r="JA74" s="110" t="str">
        <f>IF('Supp. Result Entry'!X72="","",'Supp. Result Entry'!X72)</f>
        <v/>
      </c>
      <c r="JB74" s="110" t="str">
        <f>IF('Supp. Result Entry'!AA72="","",'Supp. Result Entry'!AA72)</f>
        <v/>
      </c>
      <c r="JC74" s="110" t="str">
        <f>IF('Supp. Result Entry'!AD72="","",'Supp. Result Entry'!AD72)</f>
        <v/>
      </c>
      <c r="JD74" s="110" t="str">
        <f>IF('Supp. Result Entry'!AG72="","",'Supp. Result Entry'!AG72)</f>
        <v/>
      </c>
      <c r="JE74" s="110" t="str">
        <f>IF('Supp. Result Entry'!AJ72="","",'Supp. Result Entry'!AJ72)</f>
        <v/>
      </c>
      <c r="JF74" s="110" t="str">
        <f>IF('Supp. Result Entry'!AM72="","",'Supp. Result Entry'!AM72)</f>
        <v/>
      </c>
      <c r="JG74" s="110" t="str">
        <f>IF('Supp. Result Entry'!V72="","",'Supp. Result Entry'!V72)</f>
        <v/>
      </c>
      <c r="JH74" s="110" t="str">
        <f>IF('Supp. Result Entry'!Y72="","",'Supp. Result Entry'!Y72)</f>
        <v/>
      </c>
      <c r="JI74" s="110" t="str">
        <f>IF('Supp. Result Entry'!AB72="","",'Supp. Result Entry'!AB72)</f>
        <v/>
      </c>
      <c r="JJ74" s="110" t="str">
        <f>IF('Supp. Result Entry'!AE72="","",'Supp. Result Entry'!AE72)</f>
        <v/>
      </c>
      <c r="JK74" s="110" t="str">
        <f>IF('Supp. Result Entry'!AH72="","",'Supp. Result Entry'!AH72)</f>
        <v/>
      </c>
      <c r="JL74" s="110" t="str">
        <f>IF('Supp. Result Entry'!AK72="","",'Supp. Result Entry'!AK72)</f>
        <v/>
      </c>
      <c r="JM74" s="110" t="str">
        <f>IF('Supp. Result Entry'!AN72="","",'Supp. Result Entry'!AN72)</f>
        <v/>
      </c>
      <c r="JN74" s="110">
        <f>COUNTIF('Supp. Result Entry'!K72:Q72,"S")</f>
        <v>0</v>
      </c>
      <c r="JO74" s="110">
        <f t="shared" si="248"/>
        <v>0</v>
      </c>
      <c r="JP74" s="110">
        <f t="shared" si="325"/>
        <v>0</v>
      </c>
      <c r="JQ74" s="110" t="str">
        <f t="shared" si="249"/>
        <v/>
      </c>
      <c r="JR74" s="110" t="str">
        <f t="shared" si="250"/>
        <v/>
      </c>
      <c r="JS74" s="110" t="str">
        <f t="shared" si="251"/>
        <v/>
      </c>
      <c r="JT74" s="110" t="str">
        <f t="shared" si="252"/>
        <v/>
      </c>
      <c r="JU74" s="110" t="str">
        <f t="shared" si="253"/>
        <v/>
      </c>
      <c r="JV74" s="110" t="str">
        <f t="shared" si="254"/>
        <v/>
      </c>
      <c r="JW74" s="110" t="str">
        <f t="shared" si="255"/>
        <v/>
      </c>
      <c r="JX74" s="110" t="str">
        <f t="shared" si="326"/>
        <v/>
      </c>
      <c r="JY74" s="110" t="str">
        <f t="shared" si="327"/>
        <v/>
      </c>
      <c r="JZ74" s="110" t="str">
        <f t="shared" si="256"/>
        <v/>
      </c>
      <c r="KA74" s="108" t="str">
        <f t="shared" si="328"/>
        <v/>
      </c>
    </row>
    <row r="75" spans="1:287" s="108" customFormat="1" ht="21.95" customHeight="1">
      <c r="A75" s="89">
        <v>69</v>
      </c>
      <c r="B75" s="90" t="str">
        <f>IF('Marks Entry'!B75="","",'Marks Entry'!B75)</f>
        <v/>
      </c>
      <c r="C75" s="94" t="str">
        <f>IF('Marks Entry'!D75="","",'Marks Entry'!D75)</f>
        <v/>
      </c>
      <c r="D75" s="91" t="str">
        <f>IF('Marks Entry'!E75="","",'Marks Entry'!E75)</f>
        <v/>
      </c>
      <c r="E75" s="92" t="str">
        <f>IF('Marks Entry'!F75="","",'Marks Entry'!F75)</f>
        <v/>
      </c>
      <c r="F75" s="93" t="str">
        <f>IF('Marks Entry'!G75="","",'Marks Entry'!G75)</f>
        <v/>
      </c>
      <c r="G75" s="93" t="str">
        <f>IF('Marks Entry'!H75="","",'Marks Entry'!H75)</f>
        <v/>
      </c>
      <c r="H75" s="93" t="str">
        <f>IF('Marks Entry'!I75="","",'Marks Entry'!I75)</f>
        <v/>
      </c>
      <c r="I75" s="94" t="str">
        <f>IF('Marks Entry'!J75="","",'Marks Entry'!J75)</f>
        <v/>
      </c>
      <c r="J75" s="95" t="str">
        <f>IF('Marks Entry'!K75="","",'Marks Entry'!K75)</f>
        <v/>
      </c>
      <c r="K75" s="68" t="str">
        <f>IF('Marks Entry'!L75="","",'Marks Entry'!L75)</f>
        <v/>
      </c>
      <c r="L75" s="68" t="str">
        <f>IF('Marks Entry'!M75="","",'Marks Entry'!M75)</f>
        <v/>
      </c>
      <c r="M75" s="68" t="str">
        <f>IF('Marks Entry'!N75="","",'Marks Entry'!N75)</f>
        <v/>
      </c>
      <c r="N75" s="514" t="str">
        <f t="shared" si="257"/>
        <v/>
      </c>
      <c r="O75" s="68" t="str">
        <f>IF('Marks Entry'!O75="","",'Marks Entry'!O75)</f>
        <v/>
      </c>
      <c r="P75" s="515" t="str">
        <f t="shared" si="258"/>
        <v/>
      </c>
      <c r="Q75" s="68" t="str">
        <f>IF('Marks Entry'!P75="","",'Marks Entry'!P75)</f>
        <v/>
      </c>
      <c r="R75" s="96" t="str">
        <f t="shared" si="259"/>
        <v/>
      </c>
      <c r="S75" s="65">
        <f t="shared" si="260"/>
        <v>0</v>
      </c>
      <c r="T75" s="65">
        <f t="shared" si="261"/>
        <v>0</v>
      </c>
      <c r="U75" s="66" t="str">
        <f t="shared" si="171"/>
        <v/>
      </c>
      <c r="V75" s="65" t="str">
        <f t="shared" si="172"/>
        <v/>
      </c>
      <c r="W75" s="65" t="str">
        <f t="shared" si="262"/>
        <v/>
      </c>
      <c r="X75" s="65" t="str">
        <f t="shared" si="173"/>
        <v/>
      </c>
      <c r="Y75" s="68" t="str">
        <f>IF('Marks Entry'!Q75="","",'Marks Entry'!Q75)</f>
        <v/>
      </c>
      <c r="Z75" s="68" t="str">
        <f>IF('Marks Entry'!R75="","",'Marks Entry'!R75)</f>
        <v/>
      </c>
      <c r="AA75" s="68" t="str">
        <f>IF('Marks Entry'!S75="","",'Marks Entry'!S75)</f>
        <v/>
      </c>
      <c r="AB75" s="514" t="str">
        <f t="shared" si="174"/>
        <v/>
      </c>
      <c r="AC75" s="68" t="str">
        <f>IF('Marks Entry'!T75="","",'Marks Entry'!T75)</f>
        <v/>
      </c>
      <c r="AD75" s="515" t="str">
        <f t="shared" si="175"/>
        <v/>
      </c>
      <c r="AE75" s="68" t="str">
        <f>IF('Marks Entry'!U75="","",'Marks Entry'!U75)</f>
        <v/>
      </c>
      <c r="AF75" s="96" t="str">
        <f t="shared" si="176"/>
        <v/>
      </c>
      <c r="AG75" s="65">
        <f t="shared" si="177"/>
        <v>0</v>
      </c>
      <c r="AH75" s="65">
        <f t="shared" si="178"/>
        <v>0</v>
      </c>
      <c r="AI75" s="66" t="str">
        <f t="shared" si="179"/>
        <v/>
      </c>
      <c r="AJ75" s="65" t="str">
        <f t="shared" si="180"/>
        <v/>
      </c>
      <c r="AK75" s="65" t="str">
        <f t="shared" si="181"/>
        <v/>
      </c>
      <c r="AL75" s="65" t="str">
        <f t="shared" si="182"/>
        <v/>
      </c>
      <c r="AM75" s="524" t="str">
        <f>IF('Marks Entry'!V75="","",IF('Marks Entry'!V75=1,'School Profile'!$I$9,IF('Marks Entry'!V75=2,'School Profile'!$I$10,IF('Marks Entry'!V75=3,'School Profile'!$I$11,IF('Marks Entry'!V75=4,'School Profile'!$I$12,IF('Marks Entry'!V75=5,'School Profile'!$I$13,IF('Marks Entry'!V75=6,'School Profile'!$I$14,"")))))))</f>
        <v/>
      </c>
      <c r="AN75" s="68" t="str">
        <f>IF('Marks Entry'!W75="","",'Marks Entry'!W75)</f>
        <v/>
      </c>
      <c r="AO75" s="68" t="str">
        <f>IF('Marks Entry'!X75="","",'Marks Entry'!X75)</f>
        <v/>
      </c>
      <c r="AP75" s="68" t="str">
        <f>IF('Marks Entry'!Y75="","",'Marks Entry'!Y75)</f>
        <v/>
      </c>
      <c r="AQ75" s="514" t="str">
        <f t="shared" si="183"/>
        <v/>
      </c>
      <c r="AR75" s="68" t="str">
        <f>IF('Marks Entry'!Z75="","",'Marks Entry'!Z75)</f>
        <v/>
      </c>
      <c r="AS75" s="515" t="str">
        <f t="shared" si="184"/>
        <v/>
      </c>
      <c r="AT75" s="68" t="str">
        <f>IF('Marks Entry'!AA75="","",'Marks Entry'!AA75)</f>
        <v/>
      </c>
      <c r="AU75" s="96" t="str">
        <f t="shared" si="185"/>
        <v/>
      </c>
      <c r="AV75" s="65">
        <f t="shared" si="186"/>
        <v>0</v>
      </c>
      <c r="AW75" s="65">
        <f t="shared" si="187"/>
        <v>0</v>
      </c>
      <c r="AX75" s="66" t="str">
        <f t="shared" si="188"/>
        <v/>
      </c>
      <c r="AY75" s="65" t="str">
        <f t="shared" si="189"/>
        <v/>
      </c>
      <c r="AZ75" s="65" t="str">
        <f t="shared" si="190"/>
        <v/>
      </c>
      <c r="BA75" s="65" t="str">
        <f t="shared" si="191"/>
        <v/>
      </c>
      <c r="BB75" s="68" t="str">
        <f>IF('Marks Entry'!AB75="","",'Marks Entry'!AB75)</f>
        <v/>
      </c>
      <c r="BC75" s="68" t="str">
        <f>IF('Marks Entry'!AC75="","",'Marks Entry'!AC75)</f>
        <v/>
      </c>
      <c r="BD75" s="68" t="str">
        <f>IF('Marks Entry'!AD75="","",'Marks Entry'!AD75)</f>
        <v/>
      </c>
      <c r="BE75" s="514" t="str">
        <f t="shared" si="192"/>
        <v/>
      </c>
      <c r="BF75" s="68" t="str">
        <f>IF('Marks Entry'!AE75="","",'Marks Entry'!AE75)</f>
        <v/>
      </c>
      <c r="BG75" s="515" t="str">
        <f t="shared" si="193"/>
        <v/>
      </c>
      <c r="BH75" s="68" t="str">
        <f>IF('Marks Entry'!AF75="","",'Marks Entry'!AF75)</f>
        <v/>
      </c>
      <c r="BI75" s="96" t="str">
        <f t="shared" si="194"/>
        <v/>
      </c>
      <c r="BJ75" s="65">
        <f t="shared" si="195"/>
        <v>0</v>
      </c>
      <c r="BK75" s="65">
        <f t="shared" si="263"/>
        <v>0</v>
      </c>
      <c r="BL75" s="66" t="str">
        <f t="shared" si="196"/>
        <v/>
      </c>
      <c r="BM75" s="65" t="str">
        <f t="shared" si="197"/>
        <v/>
      </c>
      <c r="BN75" s="65" t="str">
        <f t="shared" si="198"/>
        <v/>
      </c>
      <c r="BO75" s="65" t="str">
        <f t="shared" si="199"/>
        <v/>
      </c>
      <c r="BP75" s="68" t="str">
        <f>IF('Marks Entry'!AG75="","",'Marks Entry'!AG75)</f>
        <v/>
      </c>
      <c r="BQ75" s="68" t="str">
        <f>IF('Marks Entry'!AH75="","",'Marks Entry'!AH75)</f>
        <v/>
      </c>
      <c r="BR75" s="68" t="str">
        <f>IF('Marks Entry'!AI75="","",'Marks Entry'!AI75)</f>
        <v/>
      </c>
      <c r="BS75" s="514" t="str">
        <f t="shared" si="200"/>
        <v/>
      </c>
      <c r="BT75" s="68" t="str">
        <f>IF('Marks Entry'!AJ75="","",'Marks Entry'!AJ75)</f>
        <v/>
      </c>
      <c r="BU75" s="515" t="str">
        <f t="shared" si="201"/>
        <v/>
      </c>
      <c r="BV75" s="68" t="str">
        <f>IF('Marks Entry'!AK75="","",'Marks Entry'!AK75)</f>
        <v/>
      </c>
      <c r="BW75" s="96" t="str">
        <f t="shared" si="202"/>
        <v/>
      </c>
      <c r="BX75" s="65">
        <f t="shared" si="203"/>
        <v>0</v>
      </c>
      <c r="BY75" s="65">
        <f t="shared" si="204"/>
        <v>0</v>
      </c>
      <c r="BZ75" s="66" t="str">
        <f t="shared" si="205"/>
        <v/>
      </c>
      <c r="CA75" s="65" t="str">
        <f t="shared" si="206"/>
        <v/>
      </c>
      <c r="CB75" s="65" t="str">
        <f t="shared" si="207"/>
        <v/>
      </c>
      <c r="CC75" s="65" t="str">
        <f t="shared" si="208"/>
        <v/>
      </c>
      <c r="CD75" s="66">
        <f t="shared" si="209"/>
        <v>0</v>
      </c>
      <c r="CE75" s="68" t="str">
        <f>IF('Marks Entry'!AL75="","",'Marks Entry'!AL75)</f>
        <v/>
      </c>
      <c r="CF75" s="68" t="str">
        <f>IF('Marks Entry'!AM75="","",'Marks Entry'!AM75)</f>
        <v/>
      </c>
      <c r="CG75" s="68" t="str">
        <f>IF('Marks Entry'!AN75="","",'Marks Entry'!AN75)</f>
        <v/>
      </c>
      <c r="CH75" s="514" t="str">
        <f t="shared" si="210"/>
        <v/>
      </c>
      <c r="CI75" s="68" t="str">
        <f>IF('Marks Entry'!AO75="","",'Marks Entry'!AO75)</f>
        <v/>
      </c>
      <c r="CJ75" s="515" t="str">
        <f t="shared" si="211"/>
        <v/>
      </c>
      <c r="CK75" s="68" t="str">
        <f>IF('Marks Entry'!AP75="","",'Marks Entry'!AP75)</f>
        <v/>
      </c>
      <c r="CL75" s="96" t="str">
        <f t="shared" si="212"/>
        <v/>
      </c>
      <c r="CM75" s="65">
        <f t="shared" si="213"/>
        <v>0</v>
      </c>
      <c r="CN75" s="65">
        <f t="shared" si="214"/>
        <v>0</v>
      </c>
      <c r="CO75" s="66" t="str">
        <f t="shared" si="215"/>
        <v/>
      </c>
      <c r="CP75" s="65" t="str">
        <f t="shared" si="216"/>
        <v/>
      </c>
      <c r="CQ75" s="65" t="str">
        <f t="shared" si="217"/>
        <v/>
      </c>
      <c r="CR75" s="65" t="str">
        <f t="shared" si="218"/>
        <v/>
      </c>
      <c r="CS75" s="616"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8" t="str">
        <f>IF('School Profile'!$D$20="NO","",IF('Marks Entry'!AR75="","",'Marks Entry'!AR75))</f>
        <v/>
      </c>
      <c r="CU75" s="68" t="str">
        <f>IF('School Profile'!$D$20="NO","",IF('Marks Entry'!AS75="","",'Marks Entry'!AS75))</f>
        <v/>
      </c>
      <c r="CV75" s="68" t="str">
        <f>IF('School Profile'!$D$20="NO","",IF('Marks Entry'!AT75="","",'Marks Entry'!AT75))</f>
        <v/>
      </c>
      <c r="CW75" s="514" t="str">
        <f>IF('School Profile'!$D$20="NO","",IF(AND(CT75="",CU75="",CV75=""),"",SUM(CT75:CV75)))</f>
        <v/>
      </c>
      <c r="CX75" s="68" t="str">
        <f>IF('School Profile'!$D$20="NO","",IF('Marks Entry'!AU75="","",'Marks Entry'!AU75))</f>
        <v/>
      </c>
      <c r="CY75" s="68" t="str">
        <f>IF('School Profile'!$D$20="NO","",IF('Marks Entry'!AV75="","",'Marks Entry'!AV75))</f>
        <v/>
      </c>
      <c r="CZ75" s="515" t="str">
        <f>IF('School Profile'!$D$20="NO","",IF(AND(CX75="",CY75=""),"",SUM(CX75,CY75)))</f>
        <v/>
      </c>
      <c r="DA75" s="69" t="str">
        <f>IF('School Profile'!$D$20="NO","",IF(AND(CW75="",CZ75=""),"",SUM(CW75+CZ75)))</f>
        <v/>
      </c>
      <c r="DB75" s="68" t="str">
        <f>IF('School Profile'!$D$20="NO","",IF('Marks Entry'!AW75="","",'Marks Entry'!AW75))</f>
        <v/>
      </c>
      <c r="DC75" s="68" t="str">
        <f>IF('School Profile'!$D$20="NO","",IF('Marks Entry'!AX75="","",'Marks Entry'!AX75))</f>
        <v/>
      </c>
      <c r="DD75" s="515" t="str">
        <f>IF('School Profile'!$D$20="NO","",IF(AND(DB75="",DC75=""),"",SUM(DB75,DC75)))</f>
        <v/>
      </c>
      <c r="DE75" s="96" t="str">
        <f>IF('School Profile'!$D$20="NO","",IF(AND(DA75="",DD75=""),"",SUM(DA75,DD75)))</f>
        <v/>
      </c>
      <c r="DF75" s="532">
        <f t="shared" si="219"/>
        <v>0</v>
      </c>
      <c r="DG75" s="65">
        <f t="shared" si="220"/>
        <v>0</v>
      </c>
      <c r="DH75" s="66" t="str">
        <f t="shared" si="221"/>
        <v/>
      </c>
      <c r="DI75" s="65" t="str">
        <f t="shared" si="222"/>
        <v/>
      </c>
      <c r="DJ75" s="65" t="str">
        <f t="shared" si="223"/>
        <v/>
      </c>
      <c r="DK75" s="65" t="str">
        <f t="shared" si="224"/>
        <v/>
      </c>
      <c r="DL75" s="97" t="str">
        <f t="shared" si="264"/>
        <v/>
      </c>
      <c r="DM75" s="97" t="str">
        <f t="shared" si="265"/>
        <v/>
      </c>
      <c r="DN75" s="97" t="str">
        <f t="shared" si="266"/>
        <v/>
      </c>
      <c r="DO75" s="97" t="str">
        <f t="shared" si="267"/>
        <v/>
      </c>
      <c r="DP75" s="97" t="str">
        <f t="shared" si="268"/>
        <v/>
      </c>
      <c r="DQ75" s="97" t="str">
        <f t="shared" si="269"/>
        <v/>
      </c>
      <c r="DR75" s="97" t="str">
        <f t="shared" si="270"/>
        <v/>
      </c>
      <c r="DS75" s="98">
        <f t="shared" si="271"/>
        <v>0</v>
      </c>
      <c r="DT75" s="98">
        <f t="shared" si="272"/>
        <v>0</v>
      </c>
      <c r="DU75" s="98">
        <f t="shared" si="273"/>
        <v>0</v>
      </c>
      <c r="DV75" s="98">
        <f t="shared" si="274"/>
        <v>0</v>
      </c>
      <c r="DW75" s="98">
        <f t="shared" si="275"/>
        <v>0</v>
      </c>
      <c r="DX75" s="98" t="str">
        <f t="shared" si="276"/>
        <v/>
      </c>
      <c r="DY75" s="99" t="str">
        <f t="shared" si="277"/>
        <v/>
      </c>
      <c r="DZ75" s="74" t="str">
        <f>IF('Marks Entry'!AY75="","",'Marks Entry'!AY75)</f>
        <v/>
      </c>
      <c r="EA75" s="74" t="str">
        <f>IF('Marks Entry'!AZ75="","",'Marks Entry'!AZ75)</f>
        <v/>
      </c>
      <c r="EB75" s="74" t="str">
        <f>IF('Marks Entry'!BA75="","",'Marks Entry'!BA75)</f>
        <v/>
      </c>
      <c r="EC75" s="527" t="str">
        <f t="shared" si="225"/>
        <v/>
      </c>
      <c r="ED75" s="74" t="str">
        <f>IF('Marks Entry'!BB75="","",'Marks Entry'!BB75)</f>
        <v/>
      </c>
      <c r="EE75" s="528" t="str">
        <f t="shared" si="226"/>
        <v/>
      </c>
      <c r="EF75" s="74" t="str">
        <f>IF('Marks Entry'!BC75="","",'Marks Entry'!BC75)</f>
        <v/>
      </c>
      <c r="EG75" s="530" t="str">
        <f t="shared" si="227"/>
        <v/>
      </c>
      <c r="EH75" s="368" t="str">
        <f t="shared" si="278"/>
        <v/>
      </c>
      <c r="EI75" s="65">
        <f t="shared" si="279"/>
        <v>0</v>
      </c>
      <c r="EJ75" s="65">
        <f t="shared" si="280"/>
        <v>0</v>
      </c>
      <c r="EK75" s="66" t="str">
        <f t="shared" si="281"/>
        <v/>
      </c>
      <c r="EL75" s="74" t="str">
        <f>IF('Marks Entry'!BD75="","",'Marks Entry'!BD75)</f>
        <v/>
      </c>
      <c r="EM75" s="74" t="str">
        <f>IF('Marks Entry'!BE75="","",'Marks Entry'!BE75)</f>
        <v/>
      </c>
      <c r="EN75" s="74" t="str">
        <f>IF('Marks Entry'!BF75="","",'Marks Entry'!BF75)</f>
        <v/>
      </c>
      <c r="EO75" s="527" t="str">
        <f t="shared" si="228"/>
        <v/>
      </c>
      <c r="EP75" s="74" t="str">
        <f>IF('Marks Entry'!BG75="","",'Marks Entry'!BG75)</f>
        <v/>
      </c>
      <c r="EQ75" s="74" t="str">
        <f>IF('Marks Entry'!BH75="","",'Marks Entry'!BH75)</f>
        <v/>
      </c>
      <c r="ER75" s="528" t="str">
        <f t="shared" si="229"/>
        <v/>
      </c>
      <c r="ES75" s="529" t="str">
        <f t="shared" si="230"/>
        <v/>
      </c>
      <c r="ET75" s="74" t="str">
        <f>IF('Marks Entry'!BI75="","",'Marks Entry'!BI75)</f>
        <v/>
      </c>
      <c r="EU75" s="74" t="str">
        <f>IF('Marks Entry'!BJ75="","",'Marks Entry'!BJ75)</f>
        <v/>
      </c>
      <c r="EV75" s="528" t="str">
        <f t="shared" si="231"/>
        <v/>
      </c>
      <c r="EW75" s="530" t="str">
        <f t="shared" si="232"/>
        <v/>
      </c>
      <c r="EX75" s="368" t="str">
        <f t="shared" si="282"/>
        <v/>
      </c>
      <c r="EY75" s="65">
        <f t="shared" si="283"/>
        <v>0</v>
      </c>
      <c r="EZ75" s="65">
        <f t="shared" si="284"/>
        <v>0</v>
      </c>
      <c r="FA75" s="66" t="str">
        <f t="shared" si="285"/>
        <v/>
      </c>
      <c r="FB75" s="74" t="str">
        <f>IF('Marks Entry'!BK75="","",'Marks Entry'!BK75)</f>
        <v/>
      </c>
      <c r="FC75" s="74" t="str">
        <f>IF('Marks Entry'!BL75="","",'Marks Entry'!BL75)</f>
        <v/>
      </c>
      <c r="FD75" s="74" t="str">
        <f>IF('Marks Entry'!BM75="","",'Marks Entry'!BM75)</f>
        <v/>
      </c>
      <c r="FE75" s="74" t="str">
        <f>IF('Marks Entry'!BN75="","",'Marks Entry'!BN75)</f>
        <v/>
      </c>
      <c r="FF75" s="74" t="str">
        <f>IF('Marks Entry'!BO75="","",'Marks Entry'!BO75)</f>
        <v/>
      </c>
      <c r="FG75" s="74" t="str">
        <f>IF('Marks Entry'!BP75="","",'Marks Entry'!BP75)</f>
        <v/>
      </c>
      <c r="FH75" s="527" t="str">
        <f t="shared" si="233"/>
        <v/>
      </c>
      <c r="FI75" s="74" t="str">
        <f>IF('Marks Entry'!BQ75="","",'Marks Entry'!BQ75)</f>
        <v/>
      </c>
      <c r="FJ75" s="74" t="str">
        <f>IF('Marks Entry'!BR75="","",'Marks Entry'!BR75)</f>
        <v/>
      </c>
      <c r="FK75" s="528" t="str">
        <f t="shared" si="234"/>
        <v/>
      </c>
      <c r="FL75" s="529" t="str">
        <f t="shared" si="235"/>
        <v/>
      </c>
      <c r="FM75" s="74" t="str">
        <f>IF('Marks Entry'!BS75="","",'Marks Entry'!BS75)</f>
        <v/>
      </c>
      <c r="FN75" s="74" t="str">
        <f>IF('Marks Entry'!BT75="","",'Marks Entry'!BT75)</f>
        <v/>
      </c>
      <c r="FO75" s="528" t="str">
        <f t="shared" si="236"/>
        <v/>
      </c>
      <c r="FP75" s="530" t="str">
        <f t="shared" si="237"/>
        <v/>
      </c>
      <c r="FQ75" s="368" t="str">
        <f t="shared" si="286"/>
        <v/>
      </c>
      <c r="FR75" s="65">
        <f t="shared" si="287"/>
        <v>0</v>
      </c>
      <c r="FS75" s="65">
        <f t="shared" si="288"/>
        <v>0</v>
      </c>
      <c r="FT75" s="66" t="str">
        <f t="shared" si="289"/>
        <v/>
      </c>
      <c r="FU75" s="74" t="str">
        <f>IF('Marks Entry'!BU75="","",'Marks Entry'!BU75)</f>
        <v/>
      </c>
      <c r="FV75" s="74" t="str">
        <f>IF('Marks Entry'!BV75="","",'Marks Entry'!BV75)</f>
        <v/>
      </c>
      <c r="FW75" s="74" t="str">
        <f>IF('Marks Entry'!BW75="","",'Marks Entry'!BW75)</f>
        <v/>
      </c>
      <c r="FX75" s="75" t="str">
        <f t="shared" si="238"/>
        <v/>
      </c>
      <c r="FY75" s="368" t="str">
        <f t="shared" si="290"/>
        <v/>
      </c>
      <c r="FZ75" s="65">
        <f t="shared" si="291"/>
        <v>0</v>
      </c>
      <c r="GA75" s="66">
        <f t="shared" si="292"/>
        <v>0</v>
      </c>
      <c r="GB75" s="66" t="str">
        <f t="shared" si="293"/>
        <v/>
      </c>
      <c r="GC75" s="74" t="str">
        <f>IF('Marks Entry'!BX75="","",'Marks Entry'!BX75)</f>
        <v/>
      </c>
      <c r="GD75" s="74" t="str">
        <f>IF('Marks Entry'!BY75="","",'Marks Entry'!BY75)</f>
        <v/>
      </c>
      <c r="GE75" s="74" t="str">
        <f>IF('Marks Entry'!BZ75="","",'Marks Entry'!BZ75)</f>
        <v/>
      </c>
      <c r="GF75" s="75" t="str">
        <f t="shared" si="294"/>
        <v/>
      </c>
      <c r="GG75" s="368" t="str">
        <f t="shared" si="295"/>
        <v/>
      </c>
      <c r="GH75" s="65">
        <f t="shared" si="296"/>
        <v>0</v>
      </c>
      <c r="GI75" s="66">
        <f t="shared" si="297"/>
        <v>0</v>
      </c>
      <c r="GJ75" s="66" t="str">
        <f t="shared" si="298"/>
        <v/>
      </c>
      <c r="GK75" s="100" t="str">
        <f>IF(AND(F75="",B75=""),"",IF('Student DATA Entry'!M72="","",'Student DATA Entry'!M72))</f>
        <v/>
      </c>
      <c r="GL75" s="101" t="str">
        <f>IF(AND(B75="",F75=""),"",IF('Student DATA Entry'!N72="","",'Student DATA Entry'!N72))</f>
        <v/>
      </c>
      <c r="GM75" s="581" t="str">
        <f t="shared" si="299"/>
        <v/>
      </c>
      <c r="GN75" s="94" t="str">
        <f t="shared" si="300"/>
        <v/>
      </c>
      <c r="GO75" s="94" t="str">
        <f t="shared" si="301"/>
        <v/>
      </c>
      <c r="GP75" s="102" t="str">
        <f t="shared" si="239"/>
        <v/>
      </c>
      <c r="GQ75" s="94" t="str">
        <f t="shared" si="302"/>
        <v/>
      </c>
      <c r="GR75" s="103" t="str">
        <f t="shared" si="303"/>
        <v/>
      </c>
      <c r="GS75" s="102" t="str">
        <f t="shared" si="240"/>
        <v/>
      </c>
      <c r="GT75" s="104" t="str">
        <f t="shared" si="304"/>
        <v/>
      </c>
      <c r="GU75" s="94" t="str">
        <f>IF('Marks Entry'!V75=1,GT75,"")</f>
        <v/>
      </c>
      <c r="GV75" s="94" t="str">
        <f>IF('Marks Entry'!V75=2,GT75,"")</f>
        <v/>
      </c>
      <c r="GW75" s="94" t="str">
        <f>IF('Marks Entry'!V75=3,GT75,"")</f>
        <v/>
      </c>
      <c r="GX75" s="94" t="str">
        <f>IF('Marks Entry'!V75=4,GT75,"")</f>
        <v/>
      </c>
      <c r="GY75" s="94" t="str">
        <f>IF('Marks Entry'!V75=5,GT75,"")</f>
        <v/>
      </c>
      <c r="GZ75" s="94" t="str">
        <f t="shared" si="305"/>
        <v/>
      </c>
      <c r="HA75" s="105" t="str">
        <f t="shared" si="241"/>
        <v/>
      </c>
      <c r="HB75" s="94" t="str">
        <f t="shared" si="306"/>
        <v/>
      </c>
      <c r="HC75" s="94" t="str">
        <f t="shared" si="307"/>
        <v/>
      </c>
      <c r="HD75" s="105" t="str">
        <f t="shared" si="242"/>
        <v/>
      </c>
      <c r="HE75" s="94" t="str">
        <f t="shared" si="308"/>
        <v/>
      </c>
      <c r="HF75" s="94" t="str">
        <f t="shared" si="309"/>
        <v/>
      </c>
      <c r="HG75" s="105" t="str">
        <f t="shared" si="243"/>
        <v/>
      </c>
      <c r="HH75" s="94" t="str">
        <f t="shared" si="310"/>
        <v/>
      </c>
      <c r="HI75" s="94" t="str">
        <f t="shared" si="311"/>
        <v/>
      </c>
      <c r="HJ75" s="105" t="str">
        <f t="shared" si="244"/>
        <v/>
      </c>
      <c r="HK75" s="94" t="str">
        <f t="shared" si="312"/>
        <v/>
      </c>
      <c r="HL75" s="94" t="str">
        <f t="shared" si="313"/>
        <v/>
      </c>
      <c r="HM75" s="105" t="str">
        <f t="shared" si="245"/>
        <v/>
      </c>
      <c r="HN75" s="367" t="str">
        <f t="shared" si="314"/>
        <v xml:space="preserve">      </v>
      </c>
      <c r="HO75" s="418" t="str">
        <f t="shared" si="246"/>
        <v xml:space="preserve">      </v>
      </c>
      <c r="HP75" s="367" t="str">
        <f t="shared" si="315"/>
        <v xml:space="preserve">      </v>
      </c>
      <c r="HQ75" s="107" t="str">
        <f t="shared" si="316"/>
        <v xml:space="preserve">      </v>
      </c>
      <c r="HR75" s="366" t="str">
        <f t="shared" si="317"/>
        <v xml:space="preserve">      </v>
      </c>
      <c r="HS75" s="544" t="str">
        <f t="shared" si="247"/>
        <v/>
      </c>
      <c r="HT75" s="542" t="str">
        <f t="shared" si="318"/>
        <v/>
      </c>
      <c r="HU75" s="541" t="str">
        <f t="shared" si="319"/>
        <v/>
      </c>
      <c r="HV75" s="540" t="str">
        <f t="shared" si="320"/>
        <v/>
      </c>
      <c r="HW75" s="537" t="str">
        <f t="shared" si="321"/>
        <v/>
      </c>
      <c r="HX75" s="539" t="str">
        <f t="shared" si="322"/>
        <v/>
      </c>
      <c r="HY75" s="553" t="str">
        <f>IFERROR(IF(OR(HS75="SUPPLEMENTARY",HS75="RE-EXAM"),'Supp. Result Entry'!AQ73,""),"")</f>
        <v/>
      </c>
      <c r="HZ75" s="538" t="str">
        <f t="shared" si="323"/>
        <v/>
      </c>
      <c r="IA75" s="415" t="str">
        <f t="shared" si="324"/>
        <v/>
      </c>
      <c r="IB75" s="415" t="str">
        <f>IF(AND(HZ75="",IA75=""),"",IF(OR(HS75="SUPPLEMENTARY",HS75="RE-EXAM"),'Supp. Result Entry'!AQ73,HS75))</f>
        <v/>
      </c>
      <c r="IC75" s="87"/>
      <c r="IS75" s="109" t="str">
        <f>IF('Supp. Result Entry'!T73="","",'Supp. Result Entry'!$T$4)</f>
        <v/>
      </c>
      <c r="IT75" s="110" t="str">
        <f>IF('Supp. Result Entry'!W73="","",'Supp. Result Entry'!$W$4)</f>
        <v/>
      </c>
      <c r="IU75" s="110" t="str">
        <f>IF('Supp. Result Entry'!Z73="","",'Supp. Result Entry'!$Z$4)</f>
        <v/>
      </c>
      <c r="IV75" s="110" t="str">
        <f>IF('Supp. Result Entry'!AC73="","",'Supp. Result Entry'!$AC$4)</f>
        <v/>
      </c>
      <c r="IW75" s="110" t="str">
        <f>IF('Supp. Result Entry'!AF73="","",'Supp. Result Entry'!$AF$4)</f>
        <v/>
      </c>
      <c r="IX75" s="110" t="str">
        <f>IF('Supp. Result Entry'!AI73="","",'Supp. Result Entry'!$AI$4)</f>
        <v/>
      </c>
      <c r="IY75" s="110" t="str">
        <f>IF('Supp. Result Entry'!AI73="","",'Supp. Result Entry'!$AL$4)</f>
        <v/>
      </c>
      <c r="IZ75" s="110" t="str">
        <f>IF('Supp. Result Entry'!U73="","",'Supp. Result Entry'!U73)</f>
        <v/>
      </c>
      <c r="JA75" s="110" t="str">
        <f>IF('Supp. Result Entry'!X73="","",'Supp. Result Entry'!X73)</f>
        <v/>
      </c>
      <c r="JB75" s="110" t="str">
        <f>IF('Supp. Result Entry'!AA73="","",'Supp. Result Entry'!AA73)</f>
        <v/>
      </c>
      <c r="JC75" s="110" t="str">
        <f>IF('Supp. Result Entry'!AD73="","",'Supp. Result Entry'!AD73)</f>
        <v/>
      </c>
      <c r="JD75" s="110" t="str">
        <f>IF('Supp. Result Entry'!AG73="","",'Supp. Result Entry'!AG73)</f>
        <v/>
      </c>
      <c r="JE75" s="110" t="str">
        <f>IF('Supp. Result Entry'!AJ73="","",'Supp. Result Entry'!AJ73)</f>
        <v/>
      </c>
      <c r="JF75" s="110" t="str">
        <f>IF('Supp. Result Entry'!AM73="","",'Supp. Result Entry'!AM73)</f>
        <v/>
      </c>
      <c r="JG75" s="110" t="str">
        <f>IF('Supp. Result Entry'!V73="","",'Supp. Result Entry'!V73)</f>
        <v/>
      </c>
      <c r="JH75" s="110" t="str">
        <f>IF('Supp. Result Entry'!Y73="","",'Supp. Result Entry'!Y73)</f>
        <v/>
      </c>
      <c r="JI75" s="110" t="str">
        <f>IF('Supp. Result Entry'!AB73="","",'Supp. Result Entry'!AB73)</f>
        <v/>
      </c>
      <c r="JJ75" s="110" t="str">
        <f>IF('Supp. Result Entry'!AE73="","",'Supp. Result Entry'!AE73)</f>
        <v/>
      </c>
      <c r="JK75" s="110" t="str">
        <f>IF('Supp. Result Entry'!AH73="","",'Supp. Result Entry'!AH73)</f>
        <v/>
      </c>
      <c r="JL75" s="110" t="str">
        <f>IF('Supp. Result Entry'!AK73="","",'Supp. Result Entry'!AK73)</f>
        <v/>
      </c>
      <c r="JM75" s="110" t="str">
        <f>IF('Supp. Result Entry'!AN73="","",'Supp. Result Entry'!AN73)</f>
        <v/>
      </c>
      <c r="JN75" s="110">
        <f>COUNTIF('Supp. Result Entry'!K73:Q73,"S")</f>
        <v>0</v>
      </c>
      <c r="JO75" s="110">
        <f t="shared" si="248"/>
        <v>0</v>
      </c>
      <c r="JP75" s="110">
        <f t="shared" si="325"/>
        <v>0</v>
      </c>
      <c r="JQ75" s="110" t="str">
        <f t="shared" si="249"/>
        <v/>
      </c>
      <c r="JR75" s="110" t="str">
        <f t="shared" si="250"/>
        <v/>
      </c>
      <c r="JS75" s="110" t="str">
        <f t="shared" si="251"/>
        <v/>
      </c>
      <c r="JT75" s="110" t="str">
        <f t="shared" si="252"/>
        <v/>
      </c>
      <c r="JU75" s="110" t="str">
        <f t="shared" si="253"/>
        <v/>
      </c>
      <c r="JV75" s="110" t="str">
        <f t="shared" si="254"/>
        <v/>
      </c>
      <c r="JW75" s="110" t="str">
        <f t="shared" si="255"/>
        <v/>
      </c>
      <c r="JX75" s="110" t="str">
        <f t="shared" si="326"/>
        <v/>
      </c>
      <c r="JY75" s="110" t="str">
        <f t="shared" si="327"/>
        <v/>
      </c>
      <c r="JZ75" s="110" t="str">
        <f t="shared" si="256"/>
        <v/>
      </c>
      <c r="KA75" s="108" t="str">
        <f t="shared" si="328"/>
        <v/>
      </c>
    </row>
    <row r="76" spans="1:287" s="108" customFormat="1" ht="21.95" customHeight="1">
      <c r="A76" s="89">
        <v>70</v>
      </c>
      <c r="B76" s="90" t="str">
        <f>IF('Marks Entry'!B76="","",'Marks Entry'!B76)</f>
        <v/>
      </c>
      <c r="C76" s="94" t="str">
        <f>IF('Marks Entry'!D76="","",'Marks Entry'!D76)</f>
        <v/>
      </c>
      <c r="D76" s="91" t="str">
        <f>IF('Marks Entry'!E76="","",'Marks Entry'!E76)</f>
        <v/>
      </c>
      <c r="E76" s="92" t="str">
        <f>IF('Marks Entry'!F76="","",'Marks Entry'!F76)</f>
        <v/>
      </c>
      <c r="F76" s="93" t="str">
        <f>IF('Marks Entry'!G76="","",'Marks Entry'!G76)</f>
        <v/>
      </c>
      <c r="G76" s="93" t="str">
        <f>IF('Marks Entry'!H76="","",'Marks Entry'!H76)</f>
        <v/>
      </c>
      <c r="H76" s="93" t="str">
        <f>IF('Marks Entry'!I76="","",'Marks Entry'!I76)</f>
        <v/>
      </c>
      <c r="I76" s="94" t="str">
        <f>IF('Marks Entry'!J76="","",'Marks Entry'!J76)</f>
        <v/>
      </c>
      <c r="J76" s="95" t="str">
        <f>IF('Marks Entry'!K76="","",'Marks Entry'!K76)</f>
        <v/>
      </c>
      <c r="K76" s="68" t="str">
        <f>IF('Marks Entry'!L76="","",'Marks Entry'!L76)</f>
        <v/>
      </c>
      <c r="L76" s="68" t="str">
        <f>IF('Marks Entry'!M76="","",'Marks Entry'!M76)</f>
        <v/>
      </c>
      <c r="M76" s="68" t="str">
        <f>IF('Marks Entry'!N76="","",'Marks Entry'!N76)</f>
        <v/>
      </c>
      <c r="N76" s="514" t="str">
        <f t="shared" si="257"/>
        <v/>
      </c>
      <c r="O76" s="68" t="str">
        <f>IF('Marks Entry'!O76="","",'Marks Entry'!O76)</f>
        <v/>
      </c>
      <c r="P76" s="515" t="str">
        <f t="shared" si="258"/>
        <v/>
      </c>
      <c r="Q76" s="68" t="str">
        <f>IF('Marks Entry'!P76="","",'Marks Entry'!P76)</f>
        <v/>
      </c>
      <c r="R76" s="96" t="str">
        <f t="shared" si="259"/>
        <v/>
      </c>
      <c r="S76" s="65">
        <f t="shared" si="260"/>
        <v>0</v>
      </c>
      <c r="T76" s="65">
        <f t="shared" si="261"/>
        <v>0</v>
      </c>
      <c r="U76" s="66" t="str">
        <f t="shared" si="171"/>
        <v/>
      </c>
      <c r="V76" s="65" t="str">
        <f t="shared" si="172"/>
        <v/>
      </c>
      <c r="W76" s="65" t="str">
        <f t="shared" si="262"/>
        <v/>
      </c>
      <c r="X76" s="65" t="str">
        <f t="shared" si="173"/>
        <v/>
      </c>
      <c r="Y76" s="68" t="str">
        <f>IF('Marks Entry'!Q76="","",'Marks Entry'!Q76)</f>
        <v/>
      </c>
      <c r="Z76" s="68" t="str">
        <f>IF('Marks Entry'!R76="","",'Marks Entry'!R76)</f>
        <v/>
      </c>
      <c r="AA76" s="68" t="str">
        <f>IF('Marks Entry'!S76="","",'Marks Entry'!S76)</f>
        <v/>
      </c>
      <c r="AB76" s="514" t="str">
        <f t="shared" si="174"/>
        <v/>
      </c>
      <c r="AC76" s="68" t="str">
        <f>IF('Marks Entry'!T76="","",'Marks Entry'!T76)</f>
        <v/>
      </c>
      <c r="AD76" s="515" t="str">
        <f t="shared" si="175"/>
        <v/>
      </c>
      <c r="AE76" s="68" t="str">
        <f>IF('Marks Entry'!U76="","",'Marks Entry'!U76)</f>
        <v/>
      </c>
      <c r="AF76" s="96" t="str">
        <f t="shared" si="176"/>
        <v/>
      </c>
      <c r="AG76" s="65">
        <f t="shared" si="177"/>
        <v>0</v>
      </c>
      <c r="AH76" s="65">
        <f t="shared" si="178"/>
        <v>0</v>
      </c>
      <c r="AI76" s="66" t="str">
        <f t="shared" si="179"/>
        <v/>
      </c>
      <c r="AJ76" s="65" t="str">
        <f t="shared" si="180"/>
        <v/>
      </c>
      <c r="AK76" s="65" t="str">
        <f t="shared" si="181"/>
        <v/>
      </c>
      <c r="AL76" s="65" t="str">
        <f t="shared" si="182"/>
        <v/>
      </c>
      <c r="AM76" s="524" t="str">
        <f>IF('Marks Entry'!V76="","",IF('Marks Entry'!V76=1,'School Profile'!$I$9,IF('Marks Entry'!V76=2,'School Profile'!$I$10,IF('Marks Entry'!V76=3,'School Profile'!$I$11,IF('Marks Entry'!V76=4,'School Profile'!$I$12,IF('Marks Entry'!V76=5,'School Profile'!$I$13,IF('Marks Entry'!V76=6,'School Profile'!$I$14,"")))))))</f>
        <v/>
      </c>
      <c r="AN76" s="68" t="str">
        <f>IF('Marks Entry'!W76="","",'Marks Entry'!W76)</f>
        <v/>
      </c>
      <c r="AO76" s="68" t="str">
        <f>IF('Marks Entry'!X76="","",'Marks Entry'!X76)</f>
        <v/>
      </c>
      <c r="AP76" s="68" t="str">
        <f>IF('Marks Entry'!Y76="","",'Marks Entry'!Y76)</f>
        <v/>
      </c>
      <c r="AQ76" s="514" t="str">
        <f t="shared" si="183"/>
        <v/>
      </c>
      <c r="AR76" s="68" t="str">
        <f>IF('Marks Entry'!Z76="","",'Marks Entry'!Z76)</f>
        <v/>
      </c>
      <c r="AS76" s="515" t="str">
        <f t="shared" si="184"/>
        <v/>
      </c>
      <c r="AT76" s="68" t="str">
        <f>IF('Marks Entry'!AA76="","",'Marks Entry'!AA76)</f>
        <v/>
      </c>
      <c r="AU76" s="96" t="str">
        <f t="shared" si="185"/>
        <v/>
      </c>
      <c r="AV76" s="65">
        <f t="shared" si="186"/>
        <v>0</v>
      </c>
      <c r="AW76" s="65">
        <f t="shared" si="187"/>
        <v>0</v>
      </c>
      <c r="AX76" s="66" t="str">
        <f t="shared" si="188"/>
        <v/>
      </c>
      <c r="AY76" s="65" t="str">
        <f t="shared" si="189"/>
        <v/>
      </c>
      <c r="AZ76" s="65" t="str">
        <f t="shared" si="190"/>
        <v/>
      </c>
      <c r="BA76" s="65" t="str">
        <f t="shared" si="191"/>
        <v/>
      </c>
      <c r="BB76" s="68" t="str">
        <f>IF('Marks Entry'!AB76="","",'Marks Entry'!AB76)</f>
        <v/>
      </c>
      <c r="BC76" s="68" t="str">
        <f>IF('Marks Entry'!AC76="","",'Marks Entry'!AC76)</f>
        <v/>
      </c>
      <c r="BD76" s="68" t="str">
        <f>IF('Marks Entry'!AD76="","",'Marks Entry'!AD76)</f>
        <v/>
      </c>
      <c r="BE76" s="514" t="str">
        <f t="shared" si="192"/>
        <v/>
      </c>
      <c r="BF76" s="68" t="str">
        <f>IF('Marks Entry'!AE76="","",'Marks Entry'!AE76)</f>
        <v/>
      </c>
      <c r="BG76" s="515" t="str">
        <f t="shared" si="193"/>
        <v/>
      </c>
      <c r="BH76" s="68" t="str">
        <f>IF('Marks Entry'!AF76="","",'Marks Entry'!AF76)</f>
        <v/>
      </c>
      <c r="BI76" s="96" t="str">
        <f t="shared" si="194"/>
        <v/>
      </c>
      <c r="BJ76" s="65">
        <f t="shared" si="195"/>
        <v>0</v>
      </c>
      <c r="BK76" s="65">
        <f t="shared" si="263"/>
        <v>0</v>
      </c>
      <c r="BL76" s="66" t="str">
        <f t="shared" si="196"/>
        <v/>
      </c>
      <c r="BM76" s="65" t="str">
        <f t="shared" si="197"/>
        <v/>
      </c>
      <c r="BN76" s="65" t="str">
        <f t="shared" si="198"/>
        <v/>
      </c>
      <c r="BO76" s="65" t="str">
        <f t="shared" si="199"/>
        <v/>
      </c>
      <c r="BP76" s="68" t="str">
        <f>IF('Marks Entry'!AG76="","",'Marks Entry'!AG76)</f>
        <v/>
      </c>
      <c r="BQ76" s="68" t="str">
        <f>IF('Marks Entry'!AH76="","",'Marks Entry'!AH76)</f>
        <v/>
      </c>
      <c r="BR76" s="68" t="str">
        <f>IF('Marks Entry'!AI76="","",'Marks Entry'!AI76)</f>
        <v/>
      </c>
      <c r="BS76" s="514" t="str">
        <f t="shared" si="200"/>
        <v/>
      </c>
      <c r="BT76" s="68" t="str">
        <f>IF('Marks Entry'!AJ76="","",'Marks Entry'!AJ76)</f>
        <v/>
      </c>
      <c r="BU76" s="515" t="str">
        <f t="shared" si="201"/>
        <v/>
      </c>
      <c r="BV76" s="68" t="str">
        <f>IF('Marks Entry'!AK76="","",'Marks Entry'!AK76)</f>
        <v/>
      </c>
      <c r="BW76" s="96" t="str">
        <f t="shared" si="202"/>
        <v/>
      </c>
      <c r="BX76" s="65">
        <f t="shared" si="203"/>
        <v>0</v>
      </c>
      <c r="BY76" s="65">
        <f t="shared" si="204"/>
        <v>0</v>
      </c>
      <c r="BZ76" s="66" t="str">
        <f t="shared" si="205"/>
        <v/>
      </c>
      <c r="CA76" s="65" t="str">
        <f t="shared" si="206"/>
        <v/>
      </c>
      <c r="CB76" s="65" t="str">
        <f t="shared" si="207"/>
        <v/>
      </c>
      <c r="CC76" s="65" t="str">
        <f t="shared" si="208"/>
        <v/>
      </c>
      <c r="CD76" s="66">
        <f t="shared" si="209"/>
        <v>0</v>
      </c>
      <c r="CE76" s="68" t="str">
        <f>IF('Marks Entry'!AL76="","",'Marks Entry'!AL76)</f>
        <v/>
      </c>
      <c r="CF76" s="68" t="str">
        <f>IF('Marks Entry'!AM76="","",'Marks Entry'!AM76)</f>
        <v/>
      </c>
      <c r="CG76" s="68" t="str">
        <f>IF('Marks Entry'!AN76="","",'Marks Entry'!AN76)</f>
        <v/>
      </c>
      <c r="CH76" s="514" t="str">
        <f t="shared" si="210"/>
        <v/>
      </c>
      <c r="CI76" s="68" t="str">
        <f>IF('Marks Entry'!AO76="","",'Marks Entry'!AO76)</f>
        <v/>
      </c>
      <c r="CJ76" s="515" t="str">
        <f t="shared" si="211"/>
        <v/>
      </c>
      <c r="CK76" s="68" t="str">
        <f>IF('Marks Entry'!AP76="","",'Marks Entry'!AP76)</f>
        <v/>
      </c>
      <c r="CL76" s="96" t="str">
        <f t="shared" si="212"/>
        <v/>
      </c>
      <c r="CM76" s="65">
        <f t="shared" si="213"/>
        <v>0</v>
      </c>
      <c r="CN76" s="65">
        <f t="shared" si="214"/>
        <v>0</v>
      </c>
      <c r="CO76" s="66" t="str">
        <f t="shared" si="215"/>
        <v/>
      </c>
      <c r="CP76" s="65" t="str">
        <f t="shared" si="216"/>
        <v/>
      </c>
      <c r="CQ76" s="65" t="str">
        <f t="shared" si="217"/>
        <v/>
      </c>
      <c r="CR76" s="65" t="str">
        <f t="shared" si="218"/>
        <v/>
      </c>
      <c r="CS76" s="616"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8" t="str">
        <f>IF('School Profile'!$D$20="NO","",IF('Marks Entry'!AR76="","",'Marks Entry'!AR76))</f>
        <v/>
      </c>
      <c r="CU76" s="68" t="str">
        <f>IF('School Profile'!$D$20="NO","",IF('Marks Entry'!AS76="","",'Marks Entry'!AS76))</f>
        <v/>
      </c>
      <c r="CV76" s="68" t="str">
        <f>IF('School Profile'!$D$20="NO","",IF('Marks Entry'!AT76="","",'Marks Entry'!AT76))</f>
        <v/>
      </c>
      <c r="CW76" s="514" t="str">
        <f>IF('School Profile'!$D$20="NO","",IF(AND(CT76="",CU76="",CV76=""),"",SUM(CT76:CV76)))</f>
        <v/>
      </c>
      <c r="CX76" s="68" t="str">
        <f>IF('School Profile'!$D$20="NO","",IF('Marks Entry'!AU76="","",'Marks Entry'!AU76))</f>
        <v/>
      </c>
      <c r="CY76" s="68" t="str">
        <f>IF('School Profile'!$D$20="NO","",IF('Marks Entry'!AV76="","",'Marks Entry'!AV76))</f>
        <v/>
      </c>
      <c r="CZ76" s="515" t="str">
        <f>IF('School Profile'!$D$20="NO","",IF(AND(CX76="",CY76=""),"",SUM(CX76,CY76)))</f>
        <v/>
      </c>
      <c r="DA76" s="69" t="str">
        <f>IF('School Profile'!$D$20="NO","",IF(AND(CW76="",CZ76=""),"",SUM(CW76+CZ76)))</f>
        <v/>
      </c>
      <c r="DB76" s="68" t="str">
        <f>IF('School Profile'!$D$20="NO","",IF('Marks Entry'!AW76="","",'Marks Entry'!AW76))</f>
        <v/>
      </c>
      <c r="DC76" s="68" t="str">
        <f>IF('School Profile'!$D$20="NO","",IF('Marks Entry'!AX76="","",'Marks Entry'!AX76))</f>
        <v/>
      </c>
      <c r="DD76" s="515" t="str">
        <f>IF('School Profile'!$D$20="NO","",IF(AND(DB76="",DC76=""),"",SUM(DB76,DC76)))</f>
        <v/>
      </c>
      <c r="DE76" s="96" t="str">
        <f>IF('School Profile'!$D$20="NO","",IF(AND(DA76="",DD76=""),"",SUM(DA76,DD76)))</f>
        <v/>
      </c>
      <c r="DF76" s="532">
        <f t="shared" si="219"/>
        <v>0</v>
      </c>
      <c r="DG76" s="65">
        <f t="shared" si="220"/>
        <v>0</v>
      </c>
      <c r="DH76" s="66" t="str">
        <f t="shared" si="221"/>
        <v/>
      </c>
      <c r="DI76" s="65" t="str">
        <f t="shared" si="222"/>
        <v/>
      </c>
      <c r="DJ76" s="65" t="str">
        <f t="shared" si="223"/>
        <v/>
      </c>
      <c r="DK76" s="65" t="str">
        <f t="shared" si="224"/>
        <v/>
      </c>
      <c r="DL76" s="97" t="str">
        <f t="shared" si="264"/>
        <v/>
      </c>
      <c r="DM76" s="97" t="str">
        <f t="shared" si="265"/>
        <v/>
      </c>
      <c r="DN76" s="97" t="str">
        <f t="shared" si="266"/>
        <v/>
      </c>
      <c r="DO76" s="97" t="str">
        <f t="shared" si="267"/>
        <v/>
      </c>
      <c r="DP76" s="97" t="str">
        <f t="shared" si="268"/>
        <v/>
      </c>
      <c r="DQ76" s="97" t="str">
        <f t="shared" si="269"/>
        <v/>
      </c>
      <c r="DR76" s="97" t="str">
        <f t="shared" si="270"/>
        <v/>
      </c>
      <c r="DS76" s="98">
        <f t="shared" si="271"/>
        <v>0</v>
      </c>
      <c r="DT76" s="98">
        <f t="shared" si="272"/>
        <v>0</v>
      </c>
      <c r="DU76" s="98">
        <f t="shared" si="273"/>
        <v>0</v>
      </c>
      <c r="DV76" s="98">
        <f t="shared" si="274"/>
        <v>0</v>
      </c>
      <c r="DW76" s="98">
        <f t="shared" si="275"/>
        <v>0</v>
      </c>
      <c r="DX76" s="98" t="str">
        <f t="shared" si="276"/>
        <v/>
      </c>
      <c r="DY76" s="99" t="str">
        <f t="shared" si="277"/>
        <v/>
      </c>
      <c r="DZ76" s="74" t="str">
        <f>IF('Marks Entry'!AY76="","",'Marks Entry'!AY76)</f>
        <v/>
      </c>
      <c r="EA76" s="74" t="str">
        <f>IF('Marks Entry'!AZ76="","",'Marks Entry'!AZ76)</f>
        <v/>
      </c>
      <c r="EB76" s="74" t="str">
        <f>IF('Marks Entry'!BA76="","",'Marks Entry'!BA76)</f>
        <v/>
      </c>
      <c r="EC76" s="527" t="str">
        <f t="shared" si="225"/>
        <v/>
      </c>
      <c r="ED76" s="74" t="str">
        <f>IF('Marks Entry'!BB76="","",'Marks Entry'!BB76)</f>
        <v/>
      </c>
      <c r="EE76" s="528" t="str">
        <f t="shared" si="226"/>
        <v/>
      </c>
      <c r="EF76" s="74" t="str">
        <f>IF('Marks Entry'!BC76="","",'Marks Entry'!BC76)</f>
        <v/>
      </c>
      <c r="EG76" s="530" t="str">
        <f t="shared" si="227"/>
        <v/>
      </c>
      <c r="EH76" s="368" t="str">
        <f t="shared" si="278"/>
        <v/>
      </c>
      <c r="EI76" s="65">
        <f t="shared" si="279"/>
        <v>0</v>
      </c>
      <c r="EJ76" s="65">
        <f t="shared" si="280"/>
        <v>0</v>
      </c>
      <c r="EK76" s="66" t="str">
        <f t="shared" si="281"/>
        <v/>
      </c>
      <c r="EL76" s="74" t="str">
        <f>IF('Marks Entry'!BD76="","",'Marks Entry'!BD76)</f>
        <v/>
      </c>
      <c r="EM76" s="74" t="str">
        <f>IF('Marks Entry'!BE76="","",'Marks Entry'!BE76)</f>
        <v/>
      </c>
      <c r="EN76" s="74" t="str">
        <f>IF('Marks Entry'!BF76="","",'Marks Entry'!BF76)</f>
        <v/>
      </c>
      <c r="EO76" s="527" t="str">
        <f t="shared" si="228"/>
        <v/>
      </c>
      <c r="EP76" s="74" t="str">
        <f>IF('Marks Entry'!BG76="","",'Marks Entry'!BG76)</f>
        <v/>
      </c>
      <c r="EQ76" s="74" t="str">
        <f>IF('Marks Entry'!BH76="","",'Marks Entry'!BH76)</f>
        <v/>
      </c>
      <c r="ER76" s="528" t="str">
        <f t="shared" si="229"/>
        <v/>
      </c>
      <c r="ES76" s="529" t="str">
        <f t="shared" si="230"/>
        <v/>
      </c>
      <c r="ET76" s="74" t="str">
        <f>IF('Marks Entry'!BI76="","",'Marks Entry'!BI76)</f>
        <v/>
      </c>
      <c r="EU76" s="74" t="str">
        <f>IF('Marks Entry'!BJ76="","",'Marks Entry'!BJ76)</f>
        <v/>
      </c>
      <c r="EV76" s="528" t="str">
        <f t="shared" si="231"/>
        <v/>
      </c>
      <c r="EW76" s="530" t="str">
        <f t="shared" si="232"/>
        <v/>
      </c>
      <c r="EX76" s="368" t="str">
        <f t="shared" si="282"/>
        <v/>
      </c>
      <c r="EY76" s="65">
        <f t="shared" si="283"/>
        <v>0</v>
      </c>
      <c r="EZ76" s="65">
        <f t="shared" si="284"/>
        <v>0</v>
      </c>
      <c r="FA76" s="66" t="str">
        <f t="shared" si="285"/>
        <v/>
      </c>
      <c r="FB76" s="74" t="str">
        <f>IF('Marks Entry'!BK76="","",'Marks Entry'!BK76)</f>
        <v/>
      </c>
      <c r="FC76" s="74" t="str">
        <f>IF('Marks Entry'!BL76="","",'Marks Entry'!BL76)</f>
        <v/>
      </c>
      <c r="FD76" s="74" t="str">
        <f>IF('Marks Entry'!BM76="","",'Marks Entry'!BM76)</f>
        <v/>
      </c>
      <c r="FE76" s="74" t="str">
        <f>IF('Marks Entry'!BN76="","",'Marks Entry'!BN76)</f>
        <v/>
      </c>
      <c r="FF76" s="74" t="str">
        <f>IF('Marks Entry'!BO76="","",'Marks Entry'!BO76)</f>
        <v/>
      </c>
      <c r="FG76" s="74" t="str">
        <f>IF('Marks Entry'!BP76="","",'Marks Entry'!BP76)</f>
        <v/>
      </c>
      <c r="FH76" s="527" t="str">
        <f t="shared" si="233"/>
        <v/>
      </c>
      <c r="FI76" s="74" t="str">
        <f>IF('Marks Entry'!BQ76="","",'Marks Entry'!BQ76)</f>
        <v/>
      </c>
      <c r="FJ76" s="74" t="str">
        <f>IF('Marks Entry'!BR76="","",'Marks Entry'!BR76)</f>
        <v/>
      </c>
      <c r="FK76" s="528" t="str">
        <f t="shared" si="234"/>
        <v/>
      </c>
      <c r="FL76" s="529" t="str">
        <f t="shared" si="235"/>
        <v/>
      </c>
      <c r="FM76" s="74" t="str">
        <f>IF('Marks Entry'!BS76="","",'Marks Entry'!BS76)</f>
        <v/>
      </c>
      <c r="FN76" s="74" t="str">
        <f>IF('Marks Entry'!BT76="","",'Marks Entry'!BT76)</f>
        <v/>
      </c>
      <c r="FO76" s="528" t="str">
        <f t="shared" si="236"/>
        <v/>
      </c>
      <c r="FP76" s="530" t="str">
        <f t="shared" si="237"/>
        <v/>
      </c>
      <c r="FQ76" s="368" t="str">
        <f t="shared" si="286"/>
        <v/>
      </c>
      <c r="FR76" s="65">
        <f t="shared" si="287"/>
        <v>0</v>
      </c>
      <c r="FS76" s="65">
        <f t="shared" si="288"/>
        <v>0</v>
      </c>
      <c r="FT76" s="66" t="str">
        <f t="shared" si="289"/>
        <v/>
      </c>
      <c r="FU76" s="74" t="str">
        <f>IF('Marks Entry'!BU76="","",'Marks Entry'!BU76)</f>
        <v/>
      </c>
      <c r="FV76" s="74" t="str">
        <f>IF('Marks Entry'!BV76="","",'Marks Entry'!BV76)</f>
        <v/>
      </c>
      <c r="FW76" s="74" t="str">
        <f>IF('Marks Entry'!BW76="","",'Marks Entry'!BW76)</f>
        <v/>
      </c>
      <c r="FX76" s="75" t="str">
        <f t="shared" si="238"/>
        <v/>
      </c>
      <c r="FY76" s="368" t="str">
        <f t="shared" si="290"/>
        <v/>
      </c>
      <c r="FZ76" s="65">
        <f t="shared" si="291"/>
        <v>0</v>
      </c>
      <c r="GA76" s="66">
        <f t="shared" si="292"/>
        <v>0</v>
      </c>
      <c r="GB76" s="66" t="str">
        <f t="shared" si="293"/>
        <v/>
      </c>
      <c r="GC76" s="74" t="str">
        <f>IF('Marks Entry'!BX76="","",'Marks Entry'!BX76)</f>
        <v/>
      </c>
      <c r="GD76" s="74" t="str">
        <f>IF('Marks Entry'!BY76="","",'Marks Entry'!BY76)</f>
        <v/>
      </c>
      <c r="GE76" s="74" t="str">
        <f>IF('Marks Entry'!BZ76="","",'Marks Entry'!BZ76)</f>
        <v/>
      </c>
      <c r="GF76" s="75" t="str">
        <f t="shared" si="294"/>
        <v/>
      </c>
      <c r="GG76" s="368" t="str">
        <f t="shared" si="295"/>
        <v/>
      </c>
      <c r="GH76" s="65">
        <f t="shared" si="296"/>
        <v>0</v>
      </c>
      <c r="GI76" s="66">
        <f t="shared" si="297"/>
        <v>0</v>
      </c>
      <c r="GJ76" s="66" t="str">
        <f t="shared" si="298"/>
        <v/>
      </c>
      <c r="GK76" s="100" t="str">
        <f>IF(AND(F76="",B76=""),"",IF('Student DATA Entry'!M73="","",'Student DATA Entry'!M73))</f>
        <v/>
      </c>
      <c r="GL76" s="101" t="str">
        <f>IF(AND(B76="",F76=""),"",IF('Student DATA Entry'!N73="","",'Student DATA Entry'!N73))</f>
        <v/>
      </c>
      <c r="GM76" s="581" t="str">
        <f t="shared" si="299"/>
        <v/>
      </c>
      <c r="GN76" s="94" t="str">
        <f t="shared" si="300"/>
        <v/>
      </c>
      <c r="GO76" s="94" t="str">
        <f t="shared" si="301"/>
        <v/>
      </c>
      <c r="GP76" s="102" t="str">
        <f t="shared" si="239"/>
        <v/>
      </c>
      <c r="GQ76" s="94" t="str">
        <f t="shared" si="302"/>
        <v/>
      </c>
      <c r="GR76" s="103" t="str">
        <f t="shared" si="303"/>
        <v/>
      </c>
      <c r="GS76" s="102" t="str">
        <f t="shared" si="240"/>
        <v/>
      </c>
      <c r="GT76" s="104" t="str">
        <f t="shared" si="304"/>
        <v/>
      </c>
      <c r="GU76" s="94" t="str">
        <f>IF('Marks Entry'!V76=1,GT76,"")</f>
        <v/>
      </c>
      <c r="GV76" s="94" t="str">
        <f>IF('Marks Entry'!V76=2,GT76,"")</f>
        <v/>
      </c>
      <c r="GW76" s="94" t="str">
        <f>IF('Marks Entry'!V76=3,GT76,"")</f>
        <v/>
      </c>
      <c r="GX76" s="94" t="str">
        <f>IF('Marks Entry'!V76=4,GT76,"")</f>
        <v/>
      </c>
      <c r="GY76" s="94" t="str">
        <f>IF('Marks Entry'!V76=5,GT76,"")</f>
        <v/>
      </c>
      <c r="GZ76" s="94" t="str">
        <f t="shared" si="305"/>
        <v/>
      </c>
      <c r="HA76" s="105" t="str">
        <f t="shared" si="241"/>
        <v/>
      </c>
      <c r="HB76" s="94" t="str">
        <f t="shared" si="306"/>
        <v/>
      </c>
      <c r="HC76" s="94" t="str">
        <f t="shared" si="307"/>
        <v/>
      </c>
      <c r="HD76" s="105" t="str">
        <f t="shared" si="242"/>
        <v/>
      </c>
      <c r="HE76" s="94" t="str">
        <f t="shared" si="308"/>
        <v/>
      </c>
      <c r="HF76" s="94" t="str">
        <f t="shared" si="309"/>
        <v/>
      </c>
      <c r="HG76" s="105" t="str">
        <f t="shared" si="243"/>
        <v/>
      </c>
      <c r="HH76" s="94" t="str">
        <f t="shared" si="310"/>
        <v/>
      </c>
      <c r="HI76" s="94" t="str">
        <f t="shared" si="311"/>
        <v/>
      </c>
      <c r="HJ76" s="105" t="str">
        <f t="shared" si="244"/>
        <v/>
      </c>
      <c r="HK76" s="94" t="str">
        <f t="shared" si="312"/>
        <v/>
      </c>
      <c r="HL76" s="94" t="str">
        <f t="shared" si="313"/>
        <v/>
      </c>
      <c r="HM76" s="105" t="str">
        <f t="shared" si="245"/>
        <v/>
      </c>
      <c r="HN76" s="367" t="str">
        <f t="shared" si="314"/>
        <v xml:space="preserve">      </v>
      </c>
      <c r="HO76" s="418" t="str">
        <f t="shared" si="246"/>
        <v xml:space="preserve">      </v>
      </c>
      <c r="HP76" s="367" t="str">
        <f t="shared" si="315"/>
        <v xml:space="preserve">      </v>
      </c>
      <c r="HQ76" s="107" t="str">
        <f t="shared" si="316"/>
        <v xml:space="preserve">      </v>
      </c>
      <c r="HR76" s="366" t="str">
        <f t="shared" si="317"/>
        <v xml:space="preserve">      </v>
      </c>
      <c r="HS76" s="544" t="str">
        <f t="shared" si="247"/>
        <v/>
      </c>
      <c r="HT76" s="542" t="str">
        <f t="shared" si="318"/>
        <v/>
      </c>
      <c r="HU76" s="541" t="str">
        <f t="shared" si="319"/>
        <v/>
      </c>
      <c r="HV76" s="540" t="str">
        <f t="shared" si="320"/>
        <v/>
      </c>
      <c r="HW76" s="537" t="str">
        <f t="shared" si="321"/>
        <v/>
      </c>
      <c r="HX76" s="539" t="str">
        <f t="shared" si="322"/>
        <v/>
      </c>
      <c r="HY76" s="553" t="str">
        <f>IFERROR(IF(OR(HS76="SUPPLEMENTARY",HS76="RE-EXAM"),'Supp. Result Entry'!AQ74,""),"")</f>
        <v/>
      </c>
      <c r="HZ76" s="538" t="str">
        <f t="shared" si="323"/>
        <v/>
      </c>
      <c r="IA76" s="415" t="str">
        <f t="shared" si="324"/>
        <v/>
      </c>
      <c r="IB76" s="415" t="str">
        <f>IF(AND(HZ76="",IA76=""),"",IF(OR(HS76="SUPPLEMENTARY",HS76="RE-EXAM"),'Supp. Result Entry'!AQ74,HS76))</f>
        <v/>
      </c>
      <c r="IC76" s="87"/>
      <c r="IS76" s="109" t="str">
        <f>IF('Supp. Result Entry'!T74="","",'Supp. Result Entry'!$T$4)</f>
        <v/>
      </c>
      <c r="IT76" s="110" t="str">
        <f>IF('Supp. Result Entry'!W74="","",'Supp. Result Entry'!$W$4)</f>
        <v/>
      </c>
      <c r="IU76" s="110" t="str">
        <f>IF('Supp. Result Entry'!Z74="","",'Supp. Result Entry'!$Z$4)</f>
        <v/>
      </c>
      <c r="IV76" s="110" t="str">
        <f>IF('Supp. Result Entry'!AC74="","",'Supp. Result Entry'!$AC$4)</f>
        <v/>
      </c>
      <c r="IW76" s="110" t="str">
        <f>IF('Supp. Result Entry'!AF74="","",'Supp. Result Entry'!$AF$4)</f>
        <v/>
      </c>
      <c r="IX76" s="110" t="str">
        <f>IF('Supp. Result Entry'!AI74="","",'Supp. Result Entry'!$AI$4)</f>
        <v/>
      </c>
      <c r="IY76" s="110" t="str">
        <f>IF('Supp. Result Entry'!AI74="","",'Supp. Result Entry'!$AL$4)</f>
        <v/>
      </c>
      <c r="IZ76" s="110" t="str">
        <f>IF('Supp. Result Entry'!U74="","",'Supp. Result Entry'!U74)</f>
        <v/>
      </c>
      <c r="JA76" s="110" t="str">
        <f>IF('Supp. Result Entry'!X74="","",'Supp. Result Entry'!X74)</f>
        <v/>
      </c>
      <c r="JB76" s="110" t="str">
        <f>IF('Supp. Result Entry'!AA74="","",'Supp. Result Entry'!AA74)</f>
        <v/>
      </c>
      <c r="JC76" s="110" t="str">
        <f>IF('Supp. Result Entry'!AD74="","",'Supp. Result Entry'!AD74)</f>
        <v/>
      </c>
      <c r="JD76" s="110" t="str">
        <f>IF('Supp. Result Entry'!AG74="","",'Supp. Result Entry'!AG74)</f>
        <v/>
      </c>
      <c r="JE76" s="110" t="str">
        <f>IF('Supp. Result Entry'!AJ74="","",'Supp. Result Entry'!AJ74)</f>
        <v/>
      </c>
      <c r="JF76" s="110" t="str">
        <f>IF('Supp. Result Entry'!AM74="","",'Supp. Result Entry'!AM74)</f>
        <v/>
      </c>
      <c r="JG76" s="110" t="str">
        <f>IF('Supp. Result Entry'!V74="","",'Supp. Result Entry'!V74)</f>
        <v/>
      </c>
      <c r="JH76" s="110" t="str">
        <f>IF('Supp. Result Entry'!Y74="","",'Supp. Result Entry'!Y74)</f>
        <v/>
      </c>
      <c r="JI76" s="110" t="str">
        <f>IF('Supp. Result Entry'!AB74="","",'Supp. Result Entry'!AB74)</f>
        <v/>
      </c>
      <c r="JJ76" s="110" t="str">
        <f>IF('Supp. Result Entry'!AE74="","",'Supp. Result Entry'!AE74)</f>
        <v/>
      </c>
      <c r="JK76" s="110" t="str">
        <f>IF('Supp. Result Entry'!AH74="","",'Supp. Result Entry'!AH74)</f>
        <v/>
      </c>
      <c r="JL76" s="110" t="str">
        <f>IF('Supp. Result Entry'!AK74="","",'Supp. Result Entry'!AK74)</f>
        <v/>
      </c>
      <c r="JM76" s="110" t="str">
        <f>IF('Supp. Result Entry'!AN74="","",'Supp. Result Entry'!AN74)</f>
        <v/>
      </c>
      <c r="JN76" s="110">
        <f>COUNTIF('Supp. Result Entry'!K74:Q74,"S")</f>
        <v>0</v>
      </c>
      <c r="JO76" s="110">
        <f t="shared" si="248"/>
        <v>0</v>
      </c>
      <c r="JP76" s="110">
        <f t="shared" si="325"/>
        <v>0</v>
      </c>
      <c r="JQ76" s="110" t="str">
        <f t="shared" si="249"/>
        <v/>
      </c>
      <c r="JR76" s="110" t="str">
        <f t="shared" si="250"/>
        <v/>
      </c>
      <c r="JS76" s="110" t="str">
        <f t="shared" si="251"/>
        <v/>
      </c>
      <c r="JT76" s="110" t="str">
        <f t="shared" si="252"/>
        <v/>
      </c>
      <c r="JU76" s="110" t="str">
        <f t="shared" si="253"/>
        <v/>
      </c>
      <c r="JV76" s="110" t="str">
        <f t="shared" si="254"/>
        <v/>
      </c>
      <c r="JW76" s="110" t="str">
        <f t="shared" si="255"/>
        <v/>
      </c>
      <c r="JX76" s="110" t="str">
        <f t="shared" si="326"/>
        <v/>
      </c>
      <c r="JY76" s="110" t="str">
        <f t="shared" si="327"/>
        <v/>
      </c>
      <c r="JZ76" s="110" t="str">
        <f t="shared" si="256"/>
        <v/>
      </c>
      <c r="KA76" s="108" t="str">
        <f t="shared" si="328"/>
        <v/>
      </c>
    </row>
    <row r="77" spans="1:287" s="108" customFormat="1" ht="21.95" customHeight="1">
      <c r="A77" s="89">
        <v>71</v>
      </c>
      <c r="B77" s="90" t="str">
        <f>IF('Marks Entry'!B77="","",'Marks Entry'!B77)</f>
        <v/>
      </c>
      <c r="C77" s="94" t="str">
        <f>IF('Marks Entry'!D77="","",'Marks Entry'!D77)</f>
        <v/>
      </c>
      <c r="D77" s="91" t="str">
        <f>IF('Marks Entry'!E77="","",'Marks Entry'!E77)</f>
        <v/>
      </c>
      <c r="E77" s="92" t="str">
        <f>IF('Marks Entry'!F77="","",'Marks Entry'!F77)</f>
        <v/>
      </c>
      <c r="F77" s="93" t="str">
        <f>IF('Marks Entry'!G77="","",'Marks Entry'!G77)</f>
        <v/>
      </c>
      <c r="G77" s="93" t="str">
        <f>IF('Marks Entry'!H77="","",'Marks Entry'!H77)</f>
        <v/>
      </c>
      <c r="H77" s="93" t="str">
        <f>IF('Marks Entry'!I77="","",'Marks Entry'!I77)</f>
        <v/>
      </c>
      <c r="I77" s="94" t="str">
        <f>IF('Marks Entry'!J77="","",'Marks Entry'!J77)</f>
        <v/>
      </c>
      <c r="J77" s="95" t="str">
        <f>IF('Marks Entry'!K77="","",'Marks Entry'!K77)</f>
        <v/>
      </c>
      <c r="K77" s="68" t="str">
        <f>IF('Marks Entry'!L77="","",'Marks Entry'!L77)</f>
        <v/>
      </c>
      <c r="L77" s="68" t="str">
        <f>IF('Marks Entry'!M77="","",'Marks Entry'!M77)</f>
        <v/>
      </c>
      <c r="M77" s="68" t="str">
        <f>IF('Marks Entry'!N77="","",'Marks Entry'!N77)</f>
        <v/>
      </c>
      <c r="N77" s="514" t="str">
        <f t="shared" si="257"/>
        <v/>
      </c>
      <c r="O77" s="68" t="str">
        <f>IF('Marks Entry'!O77="","",'Marks Entry'!O77)</f>
        <v/>
      </c>
      <c r="P77" s="515" t="str">
        <f t="shared" si="258"/>
        <v/>
      </c>
      <c r="Q77" s="68" t="str">
        <f>IF('Marks Entry'!P77="","",'Marks Entry'!P77)</f>
        <v/>
      </c>
      <c r="R77" s="96" t="str">
        <f t="shared" si="259"/>
        <v/>
      </c>
      <c r="S77" s="65">
        <f t="shared" si="260"/>
        <v>0</v>
      </c>
      <c r="T77" s="65">
        <f t="shared" si="261"/>
        <v>0</v>
      </c>
      <c r="U77" s="66" t="str">
        <f t="shared" si="171"/>
        <v/>
      </c>
      <c r="V77" s="65" t="str">
        <f t="shared" si="172"/>
        <v/>
      </c>
      <c r="W77" s="65" t="str">
        <f t="shared" si="262"/>
        <v/>
      </c>
      <c r="X77" s="65" t="str">
        <f t="shared" si="173"/>
        <v/>
      </c>
      <c r="Y77" s="68" t="str">
        <f>IF('Marks Entry'!Q77="","",'Marks Entry'!Q77)</f>
        <v/>
      </c>
      <c r="Z77" s="68" t="str">
        <f>IF('Marks Entry'!R77="","",'Marks Entry'!R77)</f>
        <v/>
      </c>
      <c r="AA77" s="68" t="str">
        <f>IF('Marks Entry'!S77="","",'Marks Entry'!S77)</f>
        <v/>
      </c>
      <c r="AB77" s="514" t="str">
        <f t="shared" si="174"/>
        <v/>
      </c>
      <c r="AC77" s="68" t="str">
        <f>IF('Marks Entry'!T77="","",'Marks Entry'!T77)</f>
        <v/>
      </c>
      <c r="AD77" s="515" t="str">
        <f t="shared" si="175"/>
        <v/>
      </c>
      <c r="AE77" s="68" t="str">
        <f>IF('Marks Entry'!U77="","",'Marks Entry'!U77)</f>
        <v/>
      </c>
      <c r="AF77" s="96" t="str">
        <f t="shared" si="176"/>
        <v/>
      </c>
      <c r="AG77" s="65">
        <f t="shared" si="177"/>
        <v>0</v>
      </c>
      <c r="AH77" s="65">
        <f t="shared" si="178"/>
        <v>0</v>
      </c>
      <c r="AI77" s="66" t="str">
        <f t="shared" si="179"/>
        <v/>
      </c>
      <c r="AJ77" s="65" t="str">
        <f t="shared" si="180"/>
        <v/>
      </c>
      <c r="AK77" s="65" t="str">
        <f t="shared" si="181"/>
        <v/>
      </c>
      <c r="AL77" s="65" t="str">
        <f t="shared" si="182"/>
        <v/>
      </c>
      <c r="AM77" s="524" t="str">
        <f>IF('Marks Entry'!V77="","",IF('Marks Entry'!V77=1,'School Profile'!$I$9,IF('Marks Entry'!V77=2,'School Profile'!$I$10,IF('Marks Entry'!V77=3,'School Profile'!$I$11,IF('Marks Entry'!V77=4,'School Profile'!$I$12,IF('Marks Entry'!V77=5,'School Profile'!$I$13,IF('Marks Entry'!V77=6,'School Profile'!$I$14,"")))))))</f>
        <v/>
      </c>
      <c r="AN77" s="68" t="str">
        <f>IF('Marks Entry'!W77="","",'Marks Entry'!W77)</f>
        <v/>
      </c>
      <c r="AO77" s="68" t="str">
        <f>IF('Marks Entry'!X77="","",'Marks Entry'!X77)</f>
        <v/>
      </c>
      <c r="AP77" s="68" t="str">
        <f>IF('Marks Entry'!Y77="","",'Marks Entry'!Y77)</f>
        <v/>
      </c>
      <c r="AQ77" s="514" t="str">
        <f t="shared" si="183"/>
        <v/>
      </c>
      <c r="AR77" s="68" t="str">
        <f>IF('Marks Entry'!Z77="","",'Marks Entry'!Z77)</f>
        <v/>
      </c>
      <c r="AS77" s="515" t="str">
        <f t="shared" si="184"/>
        <v/>
      </c>
      <c r="AT77" s="68" t="str">
        <f>IF('Marks Entry'!AA77="","",'Marks Entry'!AA77)</f>
        <v/>
      </c>
      <c r="AU77" s="96" t="str">
        <f t="shared" si="185"/>
        <v/>
      </c>
      <c r="AV77" s="65">
        <f t="shared" si="186"/>
        <v>0</v>
      </c>
      <c r="AW77" s="65">
        <f t="shared" si="187"/>
        <v>0</v>
      </c>
      <c r="AX77" s="66" t="str">
        <f t="shared" si="188"/>
        <v/>
      </c>
      <c r="AY77" s="65" t="str">
        <f t="shared" si="189"/>
        <v/>
      </c>
      <c r="AZ77" s="65" t="str">
        <f t="shared" si="190"/>
        <v/>
      </c>
      <c r="BA77" s="65" t="str">
        <f t="shared" si="191"/>
        <v/>
      </c>
      <c r="BB77" s="68" t="str">
        <f>IF('Marks Entry'!AB77="","",'Marks Entry'!AB77)</f>
        <v/>
      </c>
      <c r="BC77" s="68" t="str">
        <f>IF('Marks Entry'!AC77="","",'Marks Entry'!AC77)</f>
        <v/>
      </c>
      <c r="BD77" s="68" t="str">
        <f>IF('Marks Entry'!AD77="","",'Marks Entry'!AD77)</f>
        <v/>
      </c>
      <c r="BE77" s="514" t="str">
        <f t="shared" si="192"/>
        <v/>
      </c>
      <c r="BF77" s="68" t="str">
        <f>IF('Marks Entry'!AE77="","",'Marks Entry'!AE77)</f>
        <v/>
      </c>
      <c r="BG77" s="515" t="str">
        <f t="shared" si="193"/>
        <v/>
      </c>
      <c r="BH77" s="68" t="str">
        <f>IF('Marks Entry'!AF77="","",'Marks Entry'!AF77)</f>
        <v/>
      </c>
      <c r="BI77" s="96" t="str">
        <f t="shared" si="194"/>
        <v/>
      </c>
      <c r="BJ77" s="65">
        <f t="shared" si="195"/>
        <v>0</v>
      </c>
      <c r="BK77" s="65">
        <f t="shared" si="263"/>
        <v>0</v>
      </c>
      <c r="BL77" s="66" t="str">
        <f t="shared" si="196"/>
        <v/>
      </c>
      <c r="BM77" s="65" t="str">
        <f t="shared" si="197"/>
        <v/>
      </c>
      <c r="BN77" s="65" t="str">
        <f t="shared" si="198"/>
        <v/>
      </c>
      <c r="BO77" s="65" t="str">
        <f t="shared" si="199"/>
        <v/>
      </c>
      <c r="BP77" s="68" t="str">
        <f>IF('Marks Entry'!AG77="","",'Marks Entry'!AG77)</f>
        <v/>
      </c>
      <c r="BQ77" s="68" t="str">
        <f>IF('Marks Entry'!AH77="","",'Marks Entry'!AH77)</f>
        <v/>
      </c>
      <c r="BR77" s="68" t="str">
        <f>IF('Marks Entry'!AI77="","",'Marks Entry'!AI77)</f>
        <v/>
      </c>
      <c r="BS77" s="514" t="str">
        <f t="shared" si="200"/>
        <v/>
      </c>
      <c r="BT77" s="68" t="str">
        <f>IF('Marks Entry'!AJ77="","",'Marks Entry'!AJ77)</f>
        <v/>
      </c>
      <c r="BU77" s="515" t="str">
        <f t="shared" si="201"/>
        <v/>
      </c>
      <c r="BV77" s="68" t="str">
        <f>IF('Marks Entry'!AK77="","",'Marks Entry'!AK77)</f>
        <v/>
      </c>
      <c r="BW77" s="96" t="str">
        <f t="shared" si="202"/>
        <v/>
      </c>
      <c r="BX77" s="65">
        <f t="shared" si="203"/>
        <v>0</v>
      </c>
      <c r="BY77" s="65">
        <f t="shared" si="204"/>
        <v>0</v>
      </c>
      <c r="BZ77" s="66" t="str">
        <f t="shared" si="205"/>
        <v/>
      </c>
      <c r="CA77" s="65" t="str">
        <f t="shared" si="206"/>
        <v/>
      </c>
      <c r="CB77" s="65" t="str">
        <f t="shared" si="207"/>
        <v/>
      </c>
      <c r="CC77" s="65" t="str">
        <f t="shared" si="208"/>
        <v/>
      </c>
      <c r="CD77" s="66">
        <f t="shared" si="209"/>
        <v>0</v>
      </c>
      <c r="CE77" s="68" t="str">
        <f>IF('Marks Entry'!AL77="","",'Marks Entry'!AL77)</f>
        <v/>
      </c>
      <c r="CF77" s="68" t="str">
        <f>IF('Marks Entry'!AM77="","",'Marks Entry'!AM77)</f>
        <v/>
      </c>
      <c r="CG77" s="68" t="str">
        <f>IF('Marks Entry'!AN77="","",'Marks Entry'!AN77)</f>
        <v/>
      </c>
      <c r="CH77" s="514" t="str">
        <f t="shared" si="210"/>
        <v/>
      </c>
      <c r="CI77" s="68" t="str">
        <f>IF('Marks Entry'!AO77="","",'Marks Entry'!AO77)</f>
        <v/>
      </c>
      <c r="CJ77" s="515" t="str">
        <f t="shared" si="211"/>
        <v/>
      </c>
      <c r="CK77" s="68" t="str">
        <f>IF('Marks Entry'!AP77="","",'Marks Entry'!AP77)</f>
        <v/>
      </c>
      <c r="CL77" s="96" t="str">
        <f t="shared" si="212"/>
        <v/>
      </c>
      <c r="CM77" s="65">
        <f t="shared" si="213"/>
        <v>0</v>
      </c>
      <c r="CN77" s="65">
        <f t="shared" si="214"/>
        <v>0</v>
      </c>
      <c r="CO77" s="66" t="str">
        <f t="shared" si="215"/>
        <v/>
      </c>
      <c r="CP77" s="65" t="str">
        <f t="shared" si="216"/>
        <v/>
      </c>
      <c r="CQ77" s="65" t="str">
        <f t="shared" si="217"/>
        <v/>
      </c>
      <c r="CR77" s="65" t="str">
        <f t="shared" si="218"/>
        <v/>
      </c>
      <c r="CS77" s="616"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8" t="str">
        <f>IF('School Profile'!$D$20="NO","",IF('Marks Entry'!AR77="","",'Marks Entry'!AR77))</f>
        <v/>
      </c>
      <c r="CU77" s="68" t="str">
        <f>IF('School Profile'!$D$20="NO","",IF('Marks Entry'!AS77="","",'Marks Entry'!AS77))</f>
        <v/>
      </c>
      <c r="CV77" s="68" t="str">
        <f>IF('School Profile'!$D$20="NO","",IF('Marks Entry'!AT77="","",'Marks Entry'!AT77))</f>
        <v/>
      </c>
      <c r="CW77" s="514" t="str">
        <f>IF('School Profile'!$D$20="NO","",IF(AND(CT77="",CU77="",CV77=""),"",SUM(CT77:CV77)))</f>
        <v/>
      </c>
      <c r="CX77" s="68" t="str">
        <f>IF('School Profile'!$D$20="NO","",IF('Marks Entry'!AU77="","",'Marks Entry'!AU77))</f>
        <v/>
      </c>
      <c r="CY77" s="68" t="str">
        <f>IF('School Profile'!$D$20="NO","",IF('Marks Entry'!AV77="","",'Marks Entry'!AV77))</f>
        <v/>
      </c>
      <c r="CZ77" s="515" t="str">
        <f>IF('School Profile'!$D$20="NO","",IF(AND(CX77="",CY77=""),"",SUM(CX77,CY77)))</f>
        <v/>
      </c>
      <c r="DA77" s="69" t="str">
        <f>IF('School Profile'!$D$20="NO","",IF(AND(CW77="",CZ77=""),"",SUM(CW77+CZ77)))</f>
        <v/>
      </c>
      <c r="DB77" s="68" t="str">
        <f>IF('School Profile'!$D$20="NO","",IF('Marks Entry'!AW77="","",'Marks Entry'!AW77))</f>
        <v/>
      </c>
      <c r="DC77" s="68" t="str">
        <f>IF('School Profile'!$D$20="NO","",IF('Marks Entry'!AX77="","",'Marks Entry'!AX77))</f>
        <v/>
      </c>
      <c r="DD77" s="515" t="str">
        <f>IF('School Profile'!$D$20="NO","",IF(AND(DB77="",DC77=""),"",SUM(DB77,DC77)))</f>
        <v/>
      </c>
      <c r="DE77" s="96" t="str">
        <f>IF('School Profile'!$D$20="NO","",IF(AND(DA77="",DD77=""),"",SUM(DA77,DD77)))</f>
        <v/>
      </c>
      <c r="DF77" s="532">
        <f t="shared" si="219"/>
        <v>0</v>
      </c>
      <c r="DG77" s="65">
        <f t="shared" si="220"/>
        <v>0</v>
      </c>
      <c r="DH77" s="66" t="str">
        <f t="shared" si="221"/>
        <v/>
      </c>
      <c r="DI77" s="65" t="str">
        <f t="shared" si="222"/>
        <v/>
      </c>
      <c r="DJ77" s="65" t="str">
        <f t="shared" si="223"/>
        <v/>
      </c>
      <c r="DK77" s="65" t="str">
        <f t="shared" si="224"/>
        <v/>
      </c>
      <c r="DL77" s="97" t="str">
        <f t="shared" si="264"/>
        <v/>
      </c>
      <c r="DM77" s="97" t="str">
        <f t="shared" si="265"/>
        <v/>
      </c>
      <c r="DN77" s="97" t="str">
        <f t="shared" si="266"/>
        <v/>
      </c>
      <c r="DO77" s="97" t="str">
        <f t="shared" si="267"/>
        <v/>
      </c>
      <c r="DP77" s="97" t="str">
        <f t="shared" si="268"/>
        <v/>
      </c>
      <c r="DQ77" s="97" t="str">
        <f t="shared" si="269"/>
        <v/>
      </c>
      <c r="DR77" s="97" t="str">
        <f t="shared" si="270"/>
        <v/>
      </c>
      <c r="DS77" s="98">
        <f t="shared" si="271"/>
        <v>0</v>
      </c>
      <c r="DT77" s="98">
        <f t="shared" si="272"/>
        <v>0</v>
      </c>
      <c r="DU77" s="98">
        <f t="shared" si="273"/>
        <v>0</v>
      </c>
      <c r="DV77" s="98">
        <f t="shared" si="274"/>
        <v>0</v>
      </c>
      <c r="DW77" s="98">
        <f t="shared" si="275"/>
        <v>0</v>
      </c>
      <c r="DX77" s="98" t="str">
        <f t="shared" si="276"/>
        <v/>
      </c>
      <c r="DY77" s="99" t="str">
        <f t="shared" si="277"/>
        <v/>
      </c>
      <c r="DZ77" s="74" t="str">
        <f>IF('Marks Entry'!AY77="","",'Marks Entry'!AY77)</f>
        <v/>
      </c>
      <c r="EA77" s="74" t="str">
        <f>IF('Marks Entry'!AZ77="","",'Marks Entry'!AZ77)</f>
        <v/>
      </c>
      <c r="EB77" s="74" t="str">
        <f>IF('Marks Entry'!BA77="","",'Marks Entry'!BA77)</f>
        <v/>
      </c>
      <c r="EC77" s="527" t="str">
        <f t="shared" si="225"/>
        <v/>
      </c>
      <c r="ED77" s="74" t="str">
        <f>IF('Marks Entry'!BB77="","",'Marks Entry'!BB77)</f>
        <v/>
      </c>
      <c r="EE77" s="528" t="str">
        <f t="shared" si="226"/>
        <v/>
      </c>
      <c r="EF77" s="74" t="str">
        <f>IF('Marks Entry'!BC77="","",'Marks Entry'!BC77)</f>
        <v/>
      </c>
      <c r="EG77" s="530" t="str">
        <f t="shared" si="227"/>
        <v/>
      </c>
      <c r="EH77" s="368" t="str">
        <f t="shared" si="278"/>
        <v/>
      </c>
      <c r="EI77" s="65">
        <f t="shared" si="279"/>
        <v>0</v>
      </c>
      <c r="EJ77" s="65">
        <f t="shared" si="280"/>
        <v>0</v>
      </c>
      <c r="EK77" s="66" t="str">
        <f t="shared" si="281"/>
        <v/>
      </c>
      <c r="EL77" s="74" t="str">
        <f>IF('Marks Entry'!BD77="","",'Marks Entry'!BD77)</f>
        <v/>
      </c>
      <c r="EM77" s="74" t="str">
        <f>IF('Marks Entry'!BE77="","",'Marks Entry'!BE77)</f>
        <v/>
      </c>
      <c r="EN77" s="74" t="str">
        <f>IF('Marks Entry'!BF77="","",'Marks Entry'!BF77)</f>
        <v/>
      </c>
      <c r="EO77" s="527" t="str">
        <f t="shared" si="228"/>
        <v/>
      </c>
      <c r="EP77" s="74" t="str">
        <f>IF('Marks Entry'!BG77="","",'Marks Entry'!BG77)</f>
        <v/>
      </c>
      <c r="EQ77" s="74" t="str">
        <f>IF('Marks Entry'!BH77="","",'Marks Entry'!BH77)</f>
        <v/>
      </c>
      <c r="ER77" s="528" t="str">
        <f t="shared" si="229"/>
        <v/>
      </c>
      <c r="ES77" s="529" t="str">
        <f t="shared" si="230"/>
        <v/>
      </c>
      <c r="ET77" s="74" t="str">
        <f>IF('Marks Entry'!BI77="","",'Marks Entry'!BI77)</f>
        <v/>
      </c>
      <c r="EU77" s="74" t="str">
        <f>IF('Marks Entry'!BJ77="","",'Marks Entry'!BJ77)</f>
        <v/>
      </c>
      <c r="EV77" s="528" t="str">
        <f t="shared" si="231"/>
        <v/>
      </c>
      <c r="EW77" s="530" t="str">
        <f t="shared" si="232"/>
        <v/>
      </c>
      <c r="EX77" s="368" t="str">
        <f t="shared" si="282"/>
        <v/>
      </c>
      <c r="EY77" s="65">
        <f t="shared" si="283"/>
        <v>0</v>
      </c>
      <c r="EZ77" s="65">
        <f t="shared" si="284"/>
        <v>0</v>
      </c>
      <c r="FA77" s="66" t="str">
        <f t="shared" si="285"/>
        <v/>
      </c>
      <c r="FB77" s="74" t="str">
        <f>IF('Marks Entry'!BK77="","",'Marks Entry'!BK77)</f>
        <v/>
      </c>
      <c r="FC77" s="74" t="str">
        <f>IF('Marks Entry'!BL77="","",'Marks Entry'!BL77)</f>
        <v/>
      </c>
      <c r="FD77" s="74" t="str">
        <f>IF('Marks Entry'!BM77="","",'Marks Entry'!BM77)</f>
        <v/>
      </c>
      <c r="FE77" s="74" t="str">
        <f>IF('Marks Entry'!BN77="","",'Marks Entry'!BN77)</f>
        <v/>
      </c>
      <c r="FF77" s="74" t="str">
        <f>IF('Marks Entry'!BO77="","",'Marks Entry'!BO77)</f>
        <v/>
      </c>
      <c r="FG77" s="74" t="str">
        <f>IF('Marks Entry'!BP77="","",'Marks Entry'!BP77)</f>
        <v/>
      </c>
      <c r="FH77" s="527" t="str">
        <f t="shared" si="233"/>
        <v/>
      </c>
      <c r="FI77" s="74" t="str">
        <f>IF('Marks Entry'!BQ77="","",'Marks Entry'!BQ77)</f>
        <v/>
      </c>
      <c r="FJ77" s="74" t="str">
        <f>IF('Marks Entry'!BR77="","",'Marks Entry'!BR77)</f>
        <v/>
      </c>
      <c r="FK77" s="528" t="str">
        <f t="shared" si="234"/>
        <v/>
      </c>
      <c r="FL77" s="529" t="str">
        <f t="shared" si="235"/>
        <v/>
      </c>
      <c r="FM77" s="74" t="str">
        <f>IF('Marks Entry'!BS77="","",'Marks Entry'!BS77)</f>
        <v/>
      </c>
      <c r="FN77" s="74" t="str">
        <f>IF('Marks Entry'!BT77="","",'Marks Entry'!BT77)</f>
        <v/>
      </c>
      <c r="FO77" s="528" t="str">
        <f t="shared" si="236"/>
        <v/>
      </c>
      <c r="FP77" s="530" t="str">
        <f t="shared" si="237"/>
        <v/>
      </c>
      <c r="FQ77" s="368" t="str">
        <f t="shared" si="286"/>
        <v/>
      </c>
      <c r="FR77" s="65">
        <f t="shared" si="287"/>
        <v>0</v>
      </c>
      <c r="FS77" s="65">
        <f t="shared" si="288"/>
        <v>0</v>
      </c>
      <c r="FT77" s="66" t="str">
        <f t="shared" si="289"/>
        <v/>
      </c>
      <c r="FU77" s="74" t="str">
        <f>IF('Marks Entry'!BU77="","",'Marks Entry'!BU77)</f>
        <v/>
      </c>
      <c r="FV77" s="74" t="str">
        <f>IF('Marks Entry'!BV77="","",'Marks Entry'!BV77)</f>
        <v/>
      </c>
      <c r="FW77" s="74" t="str">
        <f>IF('Marks Entry'!BW77="","",'Marks Entry'!BW77)</f>
        <v/>
      </c>
      <c r="FX77" s="75" t="str">
        <f t="shared" si="238"/>
        <v/>
      </c>
      <c r="FY77" s="368" t="str">
        <f t="shared" si="290"/>
        <v/>
      </c>
      <c r="FZ77" s="65">
        <f t="shared" si="291"/>
        <v>0</v>
      </c>
      <c r="GA77" s="66">
        <f t="shared" si="292"/>
        <v>0</v>
      </c>
      <c r="GB77" s="66" t="str">
        <f t="shared" si="293"/>
        <v/>
      </c>
      <c r="GC77" s="74" t="str">
        <f>IF('Marks Entry'!BX77="","",'Marks Entry'!BX77)</f>
        <v/>
      </c>
      <c r="GD77" s="74" t="str">
        <f>IF('Marks Entry'!BY77="","",'Marks Entry'!BY77)</f>
        <v/>
      </c>
      <c r="GE77" s="74" t="str">
        <f>IF('Marks Entry'!BZ77="","",'Marks Entry'!BZ77)</f>
        <v/>
      </c>
      <c r="GF77" s="75" t="str">
        <f t="shared" si="294"/>
        <v/>
      </c>
      <c r="GG77" s="368" t="str">
        <f t="shared" si="295"/>
        <v/>
      </c>
      <c r="GH77" s="65">
        <f t="shared" si="296"/>
        <v>0</v>
      </c>
      <c r="GI77" s="66">
        <f t="shared" si="297"/>
        <v>0</v>
      </c>
      <c r="GJ77" s="66" t="str">
        <f t="shared" si="298"/>
        <v/>
      </c>
      <c r="GK77" s="100" t="str">
        <f>IF(AND(F77="",B77=""),"",IF('Student DATA Entry'!M74="","",'Student DATA Entry'!M74))</f>
        <v/>
      </c>
      <c r="GL77" s="101" t="str">
        <f>IF(AND(B77="",F77=""),"",IF('Student DATA Entry'!N74="","",'Student DATA Entry'!N74))</f>
        <v/>
      </c>
      <c r="GM77" s="581" t="str">
        <f t="shared" si="299"/>
        <v/>
      </c>
      <c r="GN77" s="94" t="str">
        <f t="shared" si="300"/>
        <v/>
      </c>
      <c r="GO77" s="94" t="str">
        <f t="shared" si="301"/>
        <v/>
      </c>
      <c r="GP77" s="102" t="str">
        <f t="shared" si="239"/>
        <v/>
      </c>
      <c r="GQ77" s="94" t="str">
        <f t="shared" si="302"/>
        <v/>
      </c>
      <c r="GR77" s="103" t="str">
        <f t="shared" si="303"/>
        <v/>
      </c>
      <c r="GS77" s="102" t="str">
        <f t="shared" si="240"/>
        <v/>
      </c>
      <c r="GT77" s="104" t="str">
        <f t="shared" si="304"/>
        <v/>
      </c>
      <c r="GU77" s="94" t="str">
        <f>IF('Marks Entry'!V77=1,GT77,"")</f>
        <v/>
      </c>
      <c r="GV77" s="94" t="str">
        <f>IF('Marks Entry'!V77=2,GT77,"")</f>
        <v/>
      </c>
      <c r="GW77" s="94" t="str">
        <f>IF('Marks Entry'!V77=3,GT77,"")</f>
        <v/>
      </c>
      <c r="GX77" s="94" t="str">
        <f>IF('Marks Entry'!V77=4,GT77,"")</f>
        <v/>
      </c>
      <c r="GY77" s="94" t="str">
        <f>IF('Marks Entry'!V77=5,GT77,"")</f>
        <v/>
      </c>
      <c r="GZ77" s="94" t="str">
        <f t="shared" si="305"/>
        <v/>
      </c>
      <c r="HA77" s="105" t="str">
        <f t="shared" si="241"/>
        <v/>
      </c>
      <c r="HB77" s="94" t="str">
        <f t="shared" si="306"/>
        <v/>
      </c>
      <c r="HC77" s="94" t="str">
        <f t="shared" si="307"/>
        <v/>
      </c>
      <c r="HD77" s="105" t="str">
        <f t="shared" si="242"/>
        <v/>
      </c>
      <c r="HE77" s="94" t="str">
        <f t="shared" si="308"/>
        <v/>
      </c>
      <c r="HF77" s="94" t="str">
        <f t="shared" si="309"/>
        <v/>
      </c>
      <c r="HG77" s="105" t="str">
        <f t="shared" si="243"/>
        <v/>
      </c>
      <c r="HH77" s="94" t="str">
        <f t="shared" si="310"/>
        <v/>
      </c>
      <c r="HI77" s="94" t="str">
        <f t="shared" si="311"/>
        <v/>
      </c>
      <c r="HJ77" s="105" t="str">
        <f t="shared" si="244"/>
        <v/>
      </c>
      <c r="HK77" s="94" t="str">
        <f t="shared" si="312"/>
        <v/>
      </c>
      <c r="HL77" s="94" t="str">
        <f t="shared" si="313"/>
        <v/>
      </c>
      <c r="HM77" s="105" t="str">
        <f t="shared" si="245"/>
        <v/>
      </c>
      <c r="HN77" s="367" t="str">
        <f t="shared" si="314"/>
        <v xml:space="preserve">      </v>
      </c>
      <c r="HO77" s="418" t="str">
        <f t="shared" si="246"/>
        <v xml:space="preserve">      </v>
      </c>
      <c r="HP77" s="367" t="str">
        <f t="shared" si="315"/>
        <v xml:space="preserve">      </v>
      </c>
      <c r="HQ77" s="107" t="str">
        <f t="shared" si="316"/>
        <v xml:space="preserve">      </v>
      </c>
      <c r="HR77" s="366" t="str">
        <f t="shared" si="317"/>
        <v xml:space="preserve">      </v>
      </c>
      <c r="HS77" s="544" t="str">
        <f t="shared" si="247"/>
        <v/>
      </c>
      <c r="HT77" s="542" t="str">
        <f t="shared" si="318"/>
        <v/>
      </c>
      <c r="HU77" s="541" t="str">
        <f t="shared" si="319"/>
        <v/>
      </c>
      <c r="HV77" s="540" t="str">
        <f t="shared" si="320"/>
        <v/>
      </c>
      <c r="HW77" s="537" t="str">
        <f t="shared" si="321"/>
        <v/>
      </c>
      <c r="HX77" s="539" t="str">
        <f t="shared" si="322"/>
        <v/>
      </c>
      <c r="HY77" s="553" t="str">
        <f>IFERROR(IF(OR(HS77="SUPPLEMENTARY",HS77="RE-EXAM"),'Supp. Result Entry'!AQ75,""),"")</f>
        <v/>
      </c>
      <c r="HZ77" s="538" t="str">
        <f t="shared" si="323"/>
        <v/>
      </c>
      <c r="IA77" s="415" t="str">
        <f t="shared" si="324"/>
        <v/>
      </c>
      <c r="IB77" s="415" t="str">
        <f>IF(AND(HZ77="",IA77=""),"",IF(OR(HS77="SUPPLEMENTARY",HS77="RE-EXAM"),'Supp. Result Entry'!AQ75,HS77))</f>
        <v/>
      </c>
      <c r="IC77" s="87"/>
      <c r="IS77" s="109" t="str">
        <f>IF('Supp. Result Entry'!T75="","",'Supp. Result Entry'!$T$4)</f>
        <v/>
      </c>
      <c r="IT77" s="110" t="str">
        <f>IF('Supp. Result Entry'!W75="","",'Supp. Result Entry'!$W$4)</f>
        <v/>
      </c>
      <c r="IU77" s="110" t="str">
        <f>IF('Supp. Result Entry'!Z75="","",'Supp. Result Entry'!$Z$4)</f>
        <v/>
      </c>
      <c r="IV77" s="110" t="str">
        <f>IF('Supp. Result Entry'!AC75="","",'Supp. Result Entry'!$AC$4)</f>
        <v/>
      </c>
      <c r="IW77" s="110" t="str">
        <f>IF('Supp. Result Entry'!AF75="","",'Supp. Result Entry'!$AF$4)</f>
        <v/>
      </c>
      <c r="IX77" s="110" t="str">
        <f>IF('Supp. Result Entry'!AI75="","",'Supp. Result Entry'!$AI$4)</f>
        <v/>
      </c>
      <c r="IY77" s="110" t="str">
        <f>IF('Supp. Result Entry'!AI75="","",'Supp. Result Entry'!$AL$4)</f>
        <v/>
      </c>
      <c r="IZ77" s="110" t="str">
        <f>IF('Supp. Result Entry'!U75="","",'Supp. Result Entry'!U75)</f>
        <v/>
      </c>
      <c r="JA77" s="110" t="str">
        <f>IF('Supp. Result Entry'!X75="","",'Supp. Result Entry'!X75)</f>
        <v/>
      </c>
      <c r="JB77" s="110" t="str">
        <f>IF('Supp. Result Entry'!AA75="","",'Supp. Result Entry'!AA75)</f>
        <v/>
      </c>
      <c r="JC77" s="110" t="str">
        <f>IF('Supp. Result Entry'!AD75="","",'Supp. Result Entry'!AD75)</f>
        <v/>
      </c>
      <c r="JD77" s="110" t="str">
        <f>IF('Supp. Result Entry'!AG75="","",'Supp. Result Entry'!AG75)</f>
        <v/>
      </c>
      <c r="JE77" s="110" t="str">
        <f>IF('Supp. Result Entry'!AJ75="","",'Supp. Result Entry'!AJ75)</f>
        <v/>
      </c>
      <c r="JF77" s="110" t="str">
        <f>IF('Supp. Result Entry'!AM75="","",'Supp. Result Entry'!AM75)</f>
        <v/>
      </c>
      <c r="JG77" s="110" t="str">
        <f>IF('Supp. Result Entry'!V75="","",'Supp. Result Entry'!V75)</f>
        <v/>
      </c>
      <c r="JH77" s="110" t="str">
        <f>IF('Supp. Result Entry'!Y75="","",'Supp. Result Entry'!Y75)</f>
        <v/>
      </c>
      <c r="JI77" s="110" t="str">
        <f>IF('Supp. Result Entry'!AB75="","",'Supp. Result Entry'!AB75)</f>
        <v/>
      </c>
      <c r="JJ77" s="110" t="str">
        <f>IF('Supp. Result Entry'!AE75="","",'Supp. Result Entry'!AE75)</f>
        <v/>
      </c>
      <c r="JK77" s="110" t="str">
        <f>IF('Supp. Result Entry'!AH75="","",'Supp. Result Entry'!AH75)</f>
        <v/>
      </c>
      <c r="JL77" s="110" t="str">
        <f>IF('Supp. Result Entry'!AK75="","",'Supp. Result Entry'!AK75)</f>
        <v/>
      </c>
      <c r="JM77" s="110" t="str">
        <f>IF('Supp. Result Entry'!AN75="","",'Supp. Result Entry'!AN75)</f>
        <v/>
      </c>
      <c r="JN77" s="110">
        <f>COUNTIF('Supp. Result Entry'!K75:Q75,"S")</f>
        <v>0</v>
      </c>
      <c r="JO77" s="110">
        <f t="shared" si="248"/>
        <v>0</v>
      </c>
      <c r="JP77" s="110">
        <f t="shared" si="325"/>
        <v>0</v>
      </c>
      <c r="JQ77" s="110" t="str">
        <f t="shared" si="249"/>
        <v/>
      </c>
      <c r="JR77" s="110" t="str">
        <f t="shared" si="250"/>
        <v/>
      </c>
      <c r="JS77" s="110" t="str">
        <f t="shared" si="251"/>
        <v/>
      </c>
      <c r="JT77" s="110" t="str">
        <f t="shared" si="252"/>
        <v/>
      </c>
      <c r="JU77" s="110" t="str">
        <f t="shared" si="253"/>
        <v/>
      </c>
      <c r="JV77" s="110" t="str">
        <f t="shared" si="254"/>
        <v/>
      </c>
      <c r="JW77" s="110" t="str">
        <f t="shared" si="255"/>
        <v/>
      </c>
      <c r="JX77" s="110" t="str">
        <f t="shared" si="326"/>
        <v/>
      </c>
      <c r="JY77" s="110" t="str">
        <f t="shared" si="327"/>
        <v/>
      </c>
      <c r="JZ77" s="110" t="str">
        <f t="shared" si="256"/>
        <v/>
      </c>
      <c r="KA77" s="108" t="str">
        <f t="shared" si="328"/>
        <v/>
      </c>
    </row>
    <row r="78" spans="1:287" s="108" customFormat="1" ht="21.95" customHeight="1">
      <c r="A78" s="89">
        <v>72</v>
      </c>
      <c r="B78" s="90" t="str">
        <f>IF('Marks Entry'!B78="","",'Marks Entry'!B78)</f>
        <v/>
      </c>
      <c r="C78" s="94" t="str">
        <f>IF('Marks Entry'!D78="","",'Marks Entry'!D78)</f>
        <v/>
      </c>
      <c r="D78" s="91" t="str">
        <f>IF('Marks Entry'!E78="","",'Marks Entry'!E78)</f>
        <v/>
      </c>
      <c r="E78" s="92" t="str">
        <f>IF('Marks Entry'!F78="","",'Marks Entry'!F78)</f>
        <v/>
      </c>
      <c r="F78" s="93" t="str">
        <f>IF('Marks Entry'!G78="","",'Marks Entry'!G78)</f>
        <v/>
      </c>
      <c r="G78" s="93" t="str">
        <f>IF('Marks Entry'!H78="","",'Marks Entry'!H78)</f>
        <v/>
      </c>
      <c r="H78" s="93" t="str">
        <f>IF('Marks Entry'!I78="","",'Marks Entry'!I78)</f>
        <v/>
      </c>
      <c r="I78" s="94" t="str">
        <f>IF('Marks Entry'!J78="","",'Marks Entry'!J78)</f>
        <v/>
      </c>
      <c r="J78" s="95" t="str">
        <f>IF('Marks Entry'!K78="","",'Marks Entry'!K78)</f>
        <v/>
      </c>
      <c r="K78" s="68" t="str">
        <f>IF('Marks Entry'!L78="","",'Marks Entry'!L78)</f>
        <v/>
      </c>
      <c r="L78" s="68" t="str">
        <f>IF('Marks Entry'!M78="","",'Marks Entry'!M78)</f>
        <v/>
      </c>
      <c r="M78" s="68" t="str">
        <f>IF('Marks Entry'!N78="","",'Marks Entry'!N78)</f>
        <v/>
      </c>
      <c r="N78" s="514" t="str">
        <f t="shared" si="257"/>
        <v/>
      </c>
      <c r="O78" s="68" t="str">
        <f>IF('Marks Entry'!O78="","",'Marks Entry'!O78)</f>
        <v/>
      </c>
      <c r="P78" s="515" t="str">
        <f t="shared" si="258"/>
        <v/>
      </c>
      <c r="Q78" s="68" t="str">
        <f>IF('Marks Entry'!P78="","",'Marks Entry'!P78)</f>
        <v/>
      </c>
      <c r="R78" s="96" t="str">
        <f t="shared" si="259"/>
        <v/>
      </c>
      <c r="S78" s="65">
        <f t="shared" si="260"/>
        <v>0</v>
      </c>
      <c r="T78" s="65">
        <f t="shared" si="261"/>
        <v>0</v>
      </c>
      <c r="U78" s="66" t="str">
        <f t="shared" si="171"/>
        <v/>
      </c>
      <c r="V78" s="65" t="str">
        <f t="shared" si="172"/>
        <v/>
      </c>
      <c r="W78" s="65" t="str">
        <f t="shared" si="262"/>
        <v/>
      </c>
      <c r="X78" s="65" t="str">
        <f t="shared" si="173"/>
        <v/>
      </c>
      <c r="Y78" s="68" t="str">
        <f>IF('Marks Entry'!Q78="","",'Marks Entry'!Q78)</f>
        <v/>
      </c>
      <c r="Z78" s="68" t="str">
        <f>IF('Marks Entry'!R78="","",'Marks Entry'!R78)</f>
        <v/>
      </c>
      <c r="AA78" s="68" t="str">
        <f>IF('Marks Entry'!S78="","",'Marks Entry'!S78)</f>
        <v/>
      </c>
      <c r="AB78" s="514" t="str">
        <f t="shared" si="174"/>
        <v/>
      </c>
      <c r="AC78" s="68" t="str">
        <f>IF('Marks Entry'!T78="","",'Marks Entry'!T78)</f>
        <v/>
      </c>
      <c r="AD78" s="515" t="str">
        <f t="shared" si="175"/>
        <v/>
      </c>
      <c r="AE78" s="68" t="str">
        <f>IF('Marks Entry'!U78="","",'Marks Entry'!U78)</f>
        <v/>
      </c>
      <c r="AF78" s="96" t="str">
        <f t="shared" si="176"/>
        <v/>
      </c>
      <c r="AG78" s="65">
        <f t="shared" si="177"/>
        <v>0</v>
      </c>
      <c r="AH78" s="65">
        <f t="shared" si="178"/>
        <v>0</v>
      </c>
      <c r="AI78" s="66" t="str">
        <f t="shared" si="179"/>
        <v/>
      </c>
      <c r="AJ78" s="65" t="str">
        <f t="shared" si="180"/>
        <v/>
      </c>
      <c r="AK78" s="65" t="str">
        <f t="shared" si="181"/>
        <v/>
      </c>
      <c r="AL78" s="65" t="str">
        <f t="shared" si="182"/>
        <v/>
      </c>
      <c r="AM78" s="524" t="str">
        <f>IF('Marks Entry'!V78="","",IF('Marks Entry'!V78=1,'School Profile'!$I$9,IF('Marks Entry'!V78=2,'School Profile'!$I$10,IF('Marks Entry'!V78=3,'School Profile'!$I$11,IF('Marks Entry'!V78=4,'School Profile'!$I$12,IF('Marks Entry'!V78=5,'School Profile'!$I$13,IF('Marks Entry'!V78=6,'School Profile'!$I$14,"")))))))</f>
        <v/>
      </c>
      <c r="AN78" s="68" t="str">
        <f>IF('Marks Entry'!W78="","",'Marks Entry'!W78)</f>
        <v/>
      </c>
      <c r="AO78" s="68" t="str">
        <f>IF('Marks Entry'!X78="","",'Marks Entry'!X78)</f>
        <v/>
      </c>
      <c r="AP78" s="68" t="str">
        <f>IF('Marks Entry'!Y78="","",'Marks Entry'!Y78)</f>
        <v/>
      </c>
      <c r="AQ78" s="514" t="str">
        <f t="shared" si="183"/>
        <v/>
      </c>
      <c r="AR78" s="68" t="str">
        <f>IF('Marks Entry'!Z78="","",'Marks Entry'!Z78)</f>
        <v/>
      </c>
      <c r="AS78" s="515" t="str">
        <f t="shared" si="184"/>
        <v/>
      </c>
      <c r="AT78" s="68" t="str">
        <f>IF('Marks Entry'!AA78="","",'Marks Entry'!AA78)</f>
        <v/>
      </c>
      <c r="AU78" s="96" t="str">
        <f t="shared" si="185"/>
        <v/>
      </c>
      <c r="AV78" s="65">
        <f t="shared" si="186"/>
        <v>0</v>
      </c>
      <c r="AW78" s="65">
        <f t="shared" si="187"/>
        <v>0</v>
      </c>
      <c r="AX78" s="66" t="str">
        <f t="shared" si="188"/>
        <v/>
      </c>
      <c r="AY78" s="65" t="str">
        <f t="shared" si="189"/>
        <v/>
      </c>
      <c r="AZ78" s="65" t="str">
        <f t="shared" si="190"/>
        <v/>
      </c>
      <c r="BA78" s="65" t="str">
        <f t="shared" si="191"/>
        <v/>
      </c>
      <c r="BB78" s="68" t="str">
        <f>IF('Marks Entry'!AB78="","",'Marks Entry'!AB78)</f>
        <v/>
      </c>
      <c r="BC78" s="68" t="str">
        <f>IF('Marks Entry'!AC78="","",'Marks Entry'!AC78)</f>
        <v/>
      </c>
      <c r="BD78" s="68" t="str">
        <f>IF('Marks Entry'!AD78="","",'Marks Entry'!AD78)</f>
        <v/>
      </c>
      <c r="BE78" s="514" t="str">
        <f t="shared" si="192"/>
        <v/>
      </c>
      <c r="BF78" s="68" t="str">
        <f>IF('Marks Entry'!AE78="","",'Marks Entry'!AE78)</f>
        <v/>
      </c>
      <c r="BG78" s="515" t="str">
        <f t="shared" si="193"/>
        <v/>
      </c>
      <c r="BH78" s="68" t="str">
        <f>IF('Marks Entry'!AF78="","",'Marks Entry'!AF78)</f>
        <v/>
      </c>
      <c r="BI78" s="96" t="str">
        <f t="shared" si="194"/>
        <v/>
      </c>
      <c r="BJ78" s="65">
        <f t="shared" si="195"/>
        <v>0</v>
      </c>
      <c r="BK78" s="65">
        <f t="shared" si="263"/>
        <v>0</v>
      </c>
      <c r="BL78" s="66" t="str">
        <f t="shared" si="196"/>
        <v/>
      </c>
      <c r="BM78" s="65" t="str">
        <f t="shared" si="197"/>
        <v/>
      </c>
      <c r="BN78" s="65" t="str">
        <f t="shared" si="198"/>
        <v/>
      </c>
      <c r="BO78" s="65" t="str">
        <f t="shared" si="199"/>
        <v/>
      </c>
      <c r="BP78" s="68" t="str">
        <f>IF('Marks Entry'!AG78="","",'Marks Entry'!AG78)</f>
        <v/>
      </c>
      <c r="BQ78" s="68" t="str">
        <f>IF('Marks Entry'!AH78="","",'Marks Entry'!AH78)</f>
        <v/>
      </c>
      <c r="BR78" s="68" t="str">
        <f>IF('Marks Entry'!AI78="","",'Marks Entry'!AI78)</f>
        <v/>
      </c>
      <c r="BS78" s="514" t="str">
        <f t="shared" si="200"/>
        <v/>
      </c>
      <c r="BT78" s="68" t="str">
        <f>IF('Marks Entry'!AJ78="","",'Marks Entry'!AJ78)</f>
        <v/>
      </c>
      <c r="BU78" s="515" t="str">
        <f t="shared" si="201"/>
        <v/>
      </c>
      <c r="BV78" s="68" t="str">
        <f>IF('Marks Entry'!AK78="","",'Marks Entry'!AK78)</f>
        <v/>
      </c>
      <c r="BW78" s="96" t="str">
        <f t="shared" si="202"/>
        <v/>
      </c>
      <c r="BX78" s="65">
        <f t="shared" si="203"/>
        <v>0</v>
      </c>
      <c r="BY78" s="65">
        <f t="shared" si="204"/>
        <v>0</v>
      </c>
      <c r="BZ78" s="66" t="str">
        <f t="shared" si="205"/>
        <v/>
      </c>
      <c r="CA78" s="65" t="str">
        <f t="shared" si="206"/>
        <v/>
      </c>
      <c r="CB78" s="65" t="str">
        <f t="shared" si="207"/>
        <v/>
      </c>
      <c r="CC78" s="65" t="str">
        <f t="shared" si="208"/>
        <v/>
      </c>
      <c r="CD78" s="66">
        <f t="shared" si="209"/>
        <v>0</v>
      </c>
      <c r="CE78" s="68" t="str">
        <f>IF('Marks Entry'!AL78="","",'Marks Entry'!AL78)</f>
        <v/>
      </c>
      <c r="CF78" s="68" t="str">
        <f>IF('Marks Entry'!AM78="","",'Marks Entry'!AM78)</f>
        <v/>
      </c>
      <c r="CG78" s="68" t="str">
        <f>IF('Marks Entry'!AN78="","",'Marks Entry'!AN78)</f>
        <v/>
      </c>
      <c r="CH78" s="514" t="str">
        <f t="shared" si="210"/>
        <v/>
      </c>
      <c r="CI78" s="68" t="str">
        <f>IF('Marks Entry'!AO78="","",'Marks Entry'!AO78)</f>
        <v/>
      </c>
      <c r="CJ78" s="515" t="str">
        <f t="shared" si="211"/>
        <v/>
      </c>
      <c r="CK78" s="68" t="str">
        <f>IF('Marks Entry'!AP78="","",'Marks Entry'!AP78)</f>
        <v/>
      </c>
      <c r="CL78" s="96" t="str">
        <f t="shared" si="212"/>
        <v/>
      </c>
      <c r="CM78" s="65">
        <f t="shared" si="213"/>
        <v>0</v>
      </c>
      <c r="CN78" s="65">
        <f t="shared" si="214"/>
        <v>0</v>
      </c>
      <c r="CO78" s="66" t="str">
        <f t="shared" si="215"/>
        <v/>
      </c>
      <c r="CP78" s="65" t="str">
        <f t="shared" si="216"/>
        <v/>
      </c>
      <c r="CQ78" s="65" t="str">
        <f t="shared" si="217"/>
        <v/>
      </c>
      <c r="CR78" s="65" t="str">
        <f t="shared" si="218"/>
        <v/>
      </c>
      <c r="CS78" s="616"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8" t="str">
        <f>IF('School Profile'!$D$20="NO","",IF('Marks Entry'!AR78="","",'Marks Entry'!AR78))</f>
        <v/>
      </c>
      <c r="CU78" s="68" t="str">
        <f>IF('School Profile'!$D$20="NO","",IF('Marks Entry'!AS78="","",'Marks Entry'!AS78))</f>
        <v/>
      </c>
      <c r="CV78" s="68" t="str">
        <f>IF('School Profile'!$D$20="NO","",IF('Marks Entry'!AT78="","",'Marks Entry'!AT78))</f>
        <v/>
      </c>
      <c r="CW78" s="514" t="str">
        <f>IF('School Profile'!$D$20="NO","",IF(AND(CT78="",CU78="",CV78=""),"",SUM(CT78:CV78)))</f>
        <v/>
      </c>
      <c r="CX78" s="68" t="str">
        <f>IF('School Profile'!$D$20="NO","",IF('Marks Entry'!AU78="","",'Marks Entry'!AU78))</f>
        <v/>
      </c>
      <c r="CY78" s="68" t="str">
        <f>IF('School Profile'!$D$20="NO","",IF('Marks Entry'!AV78="","",'Marks Entry'!AV78))</f>
        <v/>
      </c>
      <c r="CZ78" s="515" t="str">
        <f>IF('School Profile'!$D$20="NO","",IF(AND(CX78="",CY78=""),"",SUM(CX78,CY78)))</f>
        <v/>
      </c>
      <c r="DA78" s="69" t="str">
        <f>IF('School Profile'!$D$20="NO","",IF(AND(CW78="",CZ78=""),"",SUM(CW78+CZ78)))</f>
        <v/>
      </c>
      <c r="DB78" s="68" t="str">
        <f>IF('School Profile'!$D$20="NO","",IF('Marks Entry'!AW78="","",'Marks Entry'!AW78))</f>
        <v/>
      </c>
      <c r="DC78" s="68" t="str">
        <f>IF('School Profile'!$D$20="NO","",IF('Marks Entry'!AX78="","",'Marks Entry'!AX78))</f>
        <v/>
      </c>
      <c r="DD78" s="515" t="str">
        <f>IF('School Profile'!$D$20="NO","",IF(AND(DB78="",DC78=""),"",SUM(DB78,DC78)))</f>
        <v/>
      </c>
      <c r="DE78" s="96" t="str">
        <f>IF('School Profile'!$D$20="NO","",IF(AND(DA78="",DD78=""),"",SUM(DA78,DD78)))</f>
        <v/>
      </c>
      <c r="DF78" s="532">
        <f t="shared" si="219"/>
        <v>0</v>
      </c>
      <c r="DG78" s="65">
        <f t="shared" si="220"/>
        <v>0</v>
      </c>
      <c r="DH78" s="66" t="str">
        <f t="shared" si="221"/>
        <v/>
      </c>
      <c r="DI78" s="65" t="str">
        <f t="shared" si="222"/>
        <v/>
      </c>
      <c r="DJ78" s="65" t="str">
        <f t="shared" si="223"/>
        <v/>
      </c>
      <c r="DK78" s="65" t="str">
        <f t="shared" si="224"/>
        <v/>
      </c>
      <c r="DL78" s="97" t="str">
        <f t="shared" si="264"/>
        <v/>
      </c>
      <c r="DM78" s="97" t="str">
        <f t="shared" si="265"/>
        <v/>
      </c>
      <c r="DN78" s="97" t="str">
        <f t="shared" si="266"/>
        <v/>
      </c>
      <c r="DO78" s="97" t="str">
        <f t="shared" si="267"/>
        <v/>
      </c>
      <c r="DP78" s="97" t="str">
        <f t="shared" si="268"/>
        <v/>
      </c>
      <c r="DQ78" s="97" t="str">
        <f t="shared" si="269"/>
        <v/>
      </c>
      <c r="DR78" s="97" t="str">
        <f t="shared" si="270"/>
        <v/>
      </c>
      <c r="DS78" s="98">
        <f t="shared" si="271"/>
        <v>0</v>
      </c>
      <c r="DT78" s="98">
        <f t="shared" si="272"/>
        <v>0</v>
      </c>
      <c r="DU78" s="98">
        <f t="shared" si="273"/>
        <v>0</v>
      </c>
      <c r="DV78" s="98">
        <f t="shared" si="274"/>
        <v>0</v>
      </c>
      <c r="DW78" s="98">
        <f t="shared" si="275"/>
        <v>0</v>
      </c>
      <c r="DX78" s="98" t="str">
        <f t="shared" si="276"/>
        <v/>
      </c>
      <c r="DY78" s="99" t="str">
        <f t="shared" si="277"/>
        <v/>
      </c>
      <c r="DZ78" s="74" t="str">
        <f>IF('Marks Entry'!AY78="","",'Marks Entry'!AY78)</f>
        <v/>
      </c>
      <c r="EA78" s="74" t="str">
        <f>IF('Marks Entry'!AZ78="","",'Marks Entry'!AZ78)</f>
        <v/>
      </c>
      <c r="EB78" s="74" t="str">
        <f>IF('Marks Entry'!BA78="","",'Marks Entry'!BA78)</f>
        <v/>
      </c>
      <c r="EC78" s="527" t="str">
        <f t="shared" si="225"/>
        <v/>
      </c>
      <c r="ED78" s="74" t="str">
        <f>IF('Marks Entry'!BB78="","",'Marks Entry'!BB78)</f>
        <v/>
      </c>
      <c r="EE78" s="528" t="str">
        <f t="shared" si="226"/>
        <v/>
      </c>
      <c r="EF78" s="74" t="str">
        <f>IF('Marks Entry'!BC78="","",'Marks Entry'!BC78)</f>
        <v/>
      </c>
      <c r="EG78" s="530" t="str">
        <f t="shared" si="227"/>
        <v/>
      </c>
      <c r="EH78" s="368" t="str">
        <f t="shared" si="278"/>
        <v/>
      </c>
      <c r="EI78" s="65">
        <f t="shared" si="279"/>
        <v>0</v>
      </c>
      <c r="EJ78" s="65">
        <f t="shared" si="280"/>
        <v>0</v>
      </c>
      <c r="EK78" s="66" t="str">
        <f t="shared" si="281"/>
        <v/>
      </c>
      <c r="EL78" s="74" t="str">
        <f>IF('Marks Entry'!BD78="","",'Marks Entry'!BD78)</f>
        <v/>
      </c>
      <c r="EM78" s="74" t="str">
        <f>IF('Marks Entry'!BE78="","",'Marks Entry'!BE78)</f>
        <v/>
      </c>
      <c r="EN78" s="74" t="str">
        <f>IF('Marks Entry'!BF78="","",'Marks Entry'!BF78)</f>
        <v/>
      </c>
      <c r="EO78" s="527" t="str">
        <f t="shared" si="228"/>
        <v/>
      </c>
      <c r="EP78" s="74" t="str">
        <f>IF('Marks Entry'!BG78="","",'Marks Entry'!BG78)</f>
        <v/>
      </c>
      <c r="EQ78" s="74" t="str">
        <f>IF('Marks Entry'!BH78="","",'Marks Entry'!BH78)</f>
        <v/>
      </c>
      <c r="ER78" s="528" t="str">
        <f t="shared" si="229"/>
        <v/>
      </c>
      <c r="ES78" s="529" t="str">
        <f t="shared" si="230"/>
        <v/>
      </c>
      <c r="ET78" s="74" t="str">
        <f>IF('Marks Entry'!BI78="","",'Marks Entry'!BI78)</f>
        <v/>
      </c>
      <c r="EU78" s="74" t="str">
        <f>IF('Marks Entry'!BJ78="","",'Marks Entry'!BJ78)</f>
        <v/>
      </c>
      <c r="EV78" s="528" t="str">
        <f t="shared" si="231"/>
        <v/>
      </c>
      <c r="EW78" s="530" t="str">
        <f t="shared" si="232"/>
        <v/>
      </c>
      <c r="EX78" s="368" t="str">
        <f t="shared" si="282"/>
        <v/>
      </c>
      <c r="EY78" s="65">
        <f t="shared" si="283"/>
        <v>0</v>
      </c>
      <c r="EZ78" s="65">
        <f t="shared" si="284"/>
        <v>0</v>
      </c>
      <c r="FA78" s="66" t="str">
        <f t="shared" si="285"/>
        <v/>
      </c>
      <c r="FB78" s="74" t="str">
        <f>IF('Marks Entry'!BK78="","",'Marks Entry'!BK78)</f>
        <v/>
      </c>
      <c r="FC78" s="74" t="str">
        <f>IF('Marks Entry'!BL78="","",'Marks Entry'!BL78)</f>
        <v/>
      </c>
      <c r="FD78" s="74" t="str">
        <f>IF('Marks Entry'!BM78="","",'Marks Entry'!BM78)</f>
        <v/>
      </c>
      <c r="FE78" s="74" t="str">
        <f>IF('Marks Entry'!BN78="","",'Marks Entry'!BN78)</f>
        <v/>
      </c>
      <c r="FF78" s="74" t="str">
        <f>IF('Marks Entry'!BO78="","",'Marks Entry'!BO78)</f>
        <v/>
      </c>
      <c r="FG78" s="74" t="str">
        <f>IF('Marks Entry'!BP78="","",'Marks Entry'!BP78)</f>
        <v/>
      </c>
      <c r="FH78" s="527" t="str">
        <f t="shared" si="233"/>
        <v/>
      </c>
      <c r="FI78" s="74" t="str">
        <f>IF('Marks Entry'!BQ78="","",'Marks Entry'!BQ78)</f>
        <v/>
      </c>
      <c r="FJ78" s="74" t="str">
        <f>IF('Marks Entry'!BR78="","",'Marks Entry'!BR78)</f>
        <v/>
      </c>
      <c r="FK78" s="528" t="str">
        <f t="shared" si="234"/>
        <v/>
      </c>
      <c r="FL78" s="529" t="str">
        <f t="shared" si="235"/>
        <v/>
      </c>
      <c r="FM78" s="74" t="str">
        <f>IF('Marks Entry'!BS78="","",'Marks Entry'!BS78)</f>
        <v/>
      </c>
      <c r="FN78" s="74" t="str">
        <f>IF('Marks Entry'!BT78="","",'Marks Entry'!BT78)</f>
        <v/>
      </c>
      <c r="FO78" s="528" t="str">
        <f t="shared" si="236"/>
        <v/>
      </c>
      <c r="FP78" s="530" t="str">
        <f t="shared" si="237"/>
        <v/>
      </c>
      <c r="FQ78" s="368" t="str">
        <f t="shared" si="286"/>
        <v/>
      </c>
      <c r="FR78" s="65">
        <f t="shared" si="287"/>
        <v>0</v>
      </c>
      <c r="FS78" s="65">
        <f t="shared" si="288"/>
        <v>0</v>
      </c>
      <c r="FT78" s="66" t="str">
        <f t="shared" si="289"/>
        <v/>
      </c>
      <c r="FU78" s="74" t="str">
        <f>IF('Marks Entry'!BU78="","",'Marks Entry'!BU78)</f>
        <v/>
      </c>
      <c r="FV78" s="74" t="str">
        <f>IF('Marks Entry'!BV78="","",'Marks Entry'!BV78)</f>
        <v/>
      </c>
      <c r="FW78" s="74" t="str">
        <f>IF('Marks Entry'!BW78="","",'Marks Entry'!BW78)</f>
        <v/>
      </c>
      <c r="FX78" s="75" t="str">
        <f t="shared" si="238"/>
        <v/>
      </c>
      <c r="FY78" s="368" t="str">
        <f t="shared" si="290"/>
        <v/>
      </c>
      <c r="FZ78" s="65">
        <f t="shared" si="291"/>
        <v>0</v>
      </c>
      <c r="GA78" s="66">
        <f t="shared" si="292"/>
        <v>0</v>
      </c>
      <c r="GB78" s="66" t="str">
        <f t="shared" si="293"/>
        <v/>
      </c>
      <c r="GC78" s="74" t="str">
        <f>IF('Marks Entry'!BX78="","",'Marks Entry'!BX78)</f>
        <v/>
      </c>
      <c r="GD78" s="74" t="str">
        <f>IF('Marks Entry'!BY78="","",'Marks Entry'!BY78)</f>
        <v/>
      </c>
      <c r="GE78" s="74" t="str">
        <f>IF('Marks Entry'!BZ78="","",'Marks Entry'!BZ78)</f>
        <v/>
      </c>
      <c r="GF78" s="75" t="str">
        <f t="shared" si="294"/>
        <v/>
      </c>
      <c r="GG78" s="368" t="str">
        <f t="shared" si="295"/>
        <v/>
      </c>
      <c r="GH78" s="65">
        <f t="shared" si="296"/>
        <v>0</v>
      </c>
      <c r="GI78" s="66">
        <f t="shared" si="297"/>
        <v>0</v>
      </c>
      <c r="GJ78" s="66" t="str">
        <f t="shared" si="298"/>
        <v/>
      </c>
      <c r="GK78" s="100" t="str">
        <f>IF(AND(F78="",B78=""),"",IF('Student DATA Entry'!M75="","",'Student DATA Entry'!M75))</f>
        <v/>
      </c>
      <c r="GL78" s="101" t="str">
        <f>IF(AND(B78="",F78=""),"",IF('Student DATA Entry'!N75="","",'Student DATA Entry'!N75))</f>
        <v/>
      </c>
      <c r="GM78" s="581" t="str">
        <f t="shared" si="299"/>
        <v/>
      </c>
      <c r="GN78" s="94" t="str">
        <f t="shared" si="300"/>
        <v/>
      </c>
      <c r="GO78" s="94" t="str">
        <f t="shared" si="301"/>
        <v/>
      </c>
      <c r="GP78" s="102" t="str">
        <f t="shared" si="239"/>
        <v/>
      </c>
      <c r="GQ78" s="94" t="str">
        <f t="shared" si="302"/>
        <v/>
      </c>
      <c r="GR78" s="103" t="str">
        <f t="shared" si="303"/>
        <v/>
      </c>
      <c r="GS78" s="102" t="str">
        <f t="shared" si="240"/>
        <v/>
      </c>
      <c r="GT78" s="104" t="str">
        <f t="shared" si="304"/>
        <v/>
      </c>
      <c r="GU78" s="94" t="str">
        <f>IF('Marks Entry'!V78=1,GT78,"")</f>
        <v/>
      </c>
      <c r="GV78" s="94" t="str">
        <f>IF('Marks Entry'!V78=2,GT78,"")</f>
        <v/>
      </c>
      <c r="GW78" s="94" t="str">
        <f>IF('Marks Entry'!V78=3,GT78,"")</f>
        <v/>
      </c>
      <c r="GX78" s="94" t="str">
        <f>IF('Marks Entry'!V78=4,GT78,"")</f>
        <v/>
      </c>
      <c r="GY78" s="94" t="str">
        <f>IF('Marks Entry'!V78=5,GT78,"")</f>
        <v/>
      </c>
      <c r="GZ78" s="94" t="str">
        <f t="shared" si="305"/>
        <v/>
      </c>
      <c r="HA78" s="105" t="str">
        <f t="shared" si="241"/>
        <v/>
      </c>
      <c r="HB78" s="94" t="str">
        <f t="shared" si="306"/>
        <v/>
      </c>
      <c r="HC78" s="94" t="str">
        <f t="shared" si="307"/>
        <v/>
      </c>
      <c r="HD78" s="105" t="str">
        <f t="shared" si="242"/>
        <v/>
      </c>
      <c r="HE78" s="94" t="str">
        <f t="shared" si="308"/>
        <v/>
      </c>
      <c r="HF78" s="94" t="str">
        <f t="shared" si="309"/>
        <v/>
      </c>
      <c r="HG78" s="105" t="str">
        <f t="shared" si="243"/>
        <v/>
      </c>
      <c r="HH78" s="94" t="str">
        <f t="shared" si="310"/>
        <v/>
      </c>
      <c r="HI78" s="94" t="str">
        <f t="shared" si="311"/>
        <v/>
      </c>
      <c r="HJ78" s="105" t="str">
        <f t="shared" si="244"/>
        <v/>
      </c>
      <c r="HK78" s="94" t="str">
        <f t="shared" si="312"/>
        <v/>
      </c>
      <c r="HL78" s="94" t="str">
        <f t="shared" si="313"/>
        <v/>
      </c>
      <c r="HM78" s="105" t="str">
        <f t="shared" si="245"/>
        <v/>
      </c>
      <c r="HN78" s="367" t="str">
        <f t="shared" si="314"/>
        <v xml:space="preserve">      </v>
      </c>
      <c r="HO78" s="418" t="str">
        <f t="shared" si="246"/>
        <v xml:space="preserve">      </v>
      </c>
      <c r="HP78" s="367" t="str">
        <f t="shared" si="315"/>
        <v xml:space="preserve">      </v>
      </c>
      <c r="HQ78" s="107" t="str">
        <f t="shared" si="316"/>
        <v xml:space="preserve">      </v>
      </c>
      <c r="HR78" s="366" t="str">
        <f t="shared" si="317"/>
        <v xml:space="preserve">      </v>
      </c>
      <c r="HS78" s="544" t="str">
        <f t="shared" si="247"/>
        <v/>
      </c>
      <c r="HT78" s="542" t="str">
        <f t="shared" si="318"/>
        <v/>
      </c>
      <c r="HU78" s="541" t="str">
        <f t="shared" si="319"/>
        <v/>
      </c>
      <c r="HV78" s="540" t="str">
        <f t="shared" si="320"/>
        <v/>
      </c>
      <c r="HW78" s="537" t="str">
        <f t="shared" si="321"/>
        <v/>
      </c>
      <c r="HX78" s="539" t="str">
        <f t="shared" si="322"/>
        <v/>
      </c>
      <c r="HY78" s="553" t="str">
        <f>IFERROR(IF(OR(HS78="SUPPLEMENTARY",HS78="RE-EXAM"),'Supp. Result Entry'!AQ76,""),"")</f>
        <v/>
      </c>
      <c r="HZ78" s="538" t="str">
        <f t="shared" si="323"/>
        <v/>
      </c>
      <c r="IA78" s="415" t="str">
        <f t="shared" si="324"/>
        <v/>
      </c>
      <c r="IB78" s="415" t="str">
        <f>IF(AND(HZ78="",IA78=""),"",IF(OR(HS78="SUPPLEMENTARY",HS78="RE-EXAM"),'Supp. Result Entry'!AQ76,HS78))</f>
        <v/>
      </c>
      <c r="IC78" s="87"/>
      <c r="IS78" s="109" t="str">
        <f>IF('Supp. Result Entry'!T76="","",'Supp. Result Entry'!$T$4)</f>
        <v/>
      </c>
      <c r="IT78" s="110" t="str">
        <f>IF('Supp. Result Entry'!W76="","",'Supp. Result Entry'!$W$4)</f>
        <v/>
      </c>
      <c r="IU78" s="110" t="str">
        <f>IF('Supp. Result Entry'!Z76="","",'Supp. Result Entry'!$Z$4)</f>
        <v/>
      </c>
      <c r="IV78" s="110" t="str">
        <f>IF('Supp. Result Entry'!AC76="","",'Supp. Result Entry'!$AC$4)</f>
        <v/>
      </c>
      <c r="IW78" s="110" t="str">
        <f>IF('Supp. Result Entry'!AF76="","",'Supp. Result Entry'!$AF$4)</f>
        <v/>
      </c>
      <c r="IX78" s="110" t="str">
        <f>IF('Supp. Result Entry'!AI76="","",'Supp. Result Entry'!$AI$4)</f>
        <v/>
      </c>
      <c r="IY78" s="110" t="str">
        <f>IF('Supp. Result Entry'!AI76="","",'Supp. Result Entry'!$AL$4)</f>
        <v/>
      </c>
      <c r="IZ78" s="110" t="str">
        <f>IF('Supp. Result Entry'!U76="","",'Supp. Result Entry'!U76)</f>
        <v/>
      </c>
      <c r="JA78" s="110" t="str">
        <f>IF('Supp. Result Entry'!X76="","",'Supp. Result Entry'!X76)</f>
        <v/>
      </c>
      <c r="JB78" s="110" t="str">
        <f>IF('Supp. Result Entry'!AA76="","",'Supp. Result Entry'!AA76)</f>
        <v/>
      </c>
      <c r="JC78" s="110" t="str">
        <f>IF('Supp. Result Entry'!AD76="","",'Supp. Result Entry'!AD76)</f>
        <v/>
      </c>
      <c r="JD78" s="110" t="str">
        <f>IF('Supp. Result Entry'!AG76="","",'Supp. Result Entry'!AG76)</f>
        <v/>
      </c>
      <c r="JE78" s="110" t="str">
        <f>IF('Supp. Result Entry'!AJ76="","",'Supp. Result Entry'!AJ76)</f>
        <v/>
      </c>
      <c r="JF78" s="110" t="str">
        <f>IF('Supp. Result Entry'!AM76="","",'Supp. Result Entry'!AM76)</f>
        <v/>
      </c>
      <c r="JG78" s="110" t="str">
        <f>IF('Supp. Result Entry'!V76="","",'Supp. Result Entry'!V76)</f>
        <v/>
      </c>
      <c r="JH78" s="110" t="str">
        <f>IF('Supp. Result Entry'!Y76="","",'Supp. Result Entry'!Y76)</f>
        <v/>
      </c>
      <c r="JI78" s="110" t="str">
        <f>IF('Supp. Result Entry'!AB76="","",'Supp. Result Entry'!AB76)</f>
        <v/>
      </c>
      <c r="JJ78" s="110" t="str">
        <f>IF('Supp. Result Entry'!AE76="","",'Supp. Result Entry'!AE76)</f>
        <v/>
      </c>
      <c r="JK78" s="110" t="str">
        <f>IF('Supp. Result Entry'!AH76="","",'Supp. Result Entry'!AH76)</f>
        <v/>
      </c>
      <c r="JL78" s="110" t="str">
        <f>IF('Supp. Result Entry'!AK76="","",'Supp. Result Entry'!AK76)</f>
        <v/>
      </c>
      <c r="JM78" s="110" t="str">
        <f>IF('Supp. Result Entry'!AN76="","",'Supp. Result Entry'!AN76)</f>
        <v/>
      </c>
      <c r="JN78" s="110">
        <f>COUNTIF('Supp. Result Entry'!K76:Q76,"S")</f>
        <v>0</v>
      </c>
      <c r="JO78" s="110">
        <f t="shared" si="248"/>
        <v>0</v>
      </c>
      <c r="JP78" s="110">
        <f t="shared" si="325"/>
        <v>0</v>
      </c>
      <c r="JQ78" s="110" t="str">
        <f t="shared" si="249"/>
        <v/>
      </c>
      <c r="JR78" s="110" t="str">
        <f t="shared" si="250"/>
        <v/>
      </c>
      <c r="JS78" s="110" t="str">
        <f t="shared" si="251"/>
        <v/>
      </c>
      <c r="JT78" s="110" t="str">
        <f t="shared" si="252"/>
        <v/>
      </c>
      <c r="JU78" s="110" t="str">
        <f t="shared" si="253"/>
        <v/>
      </c>
      <c r="JV78" s="110" t="str">
        <f t="shared" si="254"/>
        <v/>
      </c>
      <c r="JW78" s="110" t="str">
        <f t="shared" si="255"/>
        <v/>
      </c>
      <c r="JX78" s="110" t="str">
        <f t="shared" si="326"/>
        <v/>
      </c>
      <c r="JY78" s="110" t="str">
        <f t="shared" si="327"/>
        <v/>
      </c>
      <c r="JZ78" s="110" t="str">
        <f t="shared" si="256"/>
        <v/>
      </c>
      <c r="KA78" s="108" t="str">
        <f t="shared" si="328"/>
        <v/>
      </c>
    </row>
    <row r="79" spans="1:287" s="108" customFormat="1" ht="21.95" customHeight="1">
      <c r="A79" s="89">
        <v>73</v>
      </c>
      <c r="B79" s="90" t="str">
        <f>IF('Marks Entry'!B79="","",'Marks Entry'!B79)</f>
        <v/>
      </c>
      <c r="C79" s="94" t="str">
        <f>IF('Marks Entry'!D79="","",'Marks Entry'!D79)</f>
        <v/>
      </c>
      <c r="D79" s="91" t="str">
        <f>IF('Marks Entry'!E79="","",'Marks Entry'!E79)</f>
        <v/>
      </c>
      <c r="E79" s="92" t="str">
        <f>IF('Marks Entry'!F79="","",'Marks Entry'!F79)</f>
        <v/>
      </c>
      <c r="F79" s="93" t="str">
        <f>IF('Marks Entry'!G79="","",'Marks Entry'!G79)</f>
        <v/>
      </c>
      <c r="G79" s="93" t="str">
        <f>IF('Marks Entry'!H79="","",'Marks Entry'!H79)</f>
        <v/>
      </c>
      <c r="H79" s="93" t="str">
        <f>IF('Marks Entry'!I79="","",'Marks Entry'!I79)</f>
        <v/>
      </c>
      <c r="I79" s="94" t="str">
        <f>IF('Marks Entry'!J79="","",'Marks Entry'!J79)</f>
        <v/>
      </c>
      <c r="J79" s="95" t="str">
        <f>IF('Marks Entry'!K79="","",'Marks Entry'!K79)</f>
        <v/>
      </c>
      <c r="K79" s="68" t="str">
        <f>IF('Marks Entry'!L79="","",'Marks Entry'!L79)</f>
        <v/>
      </c>
      <c r="L79" s="68" t="str">
        <f>IF('Marks Entry'!M79="","",'Marks Entry'!M79)</f>
        <v/>
      </c>
      <c r="M79" s="68" t="str">
        <f>IF('Marks Entry'!N79="","",'Marks Entry'!N79)</f>
        <v/>
      </c>
      <c r="N79" s="514" t="str">
        <f t="shared" si="257"/>
        <v/>
      </c>
      <c r="O79" s="68" t="str">
        <f>IF('Marks Entry'!O79="","",'Marks Entry'!O79)</f>
        <v/>
      </c>
      <c r="P79" s="515" t="str">
        <f t="shared" si="258"/>
        <v/>
      </c>
      <c r="Q79" s="68" t="str">
        <f>IF('Marks Entry'!P79="","",'Marks Entry'!P79)</f>
        <v/>
      </c>
      <c r="R79" s="96" t="str">
        <f t="shared" si="259"/>
        <v/>
      </c>
      <c r="S79" s="65">
        <f t="shared" si="260"/>
        <v>0</v>
      </c>
      <c r="T79" s="65">
        <f t="shared" si="261"/>
        <v>0</v>
      </c>
      <c r="U79" s="66" t="str">
        <f t="shared" si="171"/>
        <v/>
      </c>
      <c r="V79" s="65" t="str">
        <f t="shared" si="172"/>
        <v/>
      </c>
      <c r="W79" s="65" t="str">
        <f t="shared" si="262"/>
        <v/>
      </c>
      <c r="X79" s="65" t="str">
        <f t="shared" si="173"/>
        <v/>
      </c>
      <c r="Y79" s="68" t="str">
        <f>IF('Marks Entry'!Q79="","",'Marks Entry'!Q79)</f>
        <v/>
      </c>
      <c r="Z79" s="68" t="str">
        <f>IF('Marks Entry'!R79="","",'Marks Entry'!R79)</f>
        <v/>
      </c>
      <c r="AA79" s="68" t="str">
        <f>IF('Marks Entry'!S79="","",'Marks Entry'!S79)</f>
        <v/>
      </c>
      <c r="AB79" s="514" t="str">
        <f t="shared" si="174"/>
        <v/>
      </c>
      <c r="AC79" s="68" t="str">
        <f>IF('Marks Entry'!T79="","",'Marks Entry'!T79)</f>
        <v/>
      </c>
      <c r="AD79" s="515" t="str">
        <f t="shared" si="175"/>
        <v/>
      </c>
      <c r="AE79" s="68" t="str">
        <f>IF('Marks Entry'!U79="","",'Marks Entry'!U79)</f>
        <v/>
      </c>
      <c r="AF79" s="96" t="str">
        <f t="shared" si="176"/>
        <v/>
      </c>
      <c r="AG79" s="65">
        <f t="shared" si="177"/>
        <v>0</v>
      </c>
      <c r="AH79" s="65">
        <f t="shared" si="178"/>
        <v>0</v>
      </c>
      <c r="AI79" s="66" t="str">
        <f t="shared" si="179"/>
        <v/>
      </c>
      <c r="AJ79" s="65" t="str">
        <f t="shared" si="180"/>
        <v/>
      </c>
      <c r="AK79" s="65" t="str">
        <f t="shared" si="181"/>
        <v/>
      </c>
      <c r="AL79" s="65" t="str">
        <f t="shared" si="182"/>
        <v/>
      </c>
      <c r="AM79" s="524" t="str">
        <f>IF('Marks Entry'!V79="","",IF('Marks Entry'!V79=1,'School Profile'!$I$9,IF('Marks Entry'!V79=2,'School Profile'!$I$10,IF('Marks Entry'!V79=3,'School Profile'!$I$11,IF('Marks Entry'!V79=4,'School Profile'!$I$12,IF('Marks Entry'!V79=5,'School Profile'!$I$13,IF('Marks Entry'!V79=6,'School Profile'!$I$14,"")))))))</f>
        <v/>
      </c>
      <c r="AN79" s="68" t="str">
        <f>IF('Marks Entry'!W79="","",'Marks Entry'!W79)</f>
        <v/>
      </c>
      <c r="AO79" s="68" t="str">
        <f>IF('Marks Entry'!X79="","",'Marks Entry'!X79)</f>
        <v/>
      </c>
      <c r="AP79" s="68" t="str">
        <f>IF('Marks Entry'!Y79="","",'Marks Entry'!Y79)</f>
        <v/>
      </c>
      <c r="AQ79" s="514" t="str">
        <f t="shared" si="183"/>
        <v/>
      </c>
      <c r="AR79" s="68" t="str">
        <f>IF('Marks Entry'!Z79="","",'Marks Entry'!Z79)</f>
        <v/>
      </c>
      <c r="AS79" s="515" t="str">
        <f t="shared" si="184"/>
        <v/>
      </c>
      <c r="AT79" s="68" t="str">
        <f>IF('Marks Entry'!AA79="","",'Marks Entry'!AA79)</f>
        <v/>
      </c>
      <c r="AU79" s="96" t="str">
        <f t="shared" si="185"/>
        <v/>
      </c>
      <c r="AV79" s="65">
        <f t="shared" si="186"/>
        <v>0</v>
      </c>
      <c r="AW79" s="65">
        <f t="shared" si="187"/>
        <v>0</v>
      </c>
      <c r="AX79" s="66" t="str">
        <f t="shared" si="188"/>
        <v/>
      </c>
      <c r="AY79" s="65" t="str">
        <f t="shared" si="189"/>
        <v/>
      </c>
      <c r="AZ79" s="65" t="str">
        <f t="shared" si="190"/>
        <v/>
      </c>
      <c r="BA79" s="65" t="str">
        <f t="shared" si="191"/>
        <v/>
      </c>
      <c r="BB79" s="68" t="str">
        <f>IF('Marks Entry'!AB79="","",'Marks Entry'!AB79)</f>
        <v/>
      </c>
      <c r="BC79" s="68" t="str">
        <f>IF('Marks Entry'!AC79="","",'Marks Entry'!AC79)</f>
        <v/>
      </c>
      <c r="BD79" s="68" t="str">
        <f>IF('Marks Entry'!AD79="","",'Marks Entry'!AD79)</f>
        <v/>
      </c>
      <c r="BE79" s="514" t="str">
        <f t="shared" si="192"/>
        <v/>
      </c>
      <c r="BF79" s="68" t="str">
        <f>IF('Marks Entry'!AE79="","",'Marks Entry'!AE79)</f>
        <v/>
      </c>
      <c r="BG79" s="515" t="str">
        <f t="shared" si="193"/>
        <v/>
      </c>
      <c r="BH79" s="68" t="str">
        <f>IF('Marks Entry'!AF79="","",'Marks Entry'!AF79)</f>
        <v/>
      </c>
      <c r="BI79" s="96" t="str">
        <f t="shared" si="194"/>
        <v/>
      </c>
      <c r="BJ79" s="65">
        <f t="shared" si="195"/>
        <v>0</v>
      </c>
      <c r="BK79" s="65">
        <f t="shared" si="263"/>
        <v>0</v>
      </c>
      <c r="BL79" s="66" t="str">
        <f t="shared" si="196"/>
        <v/>
      </c>
      <c r="BM79" s="65" t="str">
        <f t="shared" si="197"/>
        <v/>
      </c>
      <c r="BN79" s="65" t="str">
        <f t="shared" si="198"/>
        <v/>
      </c>
      <c r="BO79" s="65" t="str">
        <f t="shared" si="199"/>
        <v/>
      </c>
      <c r="BP79" s="68" t="str">
        <f>IF('Marks Entry'!AG79="","",'Marks Entry'!AG79)</f>
        <v/>
      </c>
      <c r="BQ79" s="68" t="str">
        <f>IF('Marks Entry'!AH79="","",'Marks Entry'!AH79)</f>
        <v/>
      </c>
      <c r="BR79" s="68" t="str">
        <f>IF('Marks Entry'!AI79="","",'Marks Entry'!AI79)</f>
        <v/>
      </c>
      <c r="BS79" s="514" t="str">
        <f t="shared" si="200"/>
        <v/>
      </c>
      <c r="BT79" s="68" t="str">
        <f>IF('Marks Entry'!AJ79="","",'Marks Entry'!AJ79)</f>
        <v/>
      </c>
      <c r="BU79" s="515" t="str">
        <f t="shared" si="201"/>
        <v/>
      </c>
      <c r="BV79" s="68" t="str">
        <f>IF('Marks Entry'!AK79="","",'Marks Entry'!AK79)</f>
        <v/>
      </c>
      <c r="BW79" s="96" t="str">
        <f t="shared" si="202"/>
        <v/>
      </c>
      <c r="BX79" s="65">
        <f t="shared" si="203"/>
        <v>0</v>
      </c>
      <c r="BY79" s="65">
        <f t="shared" si="204"/>
        <v>0</v>
      </c>
      <c r="BZ79" s="66" t="str">
        <f t="shared" si="205"/>
        <v/>
      </c>
      <c r="CA79" s="65" t="str">
        <f t="shared" si="206"/>
        <v/>
      </c>
      <c r="CB79" s="65" t="str">
        <f t="shared" si="207"/>
        <v/>
      </c>
      <c r="CC79" s="65" t="str">
        <f t="shared" si="208"/>
        <v/>
      </c>
      <c r="CD79" s="66">
        <f t="shared" si="209"/>
        <v>0</v>
      </c>
      <c r="CE79" s="68" t="str">
        <f>IF('Marks Entry'!AL79="","",'Marks Entry'!AL79)</f>
        <v/>
      </c>
      <c r="CF79" s="68" t="str">
        <f>IF('Marks Entry'!AM79="","",'Marks Entry'!AM79)</f>
        <v/>
      </c>
      <c r="CG79" s="68" t="str">
        <f>IF('Marks Entry'!AN79="","",'Marks Entry'!AN79)</f>
        <v/>
      </c>
      <c r="CH79" s="514" t="str">
        <f t="shared" si="210"/>
        <v/>
      </c>
      <c r="CI79" s="68" t="str">
        <f>IF('Marks Entry'!AO79="","",'Marks Entry'!AO79)</f>
        <v/>
      </c>
      <c r="CJ79" s="515" t="str">
        <f t="shared" si="211"/>
        <v/>
      </c>
      <c r="CK79" s="68" t="str">
        <f>IF('Marks Entry'!AP79="","",'Marks Entry'!AP79)</f>
        <v/>
      </c>
      <c r="CL79" s="96" t="str">
        <f t="shared" si="212"/>
        <v/>
      </c>
      <c r="CM79" s="65">
        <f t="shared" si="213"/>
        <v>0</v>
      </c>
      <c r="CN79" s="65">
        <f t="shared" si="214"/>
        <v>0</v>
      </c>
      <c r="CO79" s="66" t="str">
        <f t="shared" si="215"/>
        <v/>
      </c>
      <c r="CP79" s="65" t="str">
        <f t="shared" si="216"/>
        <v/>
      </c>
      <c r="CQ79" s="65" t="str">
        <f t="shared" si="217"/>
        <v/>
      </c>
      <c r="CR79" s="65" t="str">
        <f t="shared" si="218"/>
        <v/>
      </c>
      <c r="CS79" s="616"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8" t="str">
        <f>IF('School Profile'!$D$20="NO","",IF('Marks Entry'!AR79="","",'Marks Entry'!AR79))</f>
        <v/>
      </c>
      <c r="CU79" s="68" t="str">
        <f>IF('School Profile'!$D$20="NO","",IF('Marks Entry'!AS79="","",'Marks Entry'!AS79))</f>
        <v/>
      </c>
      <c r="CV79" s="68" t="str">
        <f>IF('School Profile'!$D$20="NO","",IF('Marks Entry'!AT79="","",'Marks Entry'!AT79))</f>
        <v/>
      </c>
      <c r="CW79" s="514" t="str">
        <f>IF('School Profile'!$D$20="NO","",IF(AND(CT79="",CU79="",CV79=""),"",SUM(CT79:CV79)))</f>
        <v/>
      </c>
      <c r="CX79" s="68" t="str">
        <f>IF('School Profile'!$D$20="NO","",IF('Marks Entry'!AU79="","",'Marks Entry'!AU79))</f>
        <v/>
      </c>
      <c r="CY79" s="68" t="str">
        <f>IF('School Profile'!$D$20="NO","",IF('Marks Entry'!AV79="","",'Marks Entry'!AV79))</f>
        <v/>
      </c>
      <c r="CZ79" s="515" t="str">
        <f>IF('School Profile'!$D$20="NO","",IF(AND(CX79="",CY79=""),"",SUM(CX79,CY79)))</f>
        <v/>
      </c>
      <c r="DA79" s="69" t="str">
        <f>IF('School Profile'!$D$20="NO","",IF(AND(CW79="",CZ79=""),"",SUM(CW79+CZ79)))</f>
        <v/>
      </c>
      <c r="DB79" s="68" t="str">
        <f>IF('School Profile'!$D$20="NO","",IF('Marks Entry'!AW79="","",'Marks Entry'!AW79))</f>
        <v/>
      </c>
      <c r="DC79" s="68" t="str">
        <f>IF('School Profile'!$D$20="NO","",IF('Marks Entry'!AX79="","",'Marks Entry'!AX79))</f>
        <v/>
      </c>
      <c r="DD79" s="515" t="str">
        <f>IF('School Profile'!$D$20="NO","",IF(AND(DB79="",DC79=""),"",SUM(DB79,DC79)))</f>
        <v/>
      </c>
      <c r="DE79" s="96" t="str">
        <f>IF('School Profile'!$D$20="NO","",IF(AND(DA79="",DD79=""),"",SUM(DA79,DD79)))</f>
        <v/>
      </c>
      <c r="DF79" s="532">
        <f t="shared" si="219"/>
        <v>0</v>
      </c>
      <c r="DG79" s="65">
        <f t="shared" si="220"/>
        <v>0</v>
      </c>
      <c r="DH79" s="66" t="str">
        <f t="shared" si="221"/>
        <v/>
      </c>
      <c r="DI79" s="65" t="str">
        <f t="shared" si="222"/>
        <v/>
      </c>
      <c r="DJ79" s="65" t="str">
        <f t="shared" si="223"/>
        <v/>
      </c>
      <c r="DK79" s="65" t="str">
        <f t="shared" si="224"/>
        <v/>
      </c>
      <c r="DL79" s="97" t="str">
        <f t="shared" si="264"/>
        <v/>
      </c>
      <c r="DM79" s="97" t="str">
        <f t="shared" si="265"/>
        <v/>
      </c>
      <c r="DN79" s="97" t="str">
        <f t="shared" si="266"/>
        <v/>
      </c>
      <c r="DO79" s="97" t="str">
        <f t="shared" si="267"/>
        <v/>
      </c>
      <c r="DP79" s="97" t="str">
        <f t="shared" si="268"/>
        <v/>
      </c>
      <c r="DQ79" s="97" t="str">
        <f t="shared" si="269"/>
        <v/>
      </c>
      <c r="DR79" s="97" t="str">
        <f t="shared" si="270"/>
        <v/>
      </c>
      <c r="DS79" s="98">
        <f t="shared" si="271"/>
        <v>0</v>
      </c>
      <c r="DT79" s="98">
        <f t="shared" si="272"/>
        <v>0</v>
      </c>
      <c r="DU79" s="98">
        <f t="shared" si="273"/>
        <v>0</v>
      </c>
      <c r="DV79" s="98">
        <f t="shared" si="274"/>
        <v>0</v>
      </c>
      <c r="DW79" s="98">
        <f t="shared" si="275"/>
        <v>0</v>
      </c>
      <c r="DX79" s="98" t="str">
        <f t="shared" si="276"/>
        <v/>
      </c>
      <c r="DY79" s="99" t="str">
        <f t="shared" si="277"/>
        <v/>
      </c>
      <c r="DZ79" s="74" t="str">
        <f>IF('Marks Entry'!AY79="","",'Marks Entry'!AY79)</f>
        <v/>
      </c>
      <c r="EA79" s="74" t="str">
        <f>IF('Marks Entry'!AZ79="","",'Marks Entry'!AZ79)</f>
        <v/>
      </c>
      <c r="EB79" s="74" t="str">
        <f>IF('Marks Entry'!BA79="","",'Marks Entry'!BA79)</f>
        <v/>
      </c>
      <c r="EC79" s="527" t="str">
        <f t="shared" si="225"/>
        <v/>
      </c>
      <c r="ED79" s="74" t="str">
        <f>IF('Marks Entry'!BB79="","",'Marks Entry'!BB79)</f>
        <v/>
      </c>
      <c r="EE79" s="528" t="str">
        <f t="shared" si="226"/>
        <v/>
      </c>
      <c r="EF79" s="74" t="str">
        <f>IF('Marks Entry'!BC79="","",'Marks Entry'!BC79)</f>
        <v/>
      </c>
      <c r="EG79" s="530" t="str">
        <f t="shared" si="227"/>
        <v/>
      </c>
      <c r="EH79" s="368" t="str">
        <f t="shared" si="278"/>
        <v/>
      </c>
      <c r="EI79" s="65">
        <f t="shared" si="279"/>
        <v>0</v>
      </c>
      <c r="EJ79" s="65">
        <f t="shared" si="280"/>
        <v>0</v>
      </c>
      <c r="EK79" s="66" t="str">
        <f t="shared" si="281"/>
        <v/>
      </c>
      <c r="EL79" s="74" t="str">
        <f>IF('Marks Entry'!BD79="","",'Marks Entry'!BD79)</f>
        <v/>
      </c>
      <c r="EM79" s="74" t="str">
        <f>IF('Marks Entry'!BE79="","",'Marks Entry'!BE79)</f>
        <v/>
      </c>
      <c r="EN79" s="74" t="str">
        <f>IF('Marks Entry'!BF79="","",'Marks Entry'!BF79)</f>
        <v/>
      </c>
      <c r="EO79" s="527" t="str">
        <f t="shared" si="228"/>
        <v/>
      </c>
      <c r="EP79" s="74" t="str">
        <f>IF('Marks Entry'!BG79="","",'Marks Entry'!BG79)</f>
        <v/>
      </c>
      <c r="EQ79" s="74" t="str">
        <f>IF('Marks Entry'!BH79="","",'Marks Entry'!BH79)</f>
        <v/>
      </c>
      <c r="ER79" s="528" t="str">
        <f t="shared" si="229"/>
        <v/>
      </c>
      <c r="ES79" s="529" t="str">
        <f t="shared" si="230"/>
        <v/>
      </c>
      <c r="ET79" s="74" t="str">
        <f>IF('Marks Entry'!BI79="","",'Marks Entry'!BI79)</f>
        <v/>
      </c>
      <c r="EU79" s="74" t="str">
        <f>IF('Marks Entry'!BJ79="","",'Marks Entry'!BJ79)</f>
        <v/>
      </c>
      <c r="EV79" s="528" t="str">
        <f t="shared" si="231"/>
        <v/>
      </c>
      <c r="EW79" s="530" t="str">
        <f t="shared" si="232"/>
        <v/>
      </c>
      <c r="EX79" s="368" t="str">
        <f t="shared" si="282"/>
        <v/>
      </c>
      <c r="EY79" s="65">
        <f t="shared" si="283"/>
        <v>0</v>
      </c>
      <c r="EZ79" s="65">
        <f t="shared" si="284"/>
        <v>0</v>
      </c>
      <c r="FA79" s="66" t="str">
        <f t="shared" si="285"/>
        <v/>
      </c>
      <c r="FB79" s="74" t="str">
        <f>IF('Marks Entry'!BK79="","",'Marks Entry'!BK79)</f>
        <v/>
      </c>
      <c r="FC79" s="74" t="str">
        <f>IF('Marks Entry'!BL79="","",'Marks Entry'!BL79)</f>
        <v/>
      </c>
      <c r="FD79" s="74" t="str">
        <f>IF('Marks Entry'!BM79="","",'Marks Entry'!BM79)</f>
        <v/>
      </c>
      <c r="FE79" s="74" t="str">
        <f>IF('Marks Entry'!BN79="","",'Marks Entry'!BN79)</f>
        <v/>
      </c>
      <c r="FF79" s="74" t="str">
        <f>IF('Marks Entry'!BO79="","",'Marks Entry'!BO79)</f>
        <v/>
      </c>
      <c r="FG79" s="74" t="str">
        <f>IF('Marks Entry'!BP79="","",'Marks Entry'!BP79)</f>
        <v/>
      </c>
      <c r="FH79" s="527" t="str">
        <f t="shared" si="233"/>
        <v/>
      </c>
      <c r="FI79" s="74" t="str">
        <f>IF('Marks Entry'!BQ79="","",'Marks Entry'!BQ79)</f>
        <v/>
      </c>
      <c r="FJ79" s="74" t="str">
        <f>IF('Marks Entry'!BR79="","",'Marks Entry'!BR79)</f>
        <v/>
      </c>
      <c r="FK79" s="528" t="str">
        <f t="shared" si="234"/>
        <v/>
      </c>
      <c r="FL79" s="529" t="str">
        <f t="shared" si="235"/>
        <v/>
      </c>
      <c r="FM79" s="74" t="str">
        <f>IF('Marks Entry'!BS79="","",'Marks Entry'!BS79)</f>
        <v/>
      </c>
      <c r="FN79" s="74" t="str">
        <f>IF('Marks Entry'!BT79="","",'Marks Entry'!BT79)</f>
        <v/>
      </c>
      <c r="FO79" s="528" t="str">
        <f t="shared" si="236"/>
        <v/>
      </c>
      <c r="FP79" s="530" t="str">
        <f t="shared" si="237"/>
        <v/>
      </c>
      <c r="FQ79" s="368" t="str">
        <f t="shared" si="286"/>
        <v/>
      </c>
      <c r="FR79" s="65">
        <f t="shared" si="287"/>
        <v>0</v>
      </c>
      <c r="FS79" s="65">
        <f t="shared" si="288"/>
        <v>0</v>
      </c>
      <c r="FT79" s="66" t="str">
        <f t="shared" si="289"/>
        <v/>
      </c>
      <c r="FU79" s="74" t="str">
        <f>IF('Marks Entry'!BU79="","",'Marks Entry'!BU79)</f>
        <v/>
      </c>
      <c r="FV79" s="74" t="str">
        <f>IF('Marks Entry'!BV79="","",'Marks Entry'!BV79)</f>
        <v/>
      </c>
      <c r="FW79" s="74" t="str">
        <f>IF('Marks Entry'!BW79="","",'Marks Entry'!BW79)</f>
        <v/>
      </c>
      <c r="FX79" s="75" t="str">
        <f t="shared" si="238"/>
        <v/>
      </c>
      <c r="FY79" s="368" t="str">
        <f t="shared" si="290"/>
        <v/>
      </c>
      <c r="FZ79" s="65">
        <f t="shared" si="291"/>
        <v>0</v>
      </c>
      <c r="GA79" s="66">
        <f t="shared" si="292"/>
        <v>0</v>
      </c>
      <c r="GB79" s="66" t="str">
        <f t="shared" si="293"/>
        <v/>
      </c>
      <c r="GC79" s="74" t="str">
        <f>IF('Marks Entry'!BX79="","",'Marks Entry'!BX79)</f>
        <v/>
      </c>
      <c r="GD79" s="74" t="str">
        <f>IF('Marks Entry'!BY79="","",'Marks Entry'!BY79)</f>
        <v/>
      </c>
      <c r="GE79" s="74" t="str">
        <f>IF('Marks Entry'!BZ79="","",'Marks Entry'!BZ79)</f>
        <v/>
      </c>
      <c r="GF79" s="75" t="str">
        <f t="shared" si="294"/>
        <v/>
      </c>
      <c r="GG79" s="368" t="str">
        <f t="shared" si="295"/>
        <v/>
      </c>
      <c r="GH79" s="65">
        <f t="shared" si="296"/>
        <v>0</v>
      </c>
      <c r="GI79" s="66">
        <f t="shared" si="297"/>
        <v>0</v>
      </c>
      <c r="GJ79" s="66" t="str">
        <f t="shared" si="298"/>
        <v/>
      </c>
      <c r="GK79" s="100" t="str">
        <f>IF(AND(F79="",B79=""),"",IF('Student DATA Entry'!M76="","",'Student DATA Entry'!M76))</f>
        <v/>
      </c>
      <c r="GL79" s="101" t="str">
        <f>IF(AND(B79="",F79=""),"",IF('Student DATA Entry'!N76="","",'Student DATA Entry'!N76))</f>
        <v/>
      </c>
      <c r="GM79" s="581" t="str">
        <f t="shared" si="299"/>
        <v/>
      </c>
      <c r="GN79" s="94" t="str">
        <f t="shared" si="300"/>
        <v/>
      </c>
      <c r="GO79" s="94" t="str">
        <f t="shared" si="301"/>
        <v/>
      </c>
      <c r="GP79" s="102" t="str">
        <f t="shared" si="239"/>
        <v/>
      </c>
      <c r="GQ79" s="94" t="str">
        <f t="shared" si="302"/>
        <v/>
      </c>
      <c r="GR79" s="103" t="str">
        <f t="shared" si="303"/>
        <v/>
      </c>
      <c r="GS79" s="102" t="str">
        <f t="shared" si="240"/>
        <v/>
      </c>
      <c r="GT79" s="104" t="str">
        <f t="shared" si="304"/>
        <v/>
      </c>
      <c r="GU79" s="94" t="str">
        <f>IF('Marks Entry'!V79=1,GT79,"")</f>
        <v/>
      </c>
      <c r="GV79" s="94" t="str">
        <f>IF('Marks Entry'!V79=2,GT79,"")</f>
        <v/>
      </c>
      <c r="GW79" s="94" t="str">
        <f>IF('Marks Entry'!V79=3,GT79,"")</f>
        <v/>
      </c>
      <c r="GX79" s="94" t="str">
        <f>IF('Marks Entry'!V79=4,GT79,"")</f>
        <v/>
      </c>
      <c r="GY79" s="94" t="str">
        <f>IF('Marks Entry'!V79=5,GT79,"")</f>
        <v/>
      </c>
      <c r="GZ79" s="94" t="str">
        <f t="shared" si="305"/>
        <v/>
      </c>
      <c r="HA79" s="105" t="str">
        <f t="shared" si="241"/>
        <v/>
      </c>
      <c r="HB79" s="94" t="str">
        <f t="shared" si="306"/>
        <v/>
      </c>
      <c r="HC79" s="94" t="str">
        <f t="shared" si="307"/>
        <v/>
      </c>
      <c r="HD79" s="105" t="str">
        <f t="shared" si="242"/>
        <v/>
      </c>
      <c r="HE79" s="94" t="str">
        <f t="shared" si="308"/>
        <v/>
      </c>
      <c r="HF79" s="94" t="str">
        <f t="shared" si="309"/>
        <v/>
      </c>
      <c r="HG79" s="105" t="str">
        <f t="shared" si="243"/>
        <v/>
      </c>
      <c r="HH79" s="94" t="str">
        <f t="shared" si="310"/>
        <v/>
      </c>
      <c r="HI79" s="94" t="str">
        <f t="shared" si="311"/>
        <v/>
      </c>
      <c r="HJ79" s="105" t="str">
        <f t="shared" si="244"/>
        <v/>
      </c>
      <c r="HK79" s="94" t="str">
        <f t="shared" si="312"/>
        <v/>
      </c>
      <c r="HL79" s="94" t="str">
        <f t="shared" si="313"/>
        <v/>
      </c>
      <c r="HM79" s="105" t="str">
        <f t="shared" si="245"/>
        <v/>
      </c>
      <c r="HN79" s="367" t="str">
        <f t="shared" si="314"/>
        <v xml:space="preserve">      </v>
      </c>
      <c r="HO79" s="418" t="str">
        <f t="shared" si="246"/>
        <v xml:space="preserve">      </v>
      </c>
      <c r="HP79" s="367" t="str">
        <f t="shared" si="315"/>
        <v xml:space="preserve">      </v>
      </c>
      <c r="HQ79" s="107" t="str">
        <f t="shared" si="316"/>
        <v xml:space="preserve">      </v>
      </c>
      <c r="HR79" s="366" t="str">
        <f t="shared" si="317"/>
        <v xml:space="preserve">      </v>
      </c>
      <c r="HS79" s="544" t="str">
        <f t="shared" si="247"/>
        <v/>
      </c>
      <c r="HT79" s="542" t="str">
        <f t="shared" si="318"/>
        <v/>
      </c>
      <c r="HU79" s="541" t="str">
        <f t="shared" si="319"/>
        <v/>
      </c>
      <c r="HV79" s="540" t="str">
        <f t="shared" si="320"/>
        <v/>
      </c>
      <c r="HW79" s="537" t="str">
        <f t="shared" si="321"/>
        <v/>
      </c>
      <c r="HX79" s="539" t="str">
        <f t="shared" si="322"/>
        <v/>
      </c>
      <c r="HY79" s="553" t="str">
        <f>IFERROR(IF(OR(HS79="SUPPLEMENTARY",HS79="RE-EXAM"),'Supp. Result Entry'!AQ77,""),"")</f>
        <v/>
      </c>
      <c r="HZ79" s="538" t="str">
        <f t="shared" si="323"/>
        <v/>
      </c>
      <c r="IA79" s="415" t="str">
        <f t="shared" si="324"/>
        <v/>
      </c>
      <c r="IB79" s="415" t="str">
        <f>IF(AND(HZ79="",IA79=""),"",IF(OR(HS79="SUPPLEMENTARY",HS79="RE-EXAM"),'Supp. Result Entry'!AQ77,HS79))</f>
        <v/>
      </c>
      <c r="IC79" s="87"/>
      <c r="IS79" s="109" t="str">
        <f>IF('Supp. Result Entry'!T77="","",'Supp. Result Entry'!$T$4)</f>
        <v/>
      </c>
      <c r="IT79" s="110" t="str">
        <f>IF('Supp. Result Entry'!W77="","",'Supp. Result Entry'!$W$4)</f>
        <v/>
      </c>
      <c r="IU79" s="110" t="str">
        <f>IF('Supp. Result Entry'!Z77="","",'Supp. Result Entry'!$Z$4)</f>
        <v/>
      </c>
      <c r="IV79" s="110" t="str">
        <f>IF('Supp. Result Entry'!AC77="","",'Supp. Result Entry'!$AC$4)</f>
        <v/>
      </c>
      <c r="IW79" s="110" t="str">
        <f>IF('Supp. Result Entry'!AF77="","",'Supp. Result Entry'!$AF$4)</f>
        <v/>
      </c>
      <c r="IX79" s="110" t="str">
        <f>IF('Supp. Result Entry'!AI77="","",'Supp. Result Entry'!$AI$4)</f>
        <v/>
      </c>
      <c r="IY79" s="110" t="str">
        <f>IF('Supp. Result Entry'!AI77="","",'Supp. Result Entry'!$AL$4)</f>
        <v/>
      </c>
      <c r="IZ79" s="110" t="str">
        <f>IF('Supp. Result Entry'!U77="","",'Supp. Result Entry'!U77)</f>
        <v/>
      </c>
      <c r="JA79" s="110" t="str">
        <f>IF('Supp. Result Entry'!X77="","",'Supp. Result Entry'!X77)</f>
        <v/>
      </c>
      <c r="JB79" s="110" t="str">
        <f>IF('Supp. Result Entry'!AA77="","",'Supp. Result Entry'!AA77)</f>
        <v/>
      </c>
      <c r="JC79" s="110" t="str">
        <f>IF('Supp. Result Entry'!AD77="","",'Supp. Result Entry'!AD77)</f>
        <v/>
      </c>
      <c r="JD79" s="110" t="str">
        <f>IF('Supp. Result Entry'!AG77="","",'Supp. Result Entry'!AG77)</f>
        <v/>
      </c>
      <c r="JE79" s="110" t="str">
        <f>IF('Supp. Result Entry'!AJ77="","",'Supp. Result Entry'!AJ77)</f>
        <v/>
      </c>
      <c r="JF79" s="110" t="str">
        <f>IF('Supp. Result Entry'!AM77="","",'Supp. Result Entry'!AM77)</f>
        <v/>
      </c>
      <c r="JG79" s="110" t="str">
        <f>IF('Supp. Result Entry'!V77="","",'Supp. Result Entry'!V77)</f>
        <v/>
      </c>
      <c r="JH79" s="110" t="str">
        <f>IF('Supp. Result Entry'!Y77="","",'Supp. Result Entry'!Y77)</f>
        <v/>
      </c>
      <c r="JI79" s="110" t="str">
        <f>IF('Supp. Result Entry'!AB77="","",'Supp. Result Entry'!AB77)</f>
        <v/>
      </c>
      <c r="JJ79" s="110" t="str">
        <f>IF('Supp. Result Entry'!AE77="","",'Supp. Result Entry'!AE77)</f>
        <v/>
      </c>
      <c r="JK79" s="110" t="str">
        <f>IF('Supp. Result Entry'!AH77="","",'Supp. Result Entry'!AH77)</f>
        <v/>
      </c>
      <c r="JL79" s="110" t="str">
        <f>IF('Supp. Result Entry'!AK77="","",'Supp. Result Entry'!AK77)</f>
        <v/>
      </c>
      <c r="JM79" s="110" t="str">
        <f>IF('Supp. Result Entry'!AN77="","",'Supp. Result Entry'!AN77)</f>
        <v/>
      </c>
      <c r="JN79" s="110">
        <f>COUNTIF('Supp. Result Entry'!K77:Q77,"S")</f>
        <v>0</v>
      </c>
      <c r="JO79" s="110">
        <f t="shared" si="248"/>
        <v>0</v>
      </c>
      <c r="JP79" s="110">
        <f t="shared" si="325"/>
        <v>0</v>
      </c>
      <c r="JQ79" s="110" t="str">
        <f t="shared" si="249"/>
        <v/>
      </c>
      <c r="JR79" s="110" t="str">
        <f t="shared" si="250"/>
        <v/>
      </c>
      <c r="JS79" s="110" t="str">
        <f t="shared" si="251"/>
        <v/>
      </c>
      <c r="JT79" s="110" t="str">
        <f t="shared" si="252"/>
        <v/>
      </c>
      <c r="JU79" s="110" t="str">
        <f t="shared" si="253"/>
        <v/>
      </c>
      <c r="JV79" s="110" t="str">
        <f t="shared" si="254"/>
        <v/>
      </c>
      <c r="JW79" s="110" t="str">
        <f t="shared" si="255"/>
        <v/>
      </c>
      <c r="JX79" s="110" t="str">
        <f t="shared" si="326"/>
        <v/>
      </c>
      <c r="JY79" s="110" t="str">
        <f t="shared" si="327"/>
        <v/>
      </c>
      <c r="JZ79" s="110" t="str">
        <f t="shared" si="256"/>
        <v/>
      </c>
      <c r="KA79" s="108" t="str">
        <f t="shared" si="328"/>
        <v/>
      </c>
    </row>
    <row r="80" spans="1:287" s="108" customFormat="1" ht="21.95" customHeight="1">
      <c r="A80" s="89">
        <v>74</v>
      </c>
      <c r="B80" s="90" t="str">
        <f>IF('Marks Entry'!B80="","",'Marks Entry'!B80)</f>
        <v/>
      </c>
      <c r="C80" s="94" t="str">
        <f>IF('Marks Entry'!D80="","",'Marks Entry'!D80)</f>
        <v/>
      </c>
      <c r="D80" s="91" t="str">
        <f>IF('Marks Entry'!E80="","",'Marks Entry'!E80)</f>
        <v/>
      </c>
      <c r="E80" s="92" t="str">
        <f>IF('Marks Entry'!F80="","",'Marks Entry'!F80)</f>
        <v/>
      </c>
      <c r="F80" s="93" t="str">
        <f>IF('Marks Entry'!G80="","",'Marks Entry'!G80)</f>
        <v/>
      </c>
      <c r="G80" s="93" t="str">
        <f>IF('Marks Entry'!H80="","",'Marks Entry'!H80)</f>
        <v/>
      </c>
      <c r="H80" s="93" t="str">
        <f>IF('Marks Entry'!I80="","",'Marks Entry'!I80)</f>
        <v/>
      </c>
      <c r="I80" s="94" t="str">
        <f>IF('Marks Entry'!J80="","",'Marks Entry'!J80)</f>
        <v/>
      </c>
      <c r="J80" s="95" t="str">
        <f>IF('Marks Entry'!K80="","",'Marks Entry'!K80)</f>
        <v/>
      </c>
      <c r="K80" s="68" t="str">
        <f>IF('Marks Entry'!L80="","",'Marks Entry'!L80)</f>
        <v/>
      </c>
      <c r="L80" s="68" t="str">
        <f>IF('Marks Entry'!M80="","",'Marks Entry'!M80)</f>
        <v/>
      </c>
      <c r="M80" s="68" t="str">
        <f>IF('Marks Entry'!N80="","",'Marks Entry'!N80)</f>
        <v/>
      </c>
      <c r="N80" s="514" t="str">
        <f t="shared" si="257"/>
        <v/>
      </c>
      <c r="O80" s="68" t="str">
        <f>IF('Marks Entry'!O80="","",'Marks Entry'!O80)</f>
        <v/>
      </c>
      <c r="P80" s="515" t="str">
        <f t="shared" si="258"/>
        <v/>
      </c>
      <c r="Q80" s="68" t="str">
        <f>IF('Marks Entry'!P80="","",'Marks Entry'!P80)</f>
        <v/>
      </c>
      <c r="R80" s="96" t="str">
        <f t="shared" si="259"/>
        <v/>
      </c>
      <c r="S80" s="65">
        <f t="shared" si="260"/>
        <v>0</v>
      </c>
      <c r="T80" s="65">
        <f t="shared" si="261"/>
        <v>0</v>
      </c>
      <c r="U80" s="66" t="str">
        <f t="shared" si="171"/>
        <v/>
      </c>
      <c r="V80" s="65" t="str">
        <f t="shared" si="172"/>
        <v/>
      </c>
      <c r="W80" s="65" t="str">
        <f t="shared" si="262"/>
        <v/>
      </c>
      <c r="X80" s="65" t="str">
        <f t="shared" si="173"/>
        <v/>
      </c>
      <c r="Y80" s="68" t="str">
        <f>IF('Marks Entry'!Q80="","",'Marks Entry'!Q80)</f>
        <v/>
      </c>
      <c r="Z80" s="68" t="str">
        <f>IF('Marks Entry'!R80="","",'Marks Entry'!R80)</f>
        <v/>
      </c>
      <c r="AA80" s="68" t="str">
        <f>IF('Marks Entry'!S80="","",'Marks Entry'!S80)</f>
        <v/>
      </c>
      <c r="AB80" s="514" t="str">
        <f t="shared" si="174"/>
        <v/>
      </c>
      <c r="AC80" s="68" t="str">
        <f>IF('Marks Entry'!T80="","",'Marks Entry'!T80)</f>
        <v/>
      </c>
      <c r="AD80" s="515" t="str">
        <f t="shared" si="175"/>
        <v/>
      </c>
      <c r="AE80" s="68" t="str">
        <f>IF('Marks Entry'!U80="","",'Marks Entry'!U80)</f>
        <v/>
      </c>
      <c r="AF80" s="96" t="str">
        <f t="shared" si="176"/>
        <v/>
      </c>
      <c r="AG80" s="65">
        <f t="shared" si="177"/>
        <v>0</v>
      </c>
      <c r="AH80" s="65">
        <f t="shared" si="178"/>
        <v>0</v>
      </c>
      <c r="AI80" s="66" t="str">
        <f t="shared" si="179"/>
        <v/>
      </c>
      <c r="AJ80" s="65" t="str">
        <f t="shared" si="180"/>
        <v/>
      </c>
      <c r="AK80" s="65" t="str">
        <f t="shared" si="181"/>
        <v/>
      </c>
      <c r="AL80" s="65" t="str">
        <f t="shared" si="182"/>
        <v/>
      </c>
      <c r="AM80" s="524" t="str">
        <f>IF('Marks Entry'!V80="","",IF('Marks Entry'!V80=1,'School Profile'!$I$9,IF('Marks Entry'!V80=2,'School Profile'!$I$10,IF('Marks Entry'!V80=3,'School Profile'!$I$11,IF('Marks Entry'!V80=4,'School Profile'!$I$12,IF('Marks Entry'!V80=5,'School Profile'!$I$13,IF('Marks Entry'!V80=6,'School Profile'!$I$14,"")))))))</f>
        <v/>
      </c>
      <c r="AN80" s="68" t="str">
        <f>IF('Marks Entry'!W80="","",'Marks Entry'!W80)</f>
        <v/>
      </c>
      <c r="AO80" s="68" t="str">
        <f>IF('Marks Entry'!X80="","",'Marks Entry'!X80)</f>
        <v/>
      </c>
      <c r="AP80" s="68" t="str">
        <f>IF('Marks Entry'!Y80="","",'Marks Entry'!Y80)</f>
        <v/>
      </c>
      <c r="AQ80" s="514" t="str">
        <f t="shared" si="183"/>
        <v/>
      </c>
      <c r="AR80" s="68" t="str">
        <f>IF('Marks Entry'!Z80="","",'Marks Entry'!Z80)</f>
        <v/>
      </c>
      <c r="AS80" s="515" t="str">
        <f t="shared" si="184"/>
        <v/>
      </c>
      <c r="AT80" s="68" t="str">
        <f>IF('Marks Entry'!AA80="","",'Marks Entry'!AA80)</f>
        <v/>
      </c>
      <c r="AU80" s="96" t="str">
        <f t="shared" si="185"/>
        <v/>
      </c>
      <c r="AV80" s="65">
        <f t="shared" si="186"/>
        <v>0</v>
      </c>
      <c r="AW80" s="65">
        <f t="shared" si="187"/>
        <v>0</v>
      </c>
      <c r="AX80" s="66" t="str">
        <f t="shared" si="188"/>
        <v/>
      </c>
      <c r="AY80" s="65" t="str">
        <f t="shared" si="189"/>
        <v/>
      </c>
      <c r="AZ80" s="65" t="str">
        <f t="shared" si="190"/>
        <v/>
      </c>
      <c r="BA80" s="65" t="str">
        <f t="shared" si="191"/>
        <v/>
      </c>
      <c r="BB80" s="68" t="str">
        <f>IF('Marks Entry'!AB80="","",'Marks Entry'!AB80)</f>
        <v/>
      </c>
      <c r="BC80" s="68" t="str">
        <f>IF('Marks Entry'!AC80="","",'Marks Entry'!AC80)</f>
        <v/>
      </c>
      <c r="BD80" s="68" t="str">
        <f>IF('Marks Entry'!AD80="","",'Marks Entry'!AD80)</f>
        <v/>
      </c>
      <c r="BE80" s="514" t="str">
        <f t="shared" si="192"/>
        <v/>
      </c>
      <c r="BF80" s="68" t="str">
        <f>IF('Marks Entry'!AE80="","",'Marks Entry'!AE80)</f>
        <v/>
      </c>
      <c r="BG80" s="515" t="str">
        <f t="shared" si="193"/>
        <v/>
      </c>
      <c r="BH80" s="68" t="str">
        <f>IF('Marks Entry'!AF80="","",'Marks Entry'!AF80)</f>
        <v/>
      </c>
      <c r="BI80" s="96" t="str">
        <f t="shared" si="194"/>
        <v/>
      </c>
      <c r="BJ80" s="65">
        <f t="shared" si="195"/>
        <v>0</v>
      </c>
      <c r="BK80" s="65">
        <f t="shared" si="263"/>
        <v>0</v>
      </c>
      <c r="BL80" s="66" t="str">
        <f t="shared" si="196"/>
        <v/>
      </c>
      <c r="BM80" s="65" t="str">
        <f t="shared" si="197"/>
        <v/>
      </c>
      <c r="BN80" s="65" t="str">
        <f t="shared" si="198"/>
        <v/>
      </c>
      <c r="BO80" s="65" t="str">
        <f t="shared" si="199"/>
        <v/>
      </c>
      <c r="BP80" s="68" t="str">
        <f>IF('Marks Entry'!AG80="","",'Marks Entry'!AG80)</f>
        <v/>
      </c>
      <c r="BQ80" s="68" t="str">
        <f>IF('Marks Entry'!AH80="","",'Marks Entry'!AH80)</f>
        <v/>
      </c>
      <c r="BR80" s="68" t="str">
        <f>IF('Marks Entry'!AI80="","",'Marks Entry'!AI80)</f>
        <v/>
      </c>
      <c r="BS80" s="514" t="str">
        <f t="shared" si="200"/>
        <v/>
      </c>
      <c r="BT80" s="68" t="str">
        <f>IF('Marks Entry'!AJ80="","",'Marks Entry'!AJ80)</f>
        <v/>
      </c>
      <c r="BU80" s="515" t="str">
        <f t="shared" si="201"/>
        <v/>
      </c>
      <c r="BV80" s="68" t="str">
        <f>IF('Marks Entry'!AK80="","",'Marks Entry'!AK80)</f>
        <v/>
      </c>
      <c r="BW80" s="96" t="str">
        <f t="shared" si="202"/>
        <v/>
      </c>
      <c r="BX80" s="65">
        <f t="shared" si="203"/>
        <v>0</v>
      </c>
      <c r="BY80" s="65">
        <f t="shared" si="204"/>
        <v>0</v>
      </c>
      <c r="BZ80" s="66" t="str">
        <f t="shared" si="205"/>
        <v/>
      </c>
      <c r="CA80" s="65" t="str">
        <f t="shared" si="206"/>
        <v/>
      </c>
      <c r="CB80" s="65" t="str">
        <f t="shared" si="207"/>
        <v/>
      </c>
      <c r="CC80" s="65" t="str">
        <f t="shared" si="208"/>
        <v/>
      </c>
      <c r="CD80" s="66">
        <f t="shared" si="209"/>
        <v>0</v>
      </c>
      <c r="CE80" s="68" t="str">
        <f>IF('Marks Entry'!AL80="","",'Marks Entry'!AL80)</f>
        <v/>
      </c>
      <c r="CF80" s="68" t="str">
        <f>IF('Marks Entry'!AM80="","",'Marks Entry'!AM80)</f>
        <v/>
      </c>
      <c r="CG80" s="68" t="str">
        <f>IF('Marks Entry'!AN80="","",'Marks Entry'!AN80)</f>
        <v/>
      </c>
      <c r="CH80" s="514" t="str">
        <f t="shared" si="210"/>
        <v/>
      </c>
      <c r="CI80" s="68" t="str">
        <f>IF('Marks Entry'!AO80="","",'Marks Entry'!AO80)</f>
        <v/>
      </c>
      <c r="CJ80" s="515" t="str">
        <f t="shared" si="211"/>
        <v/>
      </c>
      <c r="CK80" s="68" t="str">
        <f>IF('Marks Entry'!AP80="","",'Marks Entry'!AP80)</f>
        <v/>
      </c>
      <c r="CL80" s="96" t="str">
        <f t="shared" si="212"/>
        <v/>
      </c>
      <c r="CM80" s="65">
        <f t="shared" si="213"/>
        <v>0</v>
      </c>
      <c r="CN80" s="65">
        <f t="shared" si="214"/>
        <v>0</v>
      </c>
      <c r="CO80" s="66" t="str">
        <f t="shared" si="215"/>
        <v/>
      </c>
      <c r="CP80" s="65" t="str">
        <f t="shared" si="216"/>
        <v/>
      </c>
      <c r="CQ80" s="65" t="str">
        <f t="shared" si="217"/>
        <v/>
      </c>
      <c r="CR80" s="65" t="str">
        <f t="shared" si="218"/>
        <v/>
      </c>
      <c r="CS80" s="616"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8" t="str">
        <f>IF('School Profile'!$D$20="NO","",IF('Marks Entry'!AR80="","",'Marks Entry'!AR80))</f>
        <v/>
      </c>
      <c r="CU80" s="68" t="str">
        <f>IF('School Profile'!$D$20="NO","",IF('Marks Entry'!AS80="","",'Marks Entry'!AS80))</f>
        <v/>
      </c>
      <c r="CV80" s="68" t="str">
        <f>IF('School Profile'!$D$20="NO","",IF('Marks Entry'!AT80="","",'Marks Entry'!AT80))</f>
        <v/>
      </c>
      <c r="CW80" s="514" t="str">
        <f>IF('School Profile'!$D$20="NO","",IF(AND(CT80="",CU80="",CV80=""),"",SUM(CT80:CV80)))</f>
        <v/>
      </c>
      <c r="CX80" s="68" t="str">
        <f>IF('School Profile'!$D$20="NO","",IF('Marks Entry'!AU80="","",'Marks Entry'!AU80))</f>
        <v/>
      </c>
      <c r="CY80" s="68" t="str">
        <f>IF('School Profile'!$D$20="NO","",IF('Marks Entry'!AV80="","",'Marks Entry'!AV80))</f>
        <v/>
      </c>
      <c r="CZ80" s="515" t="str">
        <f>IF('School Profile'!$D$20="NO","",IF(AND(CX80="",CY80=""),"",SUM(CX80,CY80)))</f>
        <v/>
      </c>
      <c r="DA80" s="69" t="str">
        <f>IF('School Profile'!$D$20="NO","",IF(AND(CW80="",CZ80=""),"",SUM(CW80+CZ80)))</f>
        <v/>
      </c>
      <c r="DB80" s="68" t="str">
        <f>IF('School Profile'!$D$20="NO","",IF('Marks Entry'!AW80="","",'Marks Entry'!AW80))</f>
        <v/>
      </c>
      <c r="DC80" s="68" t="str">
        <f>IF('School Profile'!$D$20="NO","",IF('Marks Entry'!AX80="","",'Marks Entry'!AX80))</f>
        <v/>
      </c>
      <c r="DD80" s="515" t="str">
        <f>IF('School Profile'!$D$20="NO","",IF(AND(DB80="",DC80=""),"",SUM(DB80,DC80)))</f>
        <v/>
      </c>
      <c r="DE80" s="96" t="str">
        <f>IF('School Profile'!$D$20="NO","",IF(AND(DA80="",DD80=""),"",SUM(DA80,DD80)))</f>
        <v/>
      </c>
      <c r="DF80" s="532">
        <f t="shared" si="219"/>
        <v>0</v>
      </c>
      <c r="DG80" s="65">
        <f t="shared" si="220"/>
        <v>0</v>
      </c>
      <c r="DH80" s="66" t="str">
        <f t="shared" si="221"/>
        <v/>
      </c>
      <c r="DI80" s="65" t="str">
        <f t="shared" si="222"/>
        <v/>
      </c>
      <c r="DJ80" s="65" t="str">
        <f t="shared" si="223"/>
        <v/>
      </c>
      <c r="DK80" s="65" t="str">
        <f t="shared" si="224"/>
        <v/>
      </c>
      <c r="DL80" s="97" t="str">
        <f t="shared" si="264"/>
        <v/>
      </c>
      <c r="DM80" s="97" t="str">
        <f t="shared" si="265"/>
        <v/>
      </c>
      <c r="DN80" s="97" t="str">
        <f t="shared" si="266"/>
        <v/>
      </c>
      <c r="DO80" s="97" t="str">
        <f t="shared" si="267"/>
        <v/>
      </c>
      <c r="DP80" s="97" t="str">
        <f t="shared" si="268"/>
        <v/>
      </c>
      <c r="DQ80" s="97" t="str">
        <f t="shared" si="269"/>
        <v/>
      </c>
      <c r="DR80" s="97" t="str">
        <f t="shared" si="270"/>
        <v/>
      </c>
      <c r="DS80" s="98">
        <f t="shared" si="271"/>
        <v>0</v>
      </c>
      <c r="DT80" s="98">
        <f t="shared" si="272"/>
        <v>0</v>
      </c>
      <c r="DU80" s="98">
        <f t="shared" si="273"/>
        <v>0</v>
      </c>
      <c r="DV80" s="98">
        <f t="shared" si="274"/>
        <v>0</v>
      </c>
      <c r="DW80" s="98">
        <f t="shared" si="275"/>
        <v>0</v>
      </c>
      <c r="DX80" s="98" t="str">
        <f t="shared" si="276"/>
        <v/>
      </c>
      <c r="DY80" s="99" t="str">
        <f t="shared" si="277"/>
        <v/>
      </c>
      <c r="DZ80" s="74" t="str">
        <f>IF('Marks Entry'!AY80="","",'Marks Entry'!AY80)</f>
        <v/>
      </c>
      <c r="EA80" s="74" t="str">
        <f>IF('Marks Entry'!AZ80="","",'Marks Entry'!AZ80)</f>
        <v/>
      </c>
      <c r="EB80" s="74" t="str">
        <f>IF('Marks Entry'!BA80="","",'Marks Entry'!BA80)</f>
        <v/>
      </c>
      <c r="EC80" s="527" t="str">
        <f t="shared" si="225"/>
        <v/>
      </c>
      <c r="ED80" s="74" t="str">
        <f>IF('Marks Entry'!BB80="","",'Marks Entry'!BB80)</f>
        <v/>
      </c>
      <c r="EE80" s="528" t="str">
        <f t="shared" si="226"/>
        <v/>
      </c>
      <c r="EF80" s="74" t="str">
        <f>IF('Marks Entry'!BC80="","",'Marks Entry'!BC80)</f>
        <v/>
      </c>
      <c r="EG80" s="530" t="str">
        <f t="shared" si="227"/>
        <v/>
      </c>
      <c r="EH80" s="368" t="str">
        <f t="shared" si="278"/>
        <v/>
      </c>
      <c r="EI80" s="65">
        <f t="shared" si="279"/>
        <v>0</v>
      </c>
      <c r="EJ80" s="65">
        <f t="shared" si="280"/>
        <v>0</v>
      </c>
      <c r="EK80" s="66" t="str">
        <f t="shared" si="281"/>
        <v/>
      </c>
      <c r="EL80" s="74" t="str">
        <f>IF('Marks Entry'!BD80="","",'Marks Entry'!BD80)</f>
        <v/>
      </c>
      <c r="EM80" s="74" t="str">
        <f>IF('Marks Entry'!BE80="","",'Marks Entry'!BE80)</f>
        <v/>
      </c>
      <c r="EN80" s="74" t="str">
        <f>IF('Marks Entry'!BF80="","",'Marks Entry'!BF80)</f>
        <v/>
      </c>
      <c r="EO80" s="527" t="str">
        <f t="shared" si="228"/>
        <v/>
      </c>
      <c r="EP80" s="74" t="str">
        <f>IF('Marks Entry'!BG80="","",'Marks Entry'!BG80)</f>
        <v/>
      </c>
      <c r="EQ80" s="74" t="str">
        <f>IF('Marks Entry'!BH80="","",'Marks Entry'!BH80)</f>
        <v/>
      </c>
      <c r="ER80" s="528" t="str">
        <f t="shared" si="229"/>
        <v/>
      </c>
      <c r="ES80" s="529" t="str">
        <f t="shared" si="230"/>
        <v/>
      </c>
      <c r="ET80" s="74" t="str">
        <f>IF('Marks Entry'!BI80="","",'Marks Entry'!BI80)</f>
        <v/>
      </c>
      <c r="EU80" s="74" t="str">
        <f>IF('Marks Entry'!BJ80="","",'Marks Entry'!BJ80)</f>
        <v/>
      </c>
      <c r="EV80" s="528" t="str">
        <f t="shared" si="231"/>
        <v/>
      </c>
      <c r="EW80" s="530" t="str">
        <f t="shared" si="232"/>
        <v/>
      </c>
      <c r="EX80" s="368" t="str">
        <f t="shared" si="282"/>
        <v/>
      </c>
      <c r="EY80" s="65">
        <f t="shared" si="283"/>
        <v>0</v>
      </c>
      <c r="EZ80" s="65">
        <f t="shared" si="284"/>
        <v>0</v>
      </c>
      <c r="FA80" s="66" t="str">
        <f t="shared" si="285"/>
        <v/>
      </c>
      <c r="FB80" s="74" t="str">
        <f>IF('Marks Entry'!BK80="","",'Marks Entry'!BK80)</f>
        <v/>
      </c>
      <c r="FC80" s="74" t="str">
        <f>IF('Marks Entry'!BL80="","",'Marks Entry'!BL80)</f>
        <v/>
      </c>
      <c r="FD80" s="74" t="str">
        <f>IF('Marks Entry'!BM80="","",'Marks Entry'!BM80)</f>
        <v/>
      </c>
      <c r="FE80" s="74" t="str">
        <f>IF('Marks Entry'!BN80="","",'Marks Entry'!BN80)</f>
        <v/>
      </c>
      <c r="FF80" s="74" t="str">
        <f>IF('Marks Entry'!BO80="","",'Marks Entry'!BO80)</f>
        <v/>
      </c>
      <c r="FG80" s="74" t="str">
        <f>IF('Marks Entry'!BP80="","",'Marks Entry'!BP80)</f>
        <v/>
      </c>
      <c r="FH80" s="527" t="str">
        <f t="shared" si="233"/>
        <v/>
      </c>
      <c r="FI80" s="74" t="str">
        <f>IF('Marks Entry'!BQ80="","",'Marks Entry'!BQ80)</f>
        <v/>
      </c>
      <c r="FJ80" s="74" t="str">
        <f>IF('Marks Entry'!BR80="","",'Marks Entry'!BR80)</f>
        <v/>
      </c>
      <c r="FK80" s="528" t="str">
        <f t="shared" si="234"/>
        <v/>
      </c>
      <c r="FL80" s="529" t="str">
        <f t="shared" si="235"/>
        <v/>
      </c>
      <c r="FM80" s="74" t="str">
        <f>IF('Marks Entry'!BS80="","",'Marks Entry'!BS80)</f>
        <v/>
      </c>
      <c r="FN80" s="74" t="str">
        <f>IF('Marks Entry'!BT80="","",'Marks Entry'!BT80)</f>
        <v/>
      </c>
      <c r="FO80" s="528" t="str">
        <f t="shared" si="236"/>
        <v/>
      </c>
      <c r="FP80" s="530" t="str">
        <f t="shared" si="237"/>
        <v/>
      </c>
      <c r="FQ80" s="368" t="str">
        <f t="shared" si="286"/>
        <v/>
      </c>
      <c r="FR80" s="65">
        <f t="shared" si="287"/>
        <v>0</v>
      </c>
      <c r="FS80" s="65">
        <f t="shared" si="288"/>
        <v>0</v>
      </c>
      <c r="FT80" s="66" t="str">
        <f t="shared" si="289"/>
        <v/>
      </c>
      <c r="FU80" s="74" t="str">
        <f>IF('Marks Entry'!BU80="","",'Marks Entry'!BU80)</f>
        <v/>
      </c>
      <c r="FV80" s="74" t="str">
        <f>IF('Marks Entry'!BV80="","",'Marks Entry'!BV80)</f>
        <v/>
      </c>
      <c r="FW80" s="74" t="str">
        <f>IF('Marks Entry'!BW80="","",'Marks Entry'!BW80)</f>
        <v/>
      </c>
      <c r="FX80" s="75" t="str">
        <f t="shared" si="238"/>
        <v/>
      </c>
      <c r="FY80" s="368" t="str">
        <f t="shared" si="290"/>
        <v/>
      </c>
      <c r="FZ80" s="65">
        <f t="shared" si="291"/>
        <v>0</v>
      </c>
      <c r="GA80" s="66">
        <f t="shared" si="292"/>
        <v>0</v>
      </c>
      <c r="GB80" s="66" t="str">
        <f t="shared" si="293"/>
        <v/>
      </c>
      <c r="GC80" s="74" t="str">
        <f>IF('Marks Entry'!BX80="","",'Marks Entry'!BX80)</f>
        <v/>
      </c>
      <c r="GD80" s="74" t="str">
        <f>IF('Marks Entry'!BY80="","",'Marks Entry'!BY80)</f>
        <v/>
      </c>
      <c r="GE80" s="74" t="str">
        <f>IF('Marks Entry'!BZ80="","",'Marks Entry'!BZ80)</f>
        <v/>
      </c>
      <c r="GF80" s="75" t="str">
        <f t="shared" si="294"/>
        <v/>
      </c>
      <c r="GG80" s="368" t="str">
        <f t="shared" si="295"/>
        <v/>
      </c>
      <c r="GH80" s="65">
        <f t="shared" si="296"/>
        <v>0</v>
      </c>
      <c r="GI80" s="66">
        <f t="shared" si="297"/>
        <v>0</v>
      </c>
      <c r="GJ80" s="66" t="str">
        <f t="shared" si="298"/>
        <v/>
      </c>
      <c r="GK80" s="100" t="str">
        <f>IF(AND(F80="",B80=""),"",IF('Student DATA Entry'!M77="","",'Student DATA Entry'!M77))</f>
        <v/>
      </c>
      <c r="GL80" s="101" t="str">
        <f>IF(AND(B80="",F80=""),"",IF('Student DATA Entry'!N77="","",'Student DATA Entry'!N77))</f>
        <v/>
      </c>
      <c r="GM80" s="581" t="str">
        <f t="shared" si="299"/>
        <v/>
      </c>
      <c r="GN80" s="94" t="str">
        <f t="shared" si="300"/>
        <v/>
      </c>
      <c r="GO80" s="94" t="str">
        <f t="shared" si="301"/>
        <v/>
      </c>
      <c r="GP80" s="102" t="str">
        <f t="shared" si="239"/>
        <v/>
      </c>
      <c r="GQ80" s="94" t="str">
        <f t="shared" si="302"/>
        <v/>
      </c>
      <c r="GR80" s="103" t="str">
        <f t="shared" si="303"/>
        <v/>
      </c>
      <c r="GS80" s="102" t="str">
        <f t="shared" si="240"/>
        <v/>
      </c>
      <c r="GT80" s="104" t="str">
        <f t="shared" si="304"/>
        <v/>
      </c>
      <c r="GU80" s="94" t="str">
        <f>IF('Marks Entry'!V80=1,GT80,"")</f>
        <v/>
      </c>
      <c r="GV80" s="94" t="str">
        <f>IF('Marks Entry'!V80=2,GT80,"")</f>
        <v/>
      </c>
      <c r="GW80" s="94" t="str">
        <f>IF('Marks Entry'!V80=3,GT80,"")</f>
        <v/>
      </c>
      <c r="GX80" s="94" t="str">
        <f>IF('Marks Entry'!V80=4,GT80,"")</f>
        <v/>
      </c>
      <c r="GY80" s="94" t="str">
        <f>IF('Marks Entry'!V80=5,GT80,"")</f>
        <v/>
      </c>
      <c r="GZ80" s="94" t="str">
        <f t="shared" si="305"/>
        <v/>
      </c>
      <c r="HA80" s="105" t="str">
        <f t="shared" si="241"/>
        <v/>
      </c>
      <c r="HB80" s="94" t="str">
        <f t="shared" si="306"/>
        <v/>
      </c>
      <c r="HC80" s="94" t="str">
        <f t="shared" si="307"/>
        <v/>
      </c>
      <c r="HD80" s="105" t="str">
        <f t="shared" si="242"/>
        <v/>
      </c>
      <c r="HE80" s="94" t="str">
        <f t="shared" si="308"/>
        <v/>
      </c>
      <c r="HF80" s="94" t="str">
        <f t="shared" si="309"/>
        <v/>
      </c>
      <c r="HG80" s="105" t="str">
        <f t="shared" si="243"/>
        <v/>
      </c>
      <c r="HH80" s="94" t="str">
        <f t="shared" si="310"/>
        <v/>
      </c>
      <c r="HI80" s="94" t="str">
        <f t="shared" si="311"/>
        <v/>
      </c>
      <c r="HJ80" s="105" t="str">
        <f t="shared" si="244"/>
        <v/>
      </c>
      <c r="HK80" s="94" t="str">
        <f t="shared" si="312"/>
        <v/>
      </c>
      <c r="HL80" s="94" t="str">
        <f t="shared" si="313"/>
        <v/>
      </c>
      <c r="HM80" s="105" t="str">
        <f t="shared" si="245"/>
        <v/>
      </c>
      <c r="HN80" s="367" t="str">
        <f t="shared" si="314"/>
        <v xml:space="preserve">      </v>
      </c>
      <c r="HO80" s="418" t="str">
        <f t="shared" si="246"/>
        <v xml:space="preserve">      </v>
      </c>
      <c r="HP80" s="367" t="str">
        <f t="shared" si="315"/>
        <v xml:space="preserve">      </v>
      </c>
      <c r="HQ80" s="107" t="str">
        <f t="shared" si="316"/>
        <v xml:space="preserve">      </v>
      </c>
      <c r="HR80" s="366" t="str">
        <f t="shared" si="317"/>
        <v xml:space="preserve">      </v>
      </c>
      <c r="HS80" s="544" t="str">
        <f t="shared" si="247"/>
        <v/>
      </c>
      <c r="HT80" s="542" t="str">
        <f t="shared" si="318"/>
        <v/>
      </c>
      <c r="HU80" s="541" t="str">
        <f t="shared" si="319"/>
        <v/>
      </c>
      <c r="HV80" s="540" t="str">
        <f t="shared" si="320"/>
        <v/>
      </c>
      <c r="HW80" s="537" t="str">
        <f t="shared" si="321"/>
        <v/>
      </c>
      <c r="HX80" s="539" t="str">
        <f t="shared" si="322"/>
        <v/>
      </c>
      <c r="HY80" s="553" t="str">
        <f>IFERROR(IF(OR(HS80="SUPPLEMENTARY",HS80="RE-EXAM"),'Supp. Result Entry'!AQ78,""),"")</f>
        <v/>
      </c>
      <c r="HZ80" s="538" t="str">
        <f t="shared" si="323"/>
        <v/>
      </c>
      <c r="IA80" s="415" t="str">
        <f t="shared" si="324"/>
        <v/>
      </c>
      <c r="IB80" s="415" t="str">
        <f>IF(AND(HZ80="",IA80=""),"",IF(OR(HS80="SUPPLEMENTARY",HS80="RE-EXAM"),'Supp. Result Entry'!AQ78,HS80))</f>
        <v/>
      </c>
      <c r="IC80" s="87"/>
      <c r="IS80" s="109" t="str">
        <f>IF('Supp. Result Entry'!T78="","",'Supp. Result Entry'!$T$4)</f>
        <v/>
      </c>
      <c r="IT80" s="110" t="str">
        <f>IF('Supp. Result Entry'!W78="","",'Supp. Result Entry'!$W$4)</f>
        <v/>
      </c>
      <c r="IU80" s="110" t="str">
        <f>IF('Supp. Result Entry'!Z78="","",'Supp. Result Entry'!$Z$4)</f>
        <v/>
      </c>
      <c r="IV80" s="110" t="str">
        <f>IF('Supp. Result Entry'!AC78="","",'Supp. Result Entry'!$AC$4)</f>
        <v/>
      </c>
      <c r="IW80" s="110" t="str">
        <f>IF('Supp. Result Entry'!AF78="","",'Supp. Result Entry'!$AF$4)</f>
        <v/>
      </c>
      <c r="IX80" s="110" t="str">
        <f>IF('Supp. Result Entry'!AI78="","",'Supp. Result Entry'!$AI$4)</f>
        <v/>
      </c>
      <c r="IY80" s="110" t="str">
        <f>IF('Supp. Result Entry'!AI78="","",'Supp. Result Entry'!$AL$4)</f>
        <v/>
      </c>
      <c r="IZ80" s="110" t="str">
        <f>IF('Supp. Result Entry'!U78="","",'Supp. Result Entry'!U78)</f>
        <v/>
      </c>
      <c r="JA80" s="110" t="str">
        <f>IF('Supp. Result Entry'!X78="","",'Supp. Result Entry'!X78)</f>
        <v/>
      </c>
      <c r="JB80" s="110" t="str">
        <f>IF('Supp. Result Entry'!AA78="","",'Supp. Result Entry'!AA78)</f>
        <v/>
      </c>
      <c r="JC80" s="110" t="str">
        <f>IF('Supp. Result Entry'!AD78="","",'Supp. Result Entry'!AD78)</f>
        <v/>
      </c>
      <c r="JD80" s="110" t="str">
        <f>IF('Supp. Result Entry'!AG78="","",'Supp. Result Entry'!AG78)</f>
        <v/>
      </c>
      <c r="JE80" s="110" t="str">
        <f>IF('Supp. Result Entry'!AJ78="","",'Supp. Result Entry'!AJ78)</f>
        <v/>
      </c>
      <c r="JF80" s="110" t="str">
        <f>IF('Supp. Result Entry'!AM78="","",'Supp. Result Entry'!AM78)</f>
        <v/>
      </c>
      <c r="JG80" s="110" t="str">
        <f>IF('Supp. Result Entry'!V78="","",'Supp. Result Entry'!V78)</f>
        <v/>
      </c>
      <c r="JH80" s="110" t="str">
        <f>IF('Supp. Result Entry'!Y78="","",'Supp. Result Entry'!Y78)</f>
        <v/>
      </c>
      <c r="JI80" s="110" t="str">
        <f>IF('Supp. Result Entry'!AB78="","",'Supp. Result Entry'!AB78)</f>
        <v/>
      </c>
      <c r="JJ80" s="110" t="str">
        <f>IF('Supp. Result Entry'!AE78="","",'Supp. Result Entry'!AE78)</f>
        <v/>
      </c>
      <c r="JK80" s="110" t="str">
        <f>IF('Supp. Result Entry'!AH78="","",'Supp. Result Entry'!AH78)</f>
        <v/>
      </c>
      <c r="JL80" s="110" t="str">
        <f>IF('Supp. Result Entry'!AK78="","",'Supp. Result Entry'!AK78)</f>
        <v/>
      </c>
      <c r="JM80" s="110" t="str">
        <f>IF('Supp. Result Entry'!AN78="","",'Supp. Result Entry'!AN78)</f>
        <v/>
      </c>
      <c r="JN80" s="110">
        <f>COUNTIF('Supp. Result Entry'!K78:Q78,"S")</f>
        <v>0</v>
      </c>
      <c r="JO80" s="110">
        <f t="shared" si="248"/>
        <v>0</v>
      </c>
      <c r="JP80" s="110">
        <f t="shared" si="325"/>
        <v>0</v>
      </c>
      <c r="JQ80" s="110" t="str">
        <f t="shared" si="249"/>
        <v/>
      </c>
      <c r="JR80" s="110" t="str">
        <f t="shared" si="250"/>
        <v/>
      </c>
      <c r="JS80" s="110" t="str">
        <f t="shared" si="251"/>
        <v/>
      </c>
      <c r="JT80" s="110" t="str">
        <f t="shared" si="252"/>
        <v/>
      </c>
      <c r="JU80" s="110" t="str">
        <f t="shared" si="253"/>
        <v/>
      </c>
      <c r="JV80" s="110" t="str">
        <f t="shared" si="254"/>
        <v/>
      </c>
      <c r="JW80" s="110" t="str">
        <f t="shared" si="255"/>
        <v/>
      </c>
      <c r="JX80" s="110" t="str">
        <f t="shared" si="326"/>
        <v/>
      </c>
      <c r="JY80" s="110" t="str">
        <f t="shared" si="327"/>
        <v/>
      </c>
      <c r="JZ80" s="110" t="str">
        <f t="shared" si="256"/>
        <v/>
      </c>
      <c r="KA80" s="108" t="str">
        <f t="shared" si="328"/>
        <v/>
      </c>
    </row>
    <row r="81" spans="1:287" s="108" customFormat="1" ht="21.95" customHeight="1">
      <c r="A81" s="89">
        <v>75</v>
      </c>
      <c r="B81" s="90" t="str">
        <f>IF('Marks Entry'!B81="","",'Marks Entry'!B81)</f>
        <v/>
      </c>
      <c r="C81" s="94" t="str">
        <f>IF('Marks Entry'!D81="","",'Marks Entry'!D81)</f>
        <v/>
      </c>
      <c r="D81" s="91" t="str">
        <f>IF('Marks Entry'!E81="","",'Marks Entry'!E81)</f>
        <v/>
      </c>
      <c r="E81" s="92" t="str">
        <f>IF('Marks Entry'!F81="","",'Marks Entry'!F81)</f>
        <v/>
      </c>
      <c r="F81" s="93" t="str">
        <f>IF('Marks Entry'!G81="","",'Marks Entry'!G81)</f>
        <v/>
      </c>
      <c r="G81" s="93" t="str">
        <f>IF('Marks Entry'!H81="","",'Marks Entry'!H81)</f>
        <v/>
      </c>
      <c r="H81" s="93" t="str">
        <f>IF('Marks Entry'!I81="","",'Marks Entry'!I81)</f>
        <v/>
      </c>
      <c r="I81" s="94" t="str">
        <f>IF('Marks Entry'!J81="","",'Marks Entry'!J81)</f>
        <v/>
      </c>
      <c r="J81" s="95" t="str">
        <f>IF('Marks Entry'!K81="","",'Marks Entry'!K81)</f>
        <v/>
      </c>
      <c r="K81" s="68" t="str">
        <f>IF('Marks Entry'!L81="","",'Marks Entry'!L81)</f>
        <v/>
      </c>
      <c r="L81" s="68" t="str">
        <f>IF('Marks Entry'!M81="","",'Marks Entry'!M81)</f>
        <v/>
      </c>
      <c r="M81" s="68" t="str">
        <f>IF('Marks Entry'!N81="","",'Marks Entry'!N81)</f>
        <v/>
      </c>
      <c r="N81" s="514" t="str">
        <f t="shared" si="257"/>
        <v/>
      </c>
      <c r="O81" s="68" t="str">
        <f>IF('Marks Entry'!O81="","",'Marks Entry'!O81)</f>
        <v/>
      </c>
      <c r="P81" s="515" t="str">
        <f t="shared" si="258"/>
        <v/>
      </c>
      <c r="Q81" s="68" t="str">
        <f>IF('Marks Entry'!P81="","",'Marks Entry'!P81)</f>
        <v/>
      </c>
      <c r="R81" s="96" t="str">
        <f t="shared" si="259"/>
        <v/>
      </c>
      <c r="S81" s="65">
        <f t="shared" si="260"/>
        <v>0</v>
      </c>
      <c r="T81" s="65">
        <f t="shared" si="261"/>
        <v>0</v>
      </c>
      <c r="U81" s="66" t="str">
        <f t="shared" si="171"/>
        <v/>
      </c>
      <c r="V81" s="65" t="str">
        <f t="shared" si="172"/>
        <v/>
      </c>
      <c r="W81" s="65" t="str">
        <f t="shared" si="262"/>
        <v/>
      </c>
      <c r="X81" s="65" t="str">
        <f t="shared" si="173"/>
        <v/>
      </c>
      <c r="Y81" s="68" t="str">
        <f>IF('Marks Entry'!Q81="","",'Marks Entry'!Q81)</f>
        <v/>
      </c>
      <c r="Z81" s="68" t="str">
        <f>IF('Marks Entry'!R81="","",'Marks Entry'!R81)</f>
        <v/>
      </c>
      <c r="AA81" s="68" t="str">
        <f>IF('Marks Entry'!S81="","",'Marks Entry'!S81)</f>
        <v/>
      </c>
      <c r="AB81" s="514" t="str">
        <f t="shared" si="174"/>
        <v/>
      </c>
      <c r="AC81" s="68" t="str">
        <f>IF('Marks Entry'!T81="","",'Marks Entry'!T81)</f>
        <v/>
      </c>
      <c r="AD81" s="515" t="str">
        <f t="shared" si="175"/>
        <v/>
      </c>
      <c r="AE81" s="68" t="str">
        <f>IF('Marks Entry'!U81="","",'Marks Entry'!U81)</f>
        <v/>
      </c>
      <c r="AF81" s="96" t="str">
        <f t="shared" si="176"/>
        <v/>
      </c>
      <c r="AG81" s="65">
        <f t="shared" si="177"/>
        <v>0</v>
      </c>
      <c r="AH81" s="65">
        <f t="shared" si="178"/>
        <v>0</v>
      </c>
      <c r="AI81" s="66" t="str">
        <f t="shared" si="179"/>
        <v/>
      </c>
      <c r="AJ81" s="65" t="str">
        <f t="shared" si="180"/>
        <v/>
      </c>
      <c r="AK81" s="65" t="str">
        <f t="shared" si="181"/>
        <v/>
      </c>
      <c r="AL81" s="65" t="str">
        <f t="shared" si="182"/>
        <v/>
      </c>
      <c r="AM81" s="524" t="str">
        <f>IF('Marks Entry'!V81="","",IF('Marks Entry'!V81=1,'School Profile'!$I$9,IF('Marks Entry'!V81=2,'School Profile'!$I$10,IF('Marks Entry'!V81=3,'School Profile'!$I$11,IF('Marks Entry'!V81=4,'School Profile'!$I$12,IF('Marks Entry'!V81=5,'School Profile'!$I$13,IF('Marks Entry'!V81=6,'School Profile'!$I$14,"")))))))</f>
        <v/>
      </c>
      <c r="AN81" s="68" t="str">
        <f>IF('Marks Entry'!W81="","",'Marks Entry'!W81)</f>
        <v/>
      </c>
      <c r="AO81" s="68" t="str">
        <f>IF('Marks Entry'!X81="","",'Marks Entry'!X81)</f>
        <v/>
      </c>
      <c r="AP81" s="68" t="str">
        <f>IF('Marks Entry'!Y81="","",'Marks Entry'!Y81)</f>
        <v/>
      </c>
      <c r="AQ81" s="514" t="str">
        <f t="shared" si="183"/>
        <v/>
      </c>
      <c r="AR81" s="68" t="str">
        <f>IF('Marks Entry'!Z81="","",'Marks Entry'!Z81)</f>
        <v/>
      </c>
      <c r="AS81" s="515" t="str">
        <f t="shared" si="184"/>
        <v/>
      </c>
      <c r="AT81" s="68" t="str">
        <f>IF('Marks Entry'!AA81="","",'Marks Entry'!AA81)</f>
        <v/>
      </c>
      <c r="AU81" s="96" t="str">
        <f t="shared" si="185"/>
        <v/>
      </c>
      <c r="AV81" s="65">
        <f t="shared" si="186"/>
        <v>0</v>
      </c>
      <c r="AW81" s="65">
        <f t="shared" si="187"/>
        <v>0</v>
      </c>
      <c r="AX81" s="66" t="str">
        <f t="shared" si="188"/>
        <v/>
      </c>
      <c r="AY81" s="65" t="str">
        <f t="shared" si="189"/>
        <v/>
      </c>
      <c r="AZ81" s="65" t="str">
        <f t="shared" si="190"/>
        <v/>
      </c>
      <c r="BA81" s="65" t="str">
        <f t="shared" si="191"/>
        <v/>
      </c>
      <c r="BB81" s="68" t="str">
        <f>IF('Marks Entry'!AB81="","",'Marks Entry'!AB81)</f>
        <v/>
      </c>
      <c r="BC81" s="68" t="str">
        <f>IF('Marks Entry'!AC81="","",'Marks Entry'!AC81)</f>
        <v/>
      </c>
      <c r="BD81" s="68" t="str">
        <f>IF('Marks Entry'!AD81="","",'Marks Entry'!AD81)</f>
        <v/>
      </c>
      <c r="BE81" s="514" t="str">
        <f t="shared" si="192"/>
        <v/>
      </c>
      <c r="BF81" s="68" t="str">
        <f>IF('Marks Entry'!AE81="","",'Marks Entry'!AE81)</f>
        <v/>
      </c>
      <c r="BG81" s="515" t="str">
        <f t="shared" si="193"/>
        <v/>
      </c>
      <c r="BH81" s="68" t="str">
        <f>IF('Marks Entry'!AF81="","",'Marks Entry'!AF81)</f>
        <v/>
      </c>
      <c r="BI81" s="96" t="str">
        <f t="shared" si="194"/>
        <v/>
      </c>
      <c r="BJ81" s="65">
        <f t="shared" si="195"/>
        <v>0</v>
      </c>
      <c r="BK81" s="65">
        <f t="shared" si="263"/>
        <v>0</v>
      </c>
      <c r="BL81" s="66" t="str">
        <f t="shared" si="196"/>
        <v/>
      </c>
      <c r="BM81" s="65" t="str">
        <f t="shared" si="197"/>
        <v/>
      </c>
      <c r="BN81" s="65" t="str">
        <f t="shared" si="198"/>
        <v/>
      </c>
      <c r="BO81" s="65" t="str">
        <f t="shared" si="199"/>
        <v/>
      </c>
      <c r="BP81" s="68" t="str">
        <f>IF('Marks Entry'!AG81="","",'Marks Entry'!AG81)</f>
        <v/>
      </c>
      <c r="BQ81" s="68" t="str">
        <f>IF('Marks Entry'!AH81="","",'Marks Entry'!AH81)</f>
        <v/>
      </c>
      <c r="BR81" s="68" t="str">
        <f>IF('Marks Entry'!AI81="","",'Marks Entry'!AI81)</f>
        <v/>
      </c>
      <c r="BS81" s="514" t="str">
        <f t="shared" si="200"/>
        <v/>
      </c>
      <c r="BT81" s="68" t="str">
        <f>IF('Marks Entry'!AJ81="","",'Marks Entry'!AJ81)</f>
        <v/>
      </c>
      <c r="BU81" s="515" t="str">
        <f t="shared" si="201"/>
        <v/>
      </c>
      <c r="BV81" s="68" t="str">
        <f>IF('Marks Entry'!AK81="","",'Marks Entry'!AK81)</f>
        <v/>
      </c>
      <c r="BW81" s="96" t="str">
        <f t="shared" si="202"/>
        <v/>
      </c>
      <c r="BX81" s="65">
        <f t="shared" si="203"/>
        <v>0</v>
      </c>
      <c r="BY81" s="65">
        <f t="shared" si="204"/>
        <v>0</v>
      </c>
      <c r="BZ81" s="66" t="str">
        <f t="shared" si="205"/>
        <v/>
      </c>
      <c r="CA81" s="65" t="str">
        <f t="shared" si="206"/>
        <v/>
      </c>
      <c r="CB81" s="65" t="str">
        <f t="shared" si="207"/>
        <v/>
      </c>
      <c r="CC81" s="65" t="str">
        <f t="shared" si="208"/>
        <v/>
      </c>
      <c r="CD81" s="66">
        <f t="shared" si="209"/>
        <v>0</v>
      </c>
      <c r="CE81" s="68" t="str">
        <f>IF('Marks Entry'!AL81="","",'Marks Entry'!AL81)</f>
        <v/>
      </c>
      <c r="CF81" s="68" t="str">
        <f>IF('Marks Entry'!AM81="","",'Marks Entry'!AM81)</f>
        <v/>
      </c>
      <c r="CG81" s="68" t="str">
        <f>IF('Marks Entry'!AN81="","",'Marks Entry'!AN81)</f>
        <v/>
      </c>
      <c r="CH81" s="514" t="str">
        <f t="shared" si="210"/>
        <v/>
      </c>
      <c r="CI81" s="68" t="str">
        <f>IF('Marks Entry'!AO81="","",'Marks Entry'!AO81)</f>
        <v/>
      </c>
      <c r="CJ81" s="515" t="str">
        <f t="shared" si="211"/>
        <v/>
      </c>
      <c r="CK81" s="68" t="str">
        <f>IF('Marks Entry'!AP81="","",'Marks Entry'!AP81)</f>
        <v/>
      </c>
      <c r="CL81" s="96" t="str">
        <f t="shared" si="212"/>
        <v/>
      </c>
      <c r="CM81" s="65">
        <f t="shared" si="213"/>
        <v>0</v>
      </c>
      <c r="CN81" s="65">
        <f t="shared" si="214"/>
        <v>0</v>
      </c>
      <c r="CO81" s="66" t="str">
        <f t="shared" si="215"/>
        <v/>
      </c>
      <c r="CP81" s="65" t="str">
        <f t="shared" si="216"/>
        <v/>
      </c>
      <c r="CQ81" s="65" t="str">
        <f t="shared" si="217"/>
        <v/>
      </c>
      <c r="CR81" s="65" t="str">
        <f t="shared" si="218"/>
        <v/>
      </c>
      <c r="CS81" s="616"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8" t="str">
        <f>IF('School Profile'!$D$20="NO","",IF('Marks Entry'!AR81="","",'Marks Entry'!AR81))</f>
        <v/>
      </c>
      <c r="CU81" s="68" t="str">
        <f>IF('School Profile'!$D$20="NO","",IF('Marks Entry'!AS81="","",'Marks Entry'!AS81))</f>
        <v/>
      </c>
      <c r="CV81" s="68" t="str">
        <f>IF('School Profile'!$D$20="NO","",IF('Marks Entry'!AT81="","",'Marks Entry'!AT81))</f>
        <v/>
      </c>
      <c r="CW81" s="514" t="str">
        <f>IF('School Profile'!$D$20="NO","",IF(AND(CT81="",CU81="",CV81=""),"",SUM(CT81:CV81)))</f>
        <v/>
      </c>
      <c r="CX81" s="68" t="str">
        <f>IF('School Profile'!$D$20="NO","",IF('Marks Entry'!AU81="","",'Marks Entry'!AU81))</f>
        <v/>
      </c>
      <c r="CY81" s="68" t="str">
        <f>IF('School Profile'!$D$20="NO","",IF('Marks Entry'!AV81="","",'Marks Entry'!AV81))</f>
        <v/>
      </c>
      <c r="CZ81" s="515" t="str">
        <f>IF('School Profile'!$D$20="NO","",IF(AND(CX81="",CY81=""),"",SUM(CX81,CY81)))</f>
        <v/>
      </c>
      <c r="DA81" s="69" t="str">
        <f>IF('School Profile'!$D$20="NO","",IF(AND(CW81="",CZ81=""),"",SUM(CW81+CZ81)))</f>
        <v/>
      </c>
      <c r="DB81" s="68" t="str">
        <f>IF('School Profile'!$D$20="NO","",IF('Marks Entry'!AW81="","",'Marks Entry'!AW81))</f>
        <v/>
      </c>
      <c r="DC81" s="68" t="str">
        <f>IF('School Profile'!$D$20="NO","",IF('Marks Entry'!AX81="","",'Marks Entry'!AX81))</f>
        <v/>
      </c>
      <c r="DD81" s="515" t="str">
        <f>IF('School Profile'!$D$20="NO","",IF(AND(DB81="",DC81=""),"",SUM(DB81,DC81)))</f>
        <v/>
      </c>
      <c r="DE81" s="96" t="str">
        <f>IF('School Profile'!$D$20="NO","",IF(AND(DA81="",DD81=""),"",SUM(DA81,DD81)))</f>
        <v/>
      </c>
      <c r="DF81" s="532">
        <f t="shared" si="219"/>
        <v>0</v>
      </c>
      <c r="DG81" s="65">
        <f t="shared" si="220"/>
        <v>0</v>
      </c>
      <c r="DH81" s="66" t="str">
        <f t="shared" si="221"/>
        <v/>
      </c>
      <c r="DI81" s="65" t="str">
        <f t="shared" si="222"/>
        <v/>
      </c>
      <c r="DJ81" s="65" t="str">
        <f t="shared" si="223"/>
        <v/>
      </c>
      <c r="DK81" s="65" t="str">
        <f t="shared" si="224"/>
        <v/>
      </c>
      <c r="DL81" s="97" t="str">
        <f t="shared" si="264"/>
        <v/>
      </c>
      <c r="DM81" s="97" t="str">
        <f t="shared" si="265"/>
        <v/>
      </c>
      <c r="DN81" s="97" t="str">
        <f t="shared" si="266"/>
        <v/>
      </c>
      <c r="DO81" s="97" t="str">
        <f t="shared" si="267"/>
        <v/>
      </c>
      <c r="DP81" s="97" t="str">
        <f t="shared" si="268"/>
        <v/>
      </c>
      <c r="DQ81" s="97" t="str">
        <f t="shared" si="269"/>
        <v/>
      </c>
      <c r="DR81" s="97" t="str">
        <f t="shared" si="270"/>
        <v/>
      </c>
      <c r="DS81" s="98">
        <f t="shared" si="271"/>
        <v>0</v>
      </c>
      <c r="DT81" s="98">
        <f t="shared" si="272"/>
        <v>0</v>
      </c>
      <c r="DU81" s="98">
        <f t="shared" si="273"/>
        <v>0</v>
      </c>
      <c r="DV81" s="98">
        <f t="shared" si="274"/>
        <v>0</v>
      </c>
      <c r="DW81" s="98">
        <f t="shared" si="275"/>
        <v>0</v>
      </c>
      <c r="DX81" s="98" t="str">
        <f t="shared" si="276"/>
        <v/>
      </c>
      <c r="DY81" s="99" t="str">
        <f t="shared" si="277"/>
        <v/>
      </c>
      <c r="DZ81" s="74" t="str">
        <f>IF('Marks Entry'!AY81="","",'Marks Entry'!AY81)</f>
        <v/>
      </c>
      <c r="EA81" s="74" t="str">
        <f>IF('Marks Entry'!AZ81="","",'Marks Entry'!AZ81)</f>
        <v/>
      </c>
      <c r="EB81" s="74" t="str">
        <f>IF('Marks Entry'!BA81="","",'Marks Entry'!BA81)</f>
        <v/>
      </c>
      <c r="EC81" s="527" t="str">
        <f t="shared" si="225"/>
        <v/>
      </c>
      <c r="ED81" s="74" t="str">
        <f>IF('Marks Entry'!BB81="","",'Marks Entry'!BB81)</f>
        <v/>
      </c>
      <c r="EE81" s="528" t="str">
        <f t="shared" si="226"/>
        <v/>
      </c>
      <c r="EF81" s="74" t="str">
        <f>IF('Marks Entry'!BC81="","",'Marks Entry'!BC81)</f>
        <v/>
      </c>
      <c r="EG81" s="530" t="str">
        <f t="shared" si="227"/>
        <v/>
      </c>
      <c r="EH81" s="368" t="str">
        <f t="shared" si="278"/>
        <v/>
      </c>
      <c r="EI81" s="65">
        <f t="shared" si="279"/>
        <v>0</v>
      </c>
      <c r="EJ81" s="65">
        <f t="shared" si="280"/>
        <v>0</v>
      </c>
      <c r="EK81" s="66" t="str">
        <f t="shared" si="281"/>
        <v/>
      </c>
      <c r="EL81" s="74" t="str">
        <f>IF('Marks Entry'!BD81="","",'Marks Entry'!BD81)</f>
        <v/>
      </c>
      <c r="EM81" s="74" t="str">
        <f>IF('Marks Entry'!BE81="","",'Marks Entry'!BE81)</f>
        <v/>
      </c>
      <c r="EN81" s="74" t="str">
        <f>IF('Marks Entry'!BF81="","",'Marks Entry'!BF81)</f>
        <v/>
      </c>
      <c r="EO81" s="527" t="str">
        <f t="shared" si="228"/>
        <v/>
      </c>
      <c r="EP81" s="74" t="str">
        <f>IF('Marks Entry'!BG81="","",'Marks Entry'!BG81)</f>
        <v/>
      </c>
      <c r="EQ81" s="74" t="str">
        <f>IF('Marks Entry'!BH81="","",'Marks Entry'!BH81)</f>
        <v/>
      </c>
      <c r="ER81" s="528" t="str">
        <f t="shared" si="229"/>
        <v/>
      </c>
      <c r="ES81" s="529" t="str">
        <f t="shared" si="230"/>
        <v/>
      </c>
      <c r="ET81" s="74" t="str">
        <f>IF('Marks Entry'!BI81="","",'Marks Entry'!BI81)</f>
        <v/>
      </c>
      <c r="EU81" s="74" t="str">
        <f>IF('Marks Entry'!BJ81="","",'Marks Entry'!BJ81)</f>
        <v/>
      </c>
      <c r="EV81" s="528" t="str">
        <f t="shared" si="231"/>
        <v/>
      </c>
      <c r="EW81" s="530" t="str">
        <f t="shared" si="232"/>
        <v/>
      </c>
      <c r="EX81" s="368" t="str">
        <f t="shared" si="282"/>
        <v/>
      </c>
      <c r="EY81" s="65">
        <f t="shared" si="283"/>
        <v>0</v>
      </c>
      <c r="EZ81" s="65">
        <f t="shared" si="284"/>
        <v>0</v>
      </c>
      <c r="FA81" s="66" t="str">
        <f t="shared" si="285"/>
        <v/>
      </c>
      <c r="FB81" s="74" t="str">
        <f>IF('Marks Entry'!BK81="","",'Marks Entry'!BK81)</f>
        <v/>
      </c>
      <c r="FC81" s="74" t="str">
        <f>IF('Marks Entry'!BL81="","",'Marks Entry'!BL81)</f>
        <v/>
      </c>
      <c r="FD81" s="74" t="str">
        <f>IF('Marks Entry'!BM81="","",'Marks Entry'!BM81)</f>
        <v/>
      </c>
      <c r="FE81" s="74" t="str">
        <f>IF('Marks Entry'!BN81="","",'Marks Entry'!BN81)</f>
        <v/>
      </c>
      <c r="FF81" s="74" t="str">
        <f>IF('Marks Entry'!BO81="","",'Marks Entry'!BO81)</f>
        <v/>
      </c>
      <c r="FG81" s="74" t="str">
        <f>IF('Marks Entry'!BP81="","",'Marks Entry'!BP81)</f>
        <v/>
      </c>
      <c r="FH81" s="527" t="str">
        <f t="shared" si="233"/>
        <v/>
      </c>
      <c r="FI81" s="74" t="str">
        <f>IF('Marks Entry'!BQ81="","",'Marks Entry'!BQ81)</f>
        <v/>
      </c>
      <c r="FJ81" s="74" t="str">
        <f>IF('Marks Entry'!BR81="","",'Marks Entry'!BR81)</f>
        <v/>
      </c>
      <c r="FK81" s="528" t="str">
        <f t="shared" si="234"/>
        <v/>
      </c>
      <c r="FL81" s="529" t="str">
        <f t="shared" si="235"/>
        <v/>
      </c>
      <c r="FM81" s="74" t="str">
        <f>IF('Marks Entry'!BS81="","",'Marks Entry'!BS81)</f>
        <v/>
      </c>
      <c r="FN81" s="74" t="str">
        <f>IF('Marks Entry'!BT81="","",'Marks Entry'!BT81)</f>
        <v/>
      </c>
      <c r="FO81" s="528" t="str">
        <f t="shared" si="236"/>
        <v/>
      </c>
      <c r="FP81" s="530" t="str">
        <f t="shared" si="237"/>
        <v/>
      </c>
      <c r="FQ81" s="368" t="str">
        <f t="shared" si="286"/>
        <v/>
      </c>
      <c r="FR81" s="65">
        <f t="shared" si="287"/>
        <v>0</v>
      </c>
      <c r="FS81" s="65">
        <f t="shared" si="288"/>
        <v>0</v>
      </c>
      <c r="FT81" s="66" t="str">
        <f t="shared" si="289"/>
        <v/>
      </c>
      <c r="FU81" s="74" t="str">
        <f>IF('Marks Entry'!BU81="","",'Marks Entry'!BU81)</f>
        <v/>
      </c>
      <c r="FV81" s="74" t="str">
        <f>IF('Marks Entry'!BV81="","",'Marks Entry'!BV81)</f>
        <v/>
      </c>
      <c r="FW81" s="74" t="str">
        <f>IF('Marks Entry'!BW81="","",'Marks Entry'!BW81)</f>
        <v/>
      </c>
      <c r="FX81" s="75" t="str">
        <f t="shared" si="238"/>
        <v/>
      </c>
      <c r="FY81" s="368" t="str">
        <f t="shared" si="290"/>
        <v/>
      </c>
      <c r="FZ81" s="65">
        <f t="shared" si="291"/>
        <v>0</v>
      </c>
      <c r="GA81" s="66">
        <f t="shared" si="292"/>
        <v>0</v>
      </c>
      <c r="GB81" s="66" t="str">
        <f t="shared" si="293"/>
        <v/>
      </c>
      <c r="GC81" s="74" t="str">
        <f>IF('Marks Entry'!BX81="","",'Marks Entry'!BX81)</f>
        <v/>
      </c>
      <c r="GD81" s="74" t="str">
        <f>IF('Marks Entry'!BY81="","",'Marks Entry'!BY81)</f>
        <v/>
      </c>
      <c r="GE81" s="74" t="str">
        <f>IF('Marks Entry'!BZ81="","",'Marks Entry'!BZ81)</f>
        <v/>
      </c>
      <c r="GF81" s="75" t="str">
        <f t="shared" si="294"/>
        <v/>
      </c>
      <c r="GG81" s="368" t="str">
        <f t="shared" si="295"/>
        <v/>
      </c>
      <c r="GH81" s="65">
        <f t="shared" si="296"/>
        <v>0</v>
      </c>
      <c r="GI81" s="66">
        <f t="shared" si="297"/>
        <v>0</v>
      </c>
      <c r="GJ81" s="66" t="str">
        <f t="shared" si="298"/>
        <v/>
      </c>
      <c r="GK81" s="100" t="str">
        <f>IF(AND(F81="",B81=""),"",IF('Student DATA Entry'!M78="","",'Student DATA Entry'!M78))</f>
        <v/>
      </c>
      <c r="GL81" s="101" t="str">
        <f>IF(AND(B81="",F81=""),"",IF('Student DATA Entry'!N78="","",'Student DATA Entry'!N78))</f>
        <v/>
      </c>
      <c r="GM81" s="581" t="str">
        <f t="shared" si="299"/>
        <v/>
      </c>
      <c r="GN81" s="94" t="str">
        <f t="shared" si="300"/>
        <v/>
      </c>
      <c r="GO81" s="94" t="str">
        <f t="shared" si="301"/>
        <v/>
      </c>
      <c r="GP81" s="102" t="str">
        <f t="shared" si="239"/>
        <v/>
      </c>
      <c r="GQ81" s="94" t="str">
        <f t="shared" si="302"/>
        <v/>
      </c>
      <c r="GR81" s="103" t="str">
        <f t="shared" si="303"/>
        <v/>
      </c>
      <c r="GS81" s="102" t="str">
        <f t="shared" si="240"/>
        <v/>
      </c>
      <c r="GT81" s="104" t="str">
        <f t="shared" si="304"/>
        <v/>
      </c>
      <c r="GU81" s="94" t="str">
        <f>IF('Marks Entry'!V81=1,GT81,"")</f>
        <v/>
      </c>
      <c r="GV81" s="94" t="str">
        <f>IF('Marks Entry'!V81=2,GT81,"")</f>
        <v/>
      </c>
      <c r="GW81" s="94" t="str">
        <f>IF('Marks Entry'!V81=3,GT81,"")</f>
        <v/>
      </c>
      <c r="GX81" s="94" t="str">
        <f>IF('Marks Entry'!V81=4,GT81,"")</f>
        <v/>
      </c>
      <c r="GY81" s="94" t="str">
        <f>IF('Marks Entry'!V81=5,GT81,"")</f>
        <v/>
      </c>
      <c r="GZ81" s="94" t="str">
        <f t="shared" si="305"/>
        <v/>
      </c>
      <c r="HA81" s="105" t="str">
        <f t="shared" si="241"/>
        <v/>
      </c>
      <c r="HB81" s="94" t="str">
        <f t="shared" si="306"/>
        <v/>
      </c>
      <c r="HC81" s="94" t="str">
        <f t="shared" si="307"/>
        <v/>
      </c>
      <c r="HD81" s="105" t="str">
        <f t="shared" si="242"/>
        <v/>
      </c>
      <c r="HE81" s="94" t="str">
        <f t="shared" si="308"/>
        <v/>
      </c>
      <c r="HF81" s="94" t="str">
        <f t="shared" si="309"/>
        <v/>
      </c>
      <c r="HG81" s="105" t="str">
        <f t="shared" si="243"/>
        <v/>
      </c>
      <c r="HH81" s="94" t="str">
        <f t="shared" si="310"/>
        <v/>
      </c>
      <c r="HI81" s="94" t="str">
        <f t="shared" si="311"/>
        <v/>
      </c>
      <c r="HJ81" s="105" t="str">
        <f t="shared" si="244"/>
        <v/>
      </c>
      <c r="HK81" s="94" t="str">
        <f t="shared" si="312"/>
        <v/>
      </c>
      <c r="HL81" s="94" t="str">
        <f t="shared" si="313"/>
        <v/>
      </c>
      <c r="HM81" s="105" t="str">
        <f t="shared" si="245"/>
        <v/>
      </c>
      <c r="HN81" s="367" t="str">
        <f t="shared" si="314"/>
        <v xml:space="preserve">      </v>
      </c>
      <c r="HO81" s="418" t="str">
        <f t="shared" si="246"/>
        <v xml:space="preserve">      </v>
      </c>
      <c r="HP81" s="367" t="str">
        <f t="shared" si="315"/>
        <v xml:space="preserve">      </v>
      </c>
      <c r="HQ81" s="107" t="str">
        <f t="shared" si="316"/>
        <v xml:space="preserve">      </v>
      </c>
      <c r="HR81" s="366" t="str">
        <f t="shared" si="317"/>
        <v xml:space="preserve">      </v>
      </c>
      <c r="HS81" s="544" t="str">
        <f t="shared" si="247"/>
        <v/>
      </c>
      <c r="HT81" s="542" t="str">
        <f t="shared" si="318"/>
        <v/>
      </c>
      <c r="HU81" s="541" t="str">
        <f t="shared" si="319"/>
        <v/>
      </c>
      <c r="HV81" s="540" t="str">
        <f t="shared" si="320"/>
        <v/>
      </c>
      <c r="HW81" s="537" t="str">
        <f t="shared" si="321"/>
        <v/>
      </c>
      <c r="HX81" s="539" t="str">
        <f t="shared" si="322"/>
        <v/>
      </c>
      <c r="HY81" s="553" t="str">
        <f>IFERROR(IF(OR(HS81="SUPPLEMENTARY",HS81="RE-EXAM"),'Supp. Result Entry'!AQ79,""),"")</f>
        <v/>
      </c>
      <c r="HZ81" s="538" t="str">
        <f t="shared" si="323"/>
        <v/>
      </c>
      <c r="IA81" s="415" t="str">
        <f t="shared" si="324"/>
        <v/>
      </c>
      <c r="IB81" s="415" t="str">
        <f>IF(AND(HZ81="",IA81=""),"",IF(OR(HS81="SUPPLEMENTARY",HS81="RE-EXAM"),'Supp. Result Entry'!AQ79,HS81))</f>
        <v/>
      </c>
      <c r="IC81" s="87"/>
      <c r="IS81" s="109" t="str">
        <f>IF('Supp. Result Entry'!T79="","",'Supp. Result Entry'!$T$4)</f>
        <v/>
      </c>
      <c r="IT81" s="110" t="str">
        <f>IF('Supp. Result Entry'!W79="","",'Supp. Result Entry'!$W$4)</f>
        <v/>
      </c>
      <c r="IU81" s="110" t="str">
        <f>IF('Supp. Result Entry'!Z79="","",'Supp. Result Entry'!$Z$4)</f>
        <v/>
      </c>
      <c r="IV81" s="110" t="str">
        <f>IF('Supp. Result Entry'!AC79="","",'Supp. Result Entry'!$AC$4)</f>
        <v/>
      </c>
      <c r="IW81" s="110" t="str">
        <f>IF('Supp. Result Entry'!AF79="","",'Supp. Result Entry'!$AF$4)</f>
        <v/>
      </c>
      <c r="IX81" s="110" t="str">
        <f>IF('Supp. Result Entry'!AI79="","",'Supp. Result Entry'!$AI$4)</f>
        <v/>
      </c>
      <c r="IY81" s="110" t="str">
        <f>IF('Supp. Result Entry'!AI79="","",'Supp. Result Entry'!$AL$4)</f>
        <v/>
      </c>
      <c r="IZ81" s="110" t="str">
        <f>IF('Supp. Result Entry'!U79="","",'Supp. Result Entry'!U79)</f>
        <v/>
      </c>
      <c r="JA81" s="110" t="str">
        <f>IF('Supp. Result Entry'!X79="","",'Supp. Result Entry'!X79)</f>
        <v/>
      </c>
      <c r="JB81" s="110" t="str">
        <f>IF('Supp. Result Entry'!AA79="","",'Supp. Result Entry'!AA79)</f>
        <v/>
      </c>
      <c r="JC81" s="110" t="str">
        <f>IF('Supp. Result Entry'!AD79="","",'Supp. Result Entry'!AD79)</f>
        <v/>
      </c>
      <c r="JD81" s="110" t="str">
        <f>IF('Supp. Result Entry'!AG79="","",'Supp. Result Entry'!AG79)</f>
        <v/>
      </c>
      <c r="JE81" s="110" t="str">
        <f>IF('Supp. Result Entry'!AJ79="","",'Supp. Result Entry'!AJ79)</f>
        <v/>
      </c>
      <c r="JF81" s="110" t="str">
        <f>IF('Supp. Result Entry'!AM79="","",'Supp. Result Entry'!AM79)</f>
        <v/>
      </c>
      <c r="JG81" s="110" t="str">
        <f>IF('Supp. Result Entry'!V79="","",'Supp. Result Entry'!V79)</f>
        <v/>
      </c>
      <c r="JH81" s="110" t="str">
        <f>IF('Supp. Result Entry'!Y79="","",'Supp. Result Entry'!Y79)</f>
        <v/>
      </c>
      <c r="JI81" s="110" t="str">
        <f>IF('Supp. Result Entry'!AB79="","",'Supp. Result Entry'!AB79)</f>
        <v/>
      </c>
      <c r="JJ81" s="110" t="str">
        <f>IF('Supp. Result Entry'!AE79="","",'Supp. Result Entry'!AE79)</f>
        <v/>
      </c>
      <c r="JK81" s="110" t="str">
        <f>IF('Supp. Result Entry'!AH79="","",'Supp. Result Entry'!AH79)</f>
        <v/>
      </c>
      <c r="JL81" s="110" t="str">
        <f>IF('Supp. Result Entry'!AK79="","",'Supp. Result Entry'!AK79)</f>
        <v/>
      </c>
      <c r="JM81" s="110" t="str">
        <f>IF('Supp. Result Entry'!AN79="","",'Supp. Result Entry'!AN79)</f>
        <v/>
      </c>
      <c r="JN81" s="110">
        <f>COUNTIF('Supp. Result Entry'!K79:Q79,"S")</f>
        <v>0</v>
      </c>
      <c r="JO81" s="110">
        <f t="shared" si="248"/>
        <v>0</v>
      </c>
      <c r="JP81" s="110">
        <f t="shared" si="325"/>
        <v>0</v>
      </c>
      <c r="JQ81" s="110" t="str">
        <f t="shared" si="249"/>
        <v/>
      </c>
      <c r="JR81" s="110" t="str">
        <f t="shared" si="250"/>
        <v/>
      </c>
      <c r="JS81" s="110" t="str">
        <f t="shared" si="251"/>
        <v/>
      </c>
      <c r="JT81" s="110" t="str">
        <f t="shared" si="252"/>
        <v/>
      </c>
      <c r="JU81" s="110" t="str">
        <f t="shared" si="253"/>
        <v/>
      </c>
      <c r="JV81" s="110" t="str">
        <f t="shared" si="254"/>
        <v/>
      </c>
      <c r="JW81" s="110" t="str">
        <f t="shared" si="255"/>
        <v/>
      </c>
      <c r="JX81" s="110" t="str">
        <f t="shared" si="326"/>
        <v/>
      </c>
      <c r="JY81" s="110" t="str">
        <f t="shared" si="327"/>
        <v/>
      </c>
      <c r="JZ81" s="110" t="str">
        <f t="shared" si="256"/>
        <v/>
      </c>
      <c r="KA81" s="108" t="str">
        <f t="shared" si="328"/>
        <v/>
      </c>
    </row>
    <row r="82" spans="1:287" s="108" customFormat="1" ht="21.95" customHeight="1">
      <c r="A82" s="89">
        <v>76</v>
      </c>
      <c r="B82" s="90" t="str">
        <f>IF('Marks Entry'!B82="","",'Marks Entry'!B82)</f>
        <v/>
      </c>
      <c r="C82" s="94" t="str">
        <f>IF('Marks Entry'!D82="","",'Marks Entry'!D82)</f>
        <v/>
      </c>
      <c r="D82" s="91" t="str">
        <f>IF('Marks Entry'!E82="","",'Marks Entry'!E82)</f>
        <v/>
      </c>
      <c r="E82" s="92" t="str">
        <f>IF('Marks Entry'!F82="","",'Marks Entry'!F82)</f>
        <v/>
      </c>
      <c r="F82" s="93" t="str">
        <f>IF('Marks Entry'!G82="","",'Marks Entry'!G82)</f>
        <v/>
      </c>
      <c r="G82" s="93" t="str">
        <f>IF('Marks Entry'!H82="","",'Marks Entry'!H82)</f>
        <v/>
      </c>
      <c r="H82" s="93" t="str">
        <f>IF('Marks Entry'!I82="","",'Marks Entry'!I82)</f>
        <v/>
      </c>
      <c r="I82" s="94" t="str">
        <f>IF('Marks Entry'!J82="","",'Marks Entry'!J82)</f>
        <v/>
      </c>
      <c r="J82" s="95" t="str">
        <f>IF('Marks Entry'!K82="","",'Marks Entry'!K82)</f>
        <v/>
      </c>
      <c r="K82" s="68" t="str">
        <f>IF('Marks Entry'!L82="","",'Marks Entry'!L82)</f>
        <v/>
      </c>
      <c r="L82" s="68" t="str">
        <f>IF('Marks Entry'!M82="","",'Marks Entry'!M82)</f>
        <v/>
      </c>
      <c r="M82" s="68" t="str">
        <f>IF('Marks Entry'!N82="","",'Marks Entry'!N82)</f>
        <v/>
      </c>
      <c r="N82" s="514" t="str">
        <f t="shared" si="257"/>
        <v/>
      </c>
      <c r="O82" s="68" t="str">
        <f>IF('Marks Entry'!O82="","",'Marks Entry'!O82)</f>
        <v/>
      </c>
      <c r="P82" s="515" t="str">
        <f t="shared" si="258"/>
        <v/>
      </c>
      <c r="Q82" s="68" t="str">
        <f>IF('Marks Entry'!P82="","",'Marks Entry'!P82)</f>
        <v/>
      </c>
      <c r="R82" s="96" t="str">
        <f t="shared" si="259"/>
        <v/>
      </c>
      <c r="S82" s="65">
        <f t="shared" si="260"/>
        <v>0</v>
      </c>
      <c r="T82" s="65">
        <f t="shared" si="261"/>
        <v>0</v>
      </c>
      <c r="U82" s="66" t="str">
        <f t="shared" si="171"/>
        <v/>
      </c>
      <c r="V82" s="65" t="str">
        <f t="shared" si="172"/>
        <v/>
      </c>
      <c r="W82" s="65" t="str">
        <f t="shared" si="262"/>
        <v/>
      </c>
      <c r="X82" s="65" t="str">
        <f t="shared" si="173"/>
        <v/>
      </c>
      <c r="Y82" s="68" t="str">
        <f>IF('Marks Entry'!Q82="","",'Marks Entry'!Q82)</f>
        <v/>
      </c>
      <c r="Z82" s="68" t="str">
        <f>IF('Marks Entry'!R82="","",'Marks Entry'!R82)</f>
        <v/>
      </c>
      <c r="AA82" s="68" t="str">
        <f>IF('Marks Entry'!S82="","",'Marks Entry'!S82)</f>
        <v/>
      </c>
      <c r="AB82" s="514" t="str">
        <f t="shared" si="174"/>
        <v/>
      </c>
      <c r="AC82" s="68" t="str">
        <f>IF('Marks Entry'!T82="","",'Marks Entry'!T82)</f>
        <v/>
      </c>
      <c r="AD82" s="515" t="str">
        <f t="shared" si="175"/>
        <v/>
      </c>
      <c r="AE82" s="68" t="str">
        <f>IF('Marks Entry'!U82="","",'Marks Entry'!U82)</f>
        <v/>
      </c>
      <c r="AF82" s="96" t="str">
        <f t="shared" si="176"/>
        <v/>
      </c>
      <c r="AG82" s="65">
        <f t="shared" si="177"/>
        <v>0</v>
      </c>
      <c r="AH82" s="65">
        <f t="shared" si="178"/>
        <v>0</v>
      </c>
      <c r="AI82" s="66" t="str">
        <f t="shared" si="179"/>
        <v/>
      </c>
      <c r="AJ82" s="65" t="str">
        <f t="shared" si="180"/>
        <v/>
      </c>
      <c r="AK82" s="65" t="str">
        <f t="shared" si="181"/>
        <v/>
      </c>
      <c r="AL82" s="65" t="str">
        <f t="shared" si="182"/>
        <v/>
      </c>
      <c r="AM82" s="524" t="str">
        <f>IF('Marks Entry'!V82="","",IF('Marks Entry'!V82=1,'School Profile'!$I$9,IF('Marks Entry'!V82=2,'School Profile'!$I$10,IF('Marks Entry'!V82=3,'School Profile'!$I$11,IF('Marks Entry'!V82=4,'School Profile'!$I$12,IF('Marks Entry'!V82=5,'School Profile'!$I$13,IF('Marks Entry'!V82=6,'School Profile'!$I$14,"")))))))</f>
        <v/>
      </c>
      <c r="AN82" s="68" t="str">
        <f>IF('Marks Entry'!W82="","",'Marks Entry'!W82)</f>
        <v/>
      </c>
      <c r="AO82" s="68" t="str">
        <f>IF('Marks Entry'!X82="","",'Marks Entry'!X82)</f>
        <v/>
      </c>
      <c r="AP82" s="68" t="str">
        <f>IF('Marks Entry'!Y82="","",'Marks Entry'!Y82)</f>
        <v/>
      </c>
      <c r="AQ82" s="514" t="str">
        <f t="shared" si="183"/>
        <v/>
      </c>
      <c r="AR82" s="68" t="str">
        <f>IF('Marks Entry'!Z82="","",'Marks Entry'!Z82)</f>
        <v/>
      </c>
      <c r="AS82" s="515" t="str">
        <f t="shared" si="184"/>
        <v/>
      </c>
      <c r="AT82" s="68" t="str">
        <f>IF('Marks Entry'!AA82="","",'Marks Entry'!AA82)</f>
        <v/>
      </c>
      <c r="AU82" s="96" t="str">
        <f t="shared" si="185"/>
        <v/>
      </c>
      <c r="AV82" s="65">
        <f t="shared" si="186"/>
        <v>0</v>
      </c>
      <c r="AW82" s="65">
        <f t="shared" si="187"/>
        <v>0</v>
      </c>
      <c r="AX82" s="66" t="str">
        <f t="shared" si="188"/>
        <v/>
      </c>
      <c r="AY82" s="65" t="str">
        <f t="shared" si="189"/>
        <v/>
      </c>
      <c r="AZ82" s="65" t="str">
        <f t="shared" si="190"/>
        <v/>
      </c>
      <c r="BA82" s="65" t="str">
        <f t="shared" si="191"/>
        <v/>
      </c>
      <c r="BB82" s="68" t="str">
        <f>IF('Marks Entry'!AB82="","",'Marks Entry'!AB82)</f>
        <v/>
      </c>
      <c r="BC82" s="68" t="str">
        <f>IF('Marks Entry'!AC82="","",'Marks Entry'!AC82)</f>
        <v/>
      </c>
      <c r="BD82" s="68" t="str">
        <f>IF('Marks Entry'!AD82="","",'Marks Entry'!AD82)</f>
        <v/>
      </c>
      <c r="BE82" s="514" t="str">
        <f t="shared" si="192"/>
        <v/>
      </c>
      <c r="BF82" s="68" t="str">
        <f>IF('Marks Entry'!AE82="","",'Marks Entry'!AE82)</f>
        <v/>
      </c>
      <c r="BG82" s="515" t="str">
        <f t="shared" si="193"/>
        <v/>
      </c>
      <c r="BH82" s="68" t="str">
        <f>IF('Marks Entry'!AF82="","",'Marks Entry'!AF82)</f>
        <v/>
      </c>
      <c r="BI82" s="96" t="str">
        <f t="shared" si="194"/>
        <v/>
      </c>
      <c r="BJ82" s="65">
        <f t="shared" si="195"/>
        <v>0</v>
      </c>
      <c r="BK82" s="65">
        <f t="shared" si="263"/>
        <v>0</v>
      </c>
      <c r="BL82" s="66" t="str">
        <f t="shared" si="196"/>
        <v/>
      </c>
      <c r="BM82" s="65" t="str">
        <f t="shared" si="197"/>
        <v/>
      </c>
      <c r="BN82" s="65" t="str">
        <f t="shared" si="198"/>
        <v/>
      </c>
      <c r="BO82" s="65" t="str">
        <f t="shared" si="199"/>
        <v/>
      </c>
      <c r="BP82" s="68" t="str">
        <f>IF('Marks Entry'!AG82="","",'Marks Entry'!AG82)</f>
        <v/>
      </c>
      <c r="BQ82" s="68" t="str">
        <f>IF('Marks Entry'!AH82="","",'Marks Entry'!AH82)</f>
        <v/>
      </c>
      <c r="BR82" s="68" t="str">
        <f>IF('Marks Entry'!AI82="","",'Marks Entry'!AI82)</f>
        <v/>
      </c>
      <c r="BS82" s="514" t="str">
        <f t="shared" si="200"/>
        <v/>
      </c>
      <c r="BT82" s="68" t="str">
        <f>IF('Marks Entry'!AJ82="","",'Marks Entry'!AJ82)</f>
        <v/>
      </c>
      <c r="BU82" s="515" t="str">
        <f t="shared" si="201"/>
        <v/>
      </c>
      <c r="BV82" s="68" t="str">
        <f>IF('Marks Entry'!AK82="","",'Marks Entry'!AK82)</f>
        <v/>
      </c>
      <c r="BW82" s="96" t="str">
        <f t="shared" si="202"/>
        <v/>
      </c>
      <c r="BX82" s="65">
        <f t="shared" si="203"/>
        <v>0</v>
      </c>
      <c r="BY82" s="65">
        <f t="shared" si="204"/>
        <v>0</v>
      </c>
      <c r="BZ82" s="66" t="str">
        <f t="shared" si="205"/>
        <v/>
      </c>
      <c r="CA82" s="65" t="str">
        <f t="shared" si="206"/>
        <v/>
      </c>
      <c r="CB82" s="65" t="str">
        <f t="shared" si="207"/>
        <v/>
      </c>
      <c r="CC82" s="65" t="str">
        <f t="shared" si="208"/>
        <v/>
      </c>
      <c r="CD82" s="66">
        <f t="shared" si="209"/>
        <v>0</v>
      </c>
      <c r="CE82" s="68" t="str">
        <f>IF('Marks Entry'!AL82="","",'Marks Entry'!AL82)</f>
        <v/>
      </c>
      <c r="CF82" s="68" t="str">
        <f>IF('Marks Entry'!AM82="","",'Marks Entry'!AM82)</f>
        <v/>
      </c>
      <c r="CG82" s="68" t="str">
        <f>IF('Marks Entry'!AN82="","",'Marks Entry'!AN82)</f>
        <v/>
      </c>
      <c r="CH82" s="514" t="str">
        <f t="shared" si="210"/>
        <v/>
      </c>
      <c r="CI82" s="68" t="str">
        <f>IF('Marks Entry'!AO82="","",'Marks Entry'!AO82)</f>
        <v/>
      </c>
      <c r="CJ82" s="515" t="str">
        <f t="shared" si="211"/>
        <v/>
      </c>
      <c r="CK82" s="68" t="str">
        <f>IF('Marks Entry'!AP82="","",'Marks Entry'!AP82)</f>
        <v/>
      </c>
      <c r="CL82" s="96" t="str">
        <f t="shared" si="212"/>
        <v/>
      </c>
      <c r="CM82" s="65">
        <f t="shared" si="213"/>
        <v>0</v>
      </c>
      <c r="CN82" s="65">
        <f t="shared" si="214"/>
        <v>0</v>
      </c>
      <c r="CO82" s="66" t="str">
        <f t="shared" si="215"/>
        <v/>
      </c>
      <c r="CP82" s="65" t="str">
        <f t="shared" si="216"/>
        <v/>
      </c>
      <c r="CQ82" s="65" t="str">
        <f t="shared" si="217"/>
        <v/>
      </c>
      <c r="CR82" s="65" t="str">
        <f t="shared" si="218"/>
        <v/>
      </c>
      <c r="CS82" s="616"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8" t="str">
        <f>IF('School Profile'!$D$20="NO","",IF('Marks Entry'!AR82="","",'Marks Entry'!AR82))</f>
        <v/>
      </c>
      <c r="CU82" s="68" t="str">
        <f>IF('School Profile'!$D$20="NO","",IF('Marks Entry'!AS82="","",'Marks Entry'!AS82))</f>
        <v/>
      </c>
      <c r="CV82" s="68" t="str">
        <f>IF('School Profile'!$D$20="NO","",IF('Marks Entry'!AT82="","",'Marks Entry'!AT82))</f>
        <v/>
      </c>
      <c r="CW82" s="514" t="str">
        <f>IF('School Profile'!$D$20="NO","",IF(AND(CT82="",CU82="",CV82=""),"",SUM(CT82:CV82)))</f>
        <v/>
      </c>
      <c r="CX82" s="68" t="str">
        <f>IF('School Profile'!$D$20="NO","",IF('Marks Entry'!AU82="","",'Marks Entry'!AU82))</f>
        <v/>
      </c>
      <c r="CY82" s="68" t="str">
        <f>IF('School Profile'!$D$20="NO","",IF('Marks Entry'!AV82="","",'Marks Entry'!AV82))</f>
        <v/>
      </c>
      <c r="CZ82" s="515" t="str">
        <f>IF('School Profile'!$D$20="NO","",IF(AND(CX82="",CY82=""),"",SUM(CX82,CY82)))</f>
        <v/>
      </c>
      <c r="DA82" s="69" t="str">
        <f>IF('School Profile'!$D$20="NO","",IF(AND(CW82="",CZ82=""),"",SUM(CW82+CZ82)))</f>
        <v/>
      </c>
      <c r="DB82" s="68" t="str">
        <f>IF('School Profile'!$D$20="NO","",IF('Marks Entry'!AW82="","",'Marks Entry'!AW82))</f>
        <v/>
      </c>
      <c r="DC82" s="68" t="str">
        <f>IF('School Profile'!$D$20="NO","",IF('Marks Entry'!AX82="","",'Marks Entry'!AX82))</f>
        <v/>
      </c>
      <c r="DD82" s="515" t="str">
        <f>IF('School Profile'!$D$20="NO","",IF(AND(DB82="",DC82=""),"",SUM(DB82,DC82)))</f>
        <v/>
      </c>
      <c r="DE82" s="96" t="str">
        <f>IF('School Profile'!$D$20="NO","",IF(AND(DA82="",DD82=""),"",SUM(DA82,DD82)))</f>
        <v/>
      </c>
      <c r="DF82" s="532">
        <f t="shared" si="219"/>
        <v>0</v>
      </c>
      <c r="DG82" s="65">
        <f t="shared" si="220"/>
        <v>0</v>
      </c>
      <c r="DH82" s="66" t="str">
        <f t="shared" si="221"/>
        <v/>
      </c>
      <c r="DI82" s="65" t="str">
        <f t="shared" si="222"/>
        <v/>
      </c>
      <c r="DJ82" s="65" t="str">
        <f t="shared" si="223"/>
        <v/>
      </c>
      <c r="DK82" s="65" t="str">
        <f t="shared" si="224"/>
        <v/>
      </c>
      <c r="DL82" s="97" t="str">
        <f t="shared" si="264"/>
        <v/>
      </c>
      <c r="DM82" s="97" t="str">
        <f t="shared" si="265"/>
        <v/>
      </c>
      <c r="DN82" s="97" t="str">
        <f t="shared" si="266"/>
        <v/>
      </c>
      <c r="DO82" s="97" t="str">
        <f t="shared" si="267"/>
        <v/>
      </c>
      <c r="DP82" s="97" t="str">
        <f t="shared" si="268"/>
        <v/>
      </c>
      <c r="DQ82" s="97" t="str">
        <f t="shared" si="269"/>
        <v/>
      </c>
      <c r="DR82" s="97" t="str">
        <f t="shared" si="270"/>
        <v/>
      </c>
      <c r="DS82" s="98">
        <f t="shared" si="271"/>
        <v>0</v>
      </c>
      <c r="DT82" s="98">
        <f t="shared" si="272"/>
        <v>0</v>
      </c>
      <c r="DU82" s="98">
        <f t="shared" si="273"/>
        <v>0</v>
      </c>
      <c r="DV82" s="98">
        <f t="shared" si="274"/>
        <v>0</v>
      </c>
      <c r="DW82" s="98">
        <f t="shared" si="275"/>
        <v>0</v>
      </c>
      <c r="DX82" s="98" t="str">
        <f t="shared" si="276"/>
        <v/>
      </c>
      <c r="DY82" s="99" t="str">
        <f t="shared" si="277"/>
        <v/>
      </c>
      <c r="DZ82" s="74" t="str">
        <f>IF('Marks Entry'!AY82="","",'Marks Entry'!AY82)</f>
        <v/>
      </c>
      <c r="EA82" s="74" t="str">
        <f>IF('Marks Entry'!AZ82="","",'Marks Entry'!AZ82)</f>
        <v/>
      </c>
      <c r="EB82" s="74" t="str">
        <f>IF('Marks Entry'!BA82="","",'Marks Entry'!BA82)</f>
        <v/>
      </c>
      <c r="EC82" s="527" t="str">
        <f t="shared" si="225"/>
        <v/>
      </c>
      <c r="ED82" s="74" t="str">
        <f>IF('Marks Entry'!BB82="","",'Marks Entry'!BB82)</f>
        <v/>
      </c>
      <c r="EE82" s="528" t="str">
        <f t="shared" si="226"/>
        <v/>
      </c>
      <c r="EF82" s="74" t="str">
        <f>IF('Marks Entry'!BC82="","",'Marks Entry'!BC82)</f>
        <v/>
      </c>
      <c r="EG82" s="530" t="str">
        <f t="shared" si="227"/>
        <v/>
      </c>
      <c r="EH82" s="368" t="str">
        <f t="shared" si="278"/>
        <v/>
      </c>
      <c r="EI82" s="65">
        <f t="shared" si="279"/>
        <v>0</v>
      </c>
      <c r="EJ82" s="65">
        <f t="shared" si="280"/>
        <v>0</v>
      </c>
      <c r="EK82" s="66" t="str">
        <f t="shared" si="281"/>
        <v/>
      </c>
      <c r="EL82" s="74" t="str">
        <f>IF('Marks Entry'!BD82="","",'Marks Entry'!BD82)</f>
        <v/>
      </c>
      <c r="EM82" s="74" t="str">
        <f>IF('Marks Entry'!BE82="","",'Marks Entry'!BE82)</f>
        <v/>
      </c>
      <c r="EN82" s="74" t="str">
        <f>IF('Marks Entry'!BF82="","",'Marks Entry'!BF82)</f>
        <v/>
      </c>
      <c r="EO82" s="527" t="str">
        <f t="shared" si="228"/>
        <v/>
      </c>
      <c r="EP82" s="74" t="str">
        <f>IF('Marks Entry'!BG82="","",'Marks Entry'!BG82)</f>
        <v/>
      </c>
      <c r="EQ82" s="74" t="str">
        <f>IF('Marks Entry'!BH82="","",'Marks Entry'!BH82)</f>
        <v/>
      </c>
      <c r="ER82" s="528" t="str">
        <f t="shared" si="229"/>
        <v/>
      </c>
      <c r="ES82" s="529" t="str">
        <f t="shared" si="230"/>
        <v/>
      </c>
      <c r="ET82" s="74" t="str">
        <f>IF('Marks Entry'!BI82="","",'Marks Entry'!BI82)</f>
        <v/>
      </c>
      <c r="EU82" s="74" t="str">
        <f>IF('Marks Entry'!BJ82="","",'Marks Entry'!BJ82)</f>
        <v/>
      </c>
      <c r="EV82" s="528" t="str">
        <f t="shared" si="231"/>
        <v/>
      </c>
      <c r="EW82" s="530" t="str">
        <f t="shared" si="232"/>
        <v/>
      </c>
      <c r="EX82" s="368" t="str">
        <f t="shared" si="282"/>
        <v/>
      </c>
      <c r="EY82" s="65">
        <f t="shared" si="283"/>
        <v>0</v>
      </c>
      <c r="EZ82" s="65">
        <f t="shared" si="284"/>
        <v>0</v>
      </c>
      <c r="FA82" s="66" t="str">
        <f t="shared" si="285"/>
        <v/>
      </c>
      <c r="FB82" s="74" t="str">
        <f>IF('Marks Entry'!BK82="","",'Marks Entry'!BK82)</f>
        <v/>
      </c>
      <c r="FC82" s="74" t="str">
        <f>IF('Marks Entry'!BL82="","",'Marks Entry'!BL82)</f>
        <v/>
      </c>
      <c r="FD82" s="74" t="str">
        <f>IF('Marks Entry'!BM82="","",'Marks Entry'!BM82)</f>
        <v/>
      </c>
      <c r="FE82" s="74" t="str">
        <f>IF('Marks Entry'!BN82="","",'Marks Entry'!BN82)</f>
        <v/>
      </c>
      <c r="FF82" s="74" t="str">
        <f>IF('Marks Entry'!BO82="","",'Marks Entry'!BO82)</f>
        <v/>
      </c>
      <c r="FG82" s="74" t="str">
        <f>IF('Marks Entry'!BP82="","",'Marks Entry'!BP82)</f>
        <v/>
      </c>
      <c r="FH82" s="527" t="str">
        <f t="shared" si="233"/>
        <v/>
      </c>
      <c r="FI82" s="74" t="str">
        <f>IF('Marks Entry'!BQ82="","",'Marks Entry'!BQ82)</f>
        <v/>
      </c>
      <c r="FJ82" s="74" t="str">
        <f>IF('Marks Entry'!BR82="","",'Marks Entry'!BR82)</f>
        <v/>
      </c>
      <c r="FK82" s="528" t="str">
        <f t="shared" si="234"/>
        <v/>
      </c>
      <c r="FL82" s="529" t="str">
        <f t="shared" si="235"/>
        <v/>
      </c>
      <c r="FM82" s="74" t="str">
        <f>IF('Marks Entry'!BS82="","",'Marks Entry'!BS82)</f>
        <v/>
      </c>
      <c r="FN82" s="74" t="str">
        <f>IF('Marks Entry'!BT82="","",'Marks Entry'!BT82)</f>
        <v/>
      </c>
      <c r="FO82" s="528" t="str">
        <f t="shared" si="236"/>
        <v/>
      </c>
      <c r="FP82" s="530" t="str">
        <f t="shared" si="237"/>
        <v/>
      </c>
      <c r="FQ82" s="368" t="str">
        <f t="shared" si="286"/>
        <v/>
      </c>
      <c r="FR82" s="65">
        <f t="shared" si="287"/>
        <v>0</v>
      </c>
      <c r="FS82" s="65">
        <f t="shared" si="288"/>
        <v>0</v>
      </c>
      <c r="FT82" s="66" t="str">
        <f t="shared" si="289"/>
        <v/>
      </c>
      <c r="FU82" s="74" t="str">
        <f>IF('Marks Entry'!BU82="","",'Marks Entry'!BU82)</f>
        <v/>
      </c>
      <c r="FV82" s="74" t="str">
        <f>IF('Marks Entry'!BV82="","",'Marks Entry'!BV82)</f>
        <v/>
      </c>
      <c r="FW82" s="74" t="str">
        <f>IF('Marks Entry'!BW82="","",'Marks Entry'!BW82)</f>
        <v/>
      </c>
      <c r="FX82" s="75" t="str">
        <f t="shared" si="238"/>
        <v/>
      </c>
      <c r="FY82" s="368" t="str">
        <f t="shared" si="290"/>
        <v/>
      </c>
      <c r="FZ82" s="65">
        <f t="shared" si="291"/>
        <v>0</v>
      </c>
      <c r="GA82" s="66">
        <f t="shared" si="292"/>
        <v>0</v>
      </c>
      <c r="GB82" s="66" t="str">
        <f t="shared" si="293"/>
        <v/>
      </c>
      <c r="GC82" s="74" t="str">
        <f>IF('Marks Entry'!BX82="","",'Marks Entry'!BX82)</f>
        <v/>
      </c>
      <c r="GD82" s="74" t="str">
        <f>IF('Marks Entry'!BY82="","",'Marks Entry'!BY82)</f>
        <v/>
      </c>
      <c r="GE82" s="74" t="str">
        <f>IF('Marks Entry'!BZ82="","",'Marks Entry'!BZ82)</f>
        <v/>
      </c>
      <c r="GF82" s="75" t="str">
        <f t="shared" si="294"/>
        <v/>
      </c>
      <c r="GG82" s="368" t="str">
        <f t="shared" si="295"/>
        <v/>
      </c>
      <c r="GH82" s="65">
        <f t="shared" si="296"/>
        <v>0</v>
      </c>
      <c r="GI82" s="66">
        <f t="shared" si="297"/>
        <v>0</v>
      </c>
      <c r="GJ82" s="66" t="str">
        <f t="shared" si="298"/>
        <v/>
      </c>
      <c r="GK82" s="100" t="str">
        <f>IF(AND(F82="",B82=""),"",IF('Student DATA Entry'!M79="","",'Student DATA Entry'!M79))</f>
        <v/>
      </c>
      <c r="GL82" s="101" t="str">
        <f>IF(AND(B82="",F82=""),"",IF('Student DATA Entry'!N79="","",'Student DATA Entry'!N79))</f>
        <v/>
      </c>
      <c r="GM82" s="581" t="str">
        <f t="shared" si="299"/>
        <v/>
      </c>
      <c r="GN82" s="94" t="str">
        <f t="shared" si="300"/>
        <v/>
      </c>
      <c r="GO82" s="94" t="str">
        <f t="shared" si="301"/>
        <v/>
      </c>
      <c r="GP82" s="102" t="str">
        <f t="shared" si="239"/>
        <v/>
      </c>
      <c r="GQ82" s="94" t="str">
        <f t="shared" si="302"/>
        <v/>
      </c>
      <c r="GR82" s="103" t="str">
        <f t="shared" si="303"/>
        <v/>
      </c>
      <c r="GS82" s="102" t="str">
        <f t="shared" si="240"/>
        <v/>
      </c>
      <c r="GT82" s="104" t="str">
        <f t="shared" si="304"/>
        <v/>
      </c>
      <c r="GU82" s="94" t="str">
        <f>IF('Marks Entry'!V82=1,GT82,"")</f>
        <v/>
      </c>
      <c r="GV82" s="94" t="str">
        <f>IF('Marks Entry'!V82=2,GT82,"")</f>
        <v/>
      </c>
      <c r="GW82" s="94" t="str">
        <f>IF('Marks Entry'!V82=3,GT82,"")</f>
        <v/>
      </c>
      <c r="GX82" s="94" t="str">
        <f>IF('Marks Entry'!V82=4,GT82,"")</f>
        <v/>
      </c>
      <c r="GY82" s="94" t="str">
        <f>IF('Marks Entry'!V82=5,GT82,"")</f>
        <v/>
      </c>
      <c r="GZ82" s="94" t="str">
        <f t="shared" si="305"/>
        <v/>
      </c>
      <c r="HA82" s="105" t="str">
        <f t="shared" si="241"/>
        <v/>
      </c>
      <c r="HB82" s="94" t="str">
        <f t="shared" si="306"/>
        <v/>
      </c>
      <c r="HC82" s="94" t="str">
        <f t="shared" si="307"/>
        <v/>
      </c>
      <c r="HD82" s="105" t="str">
        <f t="shared" si="242"/>
        <v/>
      </c>
      <c r="HE82" s="94" t="str">
        <f t="shared" si="308"/>
        <v/>
      </c>
      <c r="HF82" s="94" t="str">
        <f t="shared" si="309"/>
        <v/>
      </c>
      <c r="HG82" s="105" t="str">
        <f t="shared" si="243"/>
        <v/>
      </c>
      <c r="HH82" s="94" t="str">
        <f t="shared" si="310"/>
        <v/>
      </c>
      <c r="HI82" s="94" t="str">
        <f t="shared" si="311"/>
        <v/>
      </c>
      <c r="HJ82" s="105" t="str">
        <f t="shared" si="244"/>
        <v/>
      </c>
      <c r="HK82" s="94" t="str">
        <f t="shared" si="312"/>
        <v/>
      </c>
      <c r="HL82" s="94" t="str">
        <f t="shared" si="313"/>
        <v/>
      </c>
      <c r="HM82" s="105" t="str">
        <f t="shared" si="245"/>
        <v/>
      </c>
      <c r="HN82" s="367" t="str">
        <f t="shared" si="314"/>
        <v xml:space="preserve">      </v>
      </c>
      <c r="HO82" s="418" t="str">
        <f t="shared" si="246"/>
        <v xml:space="preserve">      </v>
      </c>
      <c r="HP82" s="367" t="str">
        <f t="shared" si="315"/>
        <v xml:space="preserve">      </v>
      </c>
      <c r="HQ82" s="107" t="str">
        <f t="shared" si="316"/>
        <v xml:space="preserve">      </v>
      </c>
      <c r="HR82" s="366" t="str">
        <f t="shared" si="317"/>
        <v xml:space="preserve">      </v>
      </c>
      <c r="HS82" s="544" t="str">
        <f t="shared" si="247"/>
        <v/>
      </c>
      <c r="HT82" s="542" t="str">
        <f t="shared" si="318"/>
        <v/>
      </c>
      <c r="HU82" s="541" t="str">
        <f t="shared" si="319"/>
        <v/>
      </c>
      <c r="HV82" s="540" t="str">
        <f t="shared" si="320"/>
        <v/>
      </c>
      <c r="HW82" s="537" t="str">
        <f t="shared" si="321"/>
        <v/>
      </c>
      <c r="HX82" s="539" t="str">
        <f t="shared" si="322"/>
        <v/>
      </c>
      <c r="HY82" s="553" t="str">
        <f>IFERROR(IF(OR(HS82="SUPPLEMENTARY",HS82="RE-EXAM"),'Supp. Result Entry'!AQ80,""),"")</f>
        <v/>
      </c>
      <c r="HZ82" s="538" t="str">
        <f t="shared" si="323"/>
        <v/>
      </c>
      <c r="IA82" s="415" t="str">
        <f t="shared" si="324"/>
        <v/>
      </c>
      <c r="IB82" s="415" t="str">
        <f>IF(AND(HZ82="",IA82=""),"",IF(OR(HS82="SUPPLEMENTARY",HS82="RE-EXAM"),'Supp. Result Entry'!AQ80,HS82))</f>
        <v/>
      </c>
      <c r="IC82" s="87"/>
      <c r="IS82" s="109" t="str">
        <f>IF('Supp. Result Entry'!T80="","",'Supp. Result Entry'!$T$4)</f>
        <v/>
      </c>
      <c r="IT82" s="110" t="str">
        <f>IF('Supp. Result Entry'!W80="","",'Supp. Result Entry'!$W$4)</f>
        <v/>
      </c>
      <c r="IU82" s="110" t="str">
        <f>IF('Supp. Result Entry'!Z80="","",'Supp. Result Entry'!$Z$4)</f>
        <v/>
      </c>
      <c r="IV82" s="110" t="str">
        <f>IF('Supp. Result Entry'!AC80="","",'Supp. Result Entry'!$AC$4)</f>
        <v/>
      </c>
      <c r="IW82" s="110" t="str">
        <f>IF('Supp. Result Entry'!AF80="","",'Supp. Result Entry'!$AF$4)</f>
        <v/>
      </c>
      <c r="IX82" s="110" t="str">
        <f>IF('Supp. Result Entry'!AI80="","",'Supp. Result Entry'!$AI$4)</f>
        <v/>
      </c>
      <c r="IY82" s="110" t="str">
        <f>IF('Supp. Result Entry'!AI80="","",'Supp. Result Entry'!$AL$4)</f>
        <v/>
      </c>
      <c r="IZ82" s="110" t="str">
        <f>IF('Supp. Result Entry'!U80="","",'Supp. Result Entry'!U80)</f>
        <v/>
      </c>
      <c r="JA82" s="110" t="str">
        <f>IF('Supp. Result Entry'!X80="","",'Supp. Result Entry'!X80)</f>
        <v/>
      </c>
      <c r="JB82" s="110" t="str">
        <f>IF('Supp. Result Entry'!AA80="","",'Supp. Result Entry'!AA80)</f>
        <v/>
      </c>
      <c r="JC82" s="110" t="str">
        <f>IF('Supp. Result Entry'!AD80="","",'Supp. Result Entry'!AD80)</f>
        <v/>
      </c>
      <c r="JD82" s="110" t="str">
        <f>IF('Supp. Result Entry'!AG80="","",'Supp. Result Entry'!AG80)</f>
        <v/>
      </c>
      <c r="JE82" s="110" t="str">
        <f>IF('Supp. Result Entry'!AJ80="","",'Supp. Result Entry'!AJ80)</f>
        <v/>
      </c>
      <c r="JF82" s="110" t="str">
        <f>IF('Supp. Result Entry'!AM80="","",'Supp. Result Entry'!AM80)</f>
        <v/>
      </c>
      <c r="JG82" s="110" t="str">
        <f>IF('Supp. Result Entry'!V80="","",'Supp. Result Entry'!V80)</f>
        <v/>
      </c>
      <c r="JH82" s="110" t="str">
        <f>IF('Supp. Result Entry'!Y80="","",'Supp. Result Entry'!Y80)</f>
        <v/>
      </c>
      <c r="JI82" s="110" t="str">
        <f>IF('Supp. Result Entry'!AB80="","",'Supp. Result Entry'!AB80)</f>
        <v/>
      </c>
      <c r="JJ82" s="110" t="str">
        <f>IF('Supp. Result Entry'!AE80="","",'Supp. Result Entry'!AE80)</f>
        <v/>
      </c>
      <c r="JK82" s="110" t="str">
        <f>IF('Supp. Result Entry'!AH80="","",'Supp. Result Entry'!AH80)</f>
        <v/>
      </c>
      <c r="JL82" s="110" t="str">
        <f>IF('Supp. Result Entry'!AK80="","",'Supp. Result Entry'!AK80)</f>
        <v/>
      </c>
      <c r="JM82" s="110" t="str">
        <f>IF('Supp. Result Entry'!AN80="","",'Supp. Result Entry'!AN80)</f>
        <v/>
      </c>
      <c r="JN82" s="110">
        <f>COUNTIF('Supp. Result Entry'!K80:Q80,"S")</f>
        <v>0</v>
      </c>
      <c r="JO82" s="110">
        <f t="shared" si="248"/>
        <v>0</v>
      </c>
      <c r="JP82" s="110">
        <f t="shared" si="325"/>
        <v>0</v>
      </c>
      <c r="JQ82" s="110" t="str">
        <f t="shared" si="249"/>
        <v/>
      </c>
      <c r="JR82" s="110" t="str">
        <f t="shared" si="250"/>
        <v/>
      </c>
      <c r="JS82" s="110" t="str">
        <f t="shared" si="251"/>
        <v/>
      </c>
      <c r="JT82" s="110" t="str">
        <f t="shared" si="252"/>
        <v/>
      </c>
      <c r="JU82" s="110" t="str">
        <f t="shared" si="253"/>
        <v/>
      </c>
      <c r="JV82" s="110" t="str">
        <f t="shared" si="254"/>
        <v/>
      </c>
      <c r="JW82" s="110" t="str">
        <f t="shared" si="255"/>
        <v/>
      </c>
      <c r="JX82" s="110" t="str">
        <f t="shared" si="326"/>
        <v/>
      </c>
      <c r="JY82" s="110" t="str">
        <f t="shared" si="327"/>
        <v/>
      </c>
      <c r="JZ82" s="110" t="str">
        <f t="shared" si="256"/>
        <v/>
      </c>
      <c r="KA82" s="108" t="str">
        <f t="shared" si="328"/>
        <v/>
      </c>
    </row>
    <row r="83" spans="1:287" s="108" customFormat="1" ht="21.95" customHeight="1">
      <c r="A83" s="89">
        <v>77</v>
      </c>
      <c r="B83" s="90" t="str">
        <f>IF('Marks Entry'!B83="","",'Marks Entry'!B83)</f>
        <v/>
      </c>
      <c r="C83" s="94" t="str">
        <f>IF('Marks Entry'!D83="","",'Marks Entry'!D83)</f>
        <v/>
      </c>
      <c r="D83" s="91" t="str">
        <f>IF('Marks Entry'!E83="","",'Marks Entry'!E83)</f>
        <v/>
      </c>
      <c r="E83" s="92" t="str">
        <f>IF('Marks Entry'!F83="","",'Marks Entry'!F83)</f>
        <v/>
      </c>
      <c r="F83" s="93" t="str">
        <f>IF('Marks Entry'!G83="","",'Marks Entry'!G83)</f>
        <v/>
      </c>
      <c r="G83" s="93" t="str">
        <f>IF('Marks Entry'!H83="","",'Marks Entry'!H83)</f>
        <v/>
      </c>
      <c r="H83" s="93" t="str">
        <f>IF('Marks Entry'!I83="","",'Marks Entry'!I83)</f>
        <v/>
      </c>
      <c r="I83" s="94" t="str">
        <f>IF('Marks Entry'!J83="","",'Marks Entry'!J83)</f>
        <v/>
      </c>
      <c r="J83" s="95" t="str">
        <f>IF('Marks Entry'!K83="","",'Marks Entry'!K83)</f>
        <v/>
      </c>
      <c r="K83" s="68" t="str">
        <f>IF('Marks Entry'!L83="","",'Marks Entry'!L83)</f>
        <v/>
      </c>
      <c r="L83" s="68" t="str">
        <f>IF('Marks Entry'!M83="","",'Marks Entry'!M83)</f>
        <v/>
      </c>
      <c r="M83" s="68" t="str">
        <f>IF('Marks Entry'!N83="","",'Marks Entry'!N83)</f>
        <v/>
      </c>
      <c r="N83" s="514" t="str">
        <f t="shared" si="257"/>
        <v/>
      </c>
      <c r="O83" s="68" t="str">
        <f>IF('Marks Entry'!O83="","",'Marks Entry'!O83)</f>
        <v/>
      </c>
      <c r="P83" s="515" t="str">
        <f t="shared" si="258"/>
        <v/>
      </c>
      <c r="Q83" s="68" t="str">
        <f>IF('Marks Entry'!P83="","",'Marks Entry'!P83)</f>
        <v/>
      </c>
      <c r="R83" s="96" t="str">
        <f t="shared" si="259"/>
        <v/>
      </c>
      <c r="S83" s="65">
        <f t="shared" si="260"/>
        <v>0</v>
      </c>
      <c r="T83" s="65">
        <f t="shared" si="261"/>
        <v>0</v>
      </c>
      <c r="U83" s="66" t="str">
        <f t="shared" si="171"/>
        <v/>
      </c>
      <c r="V83" s="65" t="str">
        <f t="shared" si="172"/>
        <v/>
      </c>
      <c r="W83" s="65" t="str">
        <f t="shared" si="262"/>
        <v/>
      </c>
      <c r="X83" s="65" t="str">
        <f t="shared" si="173"/>
        <v/>
      </c>
      <c r="Y83" s="68" t="str">
        <f>IF('Marks Entry'!Q83="","",'Marks Entry'!Q83)</f>
        <v/>
      </c>
      <c r="Z83" s="68" t="str">
        <f>IF('Marks Entry'!R83="","",'Marks Entry'!R83)</f>
        <v/>
      </c>
      <c r="AA83" s="68" t="str">
        <f>IF('Marks Entry'!S83="","",'Marks Entry'!S83)</f>
        <v/>
      </c>
      <c r="AB83" s="514" t="str">
        <f t="shared" si="174"/>
        <v/>
      </c>
      <c r="AC83" s="68" t="str">
        <f>IF('Marks Entry'!T83="","",'Marks Entry'!T83)</f>
        <v/>
      </c>
      <c r="AD83" s="515" t="str">
        <f t="shared" si="175"/>
        <v/>
      </c>
      <c r="AE83" s="68" t="str">
        <f>IF('Marks Entry'!U83="","",'Marks Entry'!U83)</f>
        <v/>
      </c>
      <c r="AF83" s="96" t="str">
        <f t="shared" si="176"/>
        <v/>
      </c>
      <c r="AG83" s="65">
        <f t="shared" si="177"/>
        <v>0</v>
      </c>
      <c r="AH83" s="65">
        <f t="shared" si="178"/>
        <v>0</v>
      </c>
      <c r="AI83" s="66" t="str">
        <f t="shared" si="179"/>
        <v/>
      </c>
      <c r="AJ83" s="65" t="str">
        <f t="shared" si="180"/>
        <v/>
      </c>
      <c r="AK83" s="65" t="str">
        <f t="shared" si="181"/>
        <v/>
      </c>
      <c r="AL83" s="65" t="str">
        <f t="shared" si="182"/>
        <v/>
      </c>
      <c r="AM83" s="524" t="str">
        <f>IF('Marks Entry'!V83="","",IF('Marks Entry'!V83=1,'School Profile'!$I$9,IF('Marks Entry'!V83=2,'School Profile'!$I$10,IF('Marks Entry'!V83=3,'School Profile'!$I$11,IF('Marks Entry'!V83=4,'School Profile'!$I$12,IF('Marks Entry'!V83=5,'School Profile'!$I$13,IF('Marks Entry'!V83=6,'School Profile'!$I$14,"")))))))</f>
        <v/>
      </c>
      <c r="AN83" s="68" t="str">
        <f>IF('Marks Entry'!W83="","",'Marks Entry'!W83)</f>
        <v/>
      </c>
      <c r="AO83" s="68" t="str">
        <f>IF('Marks Entry'!X83="","",'Marks Entry'!X83)</f>
        <v/>
      </c>
      <c r="AP83" s="68" t="str">
        <f>IF('Marks Entry'!Y83="","",'Marks Entry'!Y83)</f>
        <v/>
      </c>
      <c r="AQ83" s="514" t="str">
        <f t="shared" si="183"/>
        <v/>
      </c>
      <c r="AR83" s="68" t="str">
        <f>IF('Marks Entry'!Z83="","",'Marks Entry'!Z83)</f>
        <v/>
      </c>
      <c r="AS83" s="515" t="str">
        <f t="shared" si="184"/>
        <v/>
      </c>
      <c r="AT83" s="68" t="str">
        <f>IF('Marks Entry'!AA83="","",'Marks Entry'!AA83)</f>
        <v/>
      </c>
      <c r="AU83" s="96" t="str">
        <f t="shared" si="185"/>
        <v/>
      </c>
      <c r="AV83" s="65">
        <f t="shared" si="186"/>
        <v>0</v>
      </c>
      <c r="AW83" s="65">
        <f t="shared" si="187"/>
        <v>0</v>
      </c>
      <c r="AX83" s="66" t="str">
        <f t="shared" si="188"/>
        <v/>
      </c>
      <c r="AY83" s="65" t="str">
        <f t="shared" si="189"/>
        <v/>
      </c>
      <c r="AZ83" s="65" t="str">
        <f t="shared" si="190"/>
        <v/>
      </c>
      <c r="BA83" s="65" t="str">
        <f t="shared" si="191"/>
        <v/>
      </c>
      <c r="BB83" s="68" t="str">
        <f>IF('Marks Entry'!AB83="","",'Marks Entry'!AB83)</f>
        <v/>
      </c>
      <c r="BC83" s="68" t="str">
        <f>IF('Marks Entry'!AC83="","",'Marks Entry'!AC83)</f>
        <v/>
      </c>
      <c r="BD83" s="68" t="str">
        <f>IF('Marks Entry'!AD83="","",'Marks Entry'!AD83)</f>
        <v/>
      </c>
      <c r="BE83" s="514" t="str">
        <f t="shared" si="192"/>
        <v/>
      </c>
      <c r="BF83" s="68" t="str">
        <f>IF('Marks Entry'!AE83="","",'Marks Entry'!AE83)</f>
        <v/>
      </c>
      <c r="BG83" s="515" t="str">
        <f t="shared" si="193"/>
        <v/>
      </c>
      <c r="BH83" s="68" t="str">
        <f>IF('Marks Entry'!AF83="","",'Marks Entry'!AF83)</f>
        <v/>
      </c>
      <c r="BI83" s="96" t="str">
        <f t="shared" si="194"/>
        <v/>
      </c>
      <c r="BJ83" s="65">
        <f t="shared" si="195"/>
        <v>0</v>
      </c>
      <c r="BK83" s="65">
        <f t="shared" si="263"/>
        <v>0</v>
      </c>
      <c r="BL83" s="66" t="str">
        <f t="shared" si="196"/>
        <v/>
      </c>
      <c r="BM83" s="65" t="str">
        <f t="shared" si="197"/>
        <v/>
      </c>
      <c r="BN83" s="65" t="str">
        <f t="shared" si="198"/>
        <v/>
      </c>
      <c r="BO83" s="65" t="str">
        <f t="shared" si="199"/>
        <v/>
      </c>
      <c r="BP83" s="68" t="str">
        <f>IF('Marks Entry'!AG83="","",'Marks Entry'!AG83)</f>
        <v/>
      </c>
      <c r="BQ83" s="68" t="str">
        <f>IF('Marks Entry'!AH83="","",'Marks Entry'!AH83)</f>
        <v/>
      </c>
      <c r="BR83" s="68" t="str">
        <f>IF('Marks Entry'!AI83="","",'Marks Entry'!AI83)</f>
        <v/>
      </c>
      <c r="BS83" s="514" t="str">
        <f t="shared" si="200"/>
        <v/>
      </c>
      <c r="BT83" s="68" t="str">
        <f>IF('Marks Entry'!AJ83="","",'Marks Entry'!AJ83)</f>
        <v/>
      </c>
      <c r="BU83" s="515" t="str">
        <f t="shared" si="201"/>
        <v/>
      </c>
      <c r="BV83" s="68" t="str">
        <f>IF('Marks Entry'!AK83="","",'Marks Entry'!AK83)</f>
        <v/>
      </c>
      <c r="BW83" s="96" t="str">
        <f t="shared" si="202"/>
        <v/>
      </c>
      <c r="BX83" s="65">
        <f t="shared" si="203"/>
        <v>0</v>
      </c>
      <c r="BY83" s="65">
        <f t="shared" si="204"/>
        <v>0</v>
      </c>
      <c r="BZ83" s="66" t="str">
        <f t="shared" si="205"/>
        <v/>
      </c>
      <c r="CA83" s="65" t="str">
        <f t="shared" si="206"/>
        <v/>
      </c>
      <c r="CB83" s="65" t="str">
        <f t="shared" si="207"/>
        <v/>
      </c>
      <c r="CC83" s="65" t="str">
        <f t="shared" si="208"/>
        <v/>
      </c>
      <c r="CD83" s="66">
        <f t="shared" si="209"/>
        <v>0</v>
      </c>
      <c r="CE83" s="68" t="str">
        <f>IF('Marks Entry'!AL83="","",'Marks Entry'!AL83)</f>
        <v/>
      </c>
      <c r="CF83" s="68" t="str">
        <f>IF('Marks Entry'!AM83="","",'Marks Entry'!AM83)</f>
        <v/>
      </c>
      <c r="CG83" s="68" t="str">
        <f>IF('Marks Entry'!AN83="","",'Marks Entry'!AN83)</f>
        <v/>
      </c>
      <c r="CH83" s="514" t="str">
        <f t="shared" si="210"/>
        <v/>
      </c>
      <c r="CI83" s="68" t="str">
        <f>IF('Marks Entry'!AO83="","",'Marks Entry'!AO83)</f>
        <v/>
      </c>
      <c r="CJ83" s="515" t="str">
        <f t="shared" si="211"/>
        <v/>
      </c>
      <c r="CK83" s="68" t="str">
        <f>IF('Marks Entry'!AP83="","",'Marks Entry'!AP83)</f>
        <v/>
      </c>
      <c r="CL83" s="96" t="str">
        <f t="shared" si="212"/>
        <v/>
      </c>
      <c r="CM83" s="65">
        <f t="shared" si="213"/>
        <v>0</v>
      </c>
      <c r="CN83" s="65">
        <f t="shared" si="214"/>
        <v>0</v>
      </c>
      <c r="CO83" s="66" t="str">
        <f t="shared" si="215"/>
        <v/>
      </c>
      <c r="CP83" s="65" t="str">
        <f t="shared" si="216"/>
        <v/>
      </c>
      <c r="CQ83" s="65" t="str">
        <f t="shared" si="217"/>
        <v/>
      </c>
      <c r="CR83" s="65" t="str">
        <f t="shared" si="218"/>
        <v/>
      </c>
      <c r="CS83" s="616"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8" t="str">
        <f>IF('School Profile'!$D$20="NO","",IF('Marks Entry'!AR83="","",'Marks Entry'!AR83))</f>
        <v/>
      </c>
      <c r="CU83" s="68" t="str">
        <f>IF('School Profile'!$D$20="NO","",IF('Marks Entry'!AS83="","",'Marks Entry'!AS83))</f>
        <v/>
      </c>
      <c r="CV83" s="68" t="str">
        <f>IF('School Profile'!$D$20="NO","",IF('Marks Entry'!AT83="","",'Marks Entry'!AT83))</f>
        <v/>
      </c>
      <c r="CW83" s="514" t="str">
        <f>IF('School Profile'!$D$20="NO","",IF(AND(CT83="",CU83="",CV83=""),"",SUM(CT83:CV83)))</f>
        <v/>
      </c>
      <c r="CX83" s="68" t="str">
        <f>IF('School Profile'!$D$20="NO","",IF('Marks Entry'!AU83="","",'Marks Entry'!AU83))</f>
        <v/>
      </c>
      <c r="CY83" s="68" t="str">
        <f>IF('School Profile'!$D$20="NO","",IF('Marks Entry'!AV83="","",'Marks Entry'!AV83))</f>
        <v/>
      </c>
      <c r="CZ83" s="515" t="str">
        <f>IF('School Profile'!$D$20="NO","",IF(AND(CX83="",CY83=""),"",SUM(CX83,CY83)))</f>
        <v/>
      </c>
      <c r="DA83" s="69" t="str">
        <f>IF('School Profile'!$D$20="NO","",IF(AND(CW83="",CZ83=""),"",SUM(CW83+CZ83)))</f>
        <v/>
      </c>
      <c r="DB83" s="68" t="str">
        <f>IF('School Profile'!$D$20="NO","",IF('Marks Entry'!AW83="","",'Marks Entry'!AW83))</f>
        <v/>
      </c>
      <c r="DC83" s="68" t="str">
        <f>IF('School Profile'!$D$20="NO","",IF('Marks Entry'!AX83="","",'Marks Entry'!AX83))</f>
        <v/>
      </c>
      <c r="DD83" s="515" t="str">
        <f>IF('School Profile'!$D$20="NO","",IF(AND(DB83="",DC83=""),"",SUM(DB83,DC83)))</f>
        <v/>
      </c>
      <c r="DE83" s="96" t="str">
        <f>IF('School Profile'!$D$20="NO","",IF(AND(DA83="",DD83=""),"",SUM(DA83,DD83)))</f>
        <v/>
      </c>
      <c r="DF83" s="532">
        <f t="shared" si="219"/>
        <v>0</v>
      </c>
      <c r="DG83" s="65">
        <f t="shared" si="220"/>
        <v>0</v>
      </c>
      <c r="DH83" s="66" t="str">
        <f t="shared" si="221"/>
        <v/>
      </c>
      <c r="DI83" s="65" t="str">
        <f t="shared" si="222"/>
        <v/>
      </c>
      <c r="DJ83" s="65" t="str">
        <f t="shared" si="223"/>
        <v/>
      </c>
      <c r="DK83" s="65" t="str">
        <f t="shared" si="224"/>
        <v/>
      </c>
      <c r="DL83" s="97" t="str">
        <f t="shared" si="264"/>
        <v/>
      </c>
      <c r="DM83" s="97" t="str">
        <f t="shared" si="265"/>
        <v/>
      </c>
      <c r="DN83" s="97" t="str">
        <f t="shared" si="266"/>
        <v/>
      </c>
      <c r="DO83" s="97" t="str">
        <f t="shared" si="267"/>
        <v/>
      </c>
      <c r="DP83" s="97" t="str">
        <f t="shared" si="268"/>
        <v/>
      </c>
      <c r="DQ83" s="97" t="str">
        <f t="shared" si="269"/>
        <v/>
      </c>
      <c r="DR83" s="97" t="str">
        <f t="shared" si="270"/>
        <v/>
      </c>
      <c r="DS83" s="98">
        <f t="shared" si="271"/>
        <v>0</v>
      </c>
      <c r="DT83" s="98">
        <f t="shared" si="272"/>
        <v>0</v>
      </c>
      <c r="DU83" s="98">
        <f t="shared" si="273"/>
        <v>0</v>
      </c>
      <c r="DV83" s="98">
        <f t="shared" si="274"/>
        <v>0</v>
      </c>
      <c r="DW83" s="98">
        <f t="shared" si="275"/>
        <v>0</v>
      </c>
      <c r="DX83" s="98" t="str">
        <f t="shared" si="276"/>
        <v/>
      </c>
      <c r="DY83" s="99" t="str">
        <f t="shared" si="277"/>
        <v/>
      </c>
      <c r="DZ83" s="74" t="str">
        <f>IF('Marks Entry'!AY83="","",'Marks Entry'!AY83)</f>
        <v/>
      </c>
      <c r="EA83" s="74" t="str">
        <f>IF('Marks Entry'!AZ83="","",'Marks Entry'!AZ83)</f>
        <v/>
      </c>
      <c r="EB83" s="74" t="str">
        <f>IF('Marks Entry'!BA83="","",'Marks Entry'!BA83)</f>
        <v/>
      </c>
      <c r="EC83" s="527" t="str">
        <f t="shared" si="225"/>
        <v/>
      </c>
      <c r="ED83" s="74" t="str">
        <f>IF('Marks Entry'!BB83="","",'Marks Entry'!BB83)</f>
        <v/>
      </c>
      <c r="EE83" s="528" t="str">
        <f t="shared" si="226"/>
        <v/>
      </c>
      <c r="EF83" s="74" t="str">
        <f>IF('Marks Entry'!BC83="","",'Marks Entry'!BC83)</f>
        <v/>
      </c>
      <c r="EG83" s="530" t="str">
        <f t="shared" si="227"/>
        <v/>
      </c>
      <c r="EH83" s="368" t="str">
        <f t="shared" si="278"/>
        <v/>
      </c>
      <c r="EI83" s="65">
        <f t="shared" si="279"/>
        <v>0</v>
      </c>
      <c r="EJ83" s="65">
        <f t="shared" si="280"/>
        <v>0</v>
      </c>
      <c r="EK83" s="66" t="str">
        <f t="shared" si="281"/>
        <v/>
      </c>
      <c r="EL83" s="74" t="str">
        <f>IF('Marks Entry'!BD83="","",'Marks Entry'!BD83)</f>
        <v/>
      </c>
      <c r="EM83" s="74" t="str">
        <f>IF('Marks Entry'!BE83="","",'Marks Entry'!BE83)</f>
        <v/>
      </c>
      <c r="EN83" s="74" t="str">
        <f>IF('Marks Entry'!BF83="","",'Marks Entry'!BF83)</f>
        <v/>
      </c>
      <c r="EO83" s="527" t="str">
        <f t="shared" si="228"/>
        <v/>
      </c>
      <c r="EP83" s="74" t="str">
        <f>IF('Marks Entry'!BG83="","",'Marks Entry'!BG83)</f>
        <v/>
      </c>
      <c r="EQ83" s="74" t="str">
        <f>IF('Marks Entry'!BH83="","",'Marks Entry'!BH83)</f>
        <v/>
      </c>
      <c r="ER83" s="528" t="str">
        <f t="shared" si="229"/>
        <v/>
      </c>
      <c r="ES83" s="529" t="str">
        <f t="shared" si="230"/>
        <v/>
      </c>
      <c r="ET83" s="74" t="str">
        <f>IF('Marks Entry'!BI83="","",'Marks Entry'!BI83)</f>
        <v/>
      </c>
      <c r="EU83" s="74" t="str">
        <f>IF('Marks Entry'!BJ83="","",'Marks Entry'!BJ83)</f>
        <v/>
      </c>
      <c r="EV83" s="528" t="str">
        <f t="shared" si="231"/>
        <v/>
      </c>
      <c r="EW83" s="530" t="str">
        <f t="shared" si="232"/>
        <v/>
      </c>
      <c r="EX83" s="368" t="str">
        <f t="shared" si="282"/>
        <v/>
      </c>
      <c r="EY83" s="65">
        <f t="shared" si="283"/>
        <v>0</v>
      </c>
      <c r="EZ83" s="65">
        <f t="shared" si="284"/>
        <v>0</v>
      </c>
      <c r="FA83" s="66" t="str">
        <f t="shared" si="285"/>
        <v/>
      </c>
      <c r="FB83" s="74" t="str">
        <f>IF('Marks Entry'!BK83="","",'Marks Entry'!BK83)</f>
        <v/>
      </c>
      <c r="FC83" s="74" t="str">
        <f>IF('Marks Entry'!BL83="","",'Marks Entry'!BL83)</f>
        <v/>
      </c>
      <c r="FD83" s="74" t="str">
        <f>IF('Marks Entry'!BM83="","",'Marks Entry'!BM83)</f>
        <v/>
      </c>
      <c r="FE83" s="74" t="str">
        <f>IF('Marks Entry'!BN83="","",'Marks Entry'!BN83)</f>
        <v/>
      </c>
      <c r="FF83" s="74" t="str">
        <f>IF('Marks Entry'!BO83="","",'Marks Entry'!BO83)</f>
        <v/>
      </c>
      <c r="FG83" s="74" t="str">
        <f>IF('Marks Entry'!BP83="","",'Marks Entry'!BP83)</f>
        <v/>
      </c>
      <c r="FH83" s="527" t="str">
        <f t="shared" si="233"/>
        <v/>
      </c>
      <c r="FI83" s="74" t="str">
        <f>IF('Marks Entry'!BQ83="","",'Marks Entry'!BQ83)</f>
        <v/>
      </c>
      <c r="FJ83" s="74" t="str">
        <f>IF('Marks Entry'!BR83="","",'Marks Entry'!BR83)</f>
        <v/>
      </c>
      <c r="FK83" s="528" t="str">
        <f t="shared" si="234"/>
        <v/>
      </c>
      <c r="FL83" s="529" t="str">
        <f t="shared" si="235"/>
        <v/>
      </c>
      <c r="FM83" s="74" t="str">
        <f>IF('Marks Entry'!BS83="","",'Marks Entry'!BS83)</f>
        <v/>
      </c>
      <c r="FN83" s="74" t="str">
        <f>IF('Marks Entry'!BT83="","",'Marks Entry'!BT83)</f>
        <v/>
      </c>
      <c r="FO83" s="528" t="str">
        <f t="shared" si="236"/>
        <v/>
      </c>
      <c r="FP83" s="530" t="str">
        <f t="shared" si="237"/>
        <v/>
      </c>
      <c r="FQ83" s="368" t="str">
        <f t="shared" si="286"/>
        <v/>
      </c>
      <c r="FR83" s="65">
        <f t="shared" si="287"/>
        <v>0</v>
      </c>
      <c r="FS83" s="65">
        <f t="shared" si="288"/>
        <v>0</v>
      </c>
      <c r="FT83" s="66" t="str">
        <f t="shared" si="289"/>
        <v/>
      </c>
      <c r="FU83" s="74" t="str">
        <f>IF('Marks Entry'!BU83="","",'Marks Entry'!BU83)</f>
        <v/>
      </c>
      <c r="FV83" s="74" t="str">
        <f>IF('Marks Entry'!BV83="","",'Marks Entry'!BV83)</f>
        <v/>
      </c>
      <c r="FW83" s="74" t="str">
        <f>IF('Marks Entry'!BW83="","",'Marks Entry'!BW83)</f>
        <v/>
      </c>
      <c r="FX83" s="75" t="str">
        <f t="shared" si="238"/>
        <v/>
      </c>
      <c r="FY83" s="368" t="str">
        <f t="shared" si="290"/>
        <v/>
      </c>
      <c r="FZ83" s="65">
        <f t="shared" si="291"/>
        <v>0</v>
      </c>
      <c r="GA83" s="66">
        <f t="shared" si="292"/>
        <v>0</v>
      </c>
      <c r="GB83" s="66" t="str">
        <f t="shared" si="293"/>
        <v/>
      </c>
      <c r="GC83" s="74" t="str">
        <f>IF('Marks Entry'!BX83="","",'Marks Entry'!BX83)</f>
        <v/>
      </c>
      <c r="GD83" s="74" t="str">
        <f>IF('Marks Entry'!BY83="","",'Marks Entry'!BY83)</f>
        <v/>
      </c>
      <c r="GE83" s="74" t="str">
        <f>IF('Marks Entry'!BZ83="","",'Marks Entry'!BZ83)</f>
        <v/>
      </c>
      <c r="GF83" s="75" t="str">
        <f t="shared" si="294"/>
        <v/>
      </c>
      <c r="GG83" s="368" t="str">
        <f t="shared" si="295"/>
        <v/>
      </c>
      <c r="GH83" s="65">
        <f t="shared" si="296"/>
        <v>0</v>
      </c>
      <c r="GI83" s="66">
        <f t="shared" si="297"/>
        <v>0</v>
      </c>
      <c r="GJ83" s="66" t="str">
        <f t="shared" si="298"/>
        <v/>
      </c>
      <c r="GK83" s="100" t="str">
        <f>IF(AND(F83="",B83=""),"",IF('Student DATA Entry'!M80="","",'Student DATA Entry'!M80))</f>
        <v/>
      </c>
      <c r="GL83" s="101" t="str">
        <f>IF(AND(B83="",F83=""),"",IF('Student DATA Entry'!N80="","",'Student DATA Entry'!N80))</f>
        <v/>
      </c>
      <c r="GM83" s="581" t="str">
        <f t="shared" si="299"/>
        <v/>
      </c>
      <c r="GN83" s="94" t="str">
        <f t="shared" si="300"/>
        <v/>
      </c>
      <c r="GO83" s="94" t="str">
        <f t="shared" si="301"/>
        <v/>
      </c>
      <c r="GP83" s="102" t="str">
        <f t="shared" si="239"/>
        <v/>
      </c>
      <c r="GQ83" s="94" t="str">
        <f t="shared" si="302"/>
        <v/>
      </c>
      <c r="GR83" s="103" t="str">
        <f t="shared" si="303"/>
        <v/>
      </c>
      <c r="GS83" s="102" t="str">
        <f t="shared" si="240"/>
        <v/>
      </c>
      <c r="GT83" s="104" t="str">
        <f t="shared" si="304"/>
        <v/>
      </c>
      <c r="GU83" s="94" t="str">
        <f>IF('Marks Entry'!V83=1,GT83,"")</f>
        <v/>
      </c>
      <c r="GV83" s="94" t="str">
        <f>IF('Marks Entry'!V83=2,GT83,"")</f>
        <v/>
      </c>
      <c r="GW83" s="94" t="str">
        <f>IF('Marks Entry'!V83=3,GT83,"")</f>
        <v/>
      </c>
      <c r="GX83" s="94" t="str">
        <f>IF('Marks Entry'!V83=4,GT83,"")</f>
        <v/>
      </c>
      <c r="GY83" s="94" t="str">
        <f>IF('Marks Entry'!V83=5,GT83,"")</f>
        <v/>
      </c>
      <c r="GZ83" s="94" t="str">
        <f t="shared" si="305"/>
        <v/>
      </c>
      <c r="HA83" s="105" t="str">
        <f t="shared" si="241"/>
        <v/>
      </c>
      <c r="HB83" s="94" t="str">
        <f t="shared" si="306"/>
        <v/>
      </c>
      <c r="HC83" s="94" t="str">
        <f t="shared" si="307"/>
        <v/>
      </c>
      <c r="HD83" s="105" t="str">
        <f t="shared" si="242"/>
        <v/>
      </c>
      <c r="HE83" s="94" t="str">
        <f t="shared" si="308"/>
        <v/>
      </c>
      <c r="HF83" s="94" t="str">
        <f t="shared" si="309"/>
        <v/>
      </c>
      <c r="HG83" s="105" t="str">
        <f t="shared" si="243"/>
        <v/>
      </c>
      <c r="HH83" s="94" t="str">
        <f t="shared" si="310"/>
        <v/>
      </c>
      <c r="HI83" s="94" t="str">
        <f t="shared" si="311"/>
        <v/>
      </c>
      <c r="HJ83" s="105" t="str">
        <f t="shared" si="244"/>
        <v/>
      </c>
      <c r="HK83" s="94" t="str">
        <f t="shared" si="312"/>
        <v/>
      </c>
      <c r="HL83" s="94" t="str">
        <f t="shared" si="313"/>
        <v/>
      </c>
      <c r="HM83" s="105" t="str">
        <f t="shared" si="245"/>
        <v/>
      </c>
      <c r="HN83" s="367" t="str">
        <f t="shared" si="314"/>
        <v xml:space="preserve">      </v>
      </c>
      <c r="HO83" s="418" t="str">
        <f t="shared" si="246"/>
        <v xml:space="preserve">      </v>
      </c>
      <c r="HP83" s="367" t="str">
        <f t="shared" si="315"/>
        <v xml:space="preserve">      </v>
      </c>
      <c r="HQ83" s="107" t="str">
        <f t="shared" si="316"/>
        <v xml:space="preserve">      </v>
      </c>
      <c r="HR83" s="366" t="str">
        <f t="shared" si="317"/>
        <v xml:space="preserve">      </v>
      </c>
      <c r="HS83" s="544" t="str">
        <f t="shared" si="247"/>
        <v/>
      </c>
      <c r="HT83" s="542" t="str">
        <f t="shared" si="318"/>
        <v/>
      </c>
      <c r="HU83" s="541" t="str">
        <f t="shared" si="319"/>
        <v/>
      </c>
      <c r="HV83" s="540" t="str">
        <f t="shared" si="320"/>
        <v/>
      </c>
      <c r="HW83" s="537" t="str">
        <f t="shared" si="321"/>
        <v/>
      </c>
      <c r="HX83" s="539" t="str">
        <f t="shared" si="322"/>
        <v/>
      </c>
      <c r="HY83" s="553" t="str">
        <f>IFERROR(IF(OR(HS83="SUPPLEMENTARY",HS83="RE-EXAM"),'Supp. Result Entry'!AQ81,""),"")</f>
        <v/>
      </c>
      <c r="HZ83" s="538" t="str">
        <f t="shared" si="323"/>
        <v/>
      </c>
      <c r="IA83" s="415" t="str">
        <f t="shared" si="324"/>
        <v/>
      </c>
      <c r="IB83" s="415" t="str">
        <f>IF(AND(HZ83="",IA83=""),"",IF(OR(HS83="SUPPLEMENTARY",HS83="RE-EXAM"),'Supp. Result Entry'!AQ81,HS83))</f>
        <v/>
      </c>
      <c r="IC83" s="87"/>
      <c r="IS83" s="109" t="str">
        <f>IF('Supp. Result Entry'!T81="","",'Supp. Result Entry'!$T$4)</f>
        <v/>
      </c>
      <c r="IT83" s="110" t="str">
        <f>IF('Supp. Result Entry'!W81="","",'Supp. Result Entry'!$W$4)</f>
        <v/>
      </c>
      <c r="IU83" s="110" t="str">
        <f>IF('Supp. Result Entry'!Z81="","",'Supp. Result Entry'!$Z$4)</f>
        <v/>
      </c>
      <c r="IV83" s="110" t="str">
        <f>IF('Supp. Result Entry'!AC81="","",'Supp. Result Entry'!$AC$4)</f>
        <v/>
      </c>
      <c r="IW83" s="110" t="str">
        <f>IF('Supp. Result Entry'!AF81="","",'Supp. Result Entry'!$AF$4)</f>
        <v/>
      </c>
      <c r="IX83" s="110" t="str">
        <f>IF('Supp. Result Entry'!AI81="","",'Supp. Result Entry'!$AI$4)</f>
        <v/>
      </c>
      <c r="IY83" s="110" t="str">
        <f>IF('Supp. Result Entry'!AI81="","",'Supp. Result Entry'!$AL$4)</f>
        <v/>
      </c>
      <c r="IZ83" s="110" t="str">
        <f>IF('Supp. Result Entry'!U81="","",'Supp. Result Entry'!U81)</f>
        <v/>
      </c>
      <c r="JA83" s="110" t="str">
        <f>IF('Supp. Result Entry'!X81="","",'Supp. Result Entry'!X81)</f>
        <v/>
      </c>
      <c r="JB83" s="110" t="str">
        <f>IF('Supp. Result Entry'!AA81="","",'Supp. Result Entry'!AA81)</f>
        <v/>
      </c>
      <c r="JC83" s="110" t="str">
        <f>IF('Supp. Result Entry'!AD81="","",'Supp. Result Entry'!AD81)</f>
        <v/>
      </c>
      <c r="JD83" s="110" t="str">
        <f>IF('Supp. Result Entry'!AG81="","",'Supp. Result Entry'!AG81)</f>
        <v/>
      </c>
      <c r="JE83" s="110" t="str">
        <f>IF('Supp. Result Entry'!AJ81="","",'Supp. Result Entry'!AJ81)</f>
        <v/>
      </c>
      <c r="JF83" s="110" t="str">
        <f>IF('Supp. Result Entry'!AM81="","",'Supp. Result Entry'!AM81)</f>
        <v/>
      </c>
      <c r="JG83" s="110" t="str">
        <f>IF('Supp. Result Entry'!V81="","",'Supp. Result Entry'!V81)</f>
        <v/>
      </c>
      <c r="JH83" s="110" t="str">
        <f>IF('Supp. Result Entry'!Y81="","",'Supp. Result Entry'!Y81)</f>
        <v/>
      </c>
      <c r="JI83" s="110" t="str">
        <f>IF('Supp. Result Entry'!AB81="","",'Supp. Result Entry'!AB81)</f>
        <v/>
      </c>
      <c r="JJ83" s="110" t="str">
        <f>IF('Supp. Result Entry'!AE81="","",'Supp. Result Entry'!AE81)</f>
        <v/>
      </c>
      <c r="JK83" s="110" t="str">
        <f>IF('Supp. Result Entry'!AH81="","",'Supp. Result Entry'!AH81)</f>
        <v/>
      </c>
      <c r="JL83" s="110" t="str">
        <f>IF('Supp. Result Entry'!AK81="","",'Supp. Result Entry'!AK81)</f>
        <v/>
      </c>
      <c r="JM83" s="110" t="str">
        <f>IF('Supp. Result Entry'!AN81="","",'Supp. Result Entry'!AN81)</f>
        <v/>
      </c>
      <c r="JN83" s="110">
        <f>COUNTIF('Supp. Result Entry'!K81:Q81,"S")</f>
        <v>0</v>
      </c>
      <c r="JO83" s="110">
        <f t="shared" si="248"/>
        <v>0</v>
      </c>
      <c r="JP83" s="110">
        <f t="shared" si="325"/>
        <v>0</v>
      </c>
      <c r="JQ83" s="110" t="str">
        <f t="shared" si="249"/>
        <v/>
      </c>
      <c r="JR83" s="110" t="str">
        <f t="shared" si="250"/>
        <v/>
      </c>
      <c r="JS83" s="110" t="str">
        <f t="shared" si="251"/>
        <v/>
      </c>
      <c r="JT83" s="110" t="str">
        <f t="shared" si="252"/>
        <v/>
      </c>
      <c r="JU83" s="110" t="str">
        <f t="shared" si="253"/>
        <v/>
      </c>
      <c r="JV83" s="110" t="str">
        <f t="shared" si="254"/>
        <v/>
      </c>
      <c r="JW83" s="110" t="str">
        <f t="shared" si="255"/>
        <v/>
      </c>
      <c r="JX83" s="110" t="str">
        <f t="shared" si="326"/>
        <v/>
      </c>
      <c r="JY83" s="110" t="str">
        <f t="shared" si="327"/>
        <v/>
      </c>
      <c r="JZ83" s="110" t="str">
        <f t="shared" si="256"/>
        <v/>
      </c>
      <c r="KA83" s="108" t="str">
        <f t="shared" si="328"/>
        <v/>
      </c>
    </row>
    <row r="84" spans="1:287" s="108" customFormat="1" ht="21.95" customHeight="1">
      <c r="A84" s="89">
        <v>78</v>
      </c>
      <c r="B84" s="90" t="str">
        <f>IF('Marks Entry'!B84="","",'Marks Entry'!B84)</f>
        <v/>
      </c>
      <c r="C84" s="94" t="str">
        <f>IF('Marks Entry'!D84="","",'Marks Entry'!D84)</f>
        <v/>
      </c>
      <c r="D84" s="91" t="str">
        <f>IF('Marks Entry'!E84="","",'Marks Entry'!E84)</f>
        <v/>
      </c>
      <c r="E84" s="92" t="str">
        <f>IF('Marks Entry'!F84="","",'Marks Entry'!F84)</f>
        <v/>
      </c>
      <c r="F84" s="93" t="str">
        <f>IF('Marks Entry'!G84="","",'Marks Entry'!G84)</f>
        <v/>
      </c>
      <c r="G84" s="93" t="str">
        <f>IF('Marks Entry'!H84="","",'Marks Entry'!H84)</f>
        <v/>
      </c>
      <c r="H84" s="93" t="str">
        <f>IF('Marks Entry'!I84="","",'Marks Entry'!I84)</f>
        <v/>
      </c>
      <c r="I84" s="94" t="str">
        <f>IF('Marks Entry'!J84="","",'Marks Entry'!J84)</f>
        <v/>
      </c>
      <c r="J84" s="95" t="str">
        <f>IF('Marks Entry'!K84="","",'Marks Entry'!K84)</f>
        <v/>
      </c>
      <c r="K84" s="68" t="str">
        <f>IF('Marks Entry'!L84="","",'Marks Entry'!L84)</f>
        <v/>
      </c>
      <c r="L84" s="68" t="str">
        <f>IF('Marks Entry'!M84="","",'Marks Entry'!M84)</f>
        <v/>
      </c>
      <c r="M84" s="68" t="str">
        <f>IF('Marks Entry'!N84="","",'Marks Entry'!N84)</f>
        <v/>
      </c>
      <c r="N84" s="514" t="str">
        <f t="shared" si="257"/>
        <v/>
      </c>
      <c r="O84" s="68" t="str">
        <f>IF('Marks Entry'!O84="","",'Marks Entry'!O84)</f>
        <v/>
      </c>
      <c r="P84" s="515" t="str">
        <f t="shared" si="258"/>
        <v/>
      </c>
      <c r="Q84" s="68" t="str">
        <f>IF('Marks Entry'!P84="","",'Marks Entry'!P84)</f>
        <v/>
      </c>
      <c r="R84" s="96" t="str">
        <f t="shared" si="259"/>
        <v/>
      </c>
      <c r="S84" s="65">
        <f t="shared" si="260"/>
        <v>0</v>
      </c>
      <c r="T84" s="65">
        <f t="shared" si="261"/>
        <v>0</v>
      </c>
      <c r="U84" s="66" t="str">
        <f t="shared" si="171"/>
        <v/>
      </c>
      <c r="V84" s="65" t="str">
        <f t="shared" si="172"/>
        <v/>
      </c>
      <c r="W84" s="65" t="str">
        <f t="shared" si="262"/>
        <v/>
      </c>
      <c r="X84" s="65" t="str">
        <f t="shared" si="173"/>
        <v/>
      </c>
      <c r="Y84" s="68" t="str">
        <f>IF('Marks Entry'!Q84="","",'Marks Entry'!Q84)</f>
        <v/>
      </c>
      <c r="Z84" s="68" t="str">
        <f>IF('Marks Entry'!R84="","",'Marks Entry'!R84)</f>
        <v/>
      </c>
      <c r="AA84" s="68" t="str">
        <f>IF('Marks Entry'!S84="","",'Marks Entry'!S84)</f>
        <v/>
      </c>
      <c r="AB84" s="514" t="str">
        <f t="shared" si="174"/>
        <v/>
      </c>
      <c r="AC84" s="68" t="str">
        <f>IF('Marks Entry'!T84="","",'Marks Entry'!T84)</f>
        <v/>
      </c>
      <c r="AD84" s="515" t="str">
        <f t="shared" si="175"/>
        <v/>
      </c>
      <c r="AE84" s="68" t="str">
        <f>IF('Marks Entry'!U84="","",'Marks Entry'!U84)</f>
        <v/>
      </c>
      <c r="AF84" s="96" t="str">
        <f t="shared" si="176"/>
        <v/>
      </c>
      <c r="AG84" s="65">
        <f t="shared" si="177"/>
        <v>0</v>
      </c>
      <c r="AH84" s="65">
        <f t="shared" si="178"/>
        <v>0</v>
      </c>
      <c r="AI84" s="66" t="str">
        <f t="shared" si="179"/>
        <v/>
      </c>
      <c r="AJ84" s="65" t="str">
        <f t="shared" si="180"/>
        <v/>
      </c>
      <c r="AK84" s="65" t="str">
        <f t="shared" si="181"/>
        <v/>
      </c>
      <c r="AL84" s="65" t="str">
        <f t="shared" si="182"/>
        <v/>
      </c>
      <c r="AM84" s="524" t="str">
        <f>IF('Marks Entry'!V84="","",IF('Marks Entry'!V84=1,'School Profile'!$I$9,IF('Marks Entry'!V84=2,'School Profile'!$I$10,IF('Marks Entry'!V84=3,'School Profile'!$I$11,IF('Marks Entry'!V84=4,'School Profile'!$I$12,IF('Marks Entry'!V84=5,'School Profile'!$I$13,IF('Marks Entry'!V84=6,'School Profile'!$I$14,"")))))))</f>
        <v/>
      </c>
      <c r="AN84" s="68" t="str">
        <f>IF('Marks Entry'!W84="","",'Marks Entry'!W84)</f>
        <v/>
      </c>
      <c r="AO84" s="68" t="str">
        <f>IF('Marks Entry'!X84="","",'Marks Entry'!X84)</f>
        <v/>
      </c>
      <c r="AP84" s="68" t="str">
        <f>IF('Marks Entry'!Y84="","",'Marks Entry'!Y84)</f>
        <v/>
      </c>
      <c r="AQ84" s="514" t="str">
        <f t="shared" si="183"/>
        <v/>
      </c>
      <c r="AR84" s="68" t="str">
        <f>IF('Marks Entry'!Z84="","",'Marks Entry'!Z84)</f>
        <v/>
      </c>
      <c r="AS84" s="515" t="str">
        <f t="shared" si="184"/>
        <v/>
      </c>
      <c r="AT84" s="68" t="str">
        <f>IF('Marks Entry'!AA84="","",'Marks Entry'!AA84)</f>
        <v/>
      </c>
      <c r="AU84" s="96" t="str">
        <f t="shared" si="185"/>
        <v/>
      </c>
      <c r="AV84" s="65">
        <f t="shared" si="186"/>
        <v>0</v>
      </c>
      <c r="AW84" s="65">
        <f t="shared" si="187"/>
        <v>0</v>
      </c>
      <c r="AX84" s="66" t="str">
        <f t="shared" si="188"/>
        <v/>
      </c>
      <c r="AY84" s="65" t="str">
        <f t="shared" si="189"/>
        <v/>
      </c>
      <c r="AZ84" s="65" t="str">
        <f t="shared" si="190"/>
        <v/>
      </c>
      <c r="BA84" s="65" t="str">
        <f t="shared" si="191"/>
        <v/>
      </c>
      <c r="BB84" s="68" t="str">
        <f>IF('Marks Entry'!AB84="","",'Marks Entry'!AB84)</f>
        <v/>
      </c>
      <c r="BC84" s="68" t="str">
        <f>IF('Marks Entry'!AC84="","",'Marks Entry'!AC84)</f>
        <v/>
      </c>
      <c r="BD84" s="68" t="str">
        <f>IF('Marks Entry'!AD84="","",'Marks Entry'!AD84)</f>
        <v/>
      </c>
      <c r="BE84" s="514" t="str">
        <f t="shared" si="192"/>
        <v/>
      </c>
      <c r="BF84" s="68" t="str">
        <f>IF('Marks Entry'!AE84="","",'Marks Entry'!AE84)</f>
        <v/>
      </c>
      <c r="BG84" s="515" t="str">
        <f t="shared" si="193"/>
        <v/>
      </c>
      <c r="BH84" s="68" t="str">
        <f>IF('Marks Entry'!AF84="","",'Marks Entry'!AF84)</f>
        <v/>
      </c>
      <c r="BI84" s="96" t="str">
        <f t="shared" si="194"/>
        <v/>
      </c>
      <c r="BJ84" s="65">
        <f t="shared" si="195"/>
        <v>0</v>
      </c>
      <c r="BK84" s="65">
        <f t="shared" si="263"/>
        <v>0</v>
      </c>
      <c r="BL84" s="66" t="str">
        <f t="shared" si="196"/>
        <v/>
      </c>
      <c r="BM84" s="65" t="str">
        <f t="shared" si="197"/>
        <v/>
      </c>
      <c r="BN84" s="65" t="str">
        <f t="shared" si="198"/>
        <v/>
      </c>
      <c r="BO84" s="65" t="str">
        <f t="shared" si="199"/>
        <v/>
      </c>
      <c r="BP84" s="68" t="str">
        <f>IF('Marks Entry'!AG84="","",'Marks Entry'!AG84)</f>
        <v/>
      </c>
      <c r="BQ84" s="68" t="str">
        <f>IF('Marks Entry'!AH84="","",'Marks Entry'!AH84)</f>
        <v/>
      </c>
      <c r="BR84" s="68" t="str">
        <f>IF('Marks Entry'!AI84="","",'Marks Entry'!AI84)</f>
        <v/>
      </c>
      <c r="BS84" s="514" t="str">
        <f t="shared" si="200"/>
        <v/>
      </c>
      <c r="BT84" s="68" t="str">
        <f>IF('Marks Entry'!AJ84="","",'Marks Entry'!AJ84)</f>
        <v/>
      </c>
      <c r="BU84" s="515" t="str">
        <f t="shared" si="201"/>
        <v/>
      </c>
      <c r="BV84" s="68" t="str">
        <f>IF('Marks Entry'!AK84="","",'Marks Entry'!AK84)</f>
        <v/>
      </c>
      <c r="BW84" s="96" t="str">
        <f t="shared" si="202"/>
        <v/>
      </c>
      <c r="BX84" s="65">
        <f t="shared" si="203"/>
        <v>0</v>
      </c>
      <c r="BY84" s="65">
        <f t="shared" si="204"/>
        <v>0</v>
      </c>
      <c r="BZ84" s="66" t="str">
        <f t="shared" si="205"/>
        <v/>
      </c>
      <c r="CA84" s="65" t="str">
        <f t="shared" si="206"/>
        <v/>
      </c>
      <c r="CB84" s="65" t="str">
        <f t="shared" si="207"/>
        <v/>
      </c>
      <c r="CC84" s="65" t="str">
        <f t="shared" si="208"/>
        <v/>
      </c>
      <c r="CD84" s="66">
        <f t="shared" si="209"/>
        <v>0</v>
      </c>
      <c r="CE84" s="68" t="str">
        <f>IF('Marks Entry'!AL84="","",'Marks Entry'!AL84)</f>
        <v/>
      </c>
      <c r="CF84" s="68" t="str">
        <f>IF('Marks Entry'!AM84="","",'Marks Entry'!AM84)</f>
        <v/>
      </c>
      <c r="CG84" s="68" t="str">
        <f>IF('Marks Entry'!AN84="","",'Marks Entry'!AN84)</f>
        <v/>
      </c>
      <c r="CH84" s="514" t="str">
        <f t="shared" si="210"/>
        <v/>
      </c>
      <c r="CI84" s="68" t="str">
        <f>IF('Marks Entry'!AO84="","",'Marks Entry'!AO84)</f>
        <v/>
      </c>
      <c r="CJ84" s="515" t="str">
        <f t="shared" si="211"/>
        <v/>
      </c>
      <c r="CK84" s="68" t="str">
        <f>IF('Marks Entry'!AP84="","",'Marks Entry'!AP84)</f>
        <v/>
      </c>
      <c r="CL84" s="96" t="str">
        <f t="shared" si="212"/>
        <v/>
      </c>
      <c r="CM84" s="65">
        <f t="shared" si="213"/>
        <v>0</v>
      </c>
      <c r="CN84" s="65">
        <f t="shared" si="214"/>
        <v>0</v>
      </c>
      <c r="CO84" s="66" t="str">
        <f t="shared" si="215"/>
        <v/>
      </c>
      <c r="CP84" s="65" t="str">
        <f t="shared" si="216"/>
        <v/>
      </c>
      <c r="CQ84" s="65" t="str">
        <f t="shared" si="217"/>
        <v/>
      </c>
      <c r="CR84" s="65" t="str">
        <f t="shared" si="218"/>
        <v/>
      </c>
      <c r="CS84" s="616"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8" t="str">
        <f>IF('School Profile'!$D$20="NO","",IF('Marks Entry'!AR84="","",'Marks Entry'!AR84))</f>
        <v/>
      </c>
      <c r="CU84" s="68" t="str">
        <f>IF('School Profile'!$D$20="NO","",IF('Marks Entry'!AS84="","",'Marks Entry'!AS84))</f>
        <v/>
      </c>
      <c r="CV84" s="68" t="str">
        <f>IF('School Profile'!$D$20="NO","",IF('Marks Entry'!AT84="","",'Marks Entry'!AT84))</f>
        <v/>
      </c>
      <c r="CW84" s="514" t="str">
        <f>IF('School Profile'!$D$20="NO","",IF(AND(CT84="",CU84="",CV84=""),"",SUM(CT84:CV84)))</f>
        <v/>
      </c>
      <c r="CX84" s="68" t="str">
        <f>IF('School Profile'!$D$20="NO","",IF('Marks Entry'!AU84="","",'Marks Entry'!AU84))</f>
        <v/>
      </c>
      <c r="CY84" s="68" t="str">
        <f>IF('School Profile'!$D$20="NO","",IF('Marks Entry'!AV84="","",'Marks Entry'!AV84))</f>
        <v/>
      </c>
      <c r="CZ84" s="515" t="str">
        <f>IF('School Profile'!$D$20="NO","",IF(AND(CX84="",CY84=""),"",SUM(CX84,CY84)))</f>
        <v/>
      </c>
      <c r="DA84" s="69" t="str">
        <f>IF('School Profile'!$D$20="NO","",IF(AND(CW84="",CZ84=""),"",SUM(CW84+CZ84)))</f>
        <v/>
      </c>
      <c r="DB84" s="68" t="str">
        <f>IF('School Profile'!$D$20="NO","",IF('Marks Entry'!AW84="","",'Marks Entry'!AW84))</f>
        <v/>
      </c>
      <c r="DC84" s="68" t="str">
        <f>IF('School Profile'!$D$20="NO","",IF('Marks Entry'!AX84="","",'Marks Entry'!AX84))</f>
        <v/>
      </c>
      <c r="DD84" s="515" t="str">
        <f>IF('School Profile'!$D$20="NO","",IF(AND(DB84="",DC84=""),"",SUM(DB84,DC84)))</f>
        <v/>
      </c>
      <c r="DE84" s="96" t="str">
        <f>IF('School Profile'!$D$20="NO","",IF(AND(DA84="",DD84=""),"",SUM(DA84,DD84)))</f>
        <v/>
      </c>
      <c r="DF84" s="532">
        <f t="shared" si="219"/>
        <v>0</v>
      </c>
      <c r="DG84" s="65">
        <f t="shared" si="220"/>
        <v>0</v>
      </c>
      <c r="DH84" s="66" t="str">
        <f t="shared" si="221"/>
        <v/>
      </c>
      <c r="DI84" s="65" t="str">
        <f t="shared" si="222"/>
        <v/>
      </c>
      <c r="DJ84" s="65" t="str">
        <f t="shared" si="223"/>
        <v/>
      </c>
      <c r="DK84" s="65" t="str">
        <f t="shared" si="224"/>
        <v/>
      </c>
      <c r="DL84" s="97" t="str">
        <f t="shared" si="264"/>
        <v/>
      </c>
      <c r="DM84" s="97" t="str">
        <f t="shared" si="265"/>
        <v/>
      </c>
      <c r="DN84" s="97" t="str">
        <f t="shared" si="266"/>
        <v/>
      </c>
      <c r="DO84" s="97" t="str">
        <f t="shared" si="267"/>
        <v/>
      </c>
      <c r="DP84" s="97" t="str">
        <f t="shared" si="268"/>
        <v/>
      </c>
      <c r="DQ84" s="97" t="str">
        <f t="shared" si="269"/>
        <v/>
      </c>
      <c r="DR84" s="97" t="str">
        <f t="shared" si="270"/>
        <v/>
      </c>
      <c r="DS84" s="98">
        <f t="shared" si="271"/>
        <v>0</v>
      </c>
      <c r="DT84" s="98">
        <f t="shared" si="272"/>
        <v>0</v>
      </c>
      <c r="DU84" s="98">
        <f t="shared" si="273"/>
        <v>0</v>
      </c>
      <c r="DV84" s="98">
        <f t="shared" si="274"/>
        <v>0</v>
      </c>
      <c r="DW84" s="98">
        <f t="shared" si="275"/>
        <v>0</v>
      </c>
      <c r="DX84" s="98" t="str">
        <f t="shared" si="276"/>
        <v/>
      </c>
      <c r="DY84" s="99" t="str">
        <f t="shared" si="277"/>
        <v/>
      </c>
      <c r="DZ84" s="74" t="str">
        <f>IF('Marks Entry'!AY84="","",'Marks Entry'!AY84)</f>
        <v/>
      </c>
      <c r="EA84" s="74" t="str">
        <f>IF('Marks Entry'!AZ84="","",'Marks Entry'!AZ84)</f>
        <v/>
      </c>
      <c r="EB84" s="74" t="str">
        <f>IF('Marks Entry'!BA84="","",'Marks Entry'!BA84)</f>
        <v/>
      </c>
      <c r="EC84" s="527" t="str">
        <f t="shared" si="225"/>
        <v/>
      </c>
      <c r="ED84" s="74" t="str">
        <f>IF('Marks Entry'!BB84="","",'Marks Entry'!BB84)</f>
        <v/>
      </c>
      <c r="EE84" s="528" t="str">
        <f t="shared" si="226"/>
        <v/>
      </c>
      <c r="EF84" s="74" t="str">
        <f>IF('Marks Entry'!BC84="","",'Marks Entry'!BC84)</f>
        <v/>
      </c>
      <c r="EG84" s="530" t="str">
        <f t="shared" si="227"/>
        <v/>
      </c>
      <c r="EH84" s="368" t="str">
        <f t="shared" si="278"/>
        <v/>
      </c>
      <c r="EI84" s="65">
        <f t="shared" si="279"/>
        <v>0</v>
      </c>
      <c r="EJ84" s="65">
        <f t="shared" si="280"/>
        <v>0</v>
      </c>
      <c r="EK84" s="66" t="str">
        <f t="shared" si="281"/>
        <v/>
      </c>
      <c r="EL84" s="74" t="str">
        <f>IF('Marks Entry'!BD84="","",'Marks Entry'!BD84)</f>
        <v/>
      </c>
      <c r="EM84" s="74" t="str">
        <f>IF('Marks Entry'!BE84="","",'Marks Entry'!BE84)</f>
        <v/>
      </c>
      <c r="EN84" s="74" t="str">
        <f>IF('Marks Entry'!BF84="","",'Marks Entry'!BF84)</f>
        <v/>
      </c>
      <c r="EO84" s="527" t="str">
        <f t="shared" si="228"/>
        <v/>
      </c>
      <c r="EP84" s="74" t="str">
        <f>IF('Marks Entry'!BG84="","",'Marks Entry'!BG84)</f>
        <v/>
      </c>
      <c r="EQ84" s="74" t="str">
        <f>IF('Marks Entry'!BH84="","",'Marks Entry'!BH84)</f>
        <v/>
      </c>
      <c r="ER84" s="528" t="str">
        <f t="shared" si="229"/>
        <v/>
      </c>
      <c r="ES84" s="529" t="str">
        <f t="shared" si="230"/>
        <v/>
      </c>
      <c r="ET84" s="74" t="str">
        <f>IF('Marks Entry'!BI84="","",'Marks Entry'!BI84)</f>
        <v/>
      </c>
      <c r="EU84" s="74" t="str">
        <f>IF('Marks Entry'!BJ84="","",'Marks Entry'!BJ84)</f>
        <v/>
      </c>
      <c r="EV84" s="528" t="str">
        <f t="shared" si="231"/>
        <v/>
      </c>
      <c r="EW84" s="530" t="str">
        <f t="shared" si="232"/>
        <v/>
      </c>
      <c r="EX84" s="368" t="str">
        <f t="shared" si="282"/>
        <v/>
      </c>
      <c r="EY84" s="65">
        <f t="shared" si="283"/>
        <v>0</v>
      </c>
      <c r="EZ84" s="65">
        <f t="shared" si="284"/>
        <v>0</v>
      </c>
      <c r="FA84" s="66" t="str">
        <f t="shared" si="285"/>
        <v/>
      </c>
      <c r="FB84" s="74" t="str">
        <f>IF('Marks Entry'!BK84="","",'Marks Entry'!BK84)</f>
        <v/>
      </c>
      <c r="FC84" s="74" t="str">
        <f>IF('Marks Entry'!BL84="","",'Marks Entry'!BL84)</f>
        <v/>
      </c>
      <c r="FD84" s="74" t="str">
        <f>IF('Marks Entry'!BM84="","",'Marks Entry'!BM84)</f>
        <v/>
      </c>
      <c r="FE84" s="74" t="str">
        <f>IF('Marks Entry'!BN84="","",'Marks Entry'!BN84)</f>
        <v/>
      </c>
      <c r="FF84" s="74" t="str">
        <f>IF('Marks Entry'!BO84="","",'Marks Entry'!BO84)</f>
        <v/>
      </c>
      <c r="FG84" s="74" t="str">
        <f>IF('Marks Entry'!BP84="","",'Marks Entry'!BP84)</f>
        <v/>
      </c>
      <c r="FH84" s="527" t="str">
        <f t="shared" si="233"/>
        <v/>
      </c>
      <c r="FI84" s="74" t="str">
        <f>IF('Marks Entry'!BQ84="","",'Marks Entry'!BQ84)</f>
        <v/>
      </c>
      <c r="FJ84" s="74" t="str">
        <f>IF('Marks Entry'!BR84="","",'Marks Entry'!BR84)</f>
        <v/>
      </c>
      <c r="FK84" s="528" t="str">
        <f t="shared" si="234"/>
        <v/>
      </c>
      <c r="FL84" s="529" t="str">
        <f t="shared" si="235"/>
        <v/>
      </c>
      <c r="FM84" s="74" t="str">
        <f>IF('Marks Entry'!BS84="","",'Marks Entry'!BS84)</f>
        <v/>
      </c>
      <c r="FN84" s="74" t="str">
        <f>IF('Marks Entry'!BT84="","",'Marks Entry'!BT84)</f>
        <v/>
      </c>
      <c r="FO84" s="528" t="str">
        <f t="shared" si="236"/>
        <v/>
      </c>
      <c r="FP84" s="530" t="str">
        <f t="shared" si="237"/>
        <v/>
      </c>
      <c r="FQ84" s="368" t="str">
        <f t="shared" si="286"/>
        <v/>
      </c>
      <c r="FR84" s="65">
        <f t="shared" si="287"/>
        <v>0</v>
      </c>
      <c r="FS84" s="65">
        <f t="shared" si="288"/>
        <v>0</v>
      </c>
      <c r="FT84" s="66" t="str">
        <f t="shared" si="289"/>
        <v/>
      </c>
      <c r="FU84" s="74" t="str">
        <f>IF('Marks Entry'!BU84="","",'Marks Entry'!BU84)</f>
        <v/>
      </c>
      <c r="FV84" s="74" t="str">
        <f>IF('Marks Entry'!BV84="","",'Marks Entry'!BV84)</f>
        <v/>
      </c>
      <c r="FW84" s="74" t="str">
        <f>IF('Marks Entry'!BW84="","",'Marks Entry'!BW84)</f>
        <v/>
      </c>
      <c r="FX84" s="75" t="str">
        <f t="shared" si="238"/>
        <v/>
      </c>
      <c r="FY84" s="368" t="str">
        <f t="shared" si="290"/>
        <v/>
      </c>
      <c r="FZ84" s="65">
        <f t="shared" si="291"/>
        <v>0</v>
      </c>
      <c r="GA84" s="66">
        <f t="shared" si="292"/>
        <v>0</v>
      </c>
      <c r="GB84" s="66" t="str">
        <f t="shared" si="293"/>
        <v/>
      </c>
      <c r="GC84" s="74" t="str">
        <f>IF('Marks Entry'!BX84="","",'Marks Entry'!BX84)</f>
        <v/>
      </c>
      <c r="GD84" s="74" t="str">
        <f>IF('Marks Entry'!BY84="","",'Marks Entry'!BY84)</f>
        <v/>
      </c>
      <c r="GE84" s="74" t="str">
        <f>IF('Marks Entry'!BZ84="","",'Marks Entry'!BZ84)</f>
        <v/>
      </c>
      <c r="GF84" s="75" t="str">
        <f t="shared" si="294"/>
        <v/>
      </c>
      <c r="GG84" s="368" t="str">
        <f t="shared" si="295"/>
        <v/>
      </c>
      <c r="GH84" s="65">
        <f t="shared" si="296"/>
        <v>0</v>
      </c>
      <c r="GI84" s="66">
        <f t="shared" si="297"/>
        <v>0</v>
      </c>
      <c r="GJ84" s="66" t="str">
        <f t="shared" si="298"/>
        <v/>
      </c>
      <c r="GK84" s="100" t="str">
        <f>IF(AND(F84="",B84=""),"",IF('Student DATA Entry'!M81="","",'Student DATA Entry'!M81))</f>
        <v/>
      </c>
      <c r="GL84" s="101" t="str">
        <f>IF(AND(B84="",F84=""),"",IF('Student DATA Entry'!N81="","",'Student DATA Entry'!N81))</f>
        <v/>
      </c>
      <c r="GM84" s="581" t="str">
        <f t="shared" si="299"/>
        <v/>
      </c>
      <c r="GN84" s="94" t="str">
        <f t="shared" si="300"/>
        <v/>
      </c>
      <c r="GO84" s="94" t="str">
        <f t="shared" si="301"/>
        <v/>
      </c>
      <c r="GP84" s="102" t="str">
        <f t="shared" si="239"/>
        <v/>
      </c>
      <c r="GQ84" s="94" t="str">
        <f t="shared" si="302"/>
        <v/>
      </c>
      <c r="GR84" s="103" t="str">
        <f t="shared" si="303"/>
        <v/>
      </c>
      <c r="GS84" s="102" t="str">
        <f t="shared" si="240"/>
        <v/>
      </c>
      <c r="GT84" s="104" t="str">
        <f t="shared" si="304"/>
        <v/>
      </c>
      <c r="GU84" s="94" t="str">
        <f>IF('Marks Entry'!V84=1,GT84,"")</f>
        <v/>
      </c>
      <c r="GV84" s="94" t="str">
        <f>IF('Marks Entry'!V84=2,GT84,"")</f>
        <v/>
      </c>
      <c r="GW84" s="94" t="str">
        <f>IF('Marks Entry'!V84=3,GT84,"")</f>
        <v/>
      </c>
      <c r="GX84" s="94" t="str">
        <f>IF('Marks Entry'!V84=4,GT84,"")</f>
        <v/>
      </c>
      <c r="GY84" s="94" t="str">
        <f>IF('Marks Entry'!V84=5,GT84,"")</f>
        <v/>
      </c>
      <c r="GZ84" s="94" t="str">
        <f t="shared" si="305"/>
        <v/>
      </c>
      <c r="HA84" s="105" t="str">
        <f t="shared" si="241"/>
        <v/>
      </c>
      <c r="HB84" s="94" t="str">
        <f t="shared" si="306"/>
        <v/>
      </c>
      <c r="HC84" s="94" t="str">
        <f t="shared" si="307"/>
        <v/>
      </c>
      <c r="HD84" s="105" t="str">
        <f t="shared" si="242"/>
        <v/>
      </c>
      <c r="HE84" s="94" t="str">
        <f t="shared" si="308"/>
        <v/>
      </c>
      <c r="HF84" s="94" t="str">
        <f t="shared" si="309"/>
        <v/>
      </c>
      <c r="HG84" s="105" t="str">
        <f t="shared" si="243"/>
        <v/>
      </c>
      <c r="HH84" s="94" t="str">
        <f t="shared" si="310"/>
        <v/>
      </c>
      <c r="HI84" s="94" t="str">
        <f t="shared" si="311"/>
        <v/>
      </c>
      <c r="HJ84" s="105" t="str">
        <f t="shared" si="244"/>
        <v/>
      </c>
      <c r="HK84" s="94" t="str">
        <f t="shared" si="312"/>
        <v/>
      </c>
      <c r="HL84" s="94" t="str">
        <f t="shared" si="313"/>
        <v/>
      </c>
      <c r="HM84" s="105" t="str">
        <f t="shared" si="245"/>
        <v/>
      </c>
      <c r="HN84" s="367" t="str">
        <f t="shared" si="314"/>
        <v xml:space="preserve">      </v>
      </c>
      <c r="HO84" s="418" t="str">
        <f t="shared" si="246"/>
        <v xml:space="preserve">      </v>
      </c>
      <c r="HP84" s="367" t="str">
        <f t="shared" si="315"/>
        <v xml:space="preserve">      </v>
      </c>
      <c r="HQ84" s="107" t="str">
        <f t="shared" si="316"/>
        <v xml:space="preserve">      </v>
      </c>
      <c r="HR84" s="366" t="str">
        <f t="shared" si="317"/>
        <v xml:space="preserve">      </v>
      </c>
      <c r="HS84" s="544" t="str">
        <f t="shared" si="247"/>
        <v/>
      </c>
      <c r="HT84" s="542" t="str">
        <f t="shared" si="318"/>
        <v/>
      </c>
      <c r="HU84" s="541" t="str">
        <f t="shared" si="319"/>
        <v/>
      </c>
      <c r="HV84" s="540" t="str">
        <f t="shared" si="320"/>
        <v/>
      </c>
      <c r="HW84" s="537" t="str">
        <f t="shared" si="321"/>
        <v/>
      </c>
      <c r="HX84" s="539" t="str">
        <f t="shared" si="322"/>
        <v/>
      </c>
      <c r="HY84" s="553" t="str">
        <f>IFERROR(IF(OR(HS84="SUPPLEMENTARY",HS84="RE-EXAM"),'Supp. Result Entry'!AQ82,""),"")</f>
        <v/>
      </c>
      <c r="HZ84" s="538" t="str">
        <f t="shared" si="323"/>
        <v/>
      </c>
      <c r="IA84" s="415" t="str">
        <f t="shared" si="324"/>
        <v/>
      </c>
      <c r="IB84" s="415" t="str">
        <f>IF(AND(HZ84="",IA84=""),"",IF(OR(HS84="SUPPLEMENTARY",HS84="RE-EXAM"),'Supp. Result Entry'!AQ82,HS84))</f>
        <v/>
      </c>
      <c r="IC84" s="87"/>
      <c r="IS84" s="109" t="str">
        <f>IF('Supp. Result Entry'!T82="","",'Supp. Result Entry'!$T$4)</f>
        <v/>
      </c>
      <c r="IT84" s="110" t="str">
        <f>IF('Supp. Result Entry'!W82="","",'Supp. Result Entry'!$W$4)</f>
        <v/>
      </c>
      <c r="IU84" s="110" t="str">
        <f>IF('Supp. Result Entry'!Z82="","",'Supp. Result Entry'!$Z$4)</f>
        <v/>
      </c>
      <c r="IV84" s="110" t="str">
        <f>IF('Supp. Result Entry'!AC82="","",'Supp. Result Entry'!$AC$4)</f>
        <v/>
      </c>
      <c r="IW84" s="110" t="str">
        <f>IF('Supp. Result Entry'!AF82="","",'Supp. Result Entry'!$AF$4)</f>
        <v/>
      </c>
      <c r="IX84" s="110" t="str">
        <f>IF('Supp. Result Entry'!AI82="","",'Supp. Result Entry'!$AI$4)</f>
        <v/>
      </c>
      <c r="IY84" s="110" t="str">
        <f>IF('Supp. Result Entry'!AI82="","",'Supp. Result Entry'!$AL$4)</f>
        <v/>
      </c>
      <c r="IZ84" s="110" t="str">
        <f>IF('Supp. Result Entry'!U82="","",'Supp. Result Entry'!U82)</f>
        <v/>
      </c>
      <c r="JA84" s="110" t="str">
        <f>IF('Supp. Result Entry'!X82="","",'Supp. Result Entry'!X82)</f>
        <v/>
      </c>
      <c r="JB84" s="110" t="str">
        <f>IF('Supp. Result Entry'!AA82="","",'Supp. Result Entry'!AA82)</f>
        <v/>
      </c>
      <c r="JC84" s="110" t="str">
        <f>IF('Supp. Result Entry'!AD82="","",'Supp. Result Entry'!AD82)</f>
        <v/>
      </c>
      <c r="JD84" s="110" t="str">
        <f>IF('Supp. Result Entry'!AG82="","",'Supp. Result Entry'!AG82)</f>
        <v/>
      </c>
      <c r="JE84" s="110" t="str">
        <f>IF('Supp. Result Entry'!AJ82="","",'Supp. Result Entry'!AJ82)</f>
        <v/>
      </c>
      <c r="JF84" s="110" t="str">
        <f>IF('Supp. Result Entry'!AM82="","",'Supp. Result Entry'!AM82)</f>
        <v/>
      </c>
      <c r="JG84" s="110" t="str">
        <f>IF('Supp. Result Entry'!V82="","",'Supp. Result Entry'!V82)</f>
        <v/>
      </c>
      <c r="JH84" s="110" t="str">
        <f>IF('Supp. Result Entry'!Y82="","",'Supp. Result Entry'!Y82)</f>
        <v/>
      </c>
      <c r="JI84" s="110" t="str">
        <f>IF('Supp. Result Entry'!AB82="","",'Supp. Result Entry'!AB82)</f>
        <v/>
      </c>
      <c r="JJ84" s="110" t="str">
        <f>IF('Supp. Result Entry'!AE82="","",'Supp. Result Entry'!AE82)</f>
        <v/>
      </c>
      <c r="JK84" s="110" t="str">
        <f>IF('Supp. Result Entry'!AH82="","",'Supp. Result Entry'!AH82)</f>
        <v/>
      </c>
      <c r="JL84" s="110" t="str">
        <f>IF('Supp. Result Entry'!AK82="","",'Supp. Result Entry'!AK82)</f>
        <v/>
      </c>
      <c r="JM84" s="110" t="str">
        <f>IF('Supp. Result Entry'!AN82="","",'Supp. Result Entry'!AN82)</f>
        <v/>
      </c>
      <c r="JN84" s="110">
        <f>COUNTIF('Supp. Result Entry'!K82:Q82,"S")</f>
        <v>0</v>
      </c>
      <c r="JO84" s="110">
        <f t="shared" si="248"/>
        <v>0</v>
      </c>
      <c r="JP84" s="110">
        <f t="shared" si="325"/>
        <v>0</v>
      </c>
      <c r="JQ84" s="110" t="str">
        <f t="shared" si="249"/>
        <v/>
      </c>
      <c r="JR84" s="110" t="str">
        <f t="shared" si="250"/>
        <v/>
      </c>
      <c r="JS84" s="110" t="str">
        <f t="shared" si="251"/>
        <v/>
      </c>
      <c r="JT84" s="110" t="str">
        <f t="shared" si="252"/>
        <v/>
      </c>
      <c r="JU84" s="110" t="str">
        <f t="shared" si="253"/>
        <v/>
      </c>
      <c r="JV84" s="110" t="str">
        <f t="shared" si="254"/>
        <v/>
      </c>
      <c r="JW84" s="110" t="str">
        <f t="shared" si="255"/>
        <v/>
      </c>
      <c r="JX84" s="110" t="str">
        <f t="shared" si="326"/>
        <v/>
      </c>
      <c r="JY84" s="110" t="str">
        <f t="shared" si="327"/>
        <v/>
      </c>
      <c r="JZ84" s="110" t="str">
        <f t="shared" si="256"/>
        <v/>
      </c>
      <c r="KA84" s="108" t="str">
        <f t="shared" si="328"/>
        <v/>
      </c>
    </row>
    <row r="85" spans="1:287" s="108" customFormat="1" ht="21.95" customHeight="1">
      <c r="A85" s="89">
        <v>79</v>
      </c>
      <c r="B85" s="90" t="str">
        <f>IF('Marks Entry'!B85="","",'Marks Entry'!B85)</f>
        <v/>
      </c>
      <c r="C85" s="94" t="str">
        <f>IF('Marks Entry'!D85="","",'Marks Entry'!D85)</f>
        <v/>
      </c>
      <c r="D85" s="91" t="str">
        <f>IF('Marks Entry'!E85="","",'Marks Entry'!E85)</f>
        <v/>
      </c>
      <c r="E85" s="92" t="str">
        <f>IF('Marks Entry'!F85="","",'Marks Entry'!F85)</f>
        <v/>
      </c>
      <c r="F85" s="93" t="str">
        <f>IF('Marks Entry'!G85="","",'Marks Entry'!G85)</f>
        <v/>
      </c>
      <c r="G85" s="93" t="str">
        <f>IF('Marks Entry'!H85="","",'Marks Entry'!H85)</f>
        <v/>
      </c>
      <c r="H85" s="93" t="str">
        <f>IF('Marks Entry'!I85="","",'Marks Entry'!I85)</f>
        <v/>
      </c>
      <c r="I85" s="94" t="str">
        <f>IF('Marks Entry'!J85="","",'Marks Entry'!J85)</f>
        <v/>
      </c>
      <c r="J85" s="95" t="str">
        <f>IF('Marks Entry'!K85="","",'Marks Entry'!K85)</f>
        <v/>
      </c>
      <c r="K85" s="68" t="str">
        <f>IF('Marks Entry'!L85="","",'Marks Entry'!L85)</f>
        <v/>
      </c>
      <c r="L85" s="68" t="str">
        <f>IF('Marks Entry'!M85="","",'Marks Entry'!M85)</f>
        <v/>
      </c>
      <c r="M85" s="68" t="str">
        <f>IF('Marks Entry'!N85="","",'Marks Entry'!N85)</f>
        <v/>
      </c>
      <c r="N85" s="514" t="str">
        <f t="shared" si="257"/>
        <v/>
      </c>
      <c r="O85" s="68" t="str">
        <f>IF('Marks Entry'!O85="","",'Marks Entry'!O85)</f>
        <v/>
      </c>
      <c r="P85" s="515" t="str">
        <f t="shared" si="258"/>
        <v/>
      </c>
      <c r="Q85" s="68" t="str">
        <f>IF('Marks Entry'!P85="","",'Marks Entry'!P85)</f>
        <v/>
      </c>
      <c r="R85" s="96" t="str">
        <f t="shared" si="259"/>
        <v/>
      </c>
      <c r="S85" s="65">
        <f t="shared" si="260"/>
        <v>0</v>
      </c>
      <c r="T85" s="65">
        <f t="shared" si="261"/>
        <v>0</v>
      </c>
      <c r="U85" s="66" t="str">
        <f t="shared" si="171"/>
        <v/>
      </c>
      <c r="V85" s="65" t="str">
        <f t="shared" si="172"/>
        <v/>
      </c>
      <c r="W85" s="65" t="str">
        <f t="shared" si="262"/>
        <v/>
      </c>
      <c r="X85" s="65" t="str">
        <f t="shared" si="173"/>
        <v/>
      </c>
      <c r="Y85" s="68" t="str">
        <f>IF('Marks Entry'!Q85="","",'Marks Entry'!Q85)</f>
        <v/>
      </c>
      <c r="Z85" s="68" t="str">
        <f>IF('Marks Entry'!R85="","",'Marks Entry'!R85)</f>
        <v/>
      </c>
      <c r="AA85" s="68" t="str">
        <f>IF('Marks Entry'!S85="","",'Marks Entry'!S85)</f>
        <v/>
      </c>
      <c r="AB85" s="514" t="str">
        <f t="shared" si="174"/>
        <v/>
      </c>
      <c r="AC85" s="68" t="str">
        <f>IF('Marks Entry'!T85="","",'Marks Entry'!T85)</f>
        <v/>
      </c>
      <c r="AD85" s="515" t="str">
        <f t="shared" si="175"/>
        <v/>
      </c>
      <c r="AE85" s="68" t="str">
        <f>IF('Marks Entry'!U85="","",'Marks Entry'!U85)</f>
        <v/>
      </c>
      <c r="AF85" s="96" t="str">
        <f t="shared" si="176"/>
        <v/>
      </c>
      <c r="AG85" s="65">
        <f t="shared" si="177"/>
        <v>0</v>
      </c>
      <c r="AH85" s="65">
        <f t="shared" si="178"/>
        <v>0</v>
      </c>
      <c r="AI85" s="66" t="str">
        <f t="shared" si="179"/>
        <v/>
      </c>
      <c r="AJ85" s="65" t="str">
        <f t="shared" si="180"/>
        <v/>
      </c>
      <c r="AK85" s="65" t="str">
        <f t="shared" si="181"/>
        <v/>
      </c>
      <c r="AL85" s="65" t="str">
        <f t="shared" si="182"/>
        <v/>
      </c>
      <c r="AM85" s="524" t="str">
        <f>IF('Marks Entry'!V85="","",IF('Marks Entry'!V85=1,'School Profile'!$I$9,IF('Marks Entry'!V85=2,'School Profile'!$I$10,IF('Marks Entry'!V85=3,'School Profile'!$I$11,IF('Marks Entry'!V85=4,'School Profile'!$I$12,IF('Marks Entry'!V85=5,'School Profile'!$I$13,IF('Marks Entry'!V85=6,'School Profile'!$I$14,"")))))))</f>
        <v/>
      </c>
      <c r="AN85" s="68" t="str">
        <f>IF('Marks Entry'!W85="","",'Marks Entry'!W85)</f>
        <v/>
      </c>
      <c r="AO85" s="68" t="str">
        <f>IF('Marks Entry'!X85="","",'Marks Entry'!X85)</f>
        <v/>
      </c>
      <c r="AP85" s="68" t="str">
        <f>IF('Marks Entry'!Y85="","",'Marks Entry'!Y85)</f>
        <v/>
      </c>
      <c r="AQ85" s="514" t="str">
        <f t="shared" si="183"/>
        <v/>
      </c>
      <c r="AR85" s="68" t="str">
        <f>IF('Marks Entry'!Z85="","",'Marks Entry'!Z85)</f>
        <v/>
      </c>
      <c r="AS85" s="515" t="str">
        <f t="shared" si="184"/>
        <v/>
      </c>
      <c r="AT85" s="68" t="str">
        <f>IF('Marks Entry'!AA85="","",'Marks Entry'!AA85)</f>
        <v/>
      </c>
      <c r="AU85" s="96" t="str">
        <f t="shared" si="185"/>
        <v/>
      </c>
      <c r="AV85" s="65">
        <f t="shared" si="186"/>
        <v>0</v>
      </c>
      <c r="AW85" s="65">
        <f t="shared" si="187"/>
        <v>0</v>
      </c>
      <c r="AX85" s="66" t="str">
        <f t="shared" si="188"/>
        <v/>
      </c>
      <c r="AY85" s="65" t="str">
        <f t="shared" si="189"/>
        <v/>
      </c>
      <c r="AZ85" s="65" t="str">
        <f t="shared" si="190"/>
        <v/>
      </c>
      <c r="BA85" s="65" t="str">
        <f t="shared" si="191"/>
        <v/>
      </c>
      <c r="BB85" s="68" t="str">
        <f>IF('Marks Entry'!AB85="","",'Marks Entry'!AB85)</f>
        <v/>
      </c>
      <c r="BC85" s="68" t="str">
        <f>IF('Marks Entry'!AC85="","",'Marks Entry'!AC85)</f>
        <v/>
      </c>
      <c r="BD85" s="68" t="str">
        <f>IF('Marks Entry'!AD85="","",'Marks Entry'!AD85)</f>
        <v/>
      </c>
      <c r="BE85" s="514" t="str">
        <f t="shared" si="192"/>
        <v/>
      </c>
      <c r="BF85" s="68" t="str">
        <f>IF('Marks Entry'!AE85="","",'Marks Entry'!AE85)</f>
        <v/>
      </c>
      <c r="BG85" s="515" t="str">
        <f t="shared" si="193"/>
        <v/>
      </c>
      <c r="BH85" s="68" t="str">
        <f>IF('Marks Entry'!AF85="","",'Marks Entry'!AF85)</f>
        <v/>
      </c>
      <c r="BI85" s="96" t="str">
        <f t="shared" si="194"/>
        <v/>
      </c>
      <c r="BJ85" s="65">
        <f t="shared" si="195"/>
        <v>0</v>
      </c>
      <c r="BK85" s="65">
        <f t="shared" si="263"/>
        <v>0</v>
      </c>
      <c r="BL85" s="66" t="str">
        <f t="shared" si="196"/>
        <v/>
      </c>
      <c r="BM85" s="65" t="str">
        <f t="shared" si="197"/>
        <v/>
      </c>
      <c r="BN85" s="65" t="str">
        <f t="shared" si="198"/>
        <v/>
      </c>
      <c r="BO85" s="65" t="str">
        <f t="shared" si="199"/>
        <v/>
      </c>
      <c r="BP85" s="68" t="str">
        <f>IF('Marks Entry'!AG85="","",'Marks Entry'!AG85)</f>
        <v/>
      </c>
      <c r="BQ85" s="68" t="str">
        <f>IF('Marks Entry'!AH85="","",'Marks Entry'!AH85)</f>
        <v/>
      </c>
      <c r="BR85" s="68" t="str">
        <f>IF('Marks Entry'!AI85="","",'Marks Entry'!AI85)</f>
        <v/>
      </c>
      <c r="BS85" s="514" t="str">
        <f t="shared" si="200"/>
        <v/>
      </c>
      <c r="BT85" s="68" t="str">
        <f>IF('Marks Entry'!AJ85="","",'Marks Entry'!AJ85)</f>
        <v/>
      </c>
      <c r="BU85" s="515" t="str">
        <f t="shared" si="201"/>
        <v/>
      </c>
      <c r="BV85" s="68" t="str">
        <f>IF('Marks Entry'!AK85="","",'Marks Entry'!AK85)</f>
        <v/>
      </c>
      <c r="BW85" s="96" t="str">
        <f t="shared" si="202"/>
        <v/>
      </c>
      <c r="BX85" s="65">
        <f t="shared" si="203"/>
        <v>0</v>
      </c>
      <c r="BY85" s="65">
        <f t="shared" si="204"/>
        <v>0</v>
      </c>
      <c r="BZ85" s="66" t="str">
        <f t="shared" si="205"/>
        <v/>
      </c>
      <c r="CA85" s="65" t="str">
        <f t="shared" si="206"/>
        <v/>
      </c>
      <c r="CB85" s="65" t="str">
        <f t="shared" si="207"/>
        <v/>
      </c>
      <c r="CC85" s="65" t="str">
        <f t="shared" si="208"/>
        <v/>
      </c>
      <c r="CD85" s="66">
        <f t="shared" si="209"/>
        <v>0</v>
      </c>
      <c r="CE85" s="68" t="str">
        <f>IF('Marks Entry'!AL85="","",'Marks Entry'!AL85)</f>
        <v/>
      </c>
      <c r="CF85" s="68" t="str">
        <f>IF('Marks Entry'!AM85="","",'Marks Entry'!AM85)</f>
        <v/>
      </c>
      <c r="CG85" s="68" t="str">
        <f>IF('Marks Entry'!AN85="","",'Marks Entry'!AN85)</f>
        <v/>
      </c>
      <c r="CH85" s="514" t="str">
        <f t="shared" si="210"/>
        <v/>
      </c>
      <c r="CI85" s="68" t="str">
        <f>IF('Marks Entry'!AO85="","",'Marks Entry'!AO85)</f>
        <v/>
      </c>
      <c r="CJ85" s="515" t="str">
        <f t="shared" si="211"/>
        <v/>
      </c>
      <c r="CK85" s="68" t="str">
        <f>IF('Marks Entry'!AP85="","",'Marks Entry'!AP85)</f>
        <v/>
      </c>
      <c r="CL85" s="96" t="str">
        <f t="shared" si="212"/>
        <v/>
      </c>
      <c r="CM85" s="65">
        <f t="shared" si="213"/>
        <v>0</v>
      </c>
      <c r="CN85" s="65">
        <f t="shared" si="214"/>
        <v>0</v>
      </c>
      <c r="CO85" s="66" t="str">
        <f t="shared" si="215"/>
        <v/>
      </c>
      <c r="CP85" s="65" t="str">
        <f t="shared" si="216"/>
        <v/>
      </c>
      <c r="CQ85" s="65" t="str">
        <f t="shared" si="217"/>
        <v/>
      </c>
      <c r="CR85" s="65" t="str">
        <f t="shared" si="218"/>
        <v/>
      </c>
      <c r="CS85" s="616"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8" t="str">
        <f>IF('School Profile'!$D$20="NO","",IF('Marks Entry'!AR85="","",'Marks Entry'!AR85))</f>
        <v/>
      </c>
      <c r="CU85" s="68" t="str">
        <f>IF('School Profile'!$D$20="NO","",IF('Marks Entry'!AS85="","",'Marks Entry'!AS85))</f>
        <v/>
      </c>
      <c r="CV85" s="68" t="str">
        <f>IF('School Profile'!$D$20="NO","",IF('Marks Entry'!AT85="","",'Marks Entry'!AT85))</f>
        <v/>
      </c>
      <c r="CW85" s="514" t="str">
        <f>IF('School Profile'!$D$20="NO","",IF(AND(CT85="",CU85="",CV85=""),"",SUM(CT85:CV85)))</f>
        <v/>
      </c>
      <c r="CX85" s="68" t="str">
        <f>IF('School Profile'!$D$20="NO","",IF('Marks Entry'!AU85="","",'Marks Entry'!AU85))</f>
        <v/>
      </c>
      <c r="CY85" s="68" t="str">
        <f>IF('School Profile'!$D$20="NO","",IF('Marks Entry'!AV85="","",'Marks Entry'!AV85))</f>
        <v/>
      </c>
      <c r="CZ85" s="515" t="str">
        <f>IF('School Profile'!$D$20="NO","",IF(AND(CX85="",CY85=""),"",SUM(CX85,CY85)))</f>
        <v/>
      </c>
      <c r="DA85" s="69" t="str">
        <f>IF('School Profile'!$D$20="NO","",IF(AND(CW85="",CZ85=""),"",SUM(CW85+CZ85)))</f>
        <v/>
      </c>
      <c r="DB85" s="68" t="str">
        <f>IF('School Profile'!$D$20="NO","",IF('Marks Entry'!AW85="","",'Marks Entry'!AW85))</f>
        <v/>
      </c>
      <c r="DC85" s="68" t="str">
        <f>IF('School Profile'!$D$20="NO","",IF('Marks Entry'!AX85="","",'Marks Entry'!AX85))</f>
        <v/>
      </c>
      <c r="DD85" s="515" t="str">
        <f>IF('School Profile'!$D$20="NO","",IF(AND(DB85="",DC85=""),"",SUM(DB85,DC85)))</f>
        <v/>
      </c>
      <c r="DE85" s="96" t="str">
        <f>IF('School Profile'!$D$20="NO","",IF(AND(DA85="",DD85=""),"",SUM(DA85,DD85)))</f>
        <v/>
      </c>
      <c r="DF85" s="532">
        <f t="shared" si="219"/>
        <v>0</v>
      </c>
      <c r="DG85" s="65">
        <f t="shared" si="220"/>
        <v>0</v>
      </c>
      <c r="DH85" s="66" t="str">
        <f t="shared" si="221"/>
        <v/>
      </c>
      <c r="DI85" s="65" t="str">
        <f t="shared" si="222"/>
        <v/>
      </c>
      <c r="DJ85" s="65" t="str">
        <f t="shared" si="223"/>
        <v/>
      </c>
      <c r="DK85" s="65" t="str">
        <f t="shared" si="224"/>
        <v/>
      </c>
      <c r="DL85" s="97" t="str">
        <f t="shared" si="264"/>
        <v/>
      </c>
      <c r="DM85" s="97" t="str">
        <f t="shared" si="265"/>
        <v/>
      </c>
      <c r="DN85" s="97" t="str">
        <f t="shared" si="266"/>
        <v/>
      </c>
      <c r="DO85" s="97" t="str">
        <f t="shared" si="267"/>
        <v/>
      </c>
      <c r="DP85" s="97" t="str">
        <f t="shared" si="268"/>
        <v/>
      </c>
      <c r="DQ85" s="97" t="str">
        <f t="shared" si="269"/>
        <v/>
      </c>
      <c r="DR85" s="97" t="str">
        <f t="shared" si="270"/>
        <v/>
      </c>
      <c r="DS85" s="98">
        <f t="shared" si="271"/>
        <v>0</v>
      </c>
      <c r="DT85" s="98">
        <f t="shared" si="272"/>
        <v>0</v>
      </c>
      <c r="DU85" s="98">
        <f t="shared" si="273"/>
        <v>0</v>
      </c>
      <c r="DV85" s="98">
        <f t="shared" si="274"/>
        <v>0</v>
      </c>
      <c r="DW85" s="98">
        <f t="shared" si="275"/>
        <v>0</v>
      </c>
      <c r="DX85" s="98" t="str">
        <f t="shared" si="276"/>
        <v/>
      </c>
      <c r="DY85" s="99" t="str">
        <f t="shared" si="277"/>
        <v/>
      </c>
      <c r="DZ85" s="74" t="str">
        <f>IF('Marks Entry'!AY85="","",'Marks Entry'!AY85)</f>
        <v/>
      </c>
      <c r="EA85" s="74" t="str">
        <f>IF('Marks Entry'!AZ85="","",'Marks Entry'!AZ85)</f>
        <v/>
      </c>
      <c r="EB85" s="74" t="str">
        <f>IF('Marks Entry'!BA85="","",'Marks Entry'!BA85)</f>
        <v/>
      </c>
      <c r="EC85" s="527" t="str">
        <f t="shared" si="225"/>
        <v/>
      </c>
      <c r="ED85" s="74" t="str">
        <f>IF('Marks Entry'!BB85="","",'Marks Entry'!BB85)</f>
        <v/>
      </c>
      <c r="EE85" s="528" t="str">
        <f t="shared" si="226"/>
        <v/>
      </c>
      <c r="EF85" s="74" t="str">
        <f>IF('Marks Entry'!BC85="","",'Marks Entry'!BC85)</f>
        <v/>
      </c>
      <c r="EG85" s="530" t="str">
        <f t="shared" si="227"/>
        <v/>
      </c>
      <c r="EH85" s="368" t="str">
        <f t="shared" si="278"/>
        <v/>
      </c>
      <c r="EI85" s="65">
        <f t="shared" si="279"/>
        <v>0</v>
      </c>
      <c r="EJ85" s="65">
        <f t="shared" si="280"/>
        <v>0</v>
      </c>
      <c r="EK85" s="66" t="str">
        <f t="shared" si="281"/>
        <v/>
      </c>
      <c r="EL85" s="74" t="str">
        <f>IF('Marks Entry'!BD85="","",'Marks Entry'!BD85)</f>
        <v/>
      </c>
      <c r="EM85" s="74" t="str">
        <f>IF('Marks Entry'!BE85="","",'Marks Entry'!BE85)</f>
        <v/>
      </c>
      <c r="EN85" s="74" t="str">
        <f>IF('Marks Entry'!BF85="","",'Marks Entry'!BF85)</f>
        <v/>
      </c>
      <c r="EO85" s="527" t="str">
        <f t="shared" si="228"/>
        <v/>
      </c>
      <c r="EP85" s="74" t="str">
        <f>IF('Marks Entry'!BG85="","",'Marks Entry'!BG85)</f>
        <v/>
      </c>
      <c r="EQ85" s="74" t="str">
        <f>IF('Marks Entry'!BH85="","",'Marks Entry'!BH85)</f>
        <v/>
      </c>
      <c r="ER85" s="528" t="str">
        <f t="shared" si="229"/>
        <v/>
      </c>
      <c r="ES85" s="529" t="str">
        <f t="shared" si="230"/>
        <v/>
      </c>
      <c r="ET85" s="74" t="str">
        <f>IF('Marks Entry'!BI85="","",'Marks Entry'!BI85)</f>
        <v/>
      </c>
      <c r="EU85" s="74" t="str">
        <f>IF('Marks Entry'!BJ85="","",'Marks Entry'!BJ85)</f>
        <v/>
      </c>
      <c r="EV85" s="528" t="str">
        <f t="shared" si="231"/>
        <v/>
      </c>
      <c r="EW85" s="530" t="str">
        <f t="shared" si="232"/>
        <v/>
      </c>
      <c r="EX85" s="368" t="str">
        <f t="shared" si="282"/>
        <v/>
      </c>
      <c r="EY85" s="65">
        <f t="shared" si="283"/>
        <v>0</v>
      </c>
      <c r="EZ85" s="65">
        <f t="shared" si="284"/>
        <v>0</v>
      </c>
      <c r="FA85" s="66" t="str">
        <f t="shared" si="285"/>
        <v/>
      </c>
      <c r="FB85" s="74" t="str">
        <f>IF('Marks Entry'!BK85="","",'Marks Entry'!BK85)</f>
        <v/>
      </c>
      <c r="FC85" s="74" t="str">
        <f>IF('Marks Entry'!BL85="","",'Marks Entry'!BL85)</f>
        <v/>
      </c>
      <c r="FD85" s="74" t="str">
        <f>IF('Marks Entry'!BM85="","",'Marks Entry'!BM85)</f>
        <v/>
      </c>
      <c r="FE85" s="74" t="str">
        <f>IF('Marks Entry'!BN85="","",'Marks Entry'!BN85)</f>
        <v/>
      </c>
      <c r="FF85" s="74" t="str">
        <f>IF('Marks Entry'!BO85="","",'Marks Entry'!BO85)</f>
        <v/>
      </c>
      <c r="FG85" s="74" t="str">
        <f>IF('Marks Entry'!BP85="","",'Marks Entry'!BP85)</f>
        <v/>
      </c>
      <c r="FH85" s="527" t="str">
        <f t="shared" si="233"/>
        <v/>
      </c>
      <c r="FI85" s="74" t="str">
        <f>IF('Marks Entry'!BQ85="","",'Marks Entry'!BQ85)</f>
        <v/>
      </c>
      <c r="FJ85" s="74" t="str">
        <f>IF('Marks Entry'!BR85="","",'Marks Entry'!BR85)</f>
        <v/>
      </c>
      <c r="FK85" s="528" t="str">
        <f t="shared" si="234"/>
        <v/>
      </c>
      <c r="FL85" s="529" t="str">
        <f t="shared" si="235"/>
        <v/>
      </c>
      <c r="FM85" s="74" t="str">
        <f>IF('Marks Entry'!BS85="","",'Marks Entry'!BS85)</f>
        <v/>
      </c>
      <c r="FN85" s="74" t="str">
        <f>IF('Marks Entry'!BT85="","",'Marks Entry'!BT85)</f>
        <v/>
      </c>
      <c r="FO85" s="528" t="str">
        <f t="shared" si="236"/>
        <v/>
      </c>
      <c r="FP85" s="530" t="str">
        <f t="shared" si="237"/>
        <v/>
      </c>
      <c r="FQ85" s="368" t="str">
        <f t="shared" si="286"/>
        <v/>
      </c>
      <c r="FR85" s="65">
        <f t="shared" si="287"/>
        <v>0</v>
      </c>
      <c r="FS85" s="65">
        <f t="shared" si="288"/>
        <v>0</v>
      </c>
      <c r="FT85" s="66" t="str">
        <f t="shared" si="289"/>
        <v/>
      </c>
      <c r="FU85" s="74" t="str">
        <f>IF('Marks Entry'!BU85="","",'Marks Entry'!BU85)</f>
        <v/>
      </c>
      <c r="FV85" s="74" t="str">
        <f>IF('Marks Entry'!BV85="","",'Marks Entry'!BV85)</f>
        <v/>
      </c>
      <c r="FW85" s="74" t="str">
        <f>IF('Marks Entry'!BW85="","",'Marks Entry'!BW85)</f>
        <v/>
      </c>
      <c r="FX85" s="75" t="str">
        <f t="shared" si="238"/>
        <v/>
      </c>
      <c r="FY85" s="368" t="str">
        <f t="shared" si="290"/>
        <v/>
      </c>
      <c r="FZ85" s="65">
        <f t="shared" si="291"/>
        <v>0</v>
      </c>
      <c r="GA85" s="66">
        <f t="shared" si="292"/>
        <v>0</v>
      </c>
      <c r="GB85" s="66" t="str">
        <f t="shared" si="293"/>
        <v/>
      </c>
      <c r="GC85" s="74" t="str">
        <f>IF('Marks Entry'!BX85="","",'Marks Entry'!BX85)</f>
        <v/>
      </c>
      <c r="GD85" s="74" t="str">
        <f>IF('Marks Entry'!BY85="","",'Marks Entry'!BY85)</f>
        <v/>
      </c>
      <c r="GE85" s="74" t="str">
        <f>IF('Marks Entry'!BZ85="","",'Marks Entry'!BZ85)</f>
        <v/>
      </c>
      <c r="GF85" s="75" t="str">
        <f t="shared" si="294"/>
        <v/>
      </c>
      <c r="GG85" s="368" t="str">
        <f t="shared" si="295"/>
        <v/>
      </c>
      <c r="GH85" s="65">
        <f t="shared" si="296"/>
        <v>0</v>
      </c>
      <c r="GI85" s="66">
        <f t="shared" si="297"/>
        <v>0</v>
      </c>
      <c r="GJ85" s="66" t="str">
        <f t="shared" si="298"/>
        <v/>
      </c>
      <c r="GK85" s="100" t="str">
        <f>IF(AND(F85="",B85=""),"",IF('Student DATA Entry'!M82="","",'Student DATA Entry'!M82))</f>
        <v/>
      </c>
      <c r="GL85" s="101" t="str">
        <f>IF(AND(B85="",F85=""),"",IF('Student DATA Entry'!N82="","",'Student DATA Entry'!N82))</f>
        <v/>
      </c>
      <c r="GM85" s="581" t="str">
        <f t="shared" si="299"/>
        <v/>
      </c>
      <c r="GN85" s="94" t="str">
        <f t="shared" si="300"/>
        <v/>
      </c>
      <c r="GO85" s="94" t="str">
        <f t="shared" si="301"/>
        <v/>
      </c>
      <c r="GP85" s="102" t="str">
        <f t="shared" si="239"/>
        <v/>
      </c>
      <c r="GQ85" s="94" t="str">
        <f t="shared" si="302"/>
        <v/>
      </c>
      <c r="GR85" s="103" t="str">
        <f t="shared" si="303"/>
        <v/>
      </c>
      <c r="GS85" s="102" t="str">
        <f t="shared" si="240"/>
        <v/>
      </c>
      <c r="GT85" s="104" t="str">
        <f t="shared" si="304"/>
        <v/>
      </c>
      <c r="GU85" s="94" t="str">
        <f>IF('Marks Entry'!V85=1,GT85,"")</f>
        <v/>
      </c>
      <c r="GV85" s="94" t="str">
        <f>IF('Marks Entry'!V85=2,GT85,"")</f>
        <v/>
      </c>
      <c r="GW85" s="94" t="str">
        <f>IF('Marks Entry'!V85=3,GT85,"")</f>
        <v/>
      </c>
      <c r="GX85" s="94" t="str">
        <f>IF('Marks Entry'!V85=4,GT85,"")</f>
        <v/>
      </c>
      <c r="GY85" s="94" t="str">
        <f>IF('Marks Entry'!V85=5,GT85,"")</f>
        <v/>
      </c>
      <c r="GZ85" s="94" t="str">
        <f t="shared" si="305"/>
        <v/>
      </c>
      <c r="HA85" s="105" t="str">
        <f t="shared" si="241"/>
        <v/>
      </c>
      <c r="HB85" s="94" t="str">
        <f t="shared" si="306"/>
        <v/>
      </c>
      <c r="HC85" s="94" t="str">
        <f t="shared" si="307"/>
        <v/>
      </c>
      <c r="HD85" s="105" t="str">
        <f t="shared" si="242"/>
        <v/>
      </c>
      <c r="HE85" s="94" t="str">
        <f t="shared" si="308"/>
        <v/>
      </c>
      <c r="HF85" s="94" t="str">
        <f t="shared" si="309"/>
        <v/>
      </c>
      <c r="HG85" s="105" t="str">
        <f t="shared" si="243"/>
        <v/>
      </c>
      <c r="HH85" s="94" t="str">
        <f t="shared" si="310"/>
        <v/>
      </c>
      <c r="HI85" s="94" t="str">
        <f t="shared" si="311"/>
        <v/>
      </c>
      <c r="HJ85" s="105" t="str">
        <f t="shared" si="244"/>
        <v/>
      </c>
      <c r="HK85" s="94" t="str">
        <f t="shared" si="312"/>
        <v/>
      </c>
      <c r="HL85" s="94" t="str">
        <f t="shared" si="313"/>
        <v/>
      </c>
      <c r="HM85" s="105" t="str">
        <f t="shared" si="245"/>
        <v/>
      </c>
      <c r="HN85" s="367" t="str">
        <f t="shared" si="314"/>
        <v xml:space="preserve">      </v>
      </c>
      <c r="HO85" s="418" t="str">
        <f t="shared" si="246"/>
        <v xml:space="preserve">      </v>
      </c>
      <c r="HP85" s="367" t="str">
        <f t="shared" si="315"/>
        <v xml:space="preserve">      </v>
      </c>
      <c r="HQ85" s="107" t="str">
        <f t="shared" si="316"/>
        <v xml:space="preserve">      </v>
      </c>
      <c r="HR85" s="366" t="str">
        <f t="shared" si="317"/>
        <v xml:space="preserve">      </v>
      </c>
      <c r="HS85" s="544" t="str">
        <f t="shared" si="247"/>
        <v/>
      </c>
      <c r="HT85" s="542" t="str">
        <f t="shared" si="318"/>
        <v/>
      </c>
      <c r="HU85" s="541" t="str">
        <f t="shared" si="319"/>
        <v/>
      </c>
      <c r="HV85" s="540" t="str">
        <f t="shared" si="320"/>
        <v/>
      </c>
      <c r="HW85" s="537" t="str">
        <f t="shared" si="321"/>
        <v/>
      </c>
      <c r="HX85" s="539" t="str">
        <f t="shared" si="322"/>
        <v/>
      </c>
      <c r="HY85" s="553" t="str">
        <f>IFERROR(IF(OR(HS85="SUPPLEMENTARY",HS85="RE-EXAM"),'Supp. Result Entry'!AQ83,""),"")</f>
        <v/>
      </c>
      <c r="HZ85" s="538" t="str">
        <f t="shared" si="323"/>
        <v/>
      </c>
      <c r="IA85" s="415" t="str">
        <f t="shared" si="324"/>
        <v/>
      </c>
      <c r="IB85" s="415" t="str">
        <f>IF(AND(HZ85="",IA85=""),"",IF(OR(HS85="SUPPLEMENTARY",HS85="RE-EXAM"),'Supp. Result Entry'!AQ83,HS85))</f>
        <v/>
      </c>
      <c r="IC85" s="87"/>
      <c r="IS85" s="109" t="str">
        <f>IF('Supp. Result Entry'!T83="","",'Supp. Result Entry'!$T$4)</f>
        <v/>
      </c>
      <c r="IT85" s="110" t="str">
        <f>IF('Supp. Result Entry'!W83="","",'Supp. Result Entry'!$W$4)</f>
        <v/>
      </c>
      <c r="IU85" s="110" t="str">
        <f>IF('Supp. Result Entry'!Z83="","",'Supp. Result Entry'!$Z$4)</f>
        <v/>
      </c>
      <c r="IV85" s="110" t="str">
        <f>IF('Supp. Result Entry'!AC83="","",'Supp. Result Entry'!$AC$4)</f>
        <v/>
      </c>
      <c r="IW85" s="110" t="str">
        <f>IF('Supp. Result Entry'!AF83="","",'Supp. Result Entry'!$AF$4)</f>
        <v/>
      </c>
      <c r="IX85" s="110" t="str">
        <f>IF('Supp. Result Entry'!AI83="","",'Supp. Result Entry'!$AI$4)</f>
        <v/>
      </c>
      <c r="IY85" s="110" t="str">
        <f>IF('Supp. Result Entry'!AI83="","",'Supp. Result Entry'!$AL$4)</f>
        <v/>
      </c>
      <c r="IZ85" s="110" t="str">
        <f>IF('Supp. Result Entry'!U83="","",'Supp. Result Entry'!U83)</f>
        <v/>
      </c>
      <c r="JA85" s="110" t="str">
        <f>IF('Supp. Result Entry'!X83="","",'Supp. Result Entry'!X83)</f>
        <v/>
      </c>
      <c r="JB85" s="110" t="str">
        <f>IF('Supp. Result Entry'!AA83="","",'Supp. Result Entry'!AA83)</f>
        <v/>
      </c>
      <c r="JC85" s="110" t="str">
        <f>IF('Supp. Result Entry'!AD83="","",'Supp. Result Entry'!AD83)</f>
        <v/>
      </c>
      <c r="JD85" s="110" t="str">
        <f>IF('Supp. Result Entry'!AG83="","",'Supp. Result Entry'!AG83)</f>
        <v/>
      </c>
      <c r="JE85" s="110" t="str">
        <f>IF('Supp. Result Entry'!AJ83="","",'Supp. Result Entry'!AJ83)</f>
        <v/>
      </c>
      <c r="JF85" s="110" t="str">
        <f>IF('Supp. Result Entry'!AM83="","",'Supp. Result Entry'!AM83)</f>
        <v/>
      </c>
      <c r="JG85" s="110" t="str">
        <f>IF('Supp. Result Entry'!V83="","",'Supp. Result Entry'!V83)</f>
        <v/>
      </c>
      <c r="JH85" s="110" t="str">
        <f>IF('Supp. Result Entry'!Y83="","",'Supp. Result Entry'!Y83)</f>
        <v/>
      </c>
      <c r="JI85" s="110" t="str">
        <f>IF('Supp. Result Entry'!AB83="","",'Supp. Result Entry'!AB83)</f>
        <v/>
      </c>
      <c r="JJ85" s="110" t="str">
        <f>IF('Supp. Result Entry'!AE83="","",'Supp. Result Entry'!AE83)</f>
        <v/>
      </c>
      <c r="JK85" s="110" t="str">
        <f>IF('Supp. Result Entry'!AH83="","",'Supp. Result Entry'!AH83)</f>
        <v/>
      </c>
      <c r="JL85" s="110" t="str">
        <f>IF('Supp. Result Entry'!AK83="","",'Supp. Result Entry'!AK83)</f>
        <v/>
      </c>
      <c r="JM85" s="110" t="str">
        <f>IF('Supp. Result Entry'!AN83="","",'Supp. Result Entry'!AN83)</f>
        <v/>
      </c>
      <c r="JN85" s="110">
        <f>COUNTIF('Supp. Result Entry'!K83:Q83,"S")</f>
        <v>0</v>
      </c>
      <c r="JO85" s="110">
        <f t="shared" si="248"/>
        <v>0</v>
      </c>
      <c r="JP85" s="110">
        <f t="shared" si="325"/>
        <v>0</v>
      </c>
      <c r="JQ85" s="110" t="str">
        <f t="shared" si="249"/>
        <v/>
      </c>
      <c r="JR85" s="110" t="str">
        <f t="shared" si="250"/>
        <v/>
      </c>
      <c r="JS85" s="110" t="str">
        <f t="shared" si="251"/>
        <v/>
      </c>
      <c r="JT85" s="110" t="str">
        <f t="shared" si="252"/>
        <v/>
      </c>
      <c r="JU85" s="110" t="str">
        <f t="shared" si="253"/>
        <v/>
      </c>
      <c r="JV85" s="110" t="str">
        <f t="shared" si="254"/>
        <v/>
      </c>
      <c r="JW85" s="110" t="str">
        <f t="shared" si="255"/>
        <v/>
      </c>
      <c r="JX85" s="110" t="str">
        <f t="shared" si="326"/>
        <v/>
      </c>
      <c r="JY85" s="110" t="str">
        <f t="shared" si="327"/>
        <v/>
      </c>
      <c r="JZ85" s="110" t="str">
        <f t="shared" si="256"/>
        <v/>
      </c>
      <c r="KA85" s="108" t="str">
        <f t="shared" si="328"/>
        <v/>
      </c>
    </row>
    <row r="86" spans="1:287" s="108" customFormat="1" ht="21.95" customHeight="1">
      <c r="A86" s="89">
        <v>80</v>
      </c>
      <c r="B86" s="90" t="str">
        <f>IF('Marks Entry'!B86="","",'Marks Entry'!B86)</f>
        <v/>
      </c>
      <c r="C86" s="94" t="str">
        <f>IF('Marks Entry'!D86="","",'Marks Entry'!D86)</f>
        <v/>
      </c>
      <c r="D86" s="91" t="str">
        <f>IF('Marks Entry'!E86="","",'Marks Entry'!E86)</f>
        <v/>
      </c>
      <c r="E86" s="92" t="str">
        <f>IF('Marks Entry'!F86="","",'Marks Entry'!F86)</f>
        <v/>
      </c>
      <c r="F86" s="93" t="str">
        <f>IF('Marks Entry'!G86="","",'Marks Entry'!G86)</f>
        <v/>
      </c>
      <c r="G86" s="93" t="str">
        <f>IF('Marks Entry'!H86="","",'Marks Entry'!H86)</f>
        <v/>
      </c>
      <c r="H86" s="93" t="str">
        <f>IF('Marks Entry'!I86="","",'Marks Entry'!I86)</f>
        <v/>
      </c>
      <c r="I86" s="94" t="str">
        <f>IF('Marks Entry'!J86="","",'Marks Entry'!J86)</f>
        <v/>
      </c>
      <c r="J86" s="95" t="str">
        <f>IF('Marks Entry'!K86="","",'Marks Entry'!K86)</f>
        <v/>
      </c>
      <c r="K86" s="68" t="str">
        <f>IF('Marks Entry'!L86="","",'Marks Entry'!L86)</f>
        <v/>
      </c>
      <c r="L86" s="68" t="str">
        <f>IF('Marks Entry'!M86="","",'Marks Entry'!M86)</f>
        <v/>
      </c>
      <c r="M86" s="68" t="str">
        <f>IF('Marks Entry'!N86="","",'Marks Entry'!N86)</f>
        <v/>
      </c>
      <c r="N86" s="514" t="str">
        <f t="shared" si="257"/>
        <v/>
      </c>
      <c r="O86" s="68" t="str">
        <f>IF('Marks Entry'!O86="","",'Marks Entry'!O86)</f>
        <v/>
      </c>
      <c r="P86" s="515" t="str">
        <f t="shared" si="258"/>
        <v/>
      </c>
      <c r="Q86" s="68" t="str">
        <f>IF('Marks Entry'!P86="","",'Marks Entry'!P86)</f>
        <v/>
      </c>
      <c r="R86" s="96" t="str">
        <f t="shared" si="259"/>
        <v/>
      </c>
      <c r="S86" s="65">
        <f t="shared" si="260"/>
        <v>0</v>
      </c>
      <c r="T86" s="65">
        <f t="shared" si="261"/>
        <v>0</v>
      </c>
      <c r="U86" s="66" t="str">
        <f t="shared" si="171"/>
        <v/>
      </c>
      <c r="V86" s="65" t="str">
        <f t="shared" si="172"/>
        <v/>
      </c>
      <c r="W86" s="65" t="str">
        <f t="shared" si="262"/>
        <v/>
      </c>
      <c r="X86" s="65" t="str">
        <f t="shared" si="173"/>
        <v/>
      </c>
      <c r="Y86" s="68" t="str">
        <f>IF('Marks Entry'!Q86="","",'Marks Entry'!Q86)</f>
        <v/>
      </c>
      <c r="Z86" s="68" t="str">
        <f>IF('Marks Entry'!R86="","",'Marks Entry'!R86)</f>
        <v/>
      </c>
      <c r="AA86" s="68" t="str">
        <f>IF('Marks Entry'!S86="","",'Marks Entry'!S86)</f>
        <v/>
      </c>
      <c r="AB86" s="514" t="str">
        <f t="shared" si="174"/>
        <v/>
      </c>
      <c r="AC86" s="68" t="str">
        <f>IF('Marks Entry'!T86="","",'Marks Entry'!T86)</f>
        <v/>
      </c>
      <c r="AD86" s="515" t="str">
        <f t="shared" si="175"/>
        <v/>
      </c>
      <c r="AE86" s="68" t="str">
        <f>IF('Marks Entry'!U86="","",'Marks Entry'!U86)</f>
        <v/>
      </c>
      <c r="AF86" s="96" t="str">
        <f t="shared" si="176"/>
        <v/>
      </c>
      <c r="AG86" s="65">
        <f t="shared" si="177"/>
        <v>0</v>
      </c>
      <c r="AH86" s="65">
        <f t="shared" si="178"/>
        <v>0</v>
      </c>
      <c r="AI86" s="66" t="str">
        <f t="shared" si="179"/>
        <v/>
      </c>
      <c r="AJ86" s="65" t="str">
        <f t="shared" si="180"/>
        <v/>
      </c>
      <c r="AK86" s="65" t="str">
        <f t="shared" si="181"/>
        <v/>
      </c>
      <c r="AL86" s="65" t="str">
        <f t="shared" si="182"/>
        <v/>
      </c>
      <c r="AM86" s="524" t="str">
        <f>IF('Marks Entry'!V86="","",IF('Marks Entry'!V86=1,'School Profile'!$I$9,IF('Marks Entry'!V86=2,'School Profile'!$I$10,IF('Marks Entry'!V86=3,'School Profile'!$I$11,IF('Marks Entry'!V86=4,'School Profile'!$I$12,IF('Marks Entry'!V86=5,'School Profile'!$I$13,IF('Marks Entry'!V86=6,'School Profile'!$I$14,"")))))))</f>
        <v/>
      </c>
      <c r="AN86" s="68" t="str">
        <f>IF('Marks Entry'!W86="","",'Marks Entry'!W86)</f>
        <v/>
      </c>
      <c r="AO86" s="68" t="str">
        <f>IF('Marks Entry'!X86="","",'Marks Entry'!X86)</f>
        <v/>
      </c>
      <c r="AP86" s="68" t="str">
        <f>IF('Marks Entry'!Y86="","",'Marks Entry'!Y86)</f>
        <v/>
      </c>
      <c r="AQ86" s="514" t="str">
        <f t="shared" si="183"/>
        <v/>
      </c>
      <c r="AR86" s="68" t="str">
        <f>IF('Marks Entry'!Z86="","",'Marks Entry'!Z86)</f>
        <v/>
      </c>
      <c r="AS86" s="515" t="str">
        <f t="shared" si="184"/>
        <v/>
      </c>
      <c r="AT86" s="68" t="str">
        <f>IF('Marks Entry'!AA86="","",'Marks Entry'!AA86)</f>
        <v/>
      </c>
      <c r="AU86" s="96" t="str">
        <f t="shared" si="185"/>
        <v/>
      </c>
      <c r="AV86" s="65">
        <f t="shared" si="186"/>
        <v>0</v>
      </c>
      <c r="AW86" s="65">
        <f t="shared" si="187"/>
        <v>0</v>
      </c>
      <c r="AX86" s="66" t="str">
        <f t="shared" si="188"/>
        <v/>
      </c>
      <c r="AY86" s="65" t="str">
        <f t="shared" si="189"/>
        <v/>
      </c>
      <c r="AZ86" s="65" t="str">
        <f t="shared" si="190"/>
        <v/>
      </c>
      <c r="BA86" s="65" t="str">
        <f t="shared" si="191"/>
        <v/>
      </c>
      <c r="BB86" s="68" t="str">
        <f>IF('Marks Entry'!AB86="","",'Marks Entry'!AB86)</f>
        <v/>
      </c>
      <c r="BC86" s="68" t="str">
        <f>IF('Marks Entry'!AC86="","",'Marks Entry'!AC86)</f>
        <v/>
      </c>
      <c r="BD86" s="68" t="str">
        <f>IF('Marks Entry'!AD86="","",'Marks Entry'!AD86)</f>
        <v/>
      </c>
      <c r="BE86" s="514" t="str">
        <f t="shared" si="192"/>
        <v/>
      </c>
      <c r="BF86" s="68" t="str">
        <f>IF('Marks Entry'!AE86="","",'Marks Entry'!AE86)</f>
        <v/>
      </c>
      <c r="BG86" s="515" t="str">
        <f t="shared" si="193"/>
        <v/>
      </c>
      <c r="BH86" s="68" t="str">
        <f>IF('Marks Entry'!AF86="","",'Marks Entry'!AF86)</f>
        <v/>
      </c>
      <c r="BI86" s="96" t="str">
        <f t="shared" si="194"/>
        <v/>
      </c>
      <c r="BJ86" s="65">
        <f t="shared" si="195"/>
        <v>0</v>
      </c>
      <c r="BK86" s="65">
        <f t="shared" si="263"/>
        <v>0</v>
      </c>
      <c r="BL86" s="66" t="str">
        <f t="shared" si="196"/>
        <v/>
      </c>
      <c r="BM86" s="65" t="str">
        <f t="shared" si="197"/>
        <v/>
      </c>
      <c r="BN86" s="65" t="str">
        <f t="shared" si="198"/>
        <v/>
      </c>
      <c r="BO86" s="65" t="str">
        <f t="shared" si="199"/>
        <v/>
      </c>
      <c r="BP86" s="68" t="str">
        <f>IF('Marks Entry'!AG86="","",'Marks Entry'!AG86)</f>
        <v/>
      </c>
      <c r="BQ86" s="68" t="str">
        <f>IF('Marks Entry'!AH86="","",'Marks Entry'!AH86)</f>
        <v/>
      </c>
      <c r="BR86" s="68" t="str">
        <f>IF('Marks Entry'!AI86="","",'Marks Entry'!AI86)</f>
        <v/>
      </c>
      <c r="BS86" s="514" t="str">
        <f t="shared" si="200"/>
        <v/>
      </c>
      <c r="BT86" s="68" t="str">
        <f>IF('Marks Entry'!AJ86="","",'Marks Entry'!AJ86)</f>
        <v/>
      </c>
      <c r="BU86" s="515" t="str">
        <f t="shared" si="201"/>
        <v/>
      </c>
      <c r="BV86" s="68" t="str">
        <f>IF('Marks Entry'!AK86="","",'Marks Entry'!AK86)</f>
        <v/>
      </c>
      <c r="BW86" s="96" t="str">
        <f t="shared" si="202"/>
        <v/>
      </c>
      <c r="BX86" s="65">
        <f t="shared" si="203"/>
        <v>0</v>
      </c>
      <c r="BY86" s="65">
        <f t="shared" si="204"/>
        <v>0</v>
      </c>
      <c r="BZ86" s="66" t="str">
        <f t="shared" si="205"/>
        <v/>
      </c>
      <c r="CA86" s="65" t="str">
        <f t="shared" si="206"/>
        <v/>
      </c>
      <c r="CB86" s="65" t="str">
        <f t="shared" si="207"/>
        <v/>
      </c>
      <c r="CC86" s="65" t="str">
        <f t="shared" si="208"/>
        <v/>
      </c>
      <c r="CD86" s="66">
        <f t="shared" si="209"/>
        <v>0</v>
      </c>
      <c r="CE86" s="68" t="str">
        <f>IF('Marks Entry'!AL86="","",'Marks Entry'!AL86)</f>
        <v/>
      </c>
      <c r="CF86" s="68" t="str">
        <f>IF('Marks Entry'!AM86="","",'Marks Entry'!AM86)</f>
        <v/>
      </c>
      <c r="CG86" s="68" t="str">
        <f>IF('Marks Entry'!AN86="","",'Marks Entry'!AN86)</f>
        <v/>
      </c>
      <c r="CH86" s="514" t="str">
        <f t="shared" si="210"/>
        <v/>
      </c>
      <c r="CI86" s="68" t="str">
        <f>IF('Marks Entry'!AO86="","",'Marks Entry'!AO86)</f>
        <v/>
      </c>
      <c r="CJ86" s="515" t="str">
        <f t="shared" si="211"/>
        <v/>
      </c>
      <c r="CK86" s="68" t="str">
        <f>IF('Marks Entry'!AP86="","",'Marks Entry'!AP86)</f>
        <v/>
      </c>
      <c r="CL86" s="96" t="str">
        <f t="shared" si="212"/>
        <v/>
      </c>
      <c r="CM86" s="65">
        <f t="shared" si="213"/>
        <v>0</v>
      </c>
      <c r="CN86" s="65">
        <f t="shared" si="214"/>
        <v>0</v>
      </c>
      <c r="CO86" s="66" t="str">
        <f t="shared" si="215"/>
        <v/>
      </c>
      <c r="CP86" s="65" t="str">
        <f t="shared" si="216"/>
        <v/>
      </c>
      <c r="CQ86" s="65" t="str">
        <f t="shared" si="217"/>
        <v/>
      </c>
      <c r="CR86" s="65" t="str">
        <f t="shared" si="218"/>
        <v/>
      </c>
      <c r="CS86" s="616"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8" t="str">
        <f>IF('School Profile'!$D$20="NO","",IF('Marks Entry'!AR86="","",'Marks Entry'!AR86))</f>
        <v/>
      </c>
      <c r="CU86" s="68" t="str">
        <f>IF('School Profile'!$D$20="NO","",IF('Marks Entry'!AS86="","",'Marks Entry'!AS86))</f>
        <v/>
      </c>
      <c r="CV86" s="68" t="str">
        <f>IF('School Profile'!$D$20="NO","",IF('Marks Entry'!AT86="","",'Marks Entry'!AT86))</f>
        <v/>
      </c>
      <c r="CW86" s="514" t="str">
        <f>IF('School Profile'!$D$20="NO","",IF(AND(CT86="",CU86="",CV86=""),"",SUM(CT86:CV86)))</f>
        <v/>
      </c>
      <c r="CX86" s="68" t="str">
        <f>IF('School Profile'!$D$20="NO","",IF('Marks Entry'!AU86="","",'Marks Entry'!AU86))</f>
        <v/>
      </c>
      <c r="CY86" s="68" t="str">
        <f>IF('School Profile'!$D$20="NO","",IF('Marks Entry'!AV86="","",'Marks Entry'!AV86))</f>
        <v/>
      </c>
      <c r="CZ86" s="515" t="str">
        <f>IF('School Profile'!$D$20="NO","",IF(AND(CX86="",CY86=""),"",SUM(CX86,CY86)))</f>
        <v/>
      </c>
      <c r="DA86" s="69" t="str">
        <f>IF('School Profile'!$D$20="NO","",IF(AND(CW86="",CZ86=""),"",SUM(CW86+CZ86)))</f>
        <v/>
      </c>
      <c r="DB86" s="68" t="str">
        <f>IF('School Profile'!$D$20="NO","",IF('Marks Entry'!AW86="","",'Marks Entry'!AW86))</f>
        <v/>
      </c>
      <c r="DC86" s="68" t="str">
        <f>IF('School Profile'!$D$20="NO","",IF('Marks Entry'!AX86="","",'Marks Entry'!AX86))</f>
        <v/>
      </c>
      <c r="DD86" s="515" t="str">
        <f>IF('School Profile'!$D$20="NO","",IF(AND(DB86="",DC86=""),"",SUM(DB86,DC86)))</f>
        <v/>
      </c>
      <c r="DE86" s="96" t="str">
        <f>IF('School Profile'!$D$20="NO","",IF(AND(DA86="",DD86=""),"",SUM(DA86,DD86)))</f>
        <v/>
      </c>
      <c r="DF86" s="532">
        <f t="shared" si="219"/>
        <v>0</v>
      </c>
      <c r="DG86" s="65">
        <f t="shared" si="220"/>
        <v>0</v>
      </c>
      <c r="DH86" s="66" t="str">
        <f t="shared" si="221"/>
        <v/>
      </c>
      <c r="DI86" s="65" t="str">
        <f t="shared" si="222"/>
        <v/>
      </c>
      <c r="DJ86" s="65" t="str">
        <f t="shared" si="223"/>
        <v/>
      </c>
      <c r="DK86" s="65" t="str">
        <f t="shared" si="224"/>
        <v/>
      </c>
      <c r="DL86" s="97" t="str">
        <f t="shared" si="264"/>
        <v/>
      </c>
      <c r="DM86" s="97" t="str">
        <f t="shared" si="265"/>
        <v/>
      </c>
      <c r="DN86" s="97" t="str">
        <f t="shared" si="266"/>
        <v/>
      </c>
      <c r="DO86" s="97" t="str">
        <f t="shared" si="267"/>
        <v/>
      </c>
      <c r="DP86" s="97" t="str">
        <f t="shared" si="268"/>
        <v/>
      </c>
      <c r="DQ86" s="97" t="str">
        <f t="shared" si="269"/>
        <v/>
      </c>
      <c r="DR86" s="97" t="str">
        <f t="shared" si="270"/>
        <v/>
      </c>
      <c r="DS86" s="98">
        <f t="shared" si="271"/>
        <v>0</v>
      </c>
      <c r="DT86" s="98">
        <f t="shared" si="272"/>
        <v>0</v>
      </c>
      <c r="DU86" s="98">
        <f t="shared" si="273"/>
        <v>0</v>
      </c>
      <c r="DV86" s="98">
        <f t="shared" si="274"/>
        <v>0</v>
      </c>
      <c r="DW86" s="98">
        <f t="shared" si="275"/>
        <v>0</v>
      </c>
      <c r="DX86" s="98" t="str">
        <f t="shared" si="276"/>
        <v/>
      </c>
      <c r="DY86" s="99" t="str">
        <f t="shared" si="277"/>
        <v/>
      </c>
      <c r="DZ86" s="74" t="str">
        <f>IF('Marks Entry'!AY86="","",'Marks Entry'!AY86)</f>
        <v/>
      </c>
      <c r="EA86" s="74" t="str">
        <f>IF('Marks Entry'!AZ86="","",'Marks Entry'!AZ86)</f>
        <v/>
      </c>
      <c r="EB86" s="74" t="str">
        <f>IF('Marks Entry'!BA86="","",'Marks Entry'!BA86)</f>
        <v/>
      </c>
      <c r="EC86" s="527" t="str">
        <f t="shared" si="225"/>
        <v/>
      </c>
      <c r="ED86" s="74" t="str">
        <f>IF('Marks Entry'!BB86="","",'Marks Entry'!BB86)</f>
        <v/>
      </c>
      <c r="EE86" s="528" t="str">
        <f t="shared" si="226"/>
        <v/>
      </c>
      <c r="EF86" s="74" t="str">
        <f>IF('Marks Entry'!BC86="","",'Marks Entry'!BC86)</f>
        <v/>
      </c>
      <c r="EG86" s="530" t="str">
        <f t="shared" si="227"/>
        <v/>
      </c>
      <c r="EH86" s="368" t="str">
        <f t="shared" si="278"/>
        <v/>
      </c>
      <c r="EI86" s="65">
        <f t="shared" si="279"/>
        <v>0</v>
      </c>
      <c r="EJ86" s="65">
        <f t="shared" si="280"/>
        <v>0</v>
      </c>
      <c r="EK86" s="66" t="str">
        <f t="shared" si="281"/>
        <v/>
      </c>
      <c r="EL86" s="74" t="str">
        <f>IF('Marks Entry'!BD86="","",'Marks Entry'!BD86)</f>
        <v/>
      </c>
      <c r="EM86" s="74" t="str">
        <f>IF('Marks Entry'!BE86="","",'Marks Entry'!BE86)</f>
        <v/>
      </c>
      <c r="EN86" s="74" t="str">
        <f>IF('Marks Entry'!BF86="","",'Marks Entry'!BF86)</f>
        <v/>
      </c>
      <c r="EO86" s="527" t="str">
        <f t="shared" si="228"/>
        <v/>
      </c>
      <c r="EP86" s="74" t="str">
        <f>IF('Marks Entry'!BG86="","",'Marks Entry'!BG86)</f>
        <v/>
      </c>
      <c r="EQ86" s="74" t="str">
        <f>IF('Marks Entry'!BH86="","",'Marks Entry'!BH86)</f>
        <v/>
      </c>
      <c r="ER86" s="528" t="str">
        <f t="shared" si="229"/>
        <v/>
      </c>
      <c r="ES86" s="529" t="str">
        <f t="shared" si="230"/>
        <v/>
      </c>
      <c r="ET86" s="74" t="str">
        <f>IF('Marks Entry'!BI86="","",'Marks Entry'!BI86)</f>
        <v/>
      </c>
      <c r="EU86" s="74" t="str">
        <f>IF('Marks Entry'!BJ86="","",'Marks Entry'!BJ86)</f>
        <v/>
      </c>
      <c r="EV86" s="528" t="str">
        <f t="shared" si="231"/>
        <v/>
      </c>
      <c r="EW86" s="530" t="str">
        <f t="shared" si="232"/>
        <v/>
      </c>
      <c r="EX86" s="368" t="str">
        <f t="shared" si="282"/>
        <v/>
      </c>
      <c r="EY86" s="65">
        <f t="shared" si="283"/>
        <v>0</v>
      </c>
      <c r="EZ86" s="65">
        <f t="shared" si="284"/>
        <v>0</v>
      </c>
      <c r="FA86" s="66" t="str">
        <f t="shared" si="285"/>
        <v/>
      </c>
      <c r="FB86" s="74" t="str">
        <f>IF('Marks Entry'!BK86="","",'Marks Entry'!BK86)</f>
        <v/>
      </c>
      <c r="FC86" s="74" t="str">
        <f>IF('Marks Entry'!BL86="","",'Marks Entry'!BL86)</f>
        <v/>
      </c>
      <c r="FD86" s="74" t="str">
        <f>IF('Marks Entry'!BM86="","",'Marks Entry'!BM86)</f>
        <v/>
      </c>
      <c r="FE86" s="74" t="str">
        <f>IF('Marks Entry'!BN86="","",'Marks Entry'!BN86)</f>
        <v/>
      </c>
      <c r="FF86" s="74" t="str">
        <f>IF('Marks Entry'!BO86="","",'Marks Entry'!BO86)</f>
        <v/>
      </c>
      <c r="FG86" s="74" t="str">
        <f>IF('Marks Entry'!BP86="","",'Marks Entry'!BP86)</f>
        <v/>
      </c>
      <c r="FH86" s="527" t="str">
        <f t="shared" si="233"/>
        <v/>
      </c>
      <c r="FI86" s="74" t="str">
        <f>IF('Marks Entry'!BQ86="","",'Marks Entry'!BQ86)</f>
        <v/>
      </c>
      <c r="FJ86" s="74" t="str">
        <f>IF('Marks Entry'!BR86="","",'Marks Entry'!BR86)</f>
        <v/>
      </c>
      <c r="FK86" s="528" t="str">
        <f t="shared" si="234"/>
        <v/>
      </c>
      <c r="FL86" s="529" t="str">
        <f t="shared" si="235"/>
        <v/>
      </c>
      <c r="FM86" s="74" t="str">
        <f>IF('Marks Entry'!BS86="","",'Marks Entry'!BS86)</f>
        <v/>
      </c>
      <c r="FN86" s="74" t="str">
        <f>IF('Marks Entry'!BT86="","",'Marks Entry'!BT86)</f>
        <v/>
      </c>
      <c r="FO86" s="528" t="str">
        <f t="shared" si="236"/>
        <v/>
      </c>
      <c r="FP86" s="530" t="str">
        <f t="shared" si="237"/>
        <v/>
      </c>
      <c r="FQ86" s="368" t="str">
        <f t="shared" si="286"/>
        <v/>
      </c>
      <c r="FR86" s="65">
        <f t="shared" si="287"/>
        <v>0</v>
      </c>
      <c r="FS86" s="65">
        <f t="shared" si="288"/>
        <v>0</v>
      </c>
      <c r="FT86" s="66" t="str">
        <f t="shared" si="289"/>
        <v/>
      </c>
      <c r="FU86" s="74" t="str">
        <f>IF('Marks Entry'!BU86="","",'Marks Entry'!BU86)</f>
        <v/>
      </c>
      <c r="FV86" s="74" t="str">
        <f>IF('Marks Entry'!BV86="","",'Marks Entry'!BV86)</f>
        <v/>
      </c>
      <c r="FW86" s="74" t="str">
        <f>IF('Marks Entry'!BW86="","",'Marks Entry'!BW86)</f>
        <v/>
      </c>
      <c r="FX86" s="75" t="str">
        <f t="shared" si="238"/>
        <v/>
      </c>
      <c r="FY86" s="368" t="str">
        <f t="shared" si="290"/>
        <v/>
      </c>
      <c r="FZ86" s="65">
        <f t="shared" si="291"/>
        <v>0</v>
      </c>
      <c r="GA86" s="66">
        <f t="shared" si="292"/>
        <v>0</v>
      </c>
      <c r="GB86" s="66" t="str">
        <f t="shared" si="293"/>
        <v/>
      </c>
      <c r="GC86" s="74" t="str">
        <f>IF('Marks Entry'!BX86="","",'Marks Entry'!BX86)</f>
        <v/>
      </c>
      <c r="GD86" s="74" t="str">
        <f>IF('Marks Entry'!BY86="","",'Marks Entry'!BY86)</f>
        <v/>
      </c>
      <c r="GE86" s="74" t="str">
        <f>IF('Marks Entry'!BZ86="","",'Marks Entry'!BZ86)</f>
        <v/>
      </c>
      <c r="GF86" s="75" t="str">
        <f t="shared" si="294"/>
        <v/>
      </c>
      <c r="GG86" s="368" t="str">
        <f t="shared" si="295"/>
        <v/>
      </c>
      <c r="GH86" s="65">
        <f t="shared" si="296"/>
        <v>0</v>
      </c>
      <c r="GI86" s="66">
        <f t="shared" si="297"/>
        <v>0</v>
      </c>
      <c r="GJ86" s="66" t="str">
        <f t="shared" si="298"/>
        <v/>
      </c>
      <c r="GK86" s="100" t="str">
        <f>IF(AND(F86="",B86=""),"",IF('Student DATA Entry'!M83="","",'Student DATA Entry'!M83))</f>
        <v/>
      </c>
      <c r="GL86" s="101" t="str">
        <f>IF(AND(B86="",F86=""),"",IF('Student DATA Entry'!N83="","",'Student DATA Entry'!N83))</f>
        <v/>
      </c>
      <c r="GM86" s="581" t="str">
        <f t="shared" si="299"/>
        <v/>
      </c>
      <c r="GN86" s="94" t="str">
        <f t="shared" si="300"/>
        <v/>
      </c>
      <c r="GO86" s="94" t="str">
        <f t="shared" si="301"/>
        <v/>
      </c>
      <c r="GP86" s="102" t="str">
        <f t="shared" si="239"/>
        <v/>
      </c>
      <c r="GQ86" s="94" t="str">
        <f t="shared" si="302"/>
        <v/>
      </c>
      <c r="GR86" s="103" t="str">
        <f t="shared" si="303"/>
        <v/>
      </c>
      <c r="GS86" s="102" t="str">
        <f t="shared" si="240"/>
        <v/>
      </c>
      <c r="GT86" s="104" t="str">
        <f t="shared" si="304"/>
        <v/>
      </c>
      <c r="GU86" s="94" t="str">
        <f>IF('Marks Entry'!V86=1,GT86,"")</f>
        <v/>
      </c>
      <c r="GV86" s="94" t="str">
        <f>IF('Marks Entry'!V86=2,GT86,"")</f>
        <v/>
      </c>
      <c r="GW86" s="94" t="str">
        <f>IF('Marks Entry'!V86=3,GT86,"")</f>
        <v/>
      </c>
      <c r="GX86" s="94" t="str">
        <f>IF('Marks Entry'!V86=4,GT86,"")</f>
        <v/>
      </c>
      <c r="GY86" s="94" t="str">
        <f>IF('Marks Entry'!V86=5,GT86,"")</f>
        <v/>
      </c>
      <c r="GZ86" s="94" t="str">
        <f t="shared" si="305"/>
        <v/>
      </c>
      <c r="HA86" s="105" t="str">
        <f t="shared" si="241"/>
        <v/>
      </c>
      <c r="HB86" s="94" t="str">
        <f t="shared" si="306"/>
        <v/>
      </c>
      <c r="HC86" s="94" t="str">
        <f t="shared" si="307"/>
        <v/>
      </c>
      <c r="HD86" s="105" t="str">
        <f t="shared" si="242"/>
        <v/>
      </c>
      <c r="HE86" s="94" t="str">
        <f t="shared" si="308"/>
        <v/>
      </c>
      <c r="HF86" s="94" t="str">
        <f t="shared" si="309"/>
        <v/>
      </c>
      <c r="HG86" s="105" t="str">
        <f t="shared" si="243"/>
        <v/>
      </c>
      <c r="HH86" s="94" t="str">
        <f t="shared" si="310"/>
        <v/>
      </c>
      <c r="HI86" s="94" t="str">
        <f t="shared" si="311"/>
        <v/>
      </c>
      <c r="HJ86" s="105" t="str">
        <f t="shared" si="244"/>
        <v/>
      </c>
      <c r="HK86" s="94" t="str">
        <f t="shared" si="312"/>
        <v/>
      </c>
      <c r="HL86" s="94" t="str">
        <f t="shared" si="313"/>
        <v/>
      </c>
      <c r="HM86" s="105" t="str">
        <f t="shared" si="245"/>
        <v/>
      </c>
      <c r="HN86" s="367" t="str">
        <f t="shared" si="314"/>
        <v xml:space="preserve">      </v>
      </c>
      <c r="HO86" s="418" t="str">
        <f t="shared" si="246"/>
        <v xml:space="preserve">      </v>
      </c>
      <c r="HP86" s="367" t="str">
        <f t="shared" si="315"/>
        <v xml:space="preserve">      </v>
      </c>
      <c r="HQ86" s="107" t="str">
        <f t="shared" si="316"/>
        <v xml:space="preserve">      </v>
      </c>
      <c r="HR86" s="366" t="str">
        <f t="shared" si="317"/>
        <v xml:space="preserve">      </v>
      </c>
      <c r="HS86" s="544" t="str">
        <f t="shared" si="247"/>
        <v/>
      </c>
      <c r="HT86" s="542" t="str">
        <f t="shared" si="318"/>
        <v/>
      </c>
      <c r="HU86" s="541" t="str">
        <f t="shared" si="319"/>
        <v/>
      </c>
      <c r="HV86" s="540" t="str">
        <f t="shared" si="320"/>
        <v/>
      </c>
      <c r="HW86" s="537" t="str">
        <f t="shared" si="321"/>
        <v/>
      </c>
      <c r="HX86" s="539" t="str">
        <f t="shared" si="322"/>
        <v/>
      </c>
      <c r="HY86" s="553" t="str">
        <f>IFERROR(IF(OR(HS86="SUPPLEMENTARY",HS86="RE-EXAM"),'Supp. Result Entry'!AQ84,""),"")</f>
        <v/>
      </c>
      <c r="HZ86" s="538" t="str">
        <f t="shared" si="323"/>
        <v/>
      </c>
      <c r="IA86" s="415" t="str">
        <f t="shared" si="324"/>
        <v/>
      </c>
      <c r="IB86" s="415" t="str">
        <f>IF(AND(HZ86="",IA86=""),"",IF(OR(HS86="SUPPLEMENTARY",HS86="RE-EXAM"),'Supp. Result Entry'!AQ84,HS86))</f>
        <v/>
      </c>
      <c r="IC86" s="87"/>
      <c r="IS86" s="109" t="str">
        <f>IF('Supp. Result Entry'!T84="","",'Supp. Result Entry'!$T$4)</f>
        <v/>
      </c>
      <c r="IT86" s="110" t="str">
        <f>IF('Supp. Result Entry'!W84="","",'Supp. Result Entry'!$W$4)</f>
        <v/>
      </c>
      <c r="IU86" s="110" t="str">
        <f>IF('Supp. Result Entry'!Z84="","",'Supp. Result Entry'!$Z$4)</f>
        <v/>
      </c>
      <c r="IV86" s="110" t="str">
        <f>IF('Supp. Result Entry'!AC84="","",'Supp. Result Entry'!$AC$4)</f>
        <v/>
      </c>
      <c r="IW86" s="110" t="str">
        <f>IF('Supp. Result Entry'!AF84="","",'Supp. Result Entry'!$AF$4)</f>
        <v/>
      </c>
      <c r="IX86" s="110" t="str">
        <f>IF('Supp. Result Entry'!AI84="","",'Supp. Result Entry'!$AI$4)</f>
        <v/>
      </c>
      <c r="IY86" s="110" t="str">
        <f>IF('Supp. Result Entry'!AI84="","",'Supp. Result Entry'!$AL$4)</f>
        <v/>
      </c>
      <c r="IZ86" s="110" t="str">
        <f>IF('Supp. Result Entry'!U84="","",'Supp. Result Entry'!U84)</f>
        <v/>
      </c>
      <c r="JA86" s="110" t="str">
        <f>IF('Supp. Result Entry'!X84="","",'Supp. Result Entry'!X84)</f>
        <v/>
      </c>
      <c r="JB86" s="110" t="str">
        <f>IF('Supp. Result Entry'!AA84="","",'Supp. Result Entry'!AA84)</f>
        <v/>
      </c>
      <c r="JC86" s="110" t="str">
        <f>IF('Supp. Result Entry'!AD84="","",'Supp. Result Entry'!AD84)</f>
        <v/>
      </c>
      <c r="JD86" s="110" t="str">
        <f>IF('Supp. Result Entry'!AG84="","",'Supp. Result Entry'!AG84)</f>
        <v/>
      </c>
      <c r="JE86" s="110" t="str">
        <f>IF('Supp. Result Entry'!AJ84="","",'Supp. Result Entry'!AJ84)</f>
        <v/>
      </c>
      <c r="JF86" s="110" t="str">
        <f>IF('Supp. Result Entry'!AM84="","",'Supp. Result Entry'!AM84)</f>
        <v/>
      </c>
      <c r="JG86" s="110" t="str">
        <f>IF('Supp. Result Entry'!V84="","",'Supp. Result Entry'!V84)</f>
        <v/>
      </c>
      <c r="JH86" s="110" t="str">
        <f>IF('Supp. Result Entry'!Y84="","",'Supp. Result Entry'!Y84)</f>
        <v/>
      </c>
      <c r="JI86" s="110" t="str">
        <f>IF('Supp. Result Entry'!AB84="","",'Supp. Result Entry'!AB84)</f>
        <v/>
      </c>
      <c r="JJ86" s="110" t="str">
        <f>IF('Supp. Result Entry'!AE84="","",'Supp. Result Entry'!AE84)</f>
        <v/>
      </c>
      <c r="JK86" s="110" t="str">
        <f>IF('Supp. Result Entry'!AH84="","",'Supp. Result Entry'!AH84)</f>
        <v/>
      </c>
      <c r="JL86" s="110" t="str">
        <f>IF('Supp. Result Entry'!AK84="","",'Supp. Result Entry'!AK84)</f>
        <v/>
      </c>
      <c r="JM86" s="110" t="str">
        <f>IF('Supp. Result Entry'!AN84="","",'Supp. Result Entry'!AN84)</f>
        <v/>
      </c>
      <c r="JN86" s="110">
        <f>COUNTIF('Supp. Result Entry'!K84:Q84,"S")</f>
        <v>0</v>
      </c>
      <c r="JO86" s="110">
        <f t="shared" si="248"/>
        <v>0</v>
      </c>
      <c r="JP86" s="110">
        <f t="shared" si="325"/>
        <v>0</v>
      </c>
      <c r="JQ86" s="110" t="str">
        <f t="shared" si="249"/>
        <v/>
      </c>
      <c r="JR86" s="110" t="str">
        <f t="shared" si="250"/>
        <v/>
      </c>
      <c r="JS86" s="110" t="str">
        <f t="shared" si="251"/>
        <v/>
      </c>
      <c r="JT86" s="110" t="str">
        <f t="shared" si="252"/>
        <v/>
      </c>
      <c r="JU86" s="110" t="str">
        <f t="shared" si="253"/>
        <v/>
      </c>
      <c r="JV86" s="110" t="str">
        <f t="shared" si="254"/>
        <v/>
      </c>
      <c r="JW86" s="110" t="str">
        <f t="shared" si="255"/>
        <v/>
      </c>
      <c r="JX86" s="110" t="str">
        <f t="shared" si="326"/>
        <v/>
      </c>
      <c r="JY86" s="110" t="str">
        <f t="shared" si="327"/>
        <v/>
      </c>
      <c r="JZ86" s="110" t="str">
        <f t="shared" si="256"/>
        <v/>
      </c>
      <c r="KA86" s="108" t="str">
        <f t="shared" si="328"/>
        <v/>
      </c>
    </row>
    <row r="87" spans="1:287" s="108" customFormat="1" ht="21.95" customHeight="1">
      <c r="A87" s="89">
        <v>81</v>
      </c>
      <c r="B87" s="90" t="str">
        <f>IF('Marks Entry'!B87="","",'Marks Entry'!B87)</f>
        <v/>
      </c>
      <c r="C87" s="94" t="str">
        <f>IF('Marks Entry'!D87="","",'Marks Entry'!D87)</f>
        <v/>
      </c>
      <c r="D87" s="91" t="str">
        <f>IF('Marks Entry'!E87="","",'Marks Entry'!E87)</f>
        <v/>
      </c>
      <c r="E87" s="92" t="str">
        <f>IF('Marks Entry'!F87="","",'Marks Entry'!F87)</f>
        <v/>
      </c>
      <c r="F87" s="93" t="str">
        <f>IF('Marks Entry'!G87="","",'Marks Entry'!G87)</f>
        <v/>
      </c>
      <c r="G87" s="93" t="str">
        <f>IF('Marks Entry'!H87="","",'Marks Entry'!H87)</f>
        <v/>
      </c>
      <c r="H87" s="93" t="str">
        <f>IF('Marks Entry'!I87="","",'Marks Entry'!I87)</f>
        <v/>
      </c>
      <c r="I87" s="94" t="str">
        <f>IF('Marks Entry'!J87="","",'Marks Entry'!J87)</f>
        <v/>
      </c>
      <c r="J87" s="95" t="str">
        <f>IF('Marks Entry'!K87="","",'Marks Entry'!K87)</f>
        <v/>
      </c>
      <c r="K87" s="68" t="str">
        <f>IF('Marks Entry'!L87="","",'Marks Entry'!L87)</f>
        <v/>
      </c>
      <c r="L87" s="68" t="str">
        <f>IF('Marks Entry'!M87="","",'Marks Entry'!M87)</f>
        <v/>
      </c>
      <c r="M87" s="68" t="str">
        <f>IF('Marks Entry'!N87="","",'Marks Entry'!N87)</f>
        <v/>
      </c>
      <c r="N87" s="514" t="str">
        <f t="shared" si="257"/>
        <v/>
      </c>
      <c r="O87" s="68" t="str">
        <f>IF('Marks Entry'!O87="","",'Marks Entry'!O87)</f>
        <v/>
      </c>
      <c r="P87" s="515" t="str">
        <f t="shared" si="258"/>
        <v/>
      </c>
      <c r="Q87" s="68" t="str">
        <f>IF('Marks Entry'!P87="","",'Marks Entry'!P87)</f>
        <v/>
      </c>
      <c r="R87" s="96" t="str">
        <f t="shared" si="259"/>
        <v/>
      </c>
      <c r="S87" s="65">
        <f t="shared" si="260"/>
        <v>0</v>
      </c>
      <c r="T87" s="65">
        <f t="shared" si="261"/>
        <v>0</v>
      </c>
      <c r="U87" s="66" t="str">
        <f t="shared" si="171"/>
        <v/>
      </c>
      <c r="V87" s="65" t="str">
        <f t="shared" si="172"/>
        <v/>
      </c>
      <c r="W87" s="65" t="str">
        <f t="shared" si="262"/>
        <v/>
      </c>
      <c r="X87" s="65" t="str">
        <f t="shared" si="173"/>
        <v/>
      </c>
      <c r="Y87" s="68" t="str">
        <f>IF('Marks Entry'!Q87="","",'Marks Entry'!Q87)</f>
        <v/>
      </c>
      <c r="Z87" s="68" t="str">
        <f>IF('Marks Entry'!R87="","",'Marks Entry'!R87)</f>
        <v/>
      </c>
      <c r="AA87" s="68" t="str">
        <f>IF('Marks Entry'!S87="","",'Marks Entry'!S87)</f>
        <v/>
      </c>
      <c r="AB87" s="514" t="str">
        <f t="shared" si="174"/>
        <v/>
      </c>
      <c r="AC87" s="68" t="str">
        <f>IF('Marks Entry'!T87="","",'Marks Entry'!T87)</f>
        <v/>
      </c>
      <c r="AD87" s="515" t="str">
        <f t="shared" si="175"/>
        <v/>
      </c>
      <c r="AE87" s="68" t="str">
        <f>IF('Marks Entry'!U87="","",'Marks Entry'!U87)</f>
        <v/>
      </c>
      <c r="AF87" s="96" t="str">
        <f t="shared" si="176"/>
        <v/>
      </c>
      <c r="AG87" s="65">
        <f t="shared" si="177"/>
        <v>0</v>
      </c>
      <c r="AH87" s="65">
        <f t="shared" si="178"/>
        <v>0</v>
      </c>
      <c r="AI87" s="66" t="str">
        <f t="shared" si="179"/>
        <v/>
      </c>
      <c r="AJ87" s="65" t="str">
        <f t="shared" si="180"/>
        <v/>
      </c>
      <c r="AK87" s="65" t="str">
        <f t="shared" si="181"/>
        <v/>
      </c>
      <c r="AL87" s="65" t="str">
        <f t="shared" si="182"/>
        <v/>
      </c>
      <c r="AM87" s="524" t="str">
        <f>IF('Marks Entry'!V87="","",IF('Marks Entry'!V87=1,'School Profile'!$I$9,IF('Marks Entry'!V87=2,'School Profile'!$I$10,IF('Marks Entry'!V87=3,'School Profile'!$I$11,IF('Marks Entry'!V87=4,'School Profile'!$I$12,IF('Marks Entry'!V87=5,'School Profile'!$I$13,IF('Marks Entry'!V87=6,'School Profile'!$I$14,"")))))))</f>
        <v/>
      </c>
      <c r="AN87" s="68" t="str">
        <f>IF('Marks Entry'!W87="","",'Marks Entry'!W87)</f>
        <v/>
      </c>
      <c r="AO87" s="68" t="str">
        <f>IF('Marks Entry'!X87="","",'Marks Entry'!X87)</f>
        <v/>
      </c>
      <c r="AP87" s="68" t="str">
        <f>IF('Marks Entry'!Y87="","",'Marks Entry'!Y87)</f>
        <v/>
      </c>
      <c r="AQ87" s="514" t="str">
        <f t="shared" si="183"/>
        <v/>
      </c>
      <c r="AR87" s="68" t="str">
        <f>IF('Marks Entry'!Z87="","",'Marks Entry'!Z87)</f>
        <v/>
      </c>
      <c r="AS87" s="515" t="str">
        <f t="shared" si="184"/>
        <v/>
      </c>
      <c r="AT87" s="68" t="str">
        <f>IF('Marks Entry'!AA87="","",'Marks Entry'!AA87)</f>
        <v/>
      </c>
      <c r="AU87" s="96" t="str">
        <f t="shared" si="185"/>
        <v/>
      </c>
      <c r="AV87" s="65">
        <f t="shared" si="186"/>
        <v>0</v>
      </c>
      <c r="AW87" s="65">
        <f t="shared" si="187"/>
        <v>0</v>
      </c>
      <c r="AX87" s="66" t="str">
        <f t="shared" si="188"/>
        <v/>
      </c>
      <c r="AY87" s="65" t="str">
        <f t="shared" si="189"/>
        <v/>
      </c>
      <c r="AZ87" s="65" t="str">
        <f t="shared" si="190"/>
        <v/>
      </c>
      <c r="BA87" s="65" t="str">
        <f t="shared" si="191"/>
        <v/>
      </c>
      <c r="BB87" s="68" t="str">
        <f>IF('Marks Entry'!AB87="","",'Marks Entry'!AB87)</f>
        <v/>
      </c>
      <c r="BC87" s="68" t="str">
        <f>IF('Marks Entry'!AC87="","",'Marks Entry'!AC87)</f>
        <v/>
      </c>
      <c r="BD87" s="68" t="str">
        <f>IF('Marks Entry'!AD87="","",'Marks Entry'!AD87)</f>
        <v/>
      </c>
      <c r="BE87" s="514" t="str">
        <f t="shared" si="192"/>
        <v/>
      </c>
      <c r="BF87" s="68" t="str">
        <f>IF('Marks Entry'!AE87="","",'Marks Entry'!AE87)</f>
        <v/>
      </c>
      <c r="BG87" s="515" t="str">
        <f t="shared" si="193"/>
        <v/>
      </c>
      <c r="BH87" s="68" t="str">
        <f>IF('Marks Entry'!AF87="","",'Marks Entry'!AF87)</f>
        <v/>
      </c>
      <c r="BI87" s="96" t="str">
        <f t="shared" si="194"/>
        <v/>
      </c>
      <c r="BJ87" s="65">
        <f t="shared" si="195"/>
        <v>0</v>
      </c>
      <c r="BK87" s="65">
        <f t="shared" si="263"/>
        <v>0</v>
      </c>
      <c r="BL87" s="66" t="str">
        <f t="shared" si="196"/>
        <v/>
      </c>
      <c r="BM87" s="65" t="str">
        <f t="shared" si="197"/>
        <v/>
      </c>
      <c r="BN87" s="65" t="str">
        <f t="shared" si="198"/>
        <v/>
      </c>
      <c r="BO87" s="65" t="str">
        <f t="shared" si="199"/>
        <v/>
      </c>
      <c r="BP87" s="68" t="str">
        <f>IF('Marks Entry'!AG87="","",'Marks Entry'!AG87)</f>
        <v/>
      </c>
      <c r="BQ87" s="68" t="str">
        <f>IF('Marks Entry'!AH87="","",'Marks Entry'!AH87)</f>
        <v/>
      </c>
      <c r="BR87" s="68" t="str">
        <f>IF('Marks Entry'!AI87="","",'Marks Entry'!AI87)</f>
        <v/>
      </c>
      <c r="BS87" s="514" t="str">
        <f t="shared" si="200"/>
        <v/>
      </c>
      <c r="BT87" s="68" t="str">
        <f>IF('Marks Entry'!AJ87="","",'Marks Entry'!AJ87)</f>
        <v/>
      </c>
      <c r="BU87" s="515" t="str">
        <f t="shared" si="201"/>
        <v/>
      </c>
      <c r="BV87" s="68" t="str">
        <f>IF('Marks Entry'!AK87="","",'Marks Entry'!AK87)</f>
        <v/>
      </c>
      <c r="BW87" s="96" t="str">
        <f t="shared" si="202"/>
        <v/>
      </c>
      <c r="BX87" s="65">
        <f t="shared" si="203"/>
        <v>0</v>
      </c>
      <c r="BY87" s="65">
        <f t="shared" si="204"/>
        <v>0</v>
      </c>
      <c r="BZ87" s="66" t="str">
        <f t="shared" si="205"/>
        <v/>
      </c>
      <c r="CA87" s="65" t="str">
        <f t="shared" si="206"/>
        <v/>
      </c>
      <c r="CB87" s="65" t="str">
        <f t="shared" si="207"/>
        <v/>
      </c>
      <c r="CC87" s="65" t="str">
        <f t="shared" si="208"/>
        <v/>
      </c>
      <c r="CD87" s="66">
        <f t="shared" si="209"/>
        <v>0</v>
      </c>
      <c r="CE87" s="68" t="str">
        <f>IF('Marks Entry'!AL87="","",'Marks Entry'!AL87)</f>
        <v/>
      </c>
      <c r="CF87" s="68" t="str">
        <f>IF('Marks Entry'!AM87="","",'Marks Entry'!AM87)</f>
        <v/>
      </c>
      <c r="CG87" s="68" t="str">
        <f>IF('Marks Entry'!AN87="","",'Marks Entry'!AN87)</f>
        <v/>
      </c>
      <c r="CH87" s="514" t="str">
        <f t="shared" si="210"/>
        <v/>
      </c>
      <c r="CI87" s="68" t="str">
        <f>IF('Marks Entry'!AO87="","",'Marks Entry'!AO87)</f>
        <v/>
      </c>
      <c r="CJ87" s="515" t="str">
        <f t="shared" si="211"/>
        <v/>
      </c>
      <c r="CK87" s="68" t="str">
        <f>IF('Marks Entry'!AP87="","",'Marks Entry'!AP87)</f>
        <v/>
      </c>
      <c r="CL87" s="96" t="str">
        <f t="shared" si="212"/>
        <v/>
      </c>
      <c r="CM87" s="65">
        <f t="shared" si="213"/>
        <v>0</v>
      </c>
      <c r="CN87" s="65">
        <f t="shared" si="214"/>
        <v>0</v>
      </c>
      <c r="CO87" s="66" t="str">
        <f t="shared" si="215"/>
        <v/>
      </c>
      <c r="CP87" s="65" t="str">
        <f t="shared" si="216"/>
        <v/>
      </c>
      <c r="CQ87" s="65" t="str">
        <f t="shared" si="217"/>
        <v/>
      </c>
      <c r="CR87" s="65" t="str">
        <f t="shared" si="218"/>
        <v/>
      </c>
      <c r="CS87" s="616"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8" t="str">
        <f>IF('School Profile'!$D$20="NO","",IF('Marks Entry'!AR87="","",'Marks Entry'!AR87))</f>
        <v/>
      </c>
      <c r="CU87" s="68" t="str">
        <f>IF('School Profile'!$D$20="NO","",IF('Marks Entry'!AS87="","",'Marks Entry'!AS87))</f>
        <v/>
      </c>
      <c r="CV87" s="68" t="str">
        <f>IF('School Profile'!$D$20="NO","",IF('Marks Entry'!AT87="","",'Marks Entry'!AT87))</f>
        <v/>
      </c>
      <c r="CW87" s="514" t="str">
        <f>IF('School Profile'!$D$20="NO","",IF(AND(CT87="",CU87="",CV87=""),"",SUM(CT87:CV87)))</f>
        <v/>
      </c>
      <c r="CX87" s="68" t="str">
        <f>IF('School Profile'!$D$20="NO","",IF('Marks Entry'!AU87="","",'Marks Entry'!AU87))</f>
        <v/>
      </c>
      <c r="CY87" s="68" t="str">
        <f>IF('School Profile'!$D$20="NO","",IF('Marks Entry'!AV87="","",'Marks Entry'!AV87))</f>
        <v/>
      </c>
      <c r="CZ87" s="515" t="str">
        <f>IF('School Profile'!$D$20="NO","",IF(AND(CX87="",CY87=""),"",SUM(CX87,CY87)))</f>
        <v/>
      </c>
      <c r="DA87" s="69" t="str">
        <f>IF('School Profile'!$D$20="NO","",IF(AND(CW87="",CZ87=""),"",SUM(CW87+CZ87)))</f>
        <v/>
      </c>
      <c r="DB87" s="68" t="str">
        <f>IF('School Profile'!$D$20="NO","",IF('Marks Entry'!AW87="","",'Marks Entry'!AW87))</f>
        <v/>
      </c>
      <c r="DC87" s="68" t="str">
        <f>IF('School Profile'!$D$20="NO","",IF('Marks Entry'!AX87="","",'Marks Entry'!AX87))</f>
        <v/>
      </c>
      <c r="DD87" s="515" t="str">
        <f>IF('School Profile'!$D$20="NO","",IF(AND(DB87="",DC87=""),"",SUM(DB87,DC87)))</f>
        <v/>
      </c>
      <c r="DE87" s="96" t="str">
        <f>IF('School Profile'!$D$20="NO","",IF(AND(DA87="",DD87=""),"",SUM(DA87,DD87)))</f>
        <v/>
      </c>
      <c r="DF87" s="532">
        <f t="shared" si="219"/>
        <v>0</v>
      </c>
      <c r="DG87" s="65">
        <f t="shared" si="220"/>
        <v>0</v>
      </c>
      <c r="DH87" s="66" t="str">
        <f t="shared" si="221"/>
        <v/>
      </c>
      <c r="DI87" s="65" t="str">
        <f t="shared" si="222"/>
        <v/>
      </c>
      <c r="DJ87" s="65" t="str">
        <f t="shared" si="223"/>
        <v/>
      </c>
      <c r="DK87" s="65" t="str">
        <f t="shared" si="224"/>
        <v/>
      </c>
      <c r="DL87" s="97" t="str">
        <f t="shared" si="264"/>
        <v/>
      </c>
      <c r="DM87" s="97" t="str">
        <f t="shared" si="265"/>
        <v/>
      </c>
      <c r="DN87" s="97" t="str">
        <f t="shared" si="266"/>
        <v/>
      </c>
      <c r="DO87" s="97" t="str">
        <f t="shared" si="267"/>
        <v/>
      </c>
      <c r="DP87" s="97" t="str">
        <f t="shared" si="268"/>
        <v/>
      </c>
      <c r="DQ87" s="97" t="str">
        <f t="shared" si="269"/>
        <v/>
      </c>
      <c r="DR87" s="97" t="str">
        <f t="shared" si="270"/>
        <v/>
      </c>
      <c r="DS87" s="98">
        <f t="shared" si="271"/>
        <v>0</v>
      </c>
      <c r="DT87" s="98">
        <f t="shared" si="272"/>
        <v>0</v>
      </c>
      <c r="DU87" s="98">
        <f t="shared" si="273"/>
        <v>0</v>
      </c>
      <c r="DV87" s="98">
        <f t="shared" si="274"/>
        <v>0</v>
      </c>
      <c r="DW87" s="98">
        <f t="shared" si="275"/>
        <v>0</v>
      </c>
      <c r="DX87" s="98" t="str">
        <f t="shared" si="276"/>
        <v/>
      </c>
      <c r="DY87" s="99" t="str">
        <f t="shared" si="277"/>
        <v/>
      </c>
      <c r="DZ87" s="74" t="str">
        <f>IF('Marks Entry'!AY87="","",'Marks Entry'!AY87)</f>
        <v/>
      </c>
      <c r="EA87" s="74" t="str">
        <f>IF('Marks Entry'!AZ87="","",'Marks Entry'!AZ87)</f>
        <v/>
      </c>
      <c r="EB87" s="74" t="str">
        <f>IF('Marks Entry'!BA87="","",'Marks Entry'!BA87)</f>
        <v/>
      </c>
      <c r="EC87" s="527" t="str">
        <f t="shared" si="225"/>
        <v/>
      </c>
      <c r="ED87" s="74" t="str">
        <f>IF('Marks Entry'!BB87="","",'Marks Entry'!BB87)</f>
        <v/>
      </c>
      <c r="EE87" s="528" t="str">
        <f t="shared" si="226"/>
        <v/>
      </c>
      <c r="EF87" s="74" t="str">
        <f>IF('Marks Entry'!BC87="","",'Marks Entry'!BC87)</f>
        <v/>
      </c>
      <c r="EG87" s="530" t="str">
        <f t="shared" si="227"/>
        <v/>
      </c>
      <c r="EH87" s="368" t="str">
        <f t="shared" si="278"/>
        <v/>
      </c>
      <c r="EI87" s="65">
        <f t="shared" si="279"/>
        <v>0</v>
      </c>
      <c r="EJ87" s="65">
        <f t="shared" si="280"/>
        <v>0</v>
      </c>
      <c r="EK87" s="66" t="str">
        <f t="shared" si="281"/>
        <v/>
      </c>
      <c r="EL87" s="74" t="str">
        <f>IF('Marks Entry'!BD87="","",'Marks Entry'!BD87)</f>
        <v/>
      </c>
      <c r="EM87" s="74" t="str">
        <f>IF('Marks Entry'!BE87="","",'Marks Entry'!BE87)</f>
        <v/>
      </c>
      <c r="EN87" s="74" t="str">
        <f>IF('Marks Entry'!BF87="","",'Marks Entry'!BF87)</f>
        <v/>
      </c>
      <c r="EO87" s="527" t="str">
        <f t="shared" si="228"/>
        <v/>
      </c>
      <c r="EP87" s="74" t="str">
        <f>IF('Marks Entry'!BG87="","",'Marks Entry'!BG87)</f>
        <v/>
      </c>
      <c r="EQ87" s="74" t="str">
        <f>IF('Marks Entry'!BH87="","",'Marks Entry'!BH87)</f>
        <v/>
      </c>
      <c r="ER87" s="528" t="str">
        <f t="shared" si="229"/>
        <v/>
      </c>
      <c r="ES87" s="529" t="str">
        <f t="shared" si="230"/>
        <v/>
      </c>
      <c r="ET87" s="74" t="str">
        <f>IF('Marks Entry'!BI87="","",'Marks Entry'!BI87)</f>
        <v/>
      </c>
      <c r="EU87" s="74" t="str">
        <f>IF('Marks Entry'!BJ87="","",'Marks Entry'!BJ87)</f>
        <v/>
      </c>
      <c r="EV87" s="528" t="str">
        <f t="shared" si="231"/>
        <v/>
      </c>
      <c r="EW87" s="530" t="str">
        <f t="shared" si="232"/>
        <v/>
      </c>
      <c r="EX87" s="368" t="str">
        <f t="shared" si="282"/>
        <v/>
      </c>
      <c r="EY87" s="65">
        <f t="shared" si="283"/>
        <v>0</v>
      </c>
      <c r="EZ87" s="65">
        <f t="shared" si="284"/>
        <v>0</v>
      </c>
      <c r="FA87" s="66" t="str">
        <f t="shared" si="285"/>
        <v/>
      </c>
      <c r="FB87" s="74" t="str">
        <f>IF('Marks Entry'!BK87="","",'Marks Entry'!BK87)</f>
        <v/>
      </c>
      <c r="FC87" s="74" t="str">
        <f>IF('Marks Entry'!BL87="","",'Marks Entry'!BL87)</f>
        <v/>
      </c>
      <c r="FD87" s="74" t="str">
        <f>IF('Marks Entry'!BM87="","",'Marks Entry'!BM87)</f>
        <v/>
      </c>
      <c r="FE87" s="74" t="str">
        <f>IF('Marks Entry'!BN87="","",'Marks Entry'!BN87)</f>
        <v/>
      </c>
      <c r="FF87" s="74" t="str">
        <f>IF('Marks Entry'!BO87="","",'Marks Entry'!BO87)</f>
        <v/>
      </c>
      <c r="FG87" s="74" t="str">
        <f>IF('Marks Entry'!BP87="","",'Marks Entry'!BP87)</f>
        <v/>
      </c>
      <c r="FH87" s="527" t="str">
        <f t="shared" si="233"/>
        <v/>
      </c>
      <c r="FI87" s="74" t="str">
        <f>IF('Marks Entry'!BQ87="","",'Marks Entry'!BQ87)</f>
        <v/>
      </c>
      <c r="FJ87" s="74" t="str">
        <f>IF('Marks Entry'!BR87="","",'Marks Entry'!BR87)</f>
        <v/>
      </c>
      <c r="FK87" s="528" t="str">
        <f t="shared" si="234"/>
        <v/>
      </c>
      <c r="FL87" s="529" t="str">
        <f t="shared" si="235"/>
        <v/>
      </c>
      <c r="FM87" s="74" t="str">
        <f>IF('Marks Entry'!BS87="","",'Marks Entry'!BS87)</f>
        <v/>
      </c>
      <c r="FN87" s="74" t="str">
        <f>IF('Marks Entry'!BT87="","",'Marks Entry'!BT87)</f>
        <v/>
      </c>
      <c r="FO87" s="528" t="str">
        <f t="shared" si="236"/>
        <v/>
      </c>
      <c r="FP87" s="530" t="str">
        <f t="shared" si="237"/>
        <v/>
      </c>
      <c r="FQ87" s="368" t="str">
        <f t="shared" si="286"/>
        <v/>
      </c>
      <c r="FR87" s="65">
        <f t="shared" si="287"/>
        <v>0</v>
      </c>
      <c r="FS87" s="65">
        <f t="shared" si="288"/>
        <v>0</v>
      </c>
      <c r="FT87" s="66" t="str">
        <f t="shared" si="289"/>
        <v/>
      </c>
      <c r="FU87" s="74" t="str">
        <f>IF('Marks Entry'!BU87="","",'Marks Entry'!BU87)</f>
        <v/>
      </c>
      <c r="FV87" s="74" t="str">
        <f>IF('Marks Entry'!BV87="","",'Marks Entry'!BV87)</f>
        <v/>
      </c>
      <c r="FW87" s="74" t="str">
        <f>IF('Marks Entry'!BW87="","",'Marks Entry'!BW87)</f>
        <v/>
      </c>
      <c r="FX87" s="75" t="str">
        <f t="shared" si="238"/>
        <v/>
      </c>
      <c r="FY87" s="368" t="str">
        <f t="shared" si="290"/>
        <v/>
      </c>
      <c r="FZ87" s="65">
        <f t="shared" si="291"/>
        <v>0</v>
      </c>
      <c r="GA87" s="66">
        <f t="shared" si="292"/>
        <v>0</v>
      </c>
      <c r="GB87" s="66" t="str">
        <f t="shared" si="293"/>
        <v/>
      </c>
      <c r="GC87" s="74" t="str">
        <f>IF('Marks Entry'!BX87="","",'Marks Entry'!BX87)</f>
        <v/>
      </c>
      <c r="GD87" s="74" t="str">
        <f>IF('Marks Entry'!BY87="","",'Marks Entry'!BY87)</f>
        <v/>
      </c>
      <c r="GE87" s="74" t="str">
        <f>IF('Marks Entry'!BZ87="","",'Marks Entry'!BZ87)</f>
        <v/>
      </c>
      <c r="GF87" s="75" t="str">
        <f t="shared" si="294"/>
        <v/>
      </c>
      <c r="GG87" s="368" t="str">
        <f t="shared" si="295"/>
        <v/>
      </c>
      <c r="GH87" s="65">
        <f t="shared" si="296"/>
        <v>0</v>
      </c>
      <c r="GI87" s="66">
        <f t="shared" si="297"/>
        <v>0</v>
      </c>
      <c r="GJ87" s="66" t="str">
        <f t="shared" si="298"/>
        <v/>
      </c>
      <c r="GK87" s="100" t="str">
        <f>IF(AND(F87="",B87=""),"",IF('Student DATA Entry'!M84="","",'Student DATA Entry'!M84))</f>
        <v/>
      </c>
      <c r="GL87" s="101" t="str">
        <f>IF(AND(B87="",F87=""),"",IF('Student DATA Entry'!N84="","",'Student DATA Entry'!N84))</f>
        <v/>
      </c>
      <c r="GM87" s="581" t="str">
        <f t="shared" si="299"/>
        <v/>
      </c>
      <c r="GN87" s="94" t="str">
        <f t="shared" si="300"/>
        <v/>
      </c>
      <c r="GO87" s="94" t="str">
        <f t="shared" si="301"/>
        <v/>
      </c>
      <c r="GP87" s="102" t="str">
        <f t="shared" si="239"/>
        <v/>
      </c>
      <c r="GQ87" s="94" t="str">
        <f t="shared" si="302"/>
        <v/>
      </c>
      <c r="GR87" s="103" t="str">
        <f t="shared" si="303"/>
        <v/>
      </c>
      <c r="GS87" s="102" t="str">
        <f t="shared" si="240"/>
        <v/>
      </c>
      <c r="GT87" s="104" t="str">
        <f t="shared" si="304"/>
        <v/>
      </c>
      <c r="GU87" s="94" t="str">
        <f>IF('Marks Entry'!V87=1,GT87,"")</f>
        <v/>
      </c>
      <c r="GV87" s="94" t="str">
        <f>IF('Marks Entry'!V87=2,GT87,"")</f>
        <v/>
      </c>
      <c r="GW87" s="94" t="str">
        <f>IF('Marks Entry'!V87=3,GT87,"")</f>
        <v/>
      </c>
      <c r="GX87" s="94" t="str">
        <f>IF('Marks Entry'!V87=4,GT87,"")</f>
        <v/>
      </c>
      <c r="GY87" s="94" t="str">
        <f>IF('Marks Entry'!V87=5,GT87,"")</f>
        <v/>
      </c>
      <c r="GZ87" s="94" t="str">
        <f t="shared" si="305"/>
        <v/>
      </c>
      <c r="HA87" s="105" t="str">
        <f t="shared" si="241"/>
        <v/>
      </c>
      <c r="HB87" s="94" t="str">
        <f t="shared" si="306"/>
        <v/>
      </c>
      <c r="HC87" s="94" t="str">
        <f t="shared" si="307"/>
        <v/>
      </c>
      <c r="HD87" s="105" t="str">
        <f t="shared" si="242"/>
        <v/>
      </c>
      <c r="HE87" s="94" t="str">
        <f t="shared" si="308"/>
        <v/>
      </c>
      <c r="HF87" s="94" t="str">
        <f t="shared" si="309"/>
        <v/>
      </c>
      <c r="HG87" s="105" t="str">
        <f t="shared" si="243"/>
        <v/>
      </c>
      <c r="HH87" s="94" t="str">
        <f t="shared" si="310"/>
        <v/>
      </c>
      <c r="HI87" s="94" t="str">
        <f t="shared" si="311"/>
        <v/>
      </c>
      <c r="HJ87" s="105" t="str">
        <f t="shared" si="244"/>
        <v/>
      </c>
      <c r="HK87" s="94" t="str">
        <f t="shared" si="312"/>
        <v/>
      </c>
      <c r="HL87" s="94" t="str">
        <f t="shared" si="313"/>
        <v/>
      </c>
      <c r="HM87" s="105" t="str">
        <f t="shared" si="245"/>
        <v/>
      </c>
      <c r="HN87" s="367" t="str">
        <f t="shared" si="314"/>
        <v xml:space="preserve">      </v>
      </c>
      <c r="HO87" s="418" t="str">
        <f t="shared" si="246"/>
        <v xml:space="preserve">      </v>
      </c>
      <c r="HP87" s="367" t="str">
        <f t="shared" si="315"/>
        <v xml:space="preserve">      </v>
      </c>
      <c r="HQ87" s="107" t="str">
        <f t="shared" si="316"/>
        <v xml:space="preserve">      </v>
      </c>
      <c r="HR87" s="366" t="str">
        <f t="shared" si="317"/>
        <v xml:space="preserve">      </v>
      </c>
      <c r="HS87" s="544" t="str">
        <f t="shared" si="247"/>
        <v/>
      </c>
      <c r="HT87" s="542" t="str">
        <f t="shared" si="318"/>
        <v/>
      </c>
      <c r="HU87" s="541" t="str">
        <f t="shared" si="319"/>
        <v/>
      </c>
      <c r="HV87" s="540" t="str">
        <f t="shared" si="320"/>
        <v/>
      </c>
      <c r="HW87" s="537" t="str">
        <f t="shared" si="321"/>
        <v/>
      </c>
      <c r="HX87" s="539" t="str">
        <f t="shared" si="322"/>
        <v/>
      </c>
      <c r="HY87" s="553" t="str">
        <f>IFERROR(IF(OR(HS87="SUPPLEMENTARY",HS87="RE-EXAM"),'Supp. Result Entry'!AQ85,""),"")</f>
        <v/>
      </c>
      <c r="HZ87" s="538" t="str">
        <f t="shared" si="323"/>
        <v/>
      </c>
      <c r="IA87" s="415" t="str">
        <f t="shared" si="324"/>
        <v/>
      </c>
      <c r="IB87" s="415" t="str">
        <f>IF(AND(HZ87="",IA87=""),"",IF(OR(HS87="SUPPLEMENTARY",HS87="RE-EXAM"),'Supp. Result Entry'!AQ85,HS87))</f>
        <v/>
      </c>
      <c r="IC87" s="87"/>
      <c r="IS87" s="109" t="str">
        <f>IF('Supp. Result Entry'!T85="","",'Supp. Result Entry'!$T$4)</f>
        <v/>
      </c>
      <c r="IT87" s="110" t="str">
        <f>IF('Supp. Result Entry'!W85="","",'Supp. Result Entry'!$W$4)</f>
        <v/>
      </c>
      <c r="IU87" s="110" t="str">
        <f>IF('Supp. Result Entry'!Z85="","",'Supp. Result Entry'!$Z$4)</f>
        <v/>
      </c>
      <c r="IV87" s="110" t="str">
        <f>IF('Supp. Result Entry'!AC85="","",'Supp. Result Entry'!$AC$4)</f>
        <v/>
      </c>
      <c r="IW87" s="110" t="str">
        <f>IF('Supp. Result Entry'!AF85="","",'Supp. Result Entry'!$AF$4)</f>
        <v/>
      </c>
      <c r="IX87" s="110" t="str">
        <f>IF('Supp. Result Entry'!AI85="","",'Supp. Result Entry'!$AI$4)</f>
        <v/>
      </c>
      <c r="IY87" s="110" t="str">
        <f>IF('Supp. Result Entry'!AI85="","",'Supp. Result Entry'!$AL$4)</f>
        <v/>
      </c>
      <c r="IZ87" s="110" t="str">
        <f>IF('Supp. Result Entry'!U85="","",'Supp. Result Entry'!U85)</f>
        <v/>
      </c>
      <c r="JA87" s="110" t="str">
        <f>IF('Supp. Result Entry'!X85="","",'Supp. Result Entry'!X85)</f>
        <v/>
      </c>
      <c r="JB87" s="110" t="str">
        <f>IF('Supp. Result Entry'!AA85="","",'Supp. Result Entry'!AA85)</f>
        <v/>
      </c>
      <c r="JC87" s="110" t="str">
        <f>IF('Supp. Result Entry'!AD85="","",'Supp. Result Entry'!AD85)</f>
        <v/>
      </c>
      <c r="JD87" s="110" t="str">
        <f>IF('Supp. Result Entry'!AG85="","",'Supp. Result Entry'!AG85)</f>
        <v/>
      </c>
      <c r="JE87" s="110" t="str">
        <f>IF('Supp. Result Entry'!AJ85="","",'Supp. Result Entry'!AJ85)</f>
        <v/>
      </c>
      <c r="JF87" s="110" t="str">
        <f>IF('Supp. Result Entry'!AM85="","",'Supp. Result Entry'!AM85)</f>
        <v/>
      </c>
      <c r="JG87" s="110" t="str">
        <f>IF('Supp. Result Entry'!V85="","",'Supp. Result Entry'!V85)</f>
        <v/>
      </c>
      <c r="JH87" s="110" t="str">
        <f>IF('Supp. Result Entry'!Y85="","",'Supp. Result Entry'!Y85)</f>
        <v/>
      </c>
      <c r="JI87" s="110" t="str">
        <f>IF('Supp. Result Entry'!AB85="","",'Supp. Result Entry'!AB85)</f>
        <v/>
      </c>
      <c r="JJ87" s="110" t="str">
        <f>IF('Supp. Result Entry'!AE85="","",'Supp. Result Entry'!AE85)</f>
        <v/>
      </c>
      <c r="JK87" s="110" t="str">
        <f>IF('Supp. Result Entry'!AH85="","",'Supp. Result Entry'!AH85)</f>
        <v/>
      </c>
      <c r="JL87" s="110" t="str">
        <f>IF('Supp. Result Entry'!AK85="","",'Supp. Result Entry'!AK85)</f>
        <v/>
      </c>
      <c r="JM87" s="110" t="str">
        <f>IF('Supp. Result Entry'!AN85="","",'Supp. Result Entry'!AN85)</f>
        <v/>
      </c>
      <c r="JN87" s="110">
        <f>COUNTIF('Supp. Result Entry'!K85:Q85,"S")</f>
        <v>0</v>
      </c>
      <c r="JO87" s="110">
        <f t="shared" si="248"/>
        <v>0</v>
      </c>
      <c r="JP87" s="110">
        <f t="shared" si="325"/>
        <v>0</v>
      </c>
      <c r="JQ87" s="110" t="str">
        <f t="shared" si="249"/>
        <v/>
      </c>
      <c r="JR87" s="110" t="str">
        <f t="shared" si="250"/>
        <v/>
      </c>
      <c r="JS87" s="110" t="str">
        <f t="shared" si="251"/>
        <v/>
      </c>
      <c r="JT87" s="110" t="str">
        <f t="shared" si="252"/>
        <v/>
      </c>
      <c r="JU87" s="110" t="str">
        <f t="shared" si="253"/>
        <v/>
      </c>
      <c r="JV87" s="110" t="str">
        <f t="shared" si="254"/>
        <v/>
      </c>
      <c r="JW87" s="110" t="str">
        <f t="shared" si="255"/>
        <v/>
      </c>
      <c r="JX87" s="110" t="str">
        <f t="shared" si="326"/>
        <v/>
      </c>
      <c r="JY87" s="110" t="str">
        <f t="shared" si="327"/>
        <v/>
      </c>
      <c r="JZ87" s="110" t="str">
        <f t="shared" si="256"/>
        <v/>
      </c>
      <c r="KA87" s="108" t="str">
        <f t="shared" si="328"/>
        <v/>
      </c>
    </row>
    <row r="88" spans="1:287" s="108" customFormat="1" ht="21.95" customHeight="1">
      <c r="A88" s="89">
        <v>82</v>
      </c>
      <c r="B88" s="90" t="str">
        <f>IF('Marks Entry'!B88="","",'Marks Entry'!B88)</f>
        <v/>
      </c>
      <c r="C88" s="94" t="str">
        <f>IF('Marks Entry'!D88="","",'Marks Entry'!D88)</f>
        <v/>
      </c>
      <c r="D88" s="91" t="str">
        <f>IF('Marks Entry'!E88="","",'Marks Entry'!E88)</f>
        <v/>
      </c>
      <c r="E88" s="92" t="str">
        <f>IF('Marks Entry'!F88="","",'Marks Entry'!F88)</f>
        <v/>
      </c>
      <c r="F88" s="93" t="str">
        <f>IF('Marks Entry'!G88="","",'Marks Entry'!G88)</f>
        <v/>
      </c>
      <c r="G88" s="93" t="str">
        <f>IF('Marks Entry'!H88="","",'Marks Entry'!H88)</f>
        <v/>
      </c>
      <c r="H88" s="93" t="str">
        <f>IF('Marks Entry'!I88="","",'Marks Entry'!I88)</f>
        <v/>
      </c>
      <c r="I88" s="94" t="str">
        <f>IF('Marks Entry'!J88="","",'Marks Entry'!J88)</f>
        <v/>
      </c>
      <c r="J88" s="95" t="str">
        <f>IF('Marks Entry'!K88="","",'Marks Entry'!K88)</f>
        <v/>
      </c>
      <c r="K88" s="68" t="str">
        <f>IF('Marks Entry'!L88="","",'Marks Entry'!L88)</f>
        <v/>
      </c>
      <c r="L88" s="68" t="str">
        <f>IF('Marks Entry'!M88="","",'Marks Entry'!M88)</f>
        <v/>
      </c>
      <c r="M88" s="68" t="str">
        <f>IF('Marks Entry'!N88="","",'Marks Entry'!N88)</f>
        <v/>
      </c>
      <c r="N88" s="514" t="str">
        <f t="shared" si="257"/>
        <v/>
      </c>
      <c r="O88" s="68" t="str">
        <f>IF('Marks Entry'!O88="","",'Marks Entry'!O88)</f>
        <v/>
      </c>
      <c r="P88" s="515" t="str">
        <f t="shared" si="258"/>
        <v/>
      </c>
      <c r="Q88" s="68" t="str">
        <f>IF('Marks Entry'!P88="","",'Marks Entry'!P88)</f>
        <v/>
      </c>
      <c r="R88" s="96" t="str">
        <f t="shared" si="259"/>
        <v/>
      </c>
      <c r="S88" s="65">
        <f t="shared" si="260"/>
        <v>0</v>
      </c>
      <c r="T88" s="65">
        <f t="shared" si="261"/>
        <v>0</v>
      </c>
      <c r="U88" s="66" t="str">
        <f t="shared" si="171"/>
        <v/>
      </c>
      <c r="V88" s="65" t="str">
        <f t="shared" si="172"/>
        <v/>
      </c>
      <c r="W88" s="65" t="str">
        <f t="shared" si="262"/>
        <v/>
      </c>
      <c r="X88" s="65" t="str">
        <f t="shared" si="173"/>
        <v/>
      </c>
      <c r="Y88" s="68" t="str">
        <f>IF('Marks Entry'!Q88="","",'Marks Entry'!Q88)</f>
        <v/>
      </c>
      <c r="Z88" s="68" t="str">
        <f>IF('Marks Entry'!R88="","",'Marks Entry'!R88)</f>
        <v/>
      </c>
      <c r="AA88" s="68" t="str">
        <f>IF('Marks Entry'!S88="","",'Marks Entry'!S88)</f>
        <v/>
      </c>
      <c r="AB88" s="514" t="str">
        <f t="shared" si="174"/>
        <v/>
      </c>
      <c r="AC88" s="68" t="str">
        <f>IF('Marks Entry'!T88="","",'Marks Entry'!T88)</f>
        <v/>
      </c>
      <c r="AD88" s="515" t="str">
        <f t="shared" si="175"/>
        <v/>
      </c>
      <c r="AE88" s="68" t="str">
        <f>IF('Marks Entry'!U88="","",'Marks Entry'!U88)</f>
        <v/>
      </c>
      <c r="AF88" s="96" t="str">
        <f t="shared" si="176"/>
        <v/>
      </c>
      <c r="AG88" s="65">
        <f t="shared" si="177"/>
        <v>0</v>
      </c>
      <c r="AH88" s="65">
        <f t="shared" si="178"/>
        <v>0</v>
      </c>
      <c r="AI88" s="66" t="str">
        <f t="shared" si="179"/>
        <v/>
      </c>
      <c r="AJ88" s="65" t="str">
        <f t="shared" si="180"/>
        <v/>
      </c>
      <c r="AK88" s="65" t="str">
        <f t="shared" si="181"/>
        <v/>
      </c>
      <c r="AL88" s="65" t="str">
        <f t="shared" si="182"/>
        <v/>
      </c>
      <c r="AM88" s="524" t="str">
        <f>IF('Marks Entry'!V88="","",IF('Marks Entry'!V88=1,'School Profile'!$I$9,IF('Marks Entry'!V88=2,'School Profile'!$I$10,IF('Marks Entry'!V88=3,'School Profile'!$I$11,IF('Marks Entry'!V88=4,'School Profile'!$I$12,IF('Marks Entry'!V88=5,'School Profile'!$I$13,IF('Marks Entry'!V88=6,'School Profile'!$I$14,"")))))))</f>
        <v/>
      </c>
      <c r="AN88" s="68" t="str">
        <f>IF('Marks Entry'!W88="","",'Marks Entry'!W88)</f>
        <v/>
      </c>
      <c r="AO88" s="68" t="str">
        <f>IF('Marks Entry'!X88="","",'Marks Entry'!X88)</f>
        <v/>
      </c>
      <c r="AP88" s="68" t="str">
        <f>IF('Marks Entry'!Y88="","",'Marks Entry'!Y88)</f>
        <v/>
      </c>
      <c r="AQ88" s="514" t="str">
        <f t="shared" si="183"/>
        <v/>
      </c>
      <c r="AR88" s="68" t="str">
        <f>IF('Marks Entry'!Z88="","",'Marks Entry'!Z88)</f>
        <v/>
      </c>
      <c r="AS88" s="515" t="str">
        <f t="shared" si="184"/>
        <v/>
      </c>
      <c r="AT88" s="68" t="str">
        <f>IF('Marks Entry'!AA88="","",'Marks Entry'!AA88)</f>
        <v/>
      </c>
      <c r="AU88" s="96" t="str">
        <f t="shared" si="185"/>
        <v/>
      </c>
      <c r="AV88" s="65">
        <f t="shared" si="186"/>
        <v>0</v>
      </c>
      <c r="AW88" s="65">
        <f t="shared" si="187"/>
        <v>0</v>
      </c>
      <c r="AX88" s="66" t="str">
        <f t="shared" si="188"/>
        <v/>
      </c>
      <c r="AY88" s="65" t="str">
        <f t="shared" si="189"/>
        <v/>
      </c>
      <c r="AZ88" s="65" t="str">
        <f t="shared" si="190"/>
        <v/>
      </c>
      <c r="BA88" s="65" t="str">
        <f t="shared" si="191"/>
        <v/>
      </c>
      <c r="BB88" s="68" t="str">
        <f>IF('Marks Entry'!AB88="","",'Marks Entry'!AB88)</f>
        <v/>
      </c>
      <c r="BC88" s="68" t="str">
        <f>IF('Marks Entry'!AC88="","",'Marks Entry'!AC88)</f>
        <v/>
      </c>
      <c r="BD88" s="68" t="str">
        <f>IF('Marks Entry'!AD88="","",'Marks Entry'!AD88)</f>
        <v/>
      </c>
      <c r="BE88" s="514" t="str">
        <f t="shared" si="192"/>
        <v/>
      </c>
      <c r="BF88" s="68" t="str">
        <f>IF('Marks Entry'!AE88="","",'Marks Entry'!AE88)</f>
        <v/>
      </c>
      <c r="BG88" s="515" t="str">
        <f t="shared" si="193"/>
        <v/>
      </c>
      <c r="BH88" s="68" t="str">
        <f>IF('Marks Entry'!AF88="","",'Marks Entry'!AF88)</f>
        <v/>
      </c>
      <c r="BI88" s="96" t="str">
        <f t="shared" si="194"/>
        <v/>
      </c>
      <c r="BJ88" s="65">
        <f t="shared" si="195"/>
        <v>0</v>
      </c>
      <c r="BK88" s="65">
        <f t="shared" si="263"/>
        <v>0</v>
      </c>
      <c r="BL88" s="66" t="str">
        <f t="shared" si="196"/>
        <v/>
      </c>
      <c r="BM88" s="65" t="str">
        <f t="shared" si="197"/>
        <v/>
      </c>
      <c r="BN88" s="65" t="str">
        <f t="shared" si="198"/>
        <v/>
      </c>
      <c r="BO88" s="65" t="str">
        <f t="shared" si="199"/>
        <v/>
      </c>
      <c r="BP88" s="68" t="str">
        <f>IF('Marks Entry'!AG88="","",'Marks Entry'!AG88)</f>
        <v/>
      </c>
      <c r="BQ88" s="68" t="str">
        <f>IF('Marks Entry'!AH88="","",'Marks Entry'!AH88)</f>
        <v/>
      </c>
      <c r="BR88" s="68" t="str">
        <f>IF('Marks Entry'!AI88="","",'Marks Entry'!AI88)</f>
        <v/>
      </c>
      <c r="BS88" s="514" t="str">
        <f t="shared" si="200"/>
        <v/>
      </c>
      <c r="BT88" s="68" t="str">
        <f>IF('Marks Entry'!AJ88="","",'Marks Entry'!AJ88)</f>
        <v/>
      </c>
      <c r="BU88" s="515" t="str">
        <f t="shared" si="201"/>
        <v/>
      </c>
      <c r="BV88" s="68" t="str">
        <f>IF('Marks Entry'!AK88="","",'Marks Entry'!AK88)</f>
        <v/>
      </c>
      <c r="BW88" s="96" t="str">
        <f t="shared" si="202"/>
        <v/>
      </c>
      <c r="BX88" s="65">
        <f t="shared" si="203"/>
        <v>0</v>
      </c>
      <c r="BY88" s="65">
        <f t="shared" si="204"/>
        <v>0</v>
      </c>
      <c r="BZ88" s="66" t="str">
        <f t="shared" si="205"/>
        <v/>
      </c>
      <c r="CA88" s="65" t="str">
        <f t="shared" si="206"/>
        <v/>
      </c>
      <c r="CB88" s="65" t="str">
        <f t="shared" si="207"/>
        <v/>
      </c>
      <c r="CC88" s="65" t="str">
        <f t="shared" si="208"/>
        <v/>
      </c>
      <c r="CD88" s="66">
        <f t="shared" si="209"/>
        <v>0</v>
      </c>
      <c r="CE88" s="68" t="str">
        <f>IF('Marks Entry'!AL88="","",'Marks Entry'!AL88)</f>
        <v/>
      </c>
      <c r="CF88" s="68" t="str">
        <f>IF('Marks Entry'!AM88="","",'Marks Entry'!AM88)</f>
        <v/>
      </c>
      <c r="CG88" s="68" t="str">
        <f>IF('Marks Entry'!AN88="","",'Marks Entry'!AN88)</f>
        <v/>
      </c>
      <c r="CH88" s="514" t="str">
        <f t="shared" si="210"/>
        <v/>
      </c>
      <c r="CI88" s="68" t="str">
        <f>IF('Marks Entry'!AO88="","",'Marks Entry'!AO88)</f>
        <v/>
      </c>
      <c r="CJ88" s="515" t="str">
        <f t="shared" si="211"/>
        <v/>
      </c>
      <c r="CK88" s="68" t="str">
        <f>IF('Marks Entry'!AP88="","",'Marks Entry'!AP88)</f>
        <v/>
      </c>
      <c r="CL88" s="96" t="str">
        <f t="shared" si="212"/>
        <v/>
      </c>
      <c r="CM88" s="65">
        <f t="shared" si="213"/>
        <v>0</v>
      </c>
      <c r="CN88" s="65">
        <f t="shared" si="214"/>
        <v>0</v>
      </c>
      <c r="CO88" s="66" t="str">
        <f t="shared" si="215"/>
        <v/>
      </c>
      <c r="CP88" s="65" t="str">
        <f t="shared" si="216"/>
        <v/>
      </c>
      <c r="CQ88" s="65" t="str">
        <f t="shared" si="217"/>
        <v/>
      </c>
      <c r="CR88" s="65" t="str">
        <f t="shared" si="218"/>
        <v/>
      </c>
      <c r="CS88" s="616"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8" t="str">
        <f>IF('School Profile'!$D$20="NO","",IF('Marks Entry'!AR88="","",'Marks Entry'!AR88))</f>
        <v/>
      </c>
      <c r="CU88" s="68" t="str">
        <f>IF('School Profile'!$D$20="NO","",IF('Marks Entry'!AS88="","",'Marks Entry'!AS88))</f>
        <v/>
      </c>
      <c r="CV88" s="68" t="str">
        <f>IF('School Profile'!$D$20="NO","",IF('Marks Entry'!AT88="","",'Marks Entry'!AT88))</f>
        <v/>
      </c>
      <c r="CW88" s="514" t="str">
        <f>IF('School Profile'!$D$20="NO","",IF(AND(CT88="",CU88="",CV88=""),"",SUM(CT88:CV88)))</f>
        <v/>
      </c>
      <c r="CX88" s="68" t="str">
        <f>IF('School Profile'!$D$20="NO","",IF('Marks Entry'!AU88="","",'Marks Entry'!AU88))</f>
        <v/>
      </c>
      <c r="CY88" s="68" t="str">
        <f>IF('School Profile'!$D$20="NO","",IF('Marks Entry'!AV88="","",'Marks Entry'!AV88))</f>
        <v/>
      </c>
      <c r="CZ88" s="515" t="str">
        <f>IF('School Profile'!$D$20="NO","",IF(AND(CX88="",CY88=""),"",SUM(CX88,CY88)))</f>
        <v/>
      </c>
      <c r="DA88" s="69" t="str">
        <f>IF('School Profile'!$D$20="NO","",IF(AND(CW88="",CZ88=""),"",SUM(CW88+CZ88)))</f>
        <v/>
      </c>
      <c r="DB88" s="68" t="str">
        <f>IF('School Profile'!$D$20="NO","",IF('Marks Entry'!AW88="","",'Marks Entry'!AW88))</f>
        <v/>
      </c>
      <c r="DC88" s="68" t="str">
        <f>IF('School Profile'!$D$20="NO","",IF('Marks Entry'!AX88="","",'Marks Entry'!AX88))</f>
        <v/>
      </c>
      <c r="DD88" s="515" t="str">
        <f>IF('School Profile'!$D$20="NO","",IF(AND(DB88="",DC88=""),"",SUM(DB88,DC88)))</f>
        <v/>
      </c>
      <c r="DE88" s="96" t="str">
        <f>IF('School Profile'!$D$20="NO","",IF(AND(DA88="",DD88=""),"",SUM(DA88,DD88)))</f>
        <v/>
      </c>
      <c r="DF88" s="532">
        <f t="shared" si="219"/>
        <v>0</v>
      </c>
      <c r="DG88" s="65">
        <f t="shared" si="220"/>
        <v>0</v>
      </c>
      <c r="DH88" s="66" t="str">
        <f t="shared" si="221"/>
        <v/>
      </c>
      <c r="DI88" s="65" t="str">
        <f t="shared" si="222"/>
        <v/>
      </c>
      <c r="DJ88" s="65" t="str">
        <f t="shared" si="223"/>
        <v/>
      </c>
      <c r="DK88" s="65" t="str">
        <f t="shared" si="224"/>
        <v/>
      </c>
      <c r="DL88" s="97" t="str">
        <f t="shared" si="264"/>
        <v/>
      </c>
      <c r="DM88" s="97" t="str">
        <f t="shared" si="265"/>
        <v/>
      </c>
      <c r="DN88" s="97" t="str">
        <f t="shared" si="266"/>
        <v/>
      </c>
      <c r="DO88" s="97" t="str">
        <f t="shared" si="267"/>
        <v/>
      </c>
      <c r="DP88" s="97" t="str">
        <f t="shared" si="268"/>
        <v/>
      </c>
      <c r="DQ88" s="97" t="str">
        <f t="shared" si="269"/>
        <v/>
      </c>
      <c r="DR88" s="97" t="str">
        <f t="shared" si="270"/>
        <v/>
      </c>
      <c r="DS88" s="98">
        <f t="shared" si="271"/>
        <v>0</v>
      </c>
      <c r="DT88" s="98">
        <f t="shared" si="272"/>
        <v>0</v>
      </c>
      <c r="DU88" s="98">
        <f t="shared" si="273"/>
        <v>0</v>
      </c>
      <c r="DV88" s="98">
        <f t="shared" si="274"/>
        <v>0</v>
      </c>
      <c r="DW88" s="98">
        <f t="shared" si="275"/>
        <v>0</v>
      </c>
      <c r="DX88" s="98" t="str">
        <f t="shared" si="276"/>
        <v/>
      </c>
      <c r="DY88" s="99" t="str">
        <f t="shared" si="277"/>
        <v/>
      </c>
      <c r="DZ88" s="74" t="str">
        <f>IF('Marks Entry'!AY88="","",'Marks Entry'!AY88)</f>
        <v/>
      </c>
      <c r="EA88" s="74" t="str">
        <f>IF('Marks Entry'!AZ88="","",'Marks Entry'!AZ88)</f>
        <v/>
      </c>
      <c r="EB88" s="74" t="str">
        <f>IF('Marks Entry'!BA88="","",'Marks Entry'!BA88)</f>
        <v/>
      </c>
      <c r="EC88" s="527" t="str">
        <f t="shared" si="225"/>
        <v/>
      </c>
      <c r="ED88" s="74" t="str">
        <f>IF('Marks Entry'!BB88="","",'Marks Entry'!BB88)</f>
        <v/>
      </c>
      <c r="EE88" s="528" t="str">
        <f t="shared" si="226"/>
        <v/>
      </c>
      <c r="EF88" s="74" t="str">
        <f>IF('Marks Entry'!BC88="","",'Marks Entry'!BC88)</f>
        <v/>
      </c>
      <c r="EG88" s="530" t="str">
        <f t="shared" si="227"/>
        <v/>
      </c>
      <c r="EH88" s="368" t="str">
        <f t="shared" si="278"/>
        <v/>
      </c>
      <c r="EI88" s="65">
        <f t="shared" si="279"/>
        <v>0</v>
      </c>
      <c r="EJ88" s="65">
        <f t="shared" si="280"/>
        <v>0</v>
      </c>
      <c r="EK88" s="66" t="str">
        <f t="shared" si="281"/>
        <v/>
      </c>
      <c r="EL88" s="74" t="str">
        <f>IF('Marks Entry'!BD88="","",'Marks Entry'!BD88)</f>
        <v/>
      </c>
      <c r="EM88" s="74" t="str">
        <f>IF('Marks Entry'!BE88="","",'Marks Entry'!BE88)</f>
        <v/>
      </c>
      <c r="EN88" s="74" t="str">
        <f>IF('Marks Entry'!BF88="","",'Marks Entry'!BF88)</f>
        <v/>
      </c>
      <c r="EO88" s="527" t="str">
        <f t="shared" si="228"/>
        <v/>
      </c>
      <c r="EP88" s="74" t="str">
        <f>IF('Marks Entry'!BG88="","",'Marks Entry'!BG88)</f>
        <v/>
      </c>
      <c r="EQ88" s="74" t="str">
        <f>IF('Marks Entry'!BH88="","",'Marks Entry'!BH88)</f>
        <v/>
      </c>
      <c r="ER88" s="528" t="str">
        <f t="shared" si="229"/>
        <v/>
      </c>
      <c r="ES88" s="529" t="str">
        <f t="shared" si="230"/>
        <v/>
      </c>
      <c r="ET88" s="74" t="str">
        <f>IF('Marks Entry'!BI88="","",'Marks Entry'!BI88)</f>
        <v/>
      </c>
      <c r="EU88" s="74" t="str">
        <f>IF('Marks Entry'!BJ88="","",'Marks Entry'!BJ88)</f>
        <v/>
      </c>
      <c r="EV88" s="528" t="str">
        <f t="shared" si="231"/>
        <v/>
      </c>
      <c r="EW88" s="530" t="str">
        <f t="shared" si="232"/>
        <v/>
      </c>
      <c r="EX88" s="368" t="str">
        <f t="shared" si="282"/>
        <v/>
      </c>
      <c r="EY88" s="65">
        <f t="shared" si="283"/>
        <v>0</v>
      </c>
      <c r="EZ88" s="65">
        <f t="shared" si="284"/>
        <v>0</v>
      </c>
      <c r="FA88" s="66" t="str">
        <f t="shared" si="285"/>
        <v/>
      </c>
      <c r="FB88" s="74" t="str">
        <f>IF('Marks Entry'!BK88="","",'Marks Entry'!BK88)</f>
        <v/>
      </c>
      <c r="FC88" s="74" t="str">
        <f>IF('Marks Entry'!BL88="","",'Marks Entry'!BL88)</f>
        <v/>
      </c>
      <c r="FD88" s="74" t="str">
        <f>IF('Marks Entry'!BM88="","",'Marks Entry'!BM88)</f>
        <v/>
      </c>
      <c r="FE88" s="74" t="str">
        <f>IF('Marks Entry'!BN88="","",'Marks Entry'!BN88)</f>
        <v/>
      </c>
      <c r="FF88" s="74" t="str">
        <f>IF('Marks Entry'!BO88="","",'Marks Entry'!BO88)</f>
        <v/>
      </c>
      <c r="FG88" s="74" t="str">
        <f>IF('Marks Entry'!BP88="","",'Marks Entry'!BP88)</f>
        <v/>
      </c>
      <c r="FH88" s="527" t="str">
        <f t="shared" si="233"/>
        <v/>
      </c>
      <c r="FI88" s="74" t="str">
        <f>IF('Marks Entry'!BQ88="","",'Marks Entry'!BQ88)</f>
        <v/>
      </c>
      <c r="FJ88" s="74" t="str">
        <f>IF('Marks Entry'!BR88="","",'Marks Entry'!BR88)</f>
        <v/>
      </c>
      <c r="FK88" s="528" t="str">
        <f t="shared" si="234"/>
        <v/>
      </c>
      <c r="FL88" s="529" t="str">
        <f t="shared" si="235"/>
        <v/>
      </c>
      <c r="FM88" s="74" t="str">
        <f>IF('Marks Entry'!BS88="","",'Marks Entry'!BS88)</f>
        <v/>
      </c>
      <c r="FN88" s="74" t="str">
        <f>IF('Marks Entry'!BT88="","",'Marks Entry'!BT88)</f>
        <v/>
      </c>
      <c r="FO88" s="528" t="str">
        <f t="shared" si="236"/>
        <v/>
      </c>
      <c r="FP88" s="530" t="str">
        <f t="shared" si="237"/>
        <v/>
      </c>
      <c r="FQ88" s="368" t="str">
        <f t="shared" si="286"/>
        <v/>
      </c>
      <c r="FR88" s="65">
        <f t="shared" si="287"/>
        <v>0</v>
      </c>
      <c r="FS88" s="65">
        <f t="shared" si="288"/>
        <v>0</v>
      </c>
      <c r="FT88" s="66" t="str">
        <f t="shared" si="289"/>
        <v/>
      </c>
      <c r="FU88" s="74" t="str">
        <f>IF('Marks Entry'!BU88="","",'Marks Entry'!BU88)</f>
        <v/>
      </c>
      <c r="FV88" s="74" t="str">
        <f>IF('Marks Entry'!BV88="","",'Marks Entry'!BV88)</f>
        <v/>
      </c>
      <c r="FW88" s="74" t="str">
        <f>IF('Marks Entry'!BW88="","",'Marks Entry'!BW88)</f>
        <v/>
      </c>
      <c r="FX88" s="75" t="str">
        <f t="shared" si="238"/>
        <v/>
      </c>
      <c r="FY88" s="368" t="str">
        <f t="shared" si="290"/>
        <v/>
      </c>
      <c r="FZ88" s="65">
        <f t="shared" si="291"/>
        <v>0</v>
      </c>
      <c r="GA88" s="66">
        <f t="shared" si="292"/>
        <v>0</v>
      </c>
      <c r="GB88" s="66" t="str">
        <f t="shared" si="293"/>
        <v/>
      </c>
      <c r="GC88" s="74" t="str">
        <f>IF('Marks Entry'!BX88="","",'Marks Entry'!BX88)</f>
        <v/>
      </c>
      <c r="GD88" s="74" t="str">
        <f>IF('Marks Entry'!BY88="","",'Marks Entry'!BY88)</f>
        <v/>
      </c>
      <c r="GE88" s="74" t="str">
        <f>IF('Marks Entry'!BZ88="","",'Marks Entry'!BZ88)</f>
        <v/>
      </c>
      <c r="GF88" s="75" t="str">
        <f t="shared" si="294"/>
        <v/>
      </c>
      <c r="GG88" s="368" t="str">
        <f t="shared" si="295"/>
        <v/>
      </c>
      <c r="GH88" s="65">
        <f t="shared" si="296"/>
        <v>0</v>
      </c>
      <c r="GI88" s="66">
        <f t="shared" si="297"/>
        <v>0</v>
      </c>
      <c r="GJ88" s="66" t="str">
        <f t="shared" si="298"/>
        <v/>
      </c>
      <c r="GK88" s="100" t="str">
        <f>IF(AND(F88="",B88=""),"",IF('Student DATA Entry'!M85="","",'Student DATA Entry'!M85))</f>
        <v/>
      </c>
      <c r="GL88" s="101" t="str">
        <f>IF(AND(B88="",F88=""),"",IF('Student DATA Entry'!N85="","",'Student DATA Entry'!N85))</f>
        <v/>
      </c>
      <c r="GM88" s="581" t="str">
        <f t="shared" si="299"/>
        <v/>
      </c>
      <c r="GN88" s="94" t="str">
        <f t="shared" si="300"/>
        <v/>
      </c>
      <c r="GO88" s="94" t="str">
        <f t="shared" si="301"/>
        <v/>
      </c>
      <c r="GP88" s="102" t="str">
        <f t="shared" si="239"/>
        <v/>
      </c>
      <c r="GQ88" s="94" t="str">
        <f t="shared" si="302"/>
        <v/>
      </c>
      <c r="GR88" s="103" t="str">
        <f t="shared" si="303"/>
        <v/>
      </c>
      <c r="GS88" s="102" t="str">
        <f t="shared" si="240"/>
        <v/>
      </c>
      <c r="GT88" s="104" t="str">
        <f t="shared" si="304"/>
        <v/>
      </c>
      <c r="GU88" s="94" t="str">
        <f>IF('Marks Entry'!V88=1,GT88,"")</f>
        <v/>
      </c>
      <c r="GV88" s="94" t="str">
        <f>IF('Marks Entry'!V88=2,GT88,"")</f>
        <v/>
      </c>
      <c r="GW88" s="94" t="str">
        <f>IF('Marks Entry'!V88=3,GT88,"")</f>
        <v/>
      </c>
      <c r="GX88" s="94" t="str">
        <f>IF('Marks Entry'!V88=4,GT88,"")</f>
        <v/>
      </c>
      <c r="GY88" s="94" t="str">
        <f>IF('Marks Entry'!V88=5,GT88,"")</f>
        <v/>
      </c>
      <c r="GZ88" s="94" t="str">
        <f t="shared" si="305"/>
        <v/>
      </c>
      <c r="HA88" s="105" t="str">
        <f t="shared" si="241"/>
        <v/>
      </c>
      <c r="HB88" s="94" t="str">
        <f t="shared" si="306"/>
        <v/>
      </c>
      <c r="HC88" s="94" t="str">
        <f t="shared" si="307"/>
        <v/>
      </c>
      <c r="HD88" s="105" t="str">
        <f t="shared" si="242"/>
        <v/>
      </c>
      <c r="HE88" s="94" t="str">
        <f t="shared" si="308"/>
        <v/>
      </c>
      <c r="HF88" s="94" t="str">
        <f t="shared" si="309"/>
        <v/>
      </c>
      <c r="HG88" s="105" t="str">
        <f t="shared" si="243"/>
        <v/>
      </c>
      <c r="HH88" s="94" t="str">
        <f t="shared" si="310"/>
        <v/>
      </c>
      <c r="HI88" s="94" t="str">
        <f t="shared" si="311"/>
        <v/>
      </c>
      <c r="HJ88" s="105" t="str">
        <f t="shared" si="244"/>
        <v/>
      </c>
      <c r="HK88" s="94" t="str">
        <f t="shared" si="312"/>
        <v/>
      </c>
      <c r="HL88" s="94" t="str">
        <f t="shared" si="313"/>
        <v/>
      </c>
      <c r="HM88" s="105" t="str">
        <f t="shared" si="245"/>
        <v/>
      </c>
      <c r="HN88" s="367" t="str">
        <f t="shared" si="314"/>
        <v xml:space="preserve">      </v>
      </c>
      <c r="HO88" s="418" t="str">
        <f t="shared" si="246"/>
        <v xml:space="preserve">      </v>
      </c>
      <c r="HP88" s="367" t="str">
        <f t="shared" si="315"/>
        <v xml:space="preserve">      </v>
      </c>
      <c r="HQ88" s="107" t="str">
        <f t="shared" si="316"/>
        <v xml:space="preserve">      </v>
      </c>
      <c r="HR88" s="366" t="str">
        <f t="shared" si="317"/>
        <v xml:space="preserve">      </v>
      </c>
      <c r="HS88" s="544" t="str">
        <f t="shared" si="247"/>
        <v/>
      </c>
      <c r="HT88" s="542" t="str">
        <f t="shared" si="318"/>
        <v/>
      </c>
      <c r="HU88" s="541" t="str">
        <f t="shared" si="319"/>
        <v/>
      </c>
      <c r="HV88" s="540" t="str">
        <f t="shared" si="320"/>
        <v/>
      </c>
      <c r="HW88" s="537" t="str">
        <f t="shared" si="321"/>
        <v/>
      </c>
      <c r="HX88" s="539" t="str">
        <f t="shared" si="322"/>
        <v/>
      </c>
      <c r="HY88" s="553" t="str">
        <f>IFERROR(IF(OR(HS88="SUPPLEMENTARY",HS88="RE-EXAM"),'Supp. Result Entry'!AQ86,""),"")</f>
        <v/>
      </c>
      <c r="HZ88" s="538" t="str">
        <f t="shared" si="323"/>
        <v/>
      </c>
      <c r="IA88" s="415" t="str">
        <f t="shared" si="324"/>
        <v/>
      </c>
      <c r="IB88" s="415" t="str">
        <f>IF(AND(HZ88="",IA88=""),"",IF(OR(HS88="SUPPLEMENTARY",HS88="RE-EXAM"),'Supp. Result Entry'!AQ86,HS88))</f>
        <v/>
      </c>
      <c r="IC88" s="87"/>
      <c r="IS88" s="109" t="str">
        <f>IF('Supp. Result Entry'!T86="","",'Supp. Result Entry'!$T$4)</f>
        <v/>
      </c>
      <c r="IT88" s="110" t="str">
        <f>IF('Supp. Result Entry'!W86="","",'Supp. Result Entry'!$W$4)</f>
        <v/>
      </c>
      <c r="IU88" s="110" t="str">
        <f>IF('Supp. Result Entry'!Z86="","",'Supp. Result Entry'!$Z$4)</f>
        <v/>
      </c>
      <c r="IV88" s="110" t="str">
        <f>IF('Supp. Result Entry'!AC86="","",'Supp. Result Entry'!$AC$4)</f>
        <v/>
      </c>
      <c r="IW88" s="110" t="str">
        <f>IF('Supp. Result Entry'!AF86="","",'Supp. Result Entry'!$AF$4)</f>
        <v/>
      </c>
      <c r="IX88" s="110" t="str">
        <f>IF('Supp. Result Entry'!AI86="","",'Supp. Result Entry'!$AI$4)</f>
        <v/>
      </c>
      <c r="IY88" s="110" t="str">
        <f>IF('Supp. Result Entry'!AI86="","",'Supp. Result Entry'!$AL$4)</f>
        <v/>
      </c>
      <c r="IZ88" s="110" t="str">
        <f>IF('Supp. Result Entry'!U86="","",'Supp. Result Entry'!U86)</f>
        <v/>
      </c>
      <c r="JA88" s="110" t="str">
        <f>IF('Supp. Result Entry'!X86="","",'Supp. Result Entry'!X86)</f>
        <v/>
      </c>
      <c r="JB88" s="110" t="str">
        <f>IF('Supp. Result Entry'!AA86="","",'Supp. Result Entry'!AA86)</f>
        <v/>
      </c>
      <c r="JC88" s="110" t="str">
        <f>IF('Supp. Result Entry'!AD86="","",'Supp. Result Entry'!AD86)</f>
        <v/>
      </c>
      <c r="JD88" s="110" t="str">
        <f>IF('Supp. Result Entry'!AG86="","",'Supp. Result Entry'!AG86)</f>
        <v/>
      </c>
      <c r="JE88" s="110" t="str">
        <f>IF('Supp. Result Entry'!AJ86="","",'Supp. Result Entry'!AJ86)</f>
        <v/>
      </c>
      <c r="JF88" s="110" t="str">
        <f>IF('Supp. Result Entry'!AM86="","",'Supp. Result Entry'!AM86)</f>
        <v/>
      </c>
      <c r="JG88" s="110" t="str">
        <f>IF('Supp. Result Entry'!V86="","",'Supp. Result Entry'!V86)</f>
        <v/>
      </c>
      <c r="JH88" s="110" t="str">
        <f>IF('Supp. Result Entry'!Y86="","",'Supp. Result Entry'!Y86)</f>
        <v/>
      </c>
      <c r="JI88" s="110" t="str">
        <f>IF('Supp. Result Entry'!AB86="","",'Supp. Result Entry'!AB86)</f>
        <v/>
      </c>
      <c r="JJ88" s="110" t="str">
        <f>IF('Supp. Result Entry'!AE86="","",'Supp. Result Entry'!AE86)</f>
        <v/>
      </c>
      <c r="JK88" s="110" t="str">
        <f>IF('Supp. Result Entry'!AH86="","",'Supp. Result Entry'!AH86)</f>
        <v/>
      </c>
      <c r="JL88" s="110" t="str">
        <f>IF('Supp. Result Entry'!AK86="","",'Supp. Result Entry'!AK86)</f>
        <v/>
      </c>
      <c r="JM88" s="110" t="str">
        <f>IF('Supp. Result Entry'!AN86="","",'Supp. Result Entry'!AN86)</f>
        <v/>
      </c>
      <c r="JN88" s="110">
        <f>COUNTIF('Supp. Result Entry'!K86:Q86,"S")</f>
        <v>0</v>
      </c>
      <c r="JO88" s="110">
        <f t="shared" si="248"/>
        <v>0</v>
      </c>
      <c r="JP88" s="110">
        <f t="shared" si="325"/>
        <v>0</v>
      </c>
      <c r="JQ88" s="110" t="str">
        <f t="shared" si="249"/>
        <v/>
      </c>
      <c r="JR88" s="110" t="str">
        <f t="shared" si="250"/>
        <v/>
      </c>
      <c r="JS88" s="110" t="str">
        <f t="shared" si="251"/>
        <v/>
      </c>
      <c r="JT88" s="110" t="str">
        <f t="shared" si="252"/>
        <v/>
      </c>
      <c r="JU88" s="110" t="str">
        <f t="shared" si="253"/>
        <v/>
      </c>
      <c r="JV88" s="110" t="str">
        <f t="shared" si="254"/>
        <v/>
      </c>
      <c r="JW88" s="110" t="str">
        <f t="shared" si="255"/>
        <v/>
      </c>
      <c r="JX88" s="110" t="str">
        <f t="shared" si="326"/>
        <v/>
      </c>
      <c r="JY88" s="110" t="str">
        <f t="shared" si="327"/>
        <v/>
      </c>
      <c r="JZ88" s="110" t="str">
        <f t="shared" si="256"/>
        <v/>
      </c>
      <c r="KA88" s="108" t="str">
        <f t="shared" si="328"/>
        <v/>
      </c>
    </row>
    <row r="89" spans="1:287" s="108" customFormat="1" ht="21.95" customHeight="1">
      <c r="A89" s="89">
        <v>83</v>
      </c>
      <c r="B89" s="90" t="str">
        <f>IF('Marks Entry'!B89="","",'Marks Entry'!B89)</f>
        <v/>
      </c>
      <c r="C89" s="94" t="str">
        <f>IF('Marks Entry'!D89="","",'Marks Entry'!D89)</f>
        <v/>
      </c>
      <c r="D89" s="91" t="str">
        <f>IF('Marks Entry'!E89="","",'Marks Entry'!E89)</f>
        <v/>
      </c>
      <c r="E89" s="92" t="str">
        <f>IF('Marks Entry'!F89="","",'Marks Entry'!F89)</f>
        <v/>
      </c>
      <c r="F89" s="93" t="str">
        <f>IF('Marks Entry'!G89="","",'Marks Entry'!G89)</f>
        <v/>
      </c>
      <c r="G89" s="93" t="str">
        <f>IF('Marks Entry'!H89="","",'Marks Entry'!H89)</f>
        <v/>
      </c>
      <c r="H89" s="93" t="str">
        <f>IF('Marks Entry'!I89="","",'Marks Entry'!I89)</f>
        <v/>
      </c>
      <c r="I89" s="94" t="str">
        <f>IF('Marks Entry'!J89="","",'Marks Entry'!J89)</f>
        <v/>
      </c>
      <c r="J89" s="95" t="str">
        <f>IF('Marks Entry'!K89="","",'Marks Entry'!K89)</f>
        <v/>
      </c>
      <c r="K89" s="68" t="str">
        <f>IF('Marks Entry'!L89="","",'Marks Entry'!L89)</f>
        <v/>
      </c>
      <c r="L89" s="68" t="str">
        <f>IF('Marks Entry'!M89="","",'Marks Entry'!M89)</f>
        <v/>
      </c>
      <c r="M89" s="68" t="str">
        <f>IF('Marks Entry'!N89="","",'Marks Entry'!N89)</f>
        <v/>
      </c>
      <c r="N89" s="514" t="str">
        <f t="shared" si="257"/>
        <v/>
      </c>
      <c r="O89" s="68" t="str">
        <f>IF('Marks Entry'!O89="","",'Marks Entry'!O89)</f>
        <v/>
      </c>
      <c r="P89" s="515" t="str">
        <f t="shared" si="258"/>
        <v/>
      </c>
      <c r="Q89" s="68" t="str">
        <f>IF('Marks Entry'!P89="","",'Marks Entry'!P89)</f>
        <v/>
      </c>
      <c r="R89" s="96" t="str">
        <f t="shared" si="259"/>
        <v/>
      </c>
      <c r="S89" s="65">
        <f t="shared" si="260"/>
        <v>0</v>
      </c>
      <c r="T89" s="65">
        <f t="shared" si="261"/>
        <v>0</v>
      </c>
      <c r="U89" s="66" t="str">
        <f t="shared" si="171"/>
        <v/>
      </c>
      <c r="V89" s="65" t="str">
        <f t="shared" si="172"/>
        <v/>
      </c>
      <c r="W89" s="65" t="str">
        <f t="shared" si="262"/>
        <v/>
      </c>
      <c r="X89" s="65" t="str">
        <f t="shared" si="173"/>
        <v/>
      </c>
      <c r="Y89" s="68" t="str">
        <f>IF('Marks Entry'!Q89="","",'Marks Entry'!Q89)</f>
        <v/>
      </c>
      <c r="Z89" s="68" t="str">
        <f>IF('Marks Entry'!R89="","",'Marks Entry'!R89)</f>
        <v/>
      </c>
      <c r="AA89" s="68" t="str">
        <f>IF('Marks Entry'!S89="","",'Marks Entry'!S89)</f>
        <v/>
      </c>
      <c r="AB89" s="514" t="str">
        <f t="shared" si="174"/>
        <v/>
      </c>
      <c r="AC89" s="68" t="str">
        <f>IF('Marks Entry'!T89="","",'Marks Entry'!T89)</f>
        <v/>
      </c>
      <c r="AD89" s="515" t="str">
        <f t="shared" si="175"/>
        <v/>
      </c>
      <c r="AE89" s="68" t="str">
        <f>IF('Marks Entry'!U89="","",'Marks Entry'!U89)</f>
        <v/>
      </c>
      <c r="AF89" s="96" t="str">
        <f t="shared" si="176"/>
        <v/>
      </c>
      <c r="AG89" s="65">
        <f t="shared" si="177"/>
        <v>0</v>
      </c>
      <c r="AH89" s="65">
        <f t="shared" si="178"/>
        <v>0</v>
      </c>
      <c r="AI89" s="66" t="str">
        <f t="shared" si="179"/>
        <v/>
      </c>
      <c r="AJ89" s="65" t="str">
        <f t="shared" si="180"/>
        <v/>
      </c>
      <c r="AK89" s="65" t="str">
        <f t="shared" si="181"/>
        <v/>
      </c>
      <c r="AL89" s="65" t="str">
        <f t="shared" si="182"/>
        <v/>
      </c>
      <c r="AM89" s="524" t="str">
        <f>IF('Marks Entry'!V89="","",IF('Marks Entry'!V89=1,'School Profile'!$I$9,IF('Marks Entry'!V89=2,'School Profile'!$I$10,IF('Marks Entry'!V89=3,'School Profile'!$I$11,IF('Marks Entry'!V89=4,'School Profile'!$I$12,IF('Marks Entry'!V89=5,'School Profile'!$I$13,IF('Marks Entry'!V89=6,'School Profile'!$I$14,"")))))))</f>
        <v/>
      </c>
      <c r="AN89" s="68" t="str">
        <f>IF('Marks Entry'!W89="","",'Marks Entry'!W89)</f>
        <v/>
      </c>
      <c r="AO89" s="68" t="str">
        <f>IF('Marks Entry'!X89="","",'Marks Entry'!X89)</f>
        <v/>
      </c>
      <c r="AP89" s="68" t="str">
        <f>IF('Marks Entry'!Y89="","",'Marks Entry'!Y89)</f>
        <v/>
      </c>
      <c r="AQ89" s="514" t="str">
        <f t="shared" si="183"/>
        <v/>
      </c>
      <c r="AR89" s="68" t="str">
        <f>IF('Marks Entry'!Z89="","",'Marks Entry'!Z89)</f>
        <v/>
      </c>
      <c r="AS89" s="515" t="str">
        <f t="shared" si="184"/>
        <v/>
      </c>
      <c r="AT89" s="68" t="str">
        <f>IF('Marks Entry'!AA89="","",'Marks Entry'!AA89)</f>
        <v/>
      </c>
      <c r="AU89" s="96" t="str">
        <f t="shared" si="185"/>
        <v/>
      </c>
      <c r="AV89" s="65">
        <f t="shared" si="186"/>
        <v>0</v>
      </c>
      <c r="AW89" s="65">
        <f t="shared" si="187"/>
        <v>0</v>
      </c>
      <c r="AX89" s="66" t="str">
        <f t="shared" si="188"/>
        <v/>
      </c>
      <c r="AY89" s="65" t="str">
        <f t="shared" si="189"/>
        <v/>
      </c>
      <c r="AZ89" s="65" t="str">
        <f t="shared" si="190"/>
        <v/>
      </c>
      <c r="BA89" s="65" t="str">
        <f t="shared" si="191"/>
        <v/>
      </c>
      <c r="BB89" s="68" t="str">
        <f>IF('Marks Entry'!AB89="","",'Marks Entry'!AB89)</f>
        <v/>
      </c>
      <c r="BC89" s="68" t="str">
        <f>IF('Marks Entry'!AC89="","",'Marks Entry'!AC89)</f>
        <v/>
      </c>
      <c r="BD89" s="68" t="str">
        <f>IF('Marks Entry'!AD89="","",'Marks Entry'!AD89)</f>
        <v/>
      </c>
      <c r="BE89" s="514" t="str">
        <f t="shared" si="192"/>
        <v/>
      </c>
      <c r="BF89" s="68" t="str">
        <f>IF('Marks Entry'!AE89="","",'Marks Entry'!AE89)</f>
        <v/>
      </c>
      <c r="BG89" s="515" t="str">
        <f t="shared" si="193"/>
        <v/>
      </c>
      <c r="BH89" s="68" t="str">
        <f>IF('Marks Entry'!AF89="","",'Marks Entry'!AF89)</f>
        <v/>
      </c>
      <c r="BI89" s="96" t="str">
        <f t="shared" si="194"/>
        <v/>
      </c>
      <c r="BJ89" s="65">
        <f t="shared" si="195"/>
        <v>0</v>
      </c>
      <c r="BK89" s="65">
        <f t="shared" si="263"/>
        <v>0</v>
      </c>
      <c r="BL89" s="66" t="str">
        <f t="shared" si="196"/>
        <v/>
      </c>
      <c r="BM89" s="65" t="str">
        <f t="shared" si="197"/>
        <v/>
      </c>
      <c r="BN89" s="65" t="str">
        <f t="shared" si="198"/>
        <v/>
      </c>
      <c r="BO89" s="65" t="str">
        <f t="shared" si="199"/>
        <v/>
      </c>
      <c r="BP89" s="68" t="str">
        <f>IF('Marks Entry'!AG89="","",'Marks Entry'!AG89)</f>
        <v/>
      </c>
      <c r="BQ89" s="68" t="str">
        <f>IF('Marks Entry'!AH89="","",'Marks Entry'!AH89)</f>
        <v/>
      </c>
      <c r="BR89" s="68" t="str">
        <f>IF('Marks Entry'!AI89="","",'Marks Entry'!AI89)</f>
        <v/>
      </c>
      <c r="BS89" s="514" t="str">
        <f t="shared" si="200"/>
        <v/>
      </c>
      <c r="BT89" s="68" t="str">
        <f>IF('Marks Entry'!AJ89="","",'Marks Entry'!AJ89)</f>
        <v/>
      </c>
      <c r="BU89" s="515" t="str">
        <f t="shared" si="201"/>
        <v/>
      </c>
      <c r="BV89" s="68" t="str">
        <f>IF('Marks Entry'!AK89="","",'Marks Entry'!AK89)</f>
        <v/>
      </c>
      <c r="BW89" s="96" t="str">
        <f t="shared" si="202"/>
        <v/>
      </c>
      <c r="BX89" s="65">
        <f t="shared" si="203"/>
        <v>0</v>
      </c>
      <c r="BY89" s="65">
        <f t="shared" si="204"/>
        <v>0</v>
      </c>
      <c r="BZ89" s="66" t="str">
        <f t="shared" si="205"/>
        <v/>
      </c>
      <c r="CA89" s="65" t="str">
        <f t="shared" si="206"/>
        <v/>
      </c>
      <c r="CB89" s="65" t="str">
        <f t="shared" si="207"/>
        <v/>
      </c>
      <c r="CC89" s="65" t="str">
        <f t="shared" si="208"/>
        <v/>
      </c>
      <c r="CD89" s="66">
        <f t="shared" si="209"/>
        <v>0</v>
      </c>
      <c r="CE89" s="68" t="str">
        <f>IF('Marks Entry'!AL89="","",'Marks Entry'!AL89)</f>
        <v/>
      </c>
      <c r="CF89" s="68" t="str">
        <f>IF('Marks Entry'!AM89="","",'Marks Entry'!AM89)</f>
        <v/>
      </c>
      <c r="CG89" s="68" t="str">
        <f>IF('Marks Entry'!AN89="","",'Marks Entry'!AN89)</f>
        <v/>
      </c>
      <c r="CH89" s="514" t="str">
        <f t="shared" si="210"/>
        <v/>
      </c>
      <c r="CI89" s="68" t="str">
        <f>IF('Marks Entry'!AO89="","",'Marks Entry'!AO89)</f>
        <v/>
      </c>
      <c r="CJ89" s="515" t="str">
        <f t="shared" si="211"/>
        <v/>
      </c>
      <c r="CK89" s="68" t="str">
        <f>IF('Marks Entry'!AP89="","",'Marks Entry'!AP89)</f>
        <v/>
      </c>
      <c r="CL89" s="96" t="str">
        <f t="shared" si="212"/>
        <v/>
      </c>
      <c r="CM89" s="65">
        <f t="shared" si="213"/>
        <v>0</v>
      </c>
      <c r="CN89" s="65">
        <f t="shared" si="214"/>
        <v>0</v>
      </c>
      <c r="CO89" s="66" t="str">
        <f t="shared" si="215"/>
        <v/>
      </c>
      <c r="CP89" s="65" t="str">
        <f t="shared" si="216"/>
        <v/>
      </c>
      <c r="CQ89" s="65" t="str">
        <f t="shared" si="217"/>
        <v/>
      </c>
      <c r="CR89" s="65" t="str">
        <f t="shared" si="218"/>
        <v/>
      </c>
      <c r="CS89" s="616"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8" t="str">
        <f>IF('School Profile'!$D$20="NO","",IF('Marks Entry'!AR89="","",'Marks Entry'!AR89))</f>
        <v/>
      </c>
      <c r="CU89" s="68" t="str">
        <f>IF('School Profile'!$D$20="NO","",IF('Marks Entry'!AS89="","",'Marks Entry'!AS89))</f>
        <v/>
      </c>
      <c r="CV89" s="68" t="str">
        <f>IF('School Profile'!$D$20="NO","",IF('Marks Entry'!AT89="","",'Marks Entry'!AT89))</f>
        <v/>
      </c>
      <c r="CW89" s="514" t="str">
        <f>IF('School Profile'!$D$20="NO","",IF(AND(CT89="",CU89="",CV89=""),"",SUM(CT89:CV89)))</f>
        <v/>
      </c>
      <c r="CX89" s="68" t="str">
        <f>IF('School Profile'!$D$20="NO","",IF('Marks Entry'!AU89="","",'Marks Entry'!AU89))</f>
        <v/>
      </c>
      <c r="CY89" s="68" t="str">
        <f>IF('School Profile'!$D$20="NO","",IF('Marks Entry'!AV89="","",'Marks Entry'!AV89))</f>
        <v/>
      </c>
      <c r="CZ89" s="515" t="str">
        <f>IF('School Profile'!$D$20="NO","",IF(AND(CX89="",CY89=""),"",SUM(CX89,CY89)))</f>
        <v/>
      </c>
      <c r="DA89" s="69" t="str">
        <f>IF('School Profile'!$D$20="NO","",IF(AND(CW89="",CZ89=""),"",SUM(CW89+CZ89)))</f>
        <v/>
      </c>
      <c r="DB89" s="68" t="str">
        <f>IF('School Profile'!$D$20="NO","",IF('Marks Entry'!AW89="","",'Marks Entry'!AW89))</f>
        <v/>
      </c>
      <c r="DC89" s="68" t="str">
        <f>IF('School Profile'!$D$20="NO","",IF('Marks Entry'!AX89="","",'Marks Entry'!AX89))</f>
        <v/>
      </c>
      <c r="DD89" s="515" t="str">
        <f>IF('School Profile'!$D$20="NO","",IF(AND(DB89="",DC89=""),"",SUM(DB89,DC89)))</f>
        <v/>
      </c>
      <c r="DE89" s="96" t="str">
        <f>IF('School Profile'!$D$20="NO","",IF(AND(DA89="",DD89=""),"",SUM(DA89,DD89)))</f>
        <v/>
      </c>
      <c r="DF89" s="532">
        <f t="shared" si="219"/>
        <v>0</v>
      </c>
      <c r="DG89" s="65">
        <f t="shared" si="220"/>
        <v>0</v>
      </c>
      <c r="DH89" s="66" t="str">
        <f t="shared" si="221"/>
        <v/>
      </c>
      <c r="DI89" s="65" t="str">
        <f t="shared" si="222"/>
        <v/>
      </c>
      <c r="DJ89" s="65" t="str">
        <f t="shared" si="223"/>
        <v/>
      </c>
      <c r="DK89" s="65" t="str">
        <f t="shared" si="224"/>
        <v/>
      </c>
      <c r="DL89" s="97" t="str">
        <f t="shared" si="264"/>
        <v/>
      </c>
      <c r="DM89" s="97" t="str">
        <f t="shared" si="265"/>
        <v/>
      </c>
      <c r="DN89" s="97" t="str">
        <f t="shared" si="266"/>
        <v/>
      </c>
      <c r="DO89" s="97" t="str">
        <f t="shared" si="267"/>
        <v/>
      </c>
      <c r="DP89" s="97" t="str">
        <f t="shared" si="268"/>
        <v/>
      </c>
      <c r="DQ89" s="97" t="str">
        <f t="shared" si="269"/>
        <v/>
      </c>
      <c r="DR89" s="97" t="str">
        <f t="shared" si="270"/>
        <v/>
      </c>
      <c r="DS89" s="98">
        <f t="shared" si="271"/>
        <v>0</v>
      </c>
      <c r="DT89" s="98">
        <f t="shared" si="272"/>
        <v>0</v>
      </c>
      <c r="DU89" s="98">
        <f t="shared" si="273"/>
        <v>0</v>
      </c>
      <c r="DV89" s="98">
        <f t="shared" si="274"/>
        <v>0</v>
      </c>
      <c r="DW89" s="98">
        <f t="shared" si="275"/>
        <v>0</v>
      </c>
      <c r="DX89" s="98" t="str">
        <f t="shared" si="276"/>
        <v/>
      </c>
      <c r="DY89" s="99" t="str">
        <f t="shared" si="277"/>
        <v/>
      </c>
      <c r="DZ89" s="74" t="str">
        <f>IF('Marks Entry'!AY89="","",'Marks Entry'!AY89)</f>
        <v/>
      </c>
      <c r="EA89" s="74" t="str">
        <f>IF('Marks Entry'!AZ89="","",'Marks Entry'!AZ89)</f>
        <v/>
      </c>
      <c r="EB89" s="74" t="str">
        <f>IF('Marks Entry'!BA89="","",'Marks Entry'!BA89)</f>
        <v/>
      </c>
      <c r="EC89" s="527" t="str">
        <f t="shared" si="225"/>
        <v/>
      </c>
      <c r="ED89" s="74" t="str">
        <f>IF('Marks Entry'!BB89="","",'Marks Entry'!BB89)</f>
        <v/>
      </c>
      <c r="EE89" s="528" t="str">
        <f t="shared" si="226"/>
        <v/>
      </c>
      <c r="EF89" s="74" t="str">
        <f>IF('Marks Entry'!BC89="","",'Marks Entry'!BC89)</f>
        <v/>
      </c>
      <c r="EG89" s="530" t="str">
        <f t="shared" si="227"/>
        <v/>
      </c>
      <c r="EH89" s="368" t="str">
        <f t="shared" si="278"/>
        <v/>
      </c>
      <c r="EI89" s="65">
        <f t="shared" si="279"/>
        <v>0</v>
      </c>
      <c r="EJ89" s="65">
        <f t="shared" si="280"/>
        <v>0</v>
      </c>
      <c r="EK89" s="66" t="str">
        <f t="shared" si="281"/>
        <v/>
      </c>
      <c r="EL89" s="74" t="str">
        <f>IF('Marks Entry'!BD89="","",'Marks Entry'!BD89)</f>
        <v/>
      </c>
      <c r="EM89" s="74" t="str">
        <f>IF('Marks Entry'!BE89="","",'Marks Entry'!BE89)</f>
        <v/>
      </c>
      <c r="EN89" s="74" t="str">
        <f>IF('Marks Entry'!BF89="","",'Marks Entry'!BF89)</f>
        <v/>
      </c>
      <c r="EO89" s="527" t="str">
        <f t="shared" si="228"/>
        <v/>
      </c>
      <c r="EP89" s="74" t="str">
        <f>IF('Marks Entry'!BG89="","",'Marks Entry'!BG89)</f>
        <v/>
      </c>
      <c r="EQ89" s="74" t="str">
        <f>IF('Marks Entry'!BH89="","",'Marks Entry'!BH89)</f>
        <v/>
      </c>
      <c r="ER89" s="528" t="str">
        <f t="shared" si="229"/>
        <v/>
      </c>
      <c r="ES89" s="529" t="str">
        <f t="shared" si="230"/>
        <v/>
      </c>
      <c r="ET89" s="74" t="str">
        <f>IF('Marks Entry'!BI89="","",'Marks Entry'!BI89)</f>
        <v/>
      </c>
      <c r="EU89" s="74" t="str">
        <f>IF('Marks Entry'!BJ89="","",'Marks Entry'!BJ89)</f>
        <v/>
      </c>
      <c r="EV89" s="528" t="str">
        <f t="shared" si="231"/>
        <v/>
      </c>
      <c r="EW89" s="530" t="str">
        <f t="shared" si="232"/>
        <v/>
      </c>
      <c r="EX89" s="368" t="str">
        <f t="shared" si="282"/>
        <v/>
      </c>
      <c r="EY89" s="65">
        <f t="shared" si="283"/>
        <v>0</v>
      </c>
      <c r="EZ89" s="65">
        <f t="shared" si="284"/>
        <v>0</v>
      </c>
      <c r="FA89" s="66" t="str">
        <f t="shared" si="285"/>
        <v/>
      </c>
      <c r="FB89" s="74" t="str">
        <f>IF('Marks Entry'!BK89="","",'Marks Entry'!BK89)</f>
        <v/>
      </c>
      <c r="FC89" s="74" t="str">
        <f>IF('Marks Entry'!BL89="","",'Marks Entry'!BL89)</f>
        <v/>
      </c>
      <c r="FD89" s="74" t="str">
        <f>IF('Marks Entry'!BM89="","",'Marks Entry'!BM89)</f>
        <v/>
      </c>
      <c r="FE89" s="74" t="str">
        <f>IF('Marks Entry'!BN89="","",'Marks Entry'!BN89)</f>
        <v/>
      </c>
      <c r="FF89" s="74" t="str">
        <f>IF('Marks Entry'!BO89="","",'Marks Entry'!BO89)</f>
        <v/>
      </c>
      <c r="FG89" s="74" t="str">
        <f>IF('Marks Entry'!BP89="","",'Marks Entry'!BP89)</f>
        <v/>
      </c>
      <c r="FH89" s="527" t="str">
        <f t="shared" si="233"/>
        <v/>
      </c>
      <c r="FI89" s="74" t="str">
        <f>IF('Marks Entry'!BQ89="","",'Marks Entry'!BQ89)</f>
        <v/>
      </c>
      <c r="FJ89" s="74" t="str">
        <f>IF('Marks Entry'!BR89="","",'Marks Entry'!BR89)</f>
        <v/>
      </c>
      <c r="FK89" s="528" t="str">
        <f t="shared" si="234"/>
        <v/>
      </c>
      <c r="FL89" s="529" t="str">
        <f t="shared" si="235"/>
        <v/>
      </c>
      <c r="FM89" s="74" t="str">
        <f>IF('Marks Entry'!BS89="","",'Marks Entry'!BS89)</f>
        <v/>
      </c>
      <c r="FN89" s="74" t="str">
        <f>IF('Marks Entry'!BT89="","",'Marks Entry'!BT89)</f>
        <v/>
      </c>
      <c r="FO89" s="528" t="str">
        <f t="shared" si="236"/>
        <v/>
      </c>
      <c r="FP89" s="530" t="str">
        <f t="shared" si="237"/>
        <v/>
      </c>
      <c r="FQ89" s="368" t="str">
        <f t="shared" si="286"/>
        <v/>
      </c>
      <c r="FR89" s="65">
        <f t="shared" si="287"/>
        <v>0</v>
      </c>
      <c r="FS89" s="65">
        <f t="shared" si="288"/>
        <v>0</v>
      </c>
      <c r="FT89" s="66" t="str">
        <f t="shared" si="289"/>
        <v/>
      </c>
      <c r="FU89" s="74" t="str">
        <f>IF('Marks Entry'!BU89="","",'Marks Entry'!BU89)</f>
        <v/>
      </c>
      <c r="FV89" s="74" t="str">
        <f>IF('Marks Entry'!BV89="","",'Marks Entry'!BV89)</f>
        <v/>
      </c>
      <c r="FW89" s="74" t="str">
        <f>IF('Marks Entry'!BW89="","",'Marks Entry'!BW89)</f>
        <v/>
      </c>
      <c r="FX89" s="75" t="str">
        <f t="shared" si="238"/>
        <v/>
      </c>
      <c r="FY89" s="368" t="str">
        <f t="shared" si="290"/>
        <v/>
      </c>
      <c r="FZ89" s="65">
        <f t="shared" si="291"/>
        <v>0</v>
      </c>
      <c r="GA89" s="66">
        <f t="shared" si="292"/>
        <v>0</v>
      </c>
      <c r="GB89" s="66" t="str">
        <f t="shared" si="293"/>
        <v/>
      </c>
      <c r="GC89" s="74" t="str">
        <f>IF('Marks Entry'!BX89="","",'Marks Entry'!BX89)</f>
        <v/>
      </c>
      <c r="GD89" s="74" t="str">
        <f>IF('Marks Entry'!BY89="","",'Marks Entry'!BY89)</f>
        <v/>
      </c>
      <c r="GE89" s="74" t="str">
        <f>IF('Marks Entry'!BZ89="","",'Marks Entry'!BZ89)</f>
        <v/>
      </c>
      <c r="GF89" s="75" t="str">
        <f t="shared" si="294"/>
        <v/>
      </c>
      <c r="GG89" s="368" t="str">
        <f t="shared" si="295"/>
        <v/>
      </c>
      <c r="GH89" s="65">
        <f t="shared" si="296"/>
        <v>0</v>
      </c>
      <c r="GI89" s="66">
        <f t="shared" si="297"/>
        <v>0</v>
      </c>
      <c r="GJ89" s="66" t="str">
        <f t="shared" si="298"/>
        <v/>
      </c>
      <c r="GK89" s="100" t="str">
        <f>IF(AND(F89="",B89=""),"",IF('Student DATA Entry'!M86="","",'Student DATA Entry'!M86))</f>
        <v/>
      </c>
      <c r="GL89" s="101" t="str">
        <f>IF(AND(B89="",F89=""),"",IF('Student DATA Entry'!N86="","",'Student DATA Entry'!N86))</f>
        <v/>
      </c>
      <c r="GM89" s="581" t="str">
        <f t="shared" si="299"/>
        <v/>
      </c>
      <c r="GN89" s="94" t="str">
        <f t="shared" si="300"/>
        <v/>
      </c>
      <c r="GO89" s="94" t="str">
        <f t="shared" si="301"/>
        <v/>
      </c>
      <c r="GP89" s="102" t="str">
        <f t="shared" si="239"/>
        <v/>
      </c>
      <c r="GQ89" s="94" t="str">
        <f t="shared" si="302"/>
        <v/>
      </c>
      <c r="GR89" s="103" t="str">
        <f t="shared" si="303"/>
        <v/>
      </c>
      <c r="GS89" s="102" t="str">
        <f t="shared" si="240"/>
        <v/>
      </c>
      <c r="GT89" s="104" t="str">
        <f t="shared" si="304"/>
        <v/>
      </c>
      <c r="GU89" s="94" t="str">
        <f>IF('Marks Entry'!V89=1,GT89,"")</f>
        <v/>
      </c>
      <c r="GV89" s="94" t="str">
        <f>IF('Marks Entry'!V89=2,GT89,"")</f>
        <v/>
      </c>
      <c r="GW89" s="94" t="str">
        <f>IF('Marks Entry'!V89=3,GT89,"")</f>
        <v/>
      </c>
      <c r="GX89" s="94" t="str">
        <f>IF('Marks Entry'!V89=4,GT89,"")</f>
        <v/>
      </c>
      <c r="GY89" s="94" t="str">
        <f>IF('Marks Entry'!V89=5,GT89,"")</f>
        <v/>
      </c>
      <c r="GZ89" s="94" t="str">
        <f t="shared" si="305"/>
        <v/>
      </c>
      <c r="HA89" s="105" t="str">
        <f t="shared" si="241"/>
        <v/>
      </c>
      <c r="HB89" s="94" t="str">
        <f t="shared" si="306"/>
        <v/>
      </c>
      <c r="HC89" s="94" t="str">
        <f t="shared" si="307"/>
        <v/>
      </c>
      <c r="HD89" s="105" t="str">
        <f t="shared" si="242"/>
        <v/>
      </c>
      <c r="HE89" s="94" t="str">
        <f t="shared" si="308"/>
        <v/>
      </c>
      <c r="HF89" s="94" t="str">
        <f t="shared" si="309"/>
        <v/>
      </c>
      <c r="HG89" s="105" t="str">
        <f t="shared" si="243"/>
        <v/>
      </c>
      <c r="HH89" s="94" t="str">
        <f t="shared" si="310"/>
        <v/>
      </c>
      <c r="HI89" s="94" t="str">
        <f t="shared" si="311"/>
        <v/>
      </c>
      <c r="HJ89" s="105" t="str">
        <f t="shared" si="244"/>
        <v/>
      </c>
      <c r="HK89" s="94" t="str">
        <f t="shared" si="312"/>
        <v/>
      </c>
      <c r="HL89" s="94" t="str">
        <f t="shared" si="313"/>
        <v/>
      </c>
      <c r="HM89" s="105" t="str">
        <f t="shared" si="245"/>
        <v/>
      </c>
      <c r="HN89" s="367" t="str">
        <f t="shared" si="314"/>
        <v xml:space="preserve">      </v>
      </c>
      <c r="HO89" s="418" t="str">
        <f t="shared" si="246"/>
        <v xml:space="preserve">      </v>
      </c>
      <c r="HP89" s="367" t="str">
        <f t="shared" si="315"/>
        <v xml:space="preserve">      </v>
      </c>
      <c r="HQ89" s="107" t="str">
        <f t="shared" si="316"/>
        <v xml:space="preserve">      </v>
      </c>
      <c r="HR89" s="366" t="str">
        <f t="shared" si="317"/>
        <v xml:space="preserve">      </v>
      </c>
      <c r="HS89" s="544" t="str">
        <f t="shared" si="247"/>
        <v/>
      </c>
      <c r="HT89" s="542" t="str">
        <f t="shared" si="318"/>
        <v/>
      </c>
      <c r="HU89" s="541" t="str">
        <f t="shared" si="319"/>
        <v/>
      </c>
      <c r="HV89" s="540" t="str">
        <f t="shared" si="320"/>
        <v/>
      </c>
      <c r="HW89" s="537" t="str">
        <f t="shared" si="321"/>
        <v/>
      </c>
      <c r="HX89" s="539" t="str">
        <f t="shared" si="322"/>
        <v/>
      </c>
      <c r="HY89" s="553" t="str">
        <f>IFERROR(IF(OR(HS89="SUPPLEMENTARY",HS89="RE-EXAM"),'Supp. Result Entry'!AQ87,""),"")</f>
        <v/>
      </c>
      <c r="HZ89" s="538" t="str">
        <f t="shared" si="323"/>
        <v/>
      </c>
      <c r="IA89" s="415" t="str">
        <f t="shared" si="324"/>
        <v/>
      </c>
      <c r="IB89" s="415" t="str">
        <f>IF(AND(HZ89="",IA89=""),"",IF(OR(HS89="SUPPLEMENTARY",HS89="RE-EXAM"),'Supp. Result Entry'!AQ87,HS89))</f>
        <v/>
      </c>
      <c r="IC89" s="87"/>
      <c r="IS89" s="109" t="str">
        <f>IF('Supp. Result Entry'!T87="","",'Supp. Result Entry'!$T$4)</f>
        <v/>
      </c>
      <c r="IT89" s="110" t="str">
        <f>IF('Supp. Result Entry'!W87="","",'Supp. Result Entry'!$W$4)</f>
        <v/>
      </c>
      <c r="IU89" s="110" t="str">
        <f>IF('Supp. Result Entry'!Z87="","",'Supp. Result Entry'!$Z$4)</f>
        <v/>
      </c>
      <c r="IV89" s="110" t="str">
        <f>IF('Supp. Result Entry'!AC87="","",'Supp. Result Entry'!$AC$4)</f>
        <v/>
      </c>
      <c r="IW89" s="110" t="str">
        <f>IF('Supp. Result Entry'!AF87="","",'Supp. Result Entry'!$AF$4)</f>
        <v/>
      </c>
      <c r="IX89" s="110" t="str">
        <f>IF('Supp. Result Entry'!AI87="","",'Supp. Result Entry'!$AI$4)</f>
        <v/>
      </c>
      <c r="IY89" s="110" t="str">
        <f>IF('Supp. Result Entry'!AI87="","",'Supp. Result Entry'!$AL$4)</f>
        <v/>
      </c>
      <c r="IZ89" s="110" t="str">
        <f>IF('Supp. Result Entry'!U87="","",'Supp. Result Entry'!U87)</f>
        <v/>
      </c>
      <c r="JA89" s="110" t="str">
        <f>IF('Supp. Result Entry'!X87="","",'Supp. Result Entry'!X87)</f>
        <v/>
      </c>
      <c r="JB89" s="110" t="str">
        <f>IF('Supp. Result Entry'!AA87="","",'Supp. Result Entry'!AA87)</f>
        <v/>
      </c>
      <c r="JC89" s="110" t="str">
        <f>IF('Supp. Result Entry'!AD87="","",'Supp. Result Entry'!AD87)</f>
        <v/>
      </c>
      <c r="JD89" s="110" t="str">
        <f>IF('Supp. Result Entry'!AG87="","",'Supp. Result Entry'!AG87)</f>
        <v/>
      </c>
      <c r="JE89" s="110" t="str">
        <f>IF('Supp. Result Entry'!AJ87="","",'Supp. Result Entry'!AJ87)</f>
        <v/>
      </c>
      <c r="JF89" s="110" t="str">
        <f>IF('Supp. Result Entry'!AM87="","",'Supp. Result Entry'!AM87)</f>
        <v/>
      </c>
      <c r="JG89" s="110" t="str">
        <f>IF('Supp. Result Entry'!V87="","",'Supp. Result Entry'!V87)</f>
        <v/>
      </c>
      <c r="JH89" s="110" t="str">
        <f>IF('Supp. Result Entry'!Y87="","",'Supp. Result Entry'!Y87)</f>
        <v/>
      </c>
      <c r="JI89" s="110" t="str">
        <f>IF('Supp. Result Entry'!AB87="","",'Supp. Result Entry'!AB87)</f>
        <v/>
      </c>
      <c r="JJ89" s="110" t="str">
        <f>IF('Supp. Result Entry'!AE87="","",'Supp. Result Entry'!AE87)</f>
        <v/>
      </c>
      <c r="JK89" s="110" t="str">
        <f>IF('Supp. Result Entry'!AH87="","",'Supp. Result Entry'!AH87)</f>
        <v/>
      </c>
      <c r="JL89" s="110" t="str">
        <f>IF('Supp. Result Entry'!AK87="","",'Supp. Result Entry'!AK87)</f>
        <v/>
      </c>
      <c r="JM89" s="110" t="str">
        <f>IF('Supp. Result Entry'!AN87="","",'Supp. Result Entry'!AN87)</f>
        <v/>
      </c>
      <c r="JN89" s="110">
        <f>COUNTIF('Supp. Result Entry'!K87:Q87,"S")</f>
        <v>0</v>
      </c>
      <c r="JO89" s="110">
        <f t="shared" si="248"/>
        <v>0</v>
      </c>
      <c r="JP89" s="110">
        <f t="shared" si="325"/>
        <v>0</v>
      </c>
      <c r="JQ89" s="110" t="str">
        <f t="shared" si="249"/>
        <v/>
      </c>
      <c r="JR89" s="110" t="str">
        <f t="shared" si="250"/>
        <v/>
      </c>
      <c r="JS89" s="110" t="str">
        <f t="shared" si="251"/>
        <v/>
      </c>
      <c r="JT89" s="110" t="str">
        <f t="shared" si="252"/>
        <v/>
      </c>
      <c r="JU89" s="110" t="str">
        <f t="shared" si="253"/>
        <v/>
      </c>
      <c r="JV89" s="110" t="str">
        <f t="shared" si="254"/>
        <v/>
      </c>
      <c r="JW89" s="110" t="str">
        <f t="shared" si="255"/>
        <v/>
      </c>
      <c r="JX89" s="110" t="str">
        <f t="shared" si="326"/>
        <v/>
      </c>
      <c r="JY89" s="110" t="str">
        <f t="shared" si="327"/>
        <v/>
      </c>
      <c r="JZ89" s="110" t="str">
        <f t="shared" si="256"/>
        <v/>
      </c>
      <c r="KA89" s="108" t="str">
        <f t="shared" si="328"/>
        <v/>
      </c>
    </row>
    <row r="90" spans="1:287" s="108" customFormat="1" ht="21.95" customHeight="1">
      <c r="A90" s="89">
        <v>84</v>
      </c>
      <c r="B90" s="90" t="str">
        <f>IF('Marks Entry'!B90="","",'Marks Entry'!B90)</f>
        <v/>
      </c>
      <c r="C90" s="94" t="str">
        <f>IF('Marks Entry'!D90="","",'Marks Entry'!D90)</f>
        <v/>
      </c>
      <c r="D90" s="91" t="str">
        <f>IF('Marks Entry'!E90="","",'Marks Entry'!E90)</f>
        <v/>
      </c>
      <c r="E90" s="92" t="str">
        <f>IF('Marks Entry'!F90="","",'Marks Entry'!F90)</f>
        <v/>
      </c>
      <c r="F90" s="93" t="str">
        <f>IF('Marks Entry'!G90="","",'Marks Entry'!G90)</f>
        <v/>
      </c>
      <c r="G90" s="93" t="str">
        <f>IF('Marks Entry'!H90="","",'Marks Entry'!H90)</f>
        <v/>
      </c>
      <c r="H90" s="93" t="str">
        <f>IF('Marks Entry'!I90="","",'Marks Entry'!I90)</f>
        <v/>
      </c>
      <c r="I90" s="94" t="str">
        <f>IF('Marks Entry'!J90="","",'Marks Entry'!J90)</f>
        <v/>
      </c>
      <c r="J90" s="95" t="str">
        <f>IF('Marks Entry'!K90="","",'Marks Entry'!K90)</f>
        <v/>
      </c>
      <c r="K90" s="68" t="str">
        <f>IF('Marks Entry'!L90="","",'Marks Entry'!L90)</f>
        <v/>
      </c>
      <c r="L90" s="68" t="str">
        <f>IF('Marks Entry'!M90="","",'Marks Entry'!M90)</f>
        <v/>
      </c>
      <c r="M90" s="68" t="str">
        <f>IF('Marks Entry'!N90="","",'Marks Entry'!N90)</f>
        <v/>
      </c>
      <c r="N90" s="514" t="str">
        <f t="shared" si="257"/>
        <v/>
      </c>
      <c r="O90" s="68" t="str">
        <f>IF('Marks Entry'!O90="","",'Marks Entry'!O90)</f>
        <v/>
      </c>
      <c r="P90" s="515" t="str">
        <f t="shared" si="258"/>
        <v/>
      </c>
      <c r="Q90" s="68" t="str">
        <f>IF('Marks Entry'!P90="","",'Marks Entry'!P90)</f>
        <v/>
      </c>
      <c r="R90" s="96" t="str">
        <f t="shared" si="259"/>
        <v/>
      </c>
      <c r="S90" s="65">
        <f t="shared" si="260"/>
        <v>0</v>
      </c>
      <c r="T90" s="65">
        <f t="shared" si="261"/>
        <v>0</v>
      </c>
      <c r="U90" s="66" t="str">
        <f t="shared" si="171"/>
        <v/>
      </c>
      <c r="V90" s="65" t="str">
        <f t="shared" si="172"/>
        <v/>
      </c>
      <c r="W90" s="65" t="str">
        <f t="shared" si="262"/>
        <v/>
      </c>
      <c r="X90" s="65" t="str">
        <f t="shared" si="173"/>
        <v/>
      </c>
      <c r="Y90" s="68" t="str">
        <f>IF('Marks Entry'!Q90="","",'Marks Entry'!Q90)</f>
        <v/>
      </c>
      <c r="Z90" s="68" t="str">
        <f>IF('Marks Entry'!R90="","",'Marks Entry'!R90)</f>
        <v/>
      </c>
      <c r="AA90" s="68" t="str">
        <f>IF('Marks Entry'!S90="","",'Marks Entry'!S90)</f>
        <v/>
      </c>
      <c r="AB90" s="514" t="str">
        <f t="shared" si="174"/>
        <v/>
      </c>
      <c r="AC90" s="68" t="str">
        <f>IF('Marks Entry'!T90="","",'Marks Entry'!T90)</f>
        <v/>
      </c>
      <c r="AD90" s="515" t="str">
        <f t="shared" si="175"/>
        <v/>
      </c>
      <c r="AE90" s="68" t="str">
        <f>IF('Marks Entry'!U90="","",'Marks Entry'!U90)</f>
        <v/>
      </c>
      <c r="AF90" s="96" t="str">
        <f t="shared" si="176"/>
        <v/>
      </c>
      <c r="AG90" s="65">
        <f t="shared" si="177"/>
        <v>0</v>
      </c>
      <c r="AH90" s="65">
        <f t="shared" si="178"/>
        <v>0</v>
      </c>
      <c r="AI90" s="66" t="str">
        <f t="shared" si="179"/>
        <v/>
      </c>
      <c r="AJ90" s="65" t="str">
        <f t="shared" si="180"/>
        <v/>
      </c>
      <c r="AK90" s="65" t="str">
        <f t="shared" si="181"/>
        <v/>
      </c>
      <c r="AL90" s="65" t="str">
        <f t="shared" si="182"/>
        <v/>
      </c>
      <c r="AM90" s="524" t="str">
        <f>IF('Marks Entry'!V90="","",IF('Marks Entry'!V90=1,'School Profile'!$I$9,IF('Marks Entry'!V90=2,'School Profile'!$I$10,IF('Marks Entry'!V90=3,'School Profile'!$I$11,IF('Marks Entry'!V90=4,'School Profile'!$I$12,IF('Marks Entry'!V90=5,'School Profile'!$I$13,IF('Marks Entry'!V90=6,'School Profile'!$I$14,"")))))))</f>
        <v/>
      </c>
      <c r="AN90" s="68" t="str">
        <f>IF('Marks Entry'!W90="","",'Marks Entry'!W90)</f>
        <v/>
      </c>
      <c r="AO90" s="68" t="str">
        <f>IF('Marks Entry'!X90="","",'Marks Entry'!X90)</f>
        <v/>
      </c>
      <c r="AP90" s="68" t="str">
        <f>IF('Marks Entry'!Y90="","",'Marks Entry'!Y90)</f>
        <v/>
      </c>
      <c r="AQ90" s="514" t="str">
        <f t="shared" si="183"/>
        <v/>
      </c>
      <c r="AR90" s="68" t="str">
        <f>IF('Marks Entry'!Z90="","",'Marks Entry'!Z90)</f>
        <v/>
      </c>
      <c r="AS90" s="515" t="str">
        <f t="shared" si="184"/>
        <v/>
      </c>
      <c r="AT90" s="68" t="str">
        <f>IF('Marks Entry'!AA90="","",'Marks Entry'!AA90)</f>
        <v/>
      </c>
      <c r="AU90" s="96" t="str">
        <f t="shared" si="185"/>
        <v/>
      </c>
      <c r="AV90" s="65">
        <f t="shared" si="186"/>
        <v>0</v>
      </c>
      <c r="AW90" s="65">
        <f t="shared" si="187"/>
        <v>0</v>
      </c>
      <c r="AX90" s="66" t="str">
        <f t="shared" si="188"/>
        <v/>
      </c>
      <c r="AY90" s="65" t="str">
        <f t="shared" si="189"/>
        <v/>
      </c>
      <c r="AZ90" s="65" t="str">
        <f t="shared" si="190"/>
        <v/>
      </c>
      <c r="BA90" s="65" t="str">
        <f t="shared" si="191"/>
        <v/>
      </c>
      <c r="BB90" s="68" t="str">
        <f>IF('Marks Entry'!AB90="","",'Marks Entry'!AB90)</f>
        <v/>
      </c>
      <c r="BC90" s="68" t="str">
        <f>IF('Marks Entry'!AC90="","",'Marks Entry'!AC90)</f>
        <v/>
      </c>
      <c r="BD90" s="68" t="str">
        <f>IF('Marks Entry'!AD90="","",'Marks Entry'!AD90)</f>
        <v/>
      </c>
      <c r="BE90" s="514" t="str">
        <f t="shared" si="192"/>
        <v/>
      </c>
      <c r="BF90" s="68" t="str">
        <f>IF('Marks Entry'!AE90="","",'Marks Entry'!AE90)</f>
        <v/>
      </c>
      <c r="BG90" s="515" t="str">
        <f t="shared" si="193"/>
        <v/>
      </c>
      <c r="BH90" s="68" t="str">
        <f>IF('Marks Entry'!AF90="","",'Marks Entry'!AF90)</f>
        <v/>
      </c>
      <c r="BI90" s="96" t="str">
        <f t="shared" si="194"/>
        <v/>
      </c>
      <c r="BJ90" s="65">
        <f t="shared" si="195"/>
        <v>0</v>
      </c>
      <c r="BK90" s="65">
        <f t="shared" si="263"/>
        <v>0</v>
      </c>
      <c r="BL90" s="66" t="str">
        <f t="shared" si="196"/>
        <v/>
      </c>
      <c r="BM90" s="65" t="str">
        <f t="shared" si="197"/>
        <v/>
      </c>
      <c r="BN90" s="65" t="str">
        <f t="shared" si="198"/>
        <v/>
      </c>
      <c r="BO90" s="65" t="str">
        <f t="shared" si="199"/>
        <v/>
      </c>
      <c r="BP90" s="68" t="str">
        <f>IF('Marks Entry'!AG90="","",'Marks Entry'!AG90)</f>
        <v/>
      </c>
      <c r="BQ90" s="68" t="str">
        <f>IF('Marks Entry'!AH90="","",'Marks Entry'!AH90)</f>
        <v/>
      </c>
      <c r="BR90" s="68" t="str">
        <f>IF('Marks Entry'!AI90="","",'Marks Entry'!AI90)</f>
        <v/>
      </c>
      <c r="BS90" s="514" t="str">
        <f t="shared" si="200"/>
        <v/>
      </c>
      <c r="BT90" s="68" t="str">
        <f>IF('Marks Entry'!AJ90="","",'Marks Entry'!AJ90)</f>
        <v/>
      </c>
      <c r="BU90" s="515" t="str">
        <f t="shared" si="201"/>
        <v/>
      </c>
      <c r="BV90" s="68" t="str">
        <f>IF('Marks Entry'!AK90="","",'Marks Entry'!AK90)</f>
        <v/>
      </c>
      <c r="BW90" s="96" t="str">
        <f t="shared" si="202"/>
        <v/>
      </c>
      <c r="BX90" s="65">
        <f t="shared" si="203"/>
        <v>0</v>
      </c>
      <c r="BY90" s="65">
        <f t="shared" si="204"/>
        <v>0</v>
      </c>
      <c r="BZ90" s="66" t="str">
        <f t="shared" si="205"/>
        <v/>
      </c>
      <c r="CA90" s="65" t="str">
        <f t="shared" si="206"/>
        <v/>
      </c>
      <c r="CB90" s="65" t="str">
        <f t="shared" si="207"/>
        <v/>
      </c>
      <c r="CC90" s="65" t="str">
        <f t="shared" si="208"/>
        <v/>
      </c>
      <c r="CD90" s="66">
        <f t="shared" si="209"/>
        <v>0</v>
      </c>
      <c r="CE90" s="68" t="str">
        <f>IF('Marks Entry'!AL90="","",'Marks Entry'!AL90)</f>
        <v/>
      </c>
      <c r="CF90" s="68" t="str">
        <f>IF('Marks Entry'!AM90="","",'Marks Entry'!AM90)</f>
        <v/>
      </c>
      <c r="CG90" s="68" t="str">
        <f>IF('Marks Entry'!AN90="","",'Marks Entry'!AN90)</f>
        <v/>
      </c>
      <c r="CH90" s="514" t="str">
        <f t="shared" si="210"/>
        <v/>
      </c>
      <c r="CI90" s="68" t="str">
        <f>IF('Marks Entry'!AO90="","",'Marks Entry'!AO90)</f>
        <v/>
      </c>
      <c r="CJ90" s="515" t="str">
        <f t="shared" si="211"/>
        <v/>
      </c>
      <c r="CK90" s="68" t="str">
        <f>IF('Marks Entry'!AP90="","",'Marks Entry'!AP90)</f>
        <v/>
      </c>
      <c r="CL90" s="96" t="str">
        <f t="shared" si="212"/>
        <v/>
      </c>
      <c r="CM90" s="65">
        <f t="shared" si="213"/>
        <v>0</v>
      </c>
      <c r="CN90" s="65">
        <f t="shared" si="214"/>
        <v>0</v>
      </c>
      <c r="CO90" s="66" t="str">
        <f t="shared" si="215"/>
        <v/>
      </c>
      <c r="CP90" s="65" t="str">
        <f t="shared" si="216"/>
        <v/>
      </c>
      <c r="CQ90" s="65" t="str">
        <f t="shared" si="217"/>
        <v/>
      </c>
      <c r="CR90" s="65" t="str">
        <f t="shared" si="218"/>
        <v/>
      </c>
      <c r="CS90" s="616"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8" t="str">
        <f>IF('School Profile'!$D$20="NO","",IF('Marks Entry'!AR90="","",'Marks Entry'!AR90))</f>
        <v/>
      </c>
      <c r="CU90" s="68" t="str">
        <f>IF('School Profile'!$D$20="NO","",IF('Marks Entry'!AS90="","",'Marks Entry'!AS90))</f>
        <v/>
      </c>
      <c r="CV90" s="68" t="str">
        <f>IF('School Profile'!$D$20="NO","",IF('Marks Entry'!AT90="","",'Marks Entry'!AT90))</f>
        <v/>
      </c>
      <c r="CW90" s="514" t="str">
        <f>IF('School Profile'!$D$20="NO","",IF(AND(CT90="",CU90="",CV90=""),"",SUM(CT90:CV90)))</f>
        <v/>
      </c>
      <c r="CX90" s="68" t="str">
        <f>IF('School Profile'!$D$20="NO","",IF('Marks Entry'!AU90="","",'Marks Entry'!AU90))</f>
        <v/>
      </c>
      <c r="CY90" s="68" t="str">
        <f>IF('School Profile'!$D$20="NO","",IF('Marks Entry'!AV90="","",'Marks Entry'!AV90))</f>
        <v/>
      </c>
      <c r="CZ90" s="515" t="str">
        <f>IF('School Profile'!$D$20="NO","",IF(AND(CX90="",CY90=""),"",SUM(CX90,CY90)))</f>
        <v/>
      </c>
      <c r="DA90" s="69" t="str">
        <f>IF('School Profile'!$D$20="NO","",IF(AND(CW90="",CZ90=""),"",SUM(CW90+CZ90)))</f>
        <v/>
      </c>
      <c r="DB90" s="68" t="str">
        <f>IF('School Profile'!$D$20="NO","",IF('Marks Entry'!AW90="","",'Marks Entry'!AW90))</f>
        <v/>
      </c>
      <c r="DC90" s="68" t="str">
        <f>IF('School Profile'!$D$20="NO","",IF('Marks Entry'!AX90="","",'Marks Entry'!AX90))</f>
        <v/>
      </c>
      <c r="DD90" s="515" t="str">
        <f>IF('School Profile'!$D$20="NO","",IF(AND(DB90="",DC90=""),"",SUM(DB90,DC90)))</f>
        <v/>
      </c>
      <c r="DE90" s="96" t="str">
        <f>IF('School Profile'!$D$20="NO","",IF(AND(DA90="",DD90=""),"",SUM(DA90,DD90)))</f>
        <v/>
      </c>
      <c r="DF90" s="532">
        <f t="shared" si="219"/>
        <v>0</v>
      </c>
      <c r="DG90" s="65">
        <f t="shared" si="220"/>
        <v>0</v>
      </c>
      <c r="DH90" s="66" t="str">
        <f t="shared" si="221"/>
        <v/>
      </c>
      <c r="DI90" s="65" t="str">
        <f t="shared" si="222"/>
        <v/>
      </c>
      <c r="DJ90" s="65" t="str">
        <f t="shared" si="223"/>
        <v/>
      </c>
      <c r="DK90" s="65" t="str">
        <f t="shared" si="224"/>
        <v/>
      </c>
      <c r="DL90" s="97" t="str">
        <f t="shared" si="264"/>
        <v/>
      </c>
      <c r="DM90" s="97" t="str">
        <f t="shared" si="265"/>
        <v/>
      </c>
      <c r="DN90" s="97" t="str">
        <f t="shared" si="266"/>
        <v/>
      </c>
      <c r="DO90" s="97" t="str">
        <f t="shared" si="267"/>
        <v/>
      </c>
      <c r="DP90" s="97" t="str">
        <f t="shared" si="268"/>
        <v/>
      </c>
      <c r="DQ90" s="97" t="str">
        <f t="shared" si="269"/>
        <v/>
      </c>
      <c r="DR90" s="97" t="str">
        <f t="shared" si="270"/>
        <v/>
      </c>
      <c r="DS90" s="98">
        <f t="shared" si="271"/>
        <v>0</v>
      </c>
      <c r="DT90" s="98">
        <f t="shared" si="272"/>
        <v>0</v>
      </c>
      <c r="DU90" s="98">
        <f t="shared" si="273"/>
        <v>0</v>
      </c>
      <c r="DV90" s="98">
        <f t="shared" si="274"/>
        <v>0</v>
      </c>
      <c r="DW90" s="98">
        <f t="shared" si="275"/>
        <v>0</v>
      </c>
      <c r="DX90" s="98" t="str">
        <f t="shared" si="276"/>
        <v/>
      </c>
      <c r="DY90" s="99" t="str">
        <f t="shared" si="277"/>
        <v/>
      </c>
      <c r="DZ90" s="74" t="str">
        <f>IF('Marks Entry'!AY90="","",'Marks Entry'!AY90)</f>
        <v/>
      </c>
      <c r="EA90" s="74" t="str">
        <f>IF('Marks Entry'!AZ90="","",'Marks Entry'!AZ90)</f>
        <v/>
      </c>
      <c r="EB90" s="74" t="str">
        <f>IF('Marks Entry'!BA90="","",'Marks Entry'!BA90)</f>
        <v/>
      </c>
      <c r="EC90" s="527" t="str">
        <f t="shared" si="225"/>
        <v/>
      </c>
      <c r="ED90" s="74" t="str">
        <f>IF('Marks Entry'!BB90="","",'Marks Entry'!BB90)</f>
        <v/>
      </c>
      <c r="EE90" s="528" t="str">
        <f t="shared" si="226"/>
        <v/>
      </c>
      <c r="EF90" s="74" t="str">
        <f>IF('Marks Entry'!BC90="","",'Marks Entry'!BC90)</f>
        <v/>
      </c>
      <c r="EG90" s="530" t="str">
        <f t="shared" si="227"/>
        <v/>
      </c>
      <c r="EH90" s="368" t="str">
        <f t="shared" si="278"/>
        <v/>
      </c>
      <c r="EI90" s="65">
        <f t="shared" si="279"/>
        <v>0</v>
      </c>
      <c r="EJ90" s="65">
        <f t="shared" si="280"/>
        <v>0</v>
      </c>
      <c r="EK90" s="66" t="str">
        <f t="shared" si="281"/>
        <v/>
      </c>
      <c r="EL90" s="74" t="str">
        <f>IF('Marks Entry'!BD90="","",'Marks Entry'!BD90)</f>
        <v/>
      </c>
      <c r="EM90" s="74" t="str">
        <f>IF('Marks Entry'!BE90="","",'Marks Entry'!BE90)</f>
        <v/>
      </c>
      <c r="EN90" s="74" t="str">
        <f>IF('Marks Entry'!BF90="","",'Marks Entry'!BF90)</f>
        <v/>
      </c>
      <c r="EO90" s="527" t="str">
        <f t="shared" si="228"/>
        <v/>
      </c>
      <c r="EP90" s="74" t="str">
        <f>IF('Marks Entry'!BG90="","",'Marks Entry'!BG90)</f>
        <v/>
      </c>
      <c r="EQ90" s="74" t="str">
        <f>IF('Marks Entry'!BH90="","",'Marks Entry'!BH90)</f>
        <v/>
      </c>
      <c r="ER90" s="528" t="str">
        <f t="shared" si="229"/>
        <v/>
      </c>
      <c r="ES90" s="529" t="str">
        <f t="shared" si="230"/>
        <v/>
      </c>
      <c r="ET90" s="74" t="str">
        <f>IF('Marks Entry'!BI90="","",'Marks Entry'!BI90)</f>
        <v/>
      </c>
      <c r="EU90" s="74" t="str">
        <f>IF('Marks Entry'!BJ90="","",'Marks Entry'!BJ90)</f>
        <v/>
      </c>
      <c r="EV90" s="528" t="str">
        <f t="shared" si="231"/>
        <v/>
      </c>
      <c r="EW90" s="530" t="str">
        <f t="shared" si="232"/>
        <v/>
      </c>
      <c r="EX90" s="368" t="str">
        <f t="shared" si="282"/>
        <v/>
      </c>
      <c r="EY90" s="65">
        <f t="shared" si="283"/>
        <v>0</v>
      </c>
      <c r="EZ90" s="65">
        <f t="shared" si="284"/>
        <v>0</v>
      </c>
      <c r="FA90" s="66" t="str">
        <f t="shared" si="285"/>
        <v/>
      </c>
      <c r="FB90" s="74" t="str">
        <f>IF('Marks Entry'!BK90="","",'Marks Entry'!BK90)</f>
        <v/>
      </c>
      <c r="FC90" s="74" t="str">
        <f>IF('Marks Entry'!BL90="","",'Marks Entry'!BL90)</f>
        <v/>
      </c>
      <c r="FD90" s="74" t="str">
        <f>IF('Marks Entry'!BM90="","",'Marks Entry'!BM90)</f>
        <v/>
      </c>
      <c r="FE90" s="74" t="str">
        <f>IF('Marks Entry'!BN90="","",'Marks Entry'!BN90)</f>
        <v/>
      </c>
      <c r="FF90" s="74" t="str">
        <f>IF('Marks Entry'!BO90="","",'Marks Entry'!BO90)</f>
        <v/>
      </c>
      <c r="FG90" s="74" t="str">
        <f>IF('Marks Entry'!BP90="","",'Marks Entry'!BP90)</f>
        <v/>
      </c>
      <c r="FH90" s="527" t="str">
        <f t="shared" si="233"/>
        <v/>
      </c>
      <c r="FI90" s="74" t="str">
        <f>IF('Marks Entry'!BQ90="","",'Marks Entry'!BQ90)</f>
        <v/>
      </c>
      <c r="FJ90" s="74" t="str">
        <f>IF('Marks Entry'!BR90="","",'Marks Entry'!BR90)</f>
        <v/>
      </c>
      <c r="FK90" s="528" t="str">
        <f t="shared" si="234"/>
        <v/>
      </c>
      <c r="FL90" s="529" t="str">
        <f t="shared" si="235"/>
        <v/>
      </c>
      <c r="FM90" s="74" t="str">
        <f>IF('Marks Entry'!BS90="","",'Marks Entry'!BS90)</f>
        <v/>
      </c>
      <c r="FN90" s="74" t="str">
        <f>IF('Marks Entry'!BT90="","",'Marks Entry'!BT90)</f>
        <v/>
      </c>
      <c r="FO90" s="528" t="str">
        <f t="shared" si="236"/>
        <v/>
      </c>
      <c r="FP90" s="530" t="str">
        <f t="shared" si="237"/>
        <v/>
      </c>
      <c r="FQ90" s="368" t="str">
        <f t="shared" si="286"/>
        <v/>
      </c>
      <c r="FR90" s="65">
        <f t="shared" si="287"/>
        <v>0</v>
      </c>
      <c r="FS90" s="65">
        <f t="shared" si="288"/>
        <v>0</v>
      </c>
      <c r="FT90" s="66" t="str">
        <f t="shared" si="289"/>
        <v/>
      </c>
      <c r="FU90" s="74" t="str">
        <f>IF('Marks Entry'!BU90="","",'Marks Entry'!BU90)</f>
        <v/>
      </c>
      <c r="FV90" s="74" t="str">
        <f>IF('Marks Entry'!BV90="","",'Marks Entry'!BV90)</f>
        <v/>
      </c>
      <c r="FW90" s="74" t="str">
        <f>IF('Marks Entry'!BW90="","",'Marks Entry'!BW90)</f>
        <v/>
      </c>
      <c r="FX90" s="75" t="str">
        <f t="shared" si="238"/>
        <v/>
      </c>
      <c r="FY90" s="368" t="str">
        <f t="shared" si="290"/>
        <v/>
      </c>
      <c r="FZ90" s="65">
        <f t="shared" si="291"/>
        <v>0</v>
      </c>
      <c r="GA90" s="66">
        <f t="shared" si="292"/>
        <v>0</v>
      </c>
      <c r="GB90" s="66" t="str">
        <f t="shared" si="293"/>
        <v/>
      </c>
      <c r="GC90" s="74" t="str">
        <f>IF('Marks Entry'!BX90="","",'Marks Entry'!BX90)</f>
        <v/>
      </c>
      <c r="GD90" s="74" t="str">
        <f>IF('Marks Entry'!BY90="","",'Marks Entry'!BY90)</f>
        <v/>
      </c>
      <c r="GE90" s="74" t="str">
        <f>IF('Marks Entry'!BZ90="","",'Marks Entry'!BZ90)</f>
        <v/>
      </c>
      <c r="GF90" s="75" t="str">
        <f t="shared" si="294"/>
        <v/>
      </c>
      <c r="GG90" s="368" t="str">
        <f t="shared" si="295"/>
        <v/>
      </c>
      <c r="GH90" s="65">
        <f t="shared" si="296"/>
        <v>0</v>
      </c>
      <c r="GI90" s="66">
        <f t="shared" si="297"/>
        <v>0</v>
      </c>
      <c r="GJ90" s="66" t="str">
        <f t="shared" si="298"/>
        <v/>
      </c>
      <c r="GK90" s="100" t="str">
        <f>IF(AND(F90="",B90=""),"",IF('Student DATA Entry'!M87="","",'Student DATA Entry'!M87))</f>
        <v/>
      </c>
      <c r="GL90" s="101" t="str">
        <f>IF(AND(B90="",F90=""),"",IF('Student DATA Entry'!N87="","",'Student DATA Entry'!N87))</f>
        <v/>
      </c>
      <c r="GM90" s="581" t="str">
        <f t="shared" si="299"/>
        <v/>
      </c>
      <c r="GN90" s="94" t="str">
        <f t="shared" si="300"/>
        <v/>
      </c>
      <c r="GO90" s="94" t="str">
        <f t="shared" si="301"/>
        <v/>
      </c>
      <c r="GP90" s="102" t="str">
        <f t="shared" si="239"/>
        <v/>
      </c>
      <c r="GQ90" s="94" t="str">
        <f t="shared" si="302"/>
        <v/>
      </c>
      <c r="GR90" s="103" t="str">
        <f t="shared" si="303"/>
        <v/>
      </c>
      <c r="GS90" s="102" t="str">
        <f t="shared" si="240"/>
        <v/>
      </c>
      <c r="GT90" s="104" t="str">
        <f t="shared" si="304"/>
        <v/>
      </c>
      <c r="GU90" s="94" t="str">
        <f>IF('Marks Entry'!V90=1,GT90,"")</f>
        <v/>
      </c>
      <c r="GV90" s="94" t="str">
        <f>IF('Marks Entry'!V90=2,GT90,"")</f>
        <v/>
      </c>
      <c r="GW90" s="94" t="str">
        <f>IF('Marks Entry'!V90=3,GT90,"")</f>
        <v/>
      </c>
      <c r="GX90" s="94" t="str">
        <f>IF('Marks Entry'!V90=4,GT90,"")</f>
        <v/>
      </c>
      <c r="GY90" s="94" t="str">
        <f>IF('Marks Entry'!V90=5,GT90,"")</f>
        <v/>
      </c>
      <c r="GZ90" s="94" t="str">
        <f t="shared" si="305"/>
        <v/>
      </c>
      <c r="HA90" s="105" t="str">
        <f t="shared" si="241"/>
        <v/>
      </c>
      <c r="HB90" s="94" t="str">
        <f t="shared" si="306"/>
        <v/>
      </c>
      <c r="HC90" s="94" t="str">
        <f t="shared" si="307"/>
        <v/>
      </c>
      <c r="HD90" s="105" t="str">
        <f t="shared" si="242"/>
        <v/>
      </c>
      <c r="HE90" s="94" t="str">
        <f t="shared" si="308"/>
        <v/>
      </c>
      <c r="HF90" s="94" t="str">
        <f t="shared" si="309"/>
        <v/>
      </c>
      <c r="HG90" s="105" t="str">
        <f t="shared" si="243"/>
        <v/>
      </c>
      <c r="HH90" s="94" t="str">
        <f t="shared" si="310"/>
        <v/>
      </c>
      <c r="HI90" s="94" t="str">
        <f t="shared" si="311"/>
        <v/>
      </c>
      <c r="HJ90" s="105" t="str">
        <f t="shared" si="244"/>
        <v/>
      </c>
      <c r="HK90" s="94" t="str">
        <f t="shared" si="312"/>
        <v/>
      </c>
      <c r="HL90" s="94" t="str">
        <f t="shared" si="313"/>
        <v/>
      </c>
      <c r="HM90" s="105" t="str">
        <f t="shared" si="245"/>
        <v/>
      </c>
      <c r="HN90" s="367" t="str">
        <f t="shared" si="314"/>
        <v xml:space="preserve">      </v>
      </c>
      <c r="HO90" s="418" t="str">
        <f t="shared" si="246"/>
        <v xml:space="preserve">      </v>
      </c>
      <c r="HP90" s="367" t="str">
        <f t="shared" si="315"/>
        <v xml:space="preserve">      </v>
      </c>
      <c r="HQ90" s="107" t="str">
        <f t="shared" si="316"/>
        <v xml:space="preserve">      </v>
      </c>
      <c r="HR90" s="366" t="str">
        <f t="shared" si="317"/>
        <v xml:space="preserve">      </v>
      </c>
      <c r="HS90" s="544" t="str">
        <f t="shared" si="247"/>
        <v/>
      </c>
      <c r="HT90" s="542" t="str">
        <f t="shared" si="318"/>
        <v/>
      </c>
      <c r="HU90" s="541" t="str">
        <f t="shared" si="319"/>
        <v/>
      </c>
      <c r="HV90" s="540" t="str">
        <f t="shared" si="320"/>
        <v/>
      </c>
      <c r="HW90" s="537" t="str">
        <f t="shared" si="321"/>
        <v/>
      </c>
      <c r="HX90" s="539" t="str">
        <f t="shared" si="322"/>
        <v/>
      </c>
      <c r="HY90" s="553" t="str">
        <f>IFERROR(IF(OR(HS90="SUPPLEMENTARY",HS90="RE-EXAM"),'Supp. Result Entry'!AQ88,""),"")</f>
        <v/>
      </c>
      <c r="HZ90" s="538" t="str">
        <f t="shared" si="323"/>
        <v/>
      </c>
      <c r="IA90" s="415" t="str">
        <f t="shared" si="324"/>
        <v/>
      </c>
      <c r="IB90" s="415" t="str">
        <f>IF(AND(HZ90="",IA90=""),"",IF(OR(HS90="SUPPLEMENTARY",HS90="RE-EXAM"),'Supp. Result Entry'!AQ88,HS90))</f>
        <v/>
      </c>
      <c r="IC90" s="87"/>
      <c r="IS90" s="109" t="str">
        <f>IF('Supp. Result Entry'!T88="","",'Supp. Result Entry'!$T$4)</f>
        <v/>
      </c>
      <c r="IT90" s="110" t="str">
        <f>IF('Supp. Result Entry'!W88="","",'Supp. Result Entry'!$W$4)</f>
        <v/>
      </c>
      <c r="IU90" s="110" t="str">
        <f>IF('Supp. Result Entry'!Z88="","",'Supp. Result Entry'!$Z$4)</f>
        <v/>
      </c>
      <c r="IV90" s="110" t="str">
        <f>IF('Supp. Result Entry'!AC88="","",'Supp. Result Entry'!$AC$4)</f>
        <v/>
      </c>
      <c r="IW90" s="110" t="str">
        <f>IF('Supp. Result Entry'!AF88="","",'Supp. Result Entry'!$AF$4)</f>
        <v/>
      </c>
      <c r="IX90" s="110" t="str">
        <f>IF('Supp. Result Entry'!AI88="","",'Supp. Result Entry'!$AI$4)</f>
        <v/>
      </c>
      <c r="IY90" s="110" t="str">
        <f>IF('Supp. Result Entry'!AI88="","",'Supp. Result Entry'!$AL$4)</f>
        <v/>
      </c>
      <c r="IZ90" s="110" t="str">
        <f>IF('Supp. Result Entry'!U88="","",'Supp. Result Entry'!U88)</f>
        <v/>
      </c>
      <c r="JA90" s="110" t="str">
        <f>IF('Supp. Result Entry'!X88="","",'Supp. Result Entry'!X88)</f>
        <v/>
      </c>
      <c r="JB90" s="110" t="str">
        <f>IF('Supp. Result Entry'!AA88="","",'Supp. Result Entry'!AA88)</f>
        <v/>
      </c>
      <c r="JC90" s="110" t="str">
        <f>IF('Supp. Result Entry'!AD88="","",'Supp. Result Entry'!AD88)</f>
        <v/>
      </c>
      <c r="JD90" s="110" t="str">
        <f>IF('Supp. Result Entry'!AG88="","",'Supp. Result Entry'!AG88)</f>
        <v/>
      </c>
      <c r="JE90" s="110" t="str">
        <f>IF('Supp. Result Entry'!AJ88="","",'Supp. Result Entry'!AJ88)</f>
        <v/>
      </c>
      <c r="JF90" s="110" t="str">
        <f>IF('Supp. Result Entry'!AM88="","",'Supp. Result Entry'!AM88)</f>
        <v/>
      </c>
      <c r="JG90" s="110" t="str">
        <f>IF('Supp. Result Entry'!V88="","",'Supp. Result Entry'!V88)</f>
        <v/>
      </c>
      <c r="JH90" s="110" t="str">
        <f>IF('Supp. Result Entry'!Y88="","",'Supp. Result Entry'!Y88)</f>
        <v/>
      </c>
      <c r="JI90" s="110" t="str">
        <f>IF('Supp. Result Entry'!AB88="","",'Supp. Result Entry'!AB88)</f>
        <v/>
      </c>
      <c r="JJ90" s="110" t="str">
        <f>IF('Supp. Result Entry'!AE88="","",'Supp. Result Entry'!AE88)</f>
        <v/>
      </c>
      <c r="JK90" s="110" t="str">
        <f>IF('Supp. Result Entry'!AH88="","",'Supp. Result Entry'!AH88)</f>
        <v/>
      </c>
      <c r="JL90" s="110" t="str">
        <f>IF('Supp. Result Entry'!AK88="","",'Supp. Result Entry'!AK88)</f>
        <v/>
      </c>
      <c r="JM90" s="110" t="str">
        <f>IF('Supp. Result Entry'!AN88="","",'Supp. Result Entry'!AN88)</f>
        <v/>
      </c>
      <c r="JN90" s="110">
        <f>COUNTIF('Supp. Result Entry'!K88:Q88,"S")</f>
        <v>0</v>
      </c>
      <c r="JO90" s="110">
        <f t="shared" si="248"/>
        <v>0</v>
      </c>
      <c r="JP90" s="110">
        <f t="shared" si="325"/>
        <v>0</v>
      </c>
      <c r="JQ90" s="110" t="str">
        <f t="shared" si="249"/>
        <v/>
      </c>
      <c r="JR90" s="110" t="str">
        <f t="shared" si="250"/>
        <v/>
      </c>
      <c r="JS90" s="110" t="str">
        <f t="shared" si="251"/>
        <v/>
      </c>
      <c r="JT90" s="110" t="str">
        <f t="shared" si="252"/>
        <v/>
      </c>
      <c r="JU90" s="110" t="str">
        <f t="shared" si="253"/>
        <v/>
      </c>
      <c r="JV90" s="110" t="str">
        <f t="shared" si="254"/>
        <v/>
      </c>
      <c r="JW90" s="110" t="str">
        <f t="shared" si="255"/>
        <v/>
      </c>
      <c r="JX90" s="110" t="str">
        <f t="shared" si="326"/>
        <v/>
      </c>
      <c r="JY90" s="110" t="str">
        <f t="shared" si="327"/>
        <v/>
      </c>
      <c r="JZ90" s="110" t="str">
        <f t="shared" si="256"/>
        <v/>
      </c>
      <c r="KA90" s="108" t="str">
        <f t="shared" si="328"/>
        <v/>
      </c>
    </row>
    <row r="91" spans="1:287" s="108" customFormat="1" ht="21.95" customHeight="1">
      <c r="A91" s="89">
        <v>85</v>
      </c>
      <c r="B91" s="90" t="str">
        <f>IF('Marks Entry'!B91="","",'Marks Entry'!B91)</f>
        <v/>
      </c>
      <c r="C91" s="94" t="str">
        <f>IF('Marks Entry'!D91="","",'Marks Entry'!D91)</f>
        <v/>
      </c>
      <c r="D91" s="91" t="str">
        <f>IF('Marks Entry'!E91="","",'Marks Entry'!E91)</f>
        <v/>
      </c>
      <c r="E91" s="92" t="str">
        <f>IF('Marks Entry'!F91="","",'Marks Entry'!F91)</f>
        <v/>
      </c>
      <c r="F91" s="93" t="str">
        <f>IF('Marks Entry'!G91="","",'Marks Entry'!G91)</f>
        <v/>
      </c>
      <c r="G91" s="93" t="str">
        <f>IF('Marks Entry'!H91="","",'Marks Entry'!H91)</f>
        <v/>
      </c>
      <c r="H91" s="93" t="str">
        <f>IF('Marks Entry'!I91="","",'Marks Entry'!I91)</f>
        <v/>
      </c>
      <c r="I91" s="94" t="str">
        <f>IF('Marks Entry'!J91="","",'Marks Entry'!J91)</f>
        <v/>
      </c>
      <c r="J91" s="95" t="str">
        <f>IF('Marks Entry'!K91="","",'Marks Entry'!K91)</f>
        <v/>
      </c>
      <c r="K91" s="68" t="str">
        <f>IF('Marks Entry'!L91="","",'Marks Entry'!L91)</f>
        <v/>
      </c>
      <c r="L91" s="68" t="str">
        <f>IF('Marks Entry'!M91="","",'Marks Entry'!M91)</f>
        <v/>
      </c>
      <c r="M91" s="68" t="str">
        <f>IF('Marks Entry'!N91="","",'Marks Entry'!N91)</f>
        <v/>
      </c>
      <c r="N91" s="514" t="str">
        <f t="shared" si="257"/>
        <v/>
      </c>
      <c r="O91" s="68" t="str">
        <f>IF('Marks Entry'!O91="","",'Marks Entry'!O91)</f>
        <v/>
      </c>
      <c r="P91" s="515" t="str">
        <f t="shared" si="258"/>
        <v/>
      </c>
      <c r="Q91" s="68" t="str">
        <f>IF('Marks Entry'!P91="","",'Marks Entry'!P91)</f>
        <v/>
      </c>
      <c r="R91" s="96" t="str">
        <f t="shared" si="259"/>
        <v/>
      </c>
      <c r="S91" s="65">
        <f t="shared" si="260"/>
        <v>0</v>
      </c>
      <c r="T91" s="65">
        <f t="shared" si="261"/>
        <v>0</v>
      </c>
      <c r="U91" s="66" t="str">
        <f t="shared" si="171"/>
        <v/>
      </c>
      <c r="V91" s="65" t="str">
        <f t="shared" si="172"/>
        <v/>
      </c>
      <c r="W91" s="65" t="str">
        <f t="shared" si="262"/>
        <v/>
      </c>
      <c r="X91" s="65" t="str">
        <f t="shared" si="173"/>
        <v/>
      </c>
      <c r="Y91" s="68" t="str">
        <f>IF('Marks Entry'!Q91="","",'Marks Entry'!Q91)</f>
        <v/>
      </c>
      <c r="Z91" s="68" t="str">
        <f>IF('Marks Entry'!R91="","",'Marks Entry'!R91)</f>
        <v/>
      </c>
      <c r="AA91" s="68" t="str">
        <f>IF('Marks Entry'!S91="","",'Marks Entry'!S91)</f>
        <v/>
      </c>
      <c r="AB91" s="514" t="str">
        <f t="shared" si="174"/>
        <v/>
      </c>
      <c r="AC91" s="68" t="str">
        <f>IF('Marks Entry'!T91="","",'Marks Entry'!T91)</f>
        <v/>
      </c>
      <c r="AD91" s="515" t="str">
        <f t="shared" si="175"/>
        <v/>
      </c>
      <c r="AE91" s="68" t="str">
        <f>IF('Marks Entry'!U91="","",'Marks Entry'!U91)</f>
        <v/>
      </c>
      <c r="AF91" s="96" t="str">
        <f t="shared" si="176"/>
        <v/>
      </c>
      <c r="AG91" s="65">
        <f t="shared" si="177"/>
        <v>0</v>
      </c>
      <c r="AH91" s="65">
        <f t="shared" si="178"/>
        <v>0</v>
      </c>
      <c r="AI91" s="66" t="str">
        <f t="shared" si="179"/>
        <v/>
      </c>
      <c r="AJ91" s="65" t="str">
        <f t="shared" si="180"/>
        <v/>
      </c>
      <c r="AK91" s="65" t="str">
        <f t="shared" si="181"/>
        <v/>
      </c>
      <c r="AL91" s="65" t="str">
        <f t="shared" si="182"/>
        <v/>
      </c>
      <c r="AM91" s="524" t="str">
        <f>IF('Marks Entry'!V91="","",IF('Marks Entry'!V91=1,'School Profile'!$I$9,IF('Marks Entry'!V91=2,'School Profile'!$I$10,IF('Marks Entry'!V91=3,'School Profile'!$I$11,IF('Marks Entry'!V91=4,'School Profile'!$I$12,IF('Marks Entry'!V91=5,'School Profile'!$I$13,IF('Marks Entry'!V91=6,'School Profile'!$I$14,"")))))))</f>
        <v/>
      </c>
      <c r="AN91" s="68" t="str">
        <f>IF('Marks Entry'!W91="","",'Marks Entry'!W91)</f>
        <v/>
      </c>
      <c r="AO91" s="68" t="str">
        <f>IF('Marks Entry'!X91="","",'Marks Entry'!X91)</f>
        <v/>
      </c>
      <c r="AP91" s="68" t="str">
        <f>IF('Marks Entry'!Y91="","",'Marks Entry'!Y91)</f>
        <v/>
      </c>
      <c r="AQ91" s="514" t="str">
        <f t="shared" si="183"/>
        <v/>
      </c>
      <c r="AR91" s="68" t="str">
        <f>IF('Marks Entry'!Z91="","",'Marks Entry'!Z91)</f>
        <v/>
      </c>
      <c r="AS91" s="515" t="str">
        <f t="shared" si="184"/>
        <v/>
      </c>
      <c r="AT91" s="68" t="str">
        <f>IF('Marks Entry'!AA91="","",'Marks Entry'!AA91)</f>
        <v/>
      </c>
      <c r="AU91" s="96" t="str">
        <f t="shared" si="185"/>
        <v/>
      </c>
      <c r="AV91" s="65">
        <f t="shared" si="186"/>
        <v>0</v>
      </c>
      <c r="AW91" s="65">
        <f t="shared" si="187"/>
        <v>0</v>
      </c>
      <c r="AX91" s="66" t="str">
        <f t="shared" si="188"/>
        <v/>
      </c>
      <c r="AY91" s="65" t="str">
        <f t="shared" si="189"/>
        <v/>
      </c>
      <c r="AZ91" s="65" t="str">
        <f t="shared" si="190"/>
        <v/>
      </c>
      <c r="BA91" s="65" t="str">
        <f t="shared" si="191"/>
        <v/>
      </c>
      <c r="BB91" s="68" t="str">
        <f>IF('Marks Entry'!AB91="","",'Marks Entry'!AB91)</f>
        <v/>
      </c>
      <c r="BC91" s="68" t="str">
        <f>IF('Marks Entry'!AC91="","",'Marks Entry'!AC91)</f>
        <v/>
      </c>
      <c r="BD91" s="68" t="str">
        <f>IF('Marks Entry'!AD91="","",'Marks Entry'!AD91)</f>
        <v/>
      </c>
      <c r="BE91" s="514" t="str">
        <f t="shared" si="192"/>
        <v/>
      </c>
      <c r="BF91" s="68" t="str">
        <f>IF('Marks Entry'!AE91="","",'Marks Entry'!AE91)</f>
        <v/>
      </c>
      <c r="BG91" s="515" t="str">
        <f t="shared" si="193"/>
        <v/>
      </c>
      <c r="BH91" s="68" t="str">
        <f>IF('Marks Entry'!AF91="","",'Marks Entry'!AF91)</f>
        <v/>
      </c>
      <c r="BI91" s="96" t="str">
        <f t="shared" si="194"/>
        <v/>
      </c>
      <c r="BJ91" s="65">
        <f t="shared" si="195"/>
        <v>0</v>
      </c>
      <c r="BK91" s="65">
        <f t="shared" si="263"/>
        <v>0</v>
      </c>
      <c r="BL91" s="66" t="str">
        <f t="shared" si="196"/>
        <v/>
      </c>
      <c r="BM91" s="65" t="str">
        <f t="shared" si="197"/>
        <v/>
      </c>
      <c r="BN91" s="65" t="str">
        <f t="shared" si="198"/>
        <v/>
      </c>
      <c r="BO91" s="65" t="str">
        <f t="shared" si="199"/>
        <v/>
      </c>
      <c r="BP91" s="68" t="str">
        <f>IF('Marks Entry'!AG91="","",'Marks Entry'!AG91)</f>
        <v/>
      </c>
      <c r="BQ91" s="68" t="str">
        <f>IF('Marks Entry'!AH91="","",'Marks Entry'!AH91)</f>
        <v/>
      </c>
      <c r="BR91" s="68" t="str">
        <f>IF('Marks Entry'!AI91="","",'Marks Entry'!AI91)</f>
        <v/>
      </c>
      <c r="BS91" s="514" t="str">
        <f t="shared" si="200"/>
        <v/>
      </c>
      <c r="BT91" s="68" t="str">
        <f>IF('Marks Entry'!AJ91="","",'Marks Entry'!AJ91)</f>
        <v/>
      </c>
      <c r="BU91" s="515" t="str">
        <f t="shared" si="201"/>
        <v/>
      </c>
      <c r="BV91" s="68" t="str">
        <f>IF('Marks Entry'!AK91="","",'Marks Entry'!AK91)</f>
        <v/>
      </c>
      <c r="BW91" s="96" t="str">
        <f t="shared" si="202"/>
        <v/>
      </c>
      <c r="BX91" s="65">
        <f t="shared" si="203"/>
        <v>0</v>
      </c>
      <c r="BY91" s="65">
        <f t="shared" si="204"/>
        <v>0</v>
      </c>
      <c r="BZ91" s="66" t="str">
        <f t="shared" si="205"/>
        <v/>
      </c>
      <c r="CA91" s="65" t="str">
        <f t="shared" si="206"/>
        <v/>
      </c>
      <c r="CB91" s="65" t="str">
        <f t="shared" si="207"/>
        <v/>
      </c>
      <c r="CC91" s="65" t="str">
        <f t="shared" si="208"/>
        <v/>
      </c>
      <c r="CD91" s="66">
        <f t="shared" si="209"/>
        <v>0</v>
      </c>
      <c r="CE91" s="68" t="str">
        <f>IF('Marks Entry'!AL91="","",'Marks Entry'!AL91)</f>
        <v/>
      </c>
      <c r="CF91" s="68" t="str">
        <f>IF('Marks Entry'!AM91="","",'Marks Entry'!AM91)</f>
        <v/>
      </c>
      <c r="CG91" s="68" t="str">
        <f>IF('Marks Entry'!AN91="","",'Marks Entry'!AN91)</f>
        <v/>
      </c>
      <c r="CH91" s="514" t="str">
        <f t="shared" si="210"/>
        <v/>
      </c>
      <c r="CI91" s="68" t="str">
        <f>IF('Marks Entry'!AO91="","",'Marks Entry'!AO91)</f>
        <v/>
      </c>
      <c r="CJ91" s="515" t="str">
        <f t="shared" si="211"/>
        <v/>
      </c>
      <c r="CK91" s="68" t="str">
        <f>IF('Marks Entry'!AP91="","",'Marks Entry'!AP91)</f>
        <v/>
      </c>
      <c r="CL91" s="96" t="str">
        <f t="shared" si="212"/>
        <v/>
      </c>
      <c r="CM91" s="65">
        <f t="shared" si="213"/>
        <v>0</v>
      </c>
      <c r="CN91" s="65">
        <f t="shared" si="214"/>
        <v>0</v>
      </c>
      <c r="CO91" s="66" t="str">
        <f t="shared" si="215"/>
        <v/>
      </c>
      <c r="CP91" s="65" t="str">
        <f t="shared" si="216"/>
        <v/>
      </c>
      <c r="CQ91" s="65" t="str">
        <f t="shared" si="217"/>
        <v/>
      </c>
      <c r="CR91" s="65" t="str">
        <f t="shared" si="218"/>
        <v/>
      </c>
      <c r="CS91" s="616"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8" t="str">
        <f>IF('School Profile'!$D$20="NO","",IF('Marks Entry'!AR91="","",'Marks Entry'!AR91))</f>
        <v/>
      </c>
      <c r="CU91" s="68" t="str">
        <f>IF('School Profile'!$D$20="NO","",IF('Marks Entry'!AS91="","",'Marks Entry'!AS91))</f>
        <v/>
      </c>
      <c r="CV91" s="68" t="str">
        <f>IF('School Profile'!$D$20="NO","",IF('Marks Entry'!AT91="","",'Marks Entry'!AT91))</f>
        <v/>
      </c>
      <c r="CW91" s="514" t="str">
        <f>IF('School Profile'!$D$20="NO","",IF(AND(CT91="",CU91="",CV91=""),"",SUM(CT91:CV91)))</f>
        <v/>
      </c>
      <c r="CX91" s="68" t="str">
        <f>IF('School Profile'!$D$20="NO","",IF('Marks Entry'!AU91="","",'Marks Entry'!AU91))</f>
        <v/>
      </c>
      <c r="CY91" s="68" t="str">
        <f>IF('School Profile'!$D$20="NO","",IF('Marks Entry'!AV91="","",'Marks Entry'!AV91))</f>
        <v/>
      </c>
      <c r="CZ91" s="515" t="str">
        <f>IF('School Profile'!$D$20="NO","",IF(AND(CX91="",CY91=""),"",SUM(CX91,CY91)))</f>
        <v/>
      </c>
      <c r="DA91" s="69" t="str">
        <f>IF('School Profile'!$D$20="NO","",IF(AND(CW91="",CZ91=""),"",SUM(CW91+CZ91)))</f>
        <v/>
      </c>
      <c r="DB91" s="68" t="str">
        <f>IF('School Profile'!$D$20="NO","",IF('Marks Entry'!AW91="","",'Marks Entry'!AW91))</f>
        <v/>
      </c>
      <c r="DC91" s="68" t="str">
        <f>IF('School Profile'!$D$20="NO","",IF('Marks Entry'!AX91="","",'Marks Entry'!AX91))</f>
        <v/>
      </c>
      <c r="DD91" s="515" t="str">
        <f>IF('School Profile'!$D$20="NO","",IF(AND(DB91="",DC91=""),"",SUM(DB91,DC91)))</f>
        <v/>
      </c>
      <c r="DE91" s="96" t="str">
        <f>IF('School Profile'!$D$20="NO","",IF(AND(DA91="",DD91=""),"",SUM(DA91,DD91)))</f>
        <v/>
      </c>
      <c r="DF91" s="532">
        <f t="shared" si="219"/>
        <v>0</v>
      </c>
      <c r="DG91" s="65">
        <f t="shared" si="220"/>
        <v>0</v>
      </c>
      <c r="DH91" s="66" t="str">
        <f t="shared" si="221"/>
        <v/>
      </c>
      <c r="DI91" s="65" t="str">
        <f t="shared" si="222"/>
        <v/>
      </c>
      <c r="DJ91" s="65" t="str">
        <f t="shared" si="223"/>
        <v/>
      </c>
      <c r="DK91" s="65" t="str">
        <f t="shared" si="224"/>
        <v/>
      </c>
      <c r="DL91" s="97" t="str">
        <f t="shared" si="264"/>
        <v/>
      </c>
      <c r="DM91" s="97" t="str">
        <f t="shared" si="265"/>
        <v/>
      </c>
      <c r="DN91" s="97" t="str">
        <f t="shared" si="266"/>
        <v/>
      </c>
      <c r="DO91" s="97" t="str">
        <f t="shared" si="267"/>
        <v/>
      </c>
      <c r="DP91" s="97" t="str">
        <f t="shared" si="268"/>
        <v/>
      </c>
      <c r="DQ91" s="97" t="str">
        <f t="shared" si="269"/>
        <v/>
      </c>
      <c r="DR91" s="97" t="str">
        <f t="shared" si="270"/>
        <v/>
      </c>
      <c r="DS91" s="98">
        <f t="shared" si="271"/>
        <v>0</v>
      </c>
      <c r="DT91" s="98">
        <f t="shared" si="272"/>
        <v>0</v>
      </c>
      <c r="DU91" s="98">
        <f t="shared" si="273"/>
        <v>0</v>
      </c>
      <c r="DV91" s="98">
        <f t="shared" si="274"/>
        <v>0</v>
      </c>
      <c r="DW91" s="98">
        <f t="shared" si="275"/>
        <v>0</v>
      </c>
      <c r="DX91" s="98" t="str">
        <f t="shared" si="276"/>
        <v/>
      </c>
      <c r="DY91" s="99" t="str">
        <f t="shared" si="277"/>
        <v/>
      </c>
      <c r="DZ91" s="74" t="str">
        <f>IF('Marks Entry'!AY91="","",'Marks Entry'!AY91)</f>
        <v/>
      </c>
      <c r="EA91" s="74" t="str">
        <f>IF('Marks Entry'!AZ91="","",'Marks Entry'!AZ91)</f>
        <v/>
      </c>
      <c r="EB91" s="74" t="str">
        <f>IF('Marks Entry'!BA91="","",'Marks Entry'!BA91)</f>
        <v/>
      </c>
      <c r="EC91" s="527" t="str">
        <f t="shared" si="225"/>
        <v/>
      </c>
      <c r="ED91" s="74" t="str">
        <f>IF('Marks Entry'!BB91="","",'Marks Entry'!BB91)</f>
        <v/>
      </c>
      <c r="EE91" s="528" t="str">
        <f t="shared" si="226"/>
        <v/>
      </c>
      <c r="EF91" s="74" t="str">
        <f>IF('Marks Entry'!BC91="","",'Marks Entry'!BC91)</f>
        <v/>
      </c>
      <c r="EG91" s="530" t="str">
        <f t="shared" si="227"/>
        <v/>
      </c>
      <c r="EH91" s="368" t="str">
        <f t="shared" si="278"/>
        <v/>
      </c>
      <c r="EI91" s="65">
        <f t="shared" si="279"/>
        <v>0</v>
      </c>
      <c r="EJ91" s="65">
        <f t="shared" si="280"/>
        <v>0</v>
      </c>
      <c r="EK91" s="66" t="str">
        <f t="shared" si="281"/>
        <v/>
      </c>
      <c r="EL91" s="74" t="str">
        <f>IF('Marks Entry'!BD91="","",'Marks Entry'!BD91)</f>
        <v/>
      </c>
      <c r="EM91" s="74" t="str">
        <f>IF('Marks Entry'!BE91="","",'Marks Entry'!BE91)</f>
        <v/>
      </c>
      <c r="EN91" s="74" t="str">
        <f>IF('Marks Entry'!BF91="","",'Marks Entry'!BF91)</f>
        <v/>
      </c>
      <c r="EO91" s="527" t="str">
        <f t="shared" si="228"/>
        <v/>
      </c>
      <c r="EP91" s="74" t="str">
        <f>IF('Marks Entry'!BG91="","",'Marks Entry'!BG91)</f>
        <v/>
      </c>
      <c r="EQ91" s="74" t="str">
        <f>IF('Marks Entry'!BH91="","",'Marks Entry'!BH91)</f>
        <v/>
      </c>
      <c r="ER91" s="528" t="str">
        <f t="shared" si="229"/>
        <v/>
      </c>
      <c r="ES91" s="529" t="str">
        <f t="shared" si="230"/>
        <v/>
      </c>
      <c r="ET91" s="74" t="str">
        <f>IF('Marks Entry'!BI91="","",'Marks Entry'!BI91)</f>
        <v/>
      </c>
      <c r="EU91" s="74" t="str">
        <f>IF('Marks Entry'!BJ91="","",'Marks Entry'!BJ91)</f>
        <v/>
      </c>
      <c r="EV91" s="528" t="str">
        <f t="shared" si="231"/>
        <v/>
      </c>
      <c r="EW91" s="530" t="str">
        <f t="shared" si="232"/>
        <v/>
      </c>
      <c r="EX91" s="368" t="str">
        <f t="shared" si="282"/>
        <v/>
      </c>
      <c r="EY91" s="65">
        <f t="shared" si="283"/>
        <v>0</v>
      </c>
      <c r="EZ91" s="65">
        <f t="shared" si="284"/>
        <v>0</v>
      </c>
      <c r="FA91" s="66" t="str">
        <f t="shared" si="285"/>
        <v/>
      </c>
      <c r="FB91" s="74" t="str">
        <f>IF('Marks Entry'!BK91="","",'Marks Entry'!BK91)</f>
        <v/>
      </c>
      <c r="FC91" s="74" t="str">
        <f>IF('Marks Entry'!BL91="","",'Marks Entry'!BL91)</f>
        <v/>
      </c>
      <c r="FD91" s="74" t="str">
        <f>IF('Marks Entry'!BM91="","",'Marks Entry'!BM91)</f>
        <v/>
      </c>
      <c r="FE91" s="74" t="str">
        <f>IF('Marks Entry'!BN91="","",'Marks Entry'!BN91)</f>
        <v/>
      </c>
      <c r="FF91" s="74" t="str">
        <f>IF('Marks Entry'!BO91="","",'Marks Entry'!BO91)</f>
        <v/>
      </c>
      <c r="FG91" s="74" t="str">
        <f>IF('Marks Entry'!BP91="","",'Marks Entry'!BP91)</f>
        <v/>
      </c>
      <c r="FH91" s="527" t="str">
        <f t="shared" si="233"/>
        <v/>
      </c>
      <c r="FI91" s="74" t="str">
        <f>IF('Marks Entry'!BQ91="","",'Marks Entry'!BQ91)</f>
        <v/>
      </c>
      <c r="FJ91" s="74" t="str">
        <f>IF('Marks Entry'!BR91="","",'Marks Entry'!BR91)</f>
        <v/>
      </c>
      <c r="FK91" s="528" t="str">
        <f t="shared" si="234"/>
        <v/>
      </c>
      <c r="FL91" s="529" t="str">
        <f t="shared" si="235"/>
        <v/>
      </c>
      <c r="FM91" s="74" t="str">
        <f>IF('Marks Entry'!BS91="","",'Marks Entry'!BS91)</f>
        <v/>
      </c>
      <c r="FN91" s="74" t="str">
        <f>IF('Marks Entry'!BT91="","",'Marks Entry'!BT91)</f>
        <v/>
      </c>
      <c r="FO91" s="528" t="str">
        <f t="shared" si="236"/>
        <v/>
      </c>
      <c r="FP91" s="530" t="str">
        <f t="shared" si="237"/>
        <v/>
      </c>
      <c r="FQ91" s="368" t="str">
        <f t="shared" si="286"/>
        <v/>
      </c>
      <c r="FR91" s="65">
        <f t="shared" si="287"/>
        <v>0</v>
      </c>
      <c r="FS91" s="65">
        <f t="shared" si="288"/>
        <v>0</v>
      </c>
      <c r="FT91" s="66" t="str">
        <f t="shared" si="289"/>
        <v/>
      </c>
      <c r="FU91" s="74" t="str">
        <f>IF('Marks Entry'!BU91="","",'Marks Entry'!BU91)</f>
        <v/>
      </c>
      <c r="FV91" s="74" t="str">
        <f>IF('Marks Entry'!BV91="","",'Marks Entry'!BV91)</f>
        <v/>
      </c>
      <c r="FW91" s="74" t="str">
        <f>IF('Marks Entry'!BW91="","",'Marks Entry'!BW91)</f>
        <v/>
      </c>
      <c r="FX91" s="75" t="str">
        <f t="shared" si="238"/>
        <v/>
      </c>
      <c r="FY91" s="368" t="str">
        <f t="shared" si="290"/>
        <v/>
      </c>
      <c r="FZ91" s="65">
        <f t="shared" si="291"/>
        <v>0</v>
      </c>
      <c r="GA91" s="66">
        <f t="shared" si="292"/>
        <v>0</v>
      </c>
      <c r="GB91" s="66" t="str">
        <f t="shared" si="293"/>
        <v/>
      </c>
      <c r="GC91" s="74" t="str">
        <f>IF('Marks Entry'!BX91="","",'Marks Entry'!BX91)</f>
        <v/>
      </c>
      <c r="GD91" s="74" t="str">
        <f>IF('Marks Entry'!BY91="","",'Marks Entry'!BY91)</f>
        <v/>
      </c>
      <c r="GE91" s="74" t="str">
        <f>IF('Marks Entry'!BZ91="","",'Marks Entry'!BZ91)</f>
        <v/>
      </c>
      <c r="GF91" s="75" t="str">
        <f t="shared" si="294"/>
        <v/>
      </c>
      <c r="GG91" s="368" t="str">
        <f t="shared" si="295"/>
        <v/>
      </c>
      <c r="GH91" s="65">
        <f t="shared" si="296"/>
        <v>0</v>
      </c>
      <c r="GI91" s="66">
        <f t="shared" si="297"/>
        <v>0</v>
      </c>
      <c r="GJ91" s="66" t="str">
        <f t="shared" si="298"/>
        <v/>
      </c>
      <c r="GK91" s="100" t="str">
        <f>IF(AND(F91="",B91=""),"",IF('Student DATA Entry'!M88="","",'Student DATA Entry'!M88))</f>
        <v/>
      </c>
      <c r="GL91" s="101" t="str">
        <f>IF(AND(B91="",F91=""),"",IF('Student DATA Entry'!N88="","",'Student DATA Entry'!N88))</f>
        <v/>
      </c>
      <c r="GM91" s="581" t="str">
        <f t="shared" si="299"/>
        <v/>
      </c>
      <c r="GN91" s="94" t="str">
        <f t="shared" si="300"/>
        <v/>
      </c>
      <c r="GO91" s="94" t="str">
        <f t="shared" si="301"/>
        <v/>
      </c>
      <c r="GP91" s="102" t="str">
        <f t="shared" si="239"/>
        <v/>
      </c>
      <c r="GQ91" s="94" t="str">
        <f t="shared" si="302"/>
        <v/>
      </c>
      <c r="GR91" s="103" t="str">
        <f t="shared" si="303"/>
        <v/>
      </c>
      <c r="GS91" s="102" t="str">
        <f t="shared" si="240"/>
        <v/>
      </c>
      <c r="GT91" s="104" t="str">
        <f t="shared" si="304"/>
        <v/>
      </c>
      <c r="GU91" s="94" t="str">
        <f>IF('Marks Entry'!V91=1,GT91,"")</f>
        <v/>
      </c>
      <c r="GV91" s="94" t="str">
        <f>IF('Marks Entry'!V91=2,GT91,"")</f>
        <v/>
      </c>
      <c r="GW91" s="94" t="str">
        <f>IF('Marks Entry'!V91=3,GT91,"")</f>
        <v/>
      </c>
      <c r="GX91" s="94" t="str">
        <f>IF('Marks Entry'!V91=4,GT91,"")</f>
        <v/>
      </c>
      <c r="GY91" s="94" t="str">
        <f>IF('Marks Entry'!V91=5,GT91,"")</f>
        <v/>
      </c>
      <c r="GZ91" s="94" t="str">
        <f t="shared" si="305"/>
        <v/>
      </c>
      <c r="HA91" s="105" t="str">
        <f t="shared" si="241"/>
        <v/>
      </c>
      <c r="HB91" s="94" t="str">
        <f t="shared" si="306"/>
        <v/>
      </c>
      <c r="HC91" s="94" t="str">
        <f t="shared" si="307"/>
        <v/>
      </c>
      <c r="HD91" s="105" t="str">
        <f t="shared" si="242"/>
        <v/>
      </c>
      <c r="HE91" s="94" t="str">
        <f t="shared" si="308"/>
        <v/>
      </c>
      <c r="HF91" s="94" t="str">
        <f t="shared" si="309"/>
        <v/>
      </c>
      <c r="HG91" s="105" t="str">
        <f t="shared" si="243"/>
        <v/>
      </c>
      <c r="HH91" s="94" t="str">
        <f t="shared" si="310"/>
        <v/>
      </c>
      <c r="HI91" s="94" t="str">
        <f t="shared" si="311"/>
        <v/>
      </c>
      <c r="HJ91" s="105" t="str">
        <f t="shared" si="244"/>
        <v/>
      </c>
      <c r="HK91" s="94" t="str">
        <f t="shared" si="312"/>
        <v/>
      </c>
      <c r="HL91" s="94" t="str">
        <f t="shared" si="313"/>
        <v/>
      </c>
      <c r="HM91" s="105" t="str">
        <f t="shared" si="245"/>
        <v/>
      </c>
      <c r="HN91" s="367" t="str">
        <f t="shared" si="314"/>
        <v xml:space="preserve">      </v>
      </c>
      <c r="HO91" s="418" t="str">
        <f t="shared" si="246"/>
        <v xml:space="preserve">      </v>
      </c>
      <c r="HP91" s="367" t="str">
        <f t="shared" si="315"/>
        <v xml:space="preserve">      </v>
      </c>
      <c r="HQ91" s="107" t="str">
        <f t="shared" si="316"/>
        <v xml:space="preserve">      </v>
      </c>
      <c r="HR91" s="366" t="str">
        <f t="shared" si="317"/>
        <v xml:space="preserve">      </v>
      </c>
      <c r="HS91" s="544" t="str">
        <f t="shared" si="247"/>
        <v/>
      </c>
      <c r="HT91" s="542" t="str">
        <f t="shared" si="318"/>
        <v/>
      </c>
      <c r="HU91" s="541" t="str">
        <f t="shared" si="319"/>
        <v/>
      </c>
      <c r="HV91" s="540" t="str">
        <f t="shared" si="320"/>
        <v/>
      </c>
      <c r="HW91" s="537" t="str">
        <f t="shared" si="321"/>
        <v/>
      </c>
      <c r="HX91" s="539" t="str">
        <f t="shared" si="322"/>
        <v/>
      </c>
      <c r="HY91" s="553" t="str">
        <f>IFERROR(IF(OR(HS91="SUPPLEMENTARY",HS91="RE-EXAM"),'Supp. Result Entry'!AQ89,""),"")</f>
        <v/>
      </c>
      <c r="HZ91" s="538" t="str">
        <f t="shared" si="323"/>
        <v/>
      </c>
      <c r="IA91" s="415" t="str">
        <f t="shared" si="324"/>
        <v/>
      </c>
      <c r="IB91" s="415" t="str">
        <f>IF(AND(HZ91="",IA91=""),"",IF(OR(HS91="SUPPLEMENTARY",HS91="RE-EXAM"),'Supp. Result Entry'!AQ89,HS91))</f>
        <v/>
      </c>
      <c r="IC91" s="87"/>
      <c r="IS91" s="109" t="str">
        <f>IF('Supp. Result Entry'!T89="","",'Supp. Result Entry'!$T$4)</f>
        <v/>
      </c>
      <c r="IT91" s="110" t="str">
        <f>IF('Supp. Result Entry'!W89="","",'Supp. Result Entry'!$W$4)</f>
        <v/>
      </c>
      <c r="IU91" s="110" t="str">
        <f>IF('Supp. Result Entry'!Z89="","",'Supp. Result Entry'!$Z$4)</f>
        <v/>
      </c>
      <c r="IV91" s="110" t="str">
        <f>IF('Supp. Result Entry'!AC89="","",'Supp. Result Entry'!$AC$4)</f>
        <v/>
      </c>
      <c r="IW91" s="110" t="str">
        <f>IF('Supp. Result Entry'!AF89="","",'Supp. Result Entry'!$AF$4)</f>
        <v/>
      </c>
      <c r="IX91" s="110" t="str">
        <f>IF('Supp. Result Entry'!AI89="","",'Supp. Result Entry'!$AI$4)</f>
        <v/>
      </c>
      <c r="IY91" s="110" t="str">
        <f>IF('Supp. Result Entry'!AI89="","",'Supp. Result Entry'!$AL$4)</f>
        <v/>
      </c>
      <c r="IZ91" s="110" t="str">
        <f>IF('Supp. Result Entry'!U89="","",'Supp. Result Entry'!U89)</f>
        <v/>
      </c>
      <c r="JA91" s="110" t="str">
        <f>IF('Supp. Result Entry'!X89="","",'Supp. Result Entry'!X89)</f>
        <v/>
      </c>
      <c r="JB91" s="110" t="str">
        <f>IF('Supp. Result Entry'!AA89="","",'Supp. Result Entry'!AA89)</f>
        <v/>
      </c>
      <c r="JC91" s="110" t="str">
        <f>IF('Supp. Result Entry'!AD89="","",'Supp. Result Entry'!AD89)</f>
        <v/>
      </c>
      <c r="JD91" s="110" t="str">
        <f>IF('Supp. Result Entry'!AG89="","",'Supp. Result Entry'!AG89)</f>
        <v/>
      </c>
      <c r="JE91" s="110" t="str">
        <f>IF('Supp. Result Entry'!AJ89="","",'Supp. Result Entry'!AJ89)</f>
        <v/>
      </c>
      <c r="JF91" s="110" t="str">
        <f>IF('Supp. Result Entry'!AM89="","",'Supp. Result Entry'!AM89)</f>
        <v/>
      </c>
      <c r="JG91" s="110" t="str">
        <f>IF('Supp. Result Entry'!V89="","",'Supp. Result Entry'!V89)</f>
        <v/>
      </c>
      <c r="JH91" s="110" t="str">
        <f>IF('Supp. Result Entry'!Y89="","",'Supp. Result Entry'!Y89)</f>
        <v/>
      </c>
      <c r="JI91" s="110" t="str">
        <f>IF('Supp. Result Entry'!AB89="","",'Supp. Result Entry'!AB89)</f>
        <v/>
      </c>
      <c r="JJ91" s="110" t="str">
        <f>IF('Supp. Result Entry'!AE89="","",'Supp. Result Entry'!AE89)</f>
        <v/>
      </c>
      <c r="JK91" s="110" t="str">
        <f>IF('Supp. Result Entry'!AH89="","",'Supp. Result Entry'!AH89)</f>
        <v/>
      </c>
      <c r="JL91" s="110" t="str">
        <f>IF('Supp. Result Entry'!AK89="","",'Supp. Result Entry'!AK89)</f>
        <v/>
      </c>
      <c r="JM91" s="110" t="str">
        <f>IF('Supp. Result Entry'!AN89="","",'Supp. Result Entry'!AN89)</f>
        <v/>
      </c>
      <c r="JN91" s="110">
        <f>COUNTIF('Supp. Result Entry'!K89:Q89,"S")</f>
        <v>0</v>
      </c>
      <c r="JO91" s="110">
        <f t="shared" si="248"/>
        <v>0</v>
      </c>
      <c r="JP91" s="110">
        <f t="shared" si="325"/>
        <v>0</v>
      </c>
      <c r="JQ91" s="110" t="str">
        <f t="shared" si="249"/>
        <v/>
      </c>
      <c r="JR91" s="110" t="str">
        <f t="shared" si="250"/>
        <v/>
      </c>
      <c r="JS91" s="110" t="str">
        <f t="shared" si="251"/>
        <v/>
      </c>
      <c r="JT91" s="110" t="str">
        <f t="shared" si="252"/>
        <v/>
      </c>
      <c r="JU91" s="110" t="str">
        <f t="shared" si="253"/>
        <v/>
      </c>
      <c r="JV91" s="110" t="str">
        <f t="shared" si="254"/>
        <v/>
      </c>
      <c r="JW91" s="110" t="str">
        <f t="shared" si="255"/>
        <v/>
      </c>
      <c r="JX91" s="110" t="str">
        <f t="shared" si="326"/>
        <v/>
      </c>
      <c r="JY91" s="110" t="str">
        <f t="shared" si="327"/>
        <v/>
      </c>
      <c r="JZ91" s="110" t="str">
        <f t="shared" si="256"/>
        <v/>
      </c>
      <c r="KA91" s="108" t="str">
        <f t="shared" si="328"/>
        <v/>
      </c>
    </row>
    <row r="92" spans="1:287" s="108" customFormat="1" ht="21.95" customHeight="1">
      <c r="A92" s="89">
        <v>86</v>
      </c>
      <c r="B92" s="90" t="str">
        <f>IF('Marks Entry'!B92="","",'Marks Entry'!B92)</f>
        <v/>
      </c>
      <c r="C92" s="94" t="str">
        <f>IF('Marks Entry'!D92="","",'Marks Entry'!D92)</f>
        <v/>
      </c>
      <c r="D92" s="91" t="str">
        <f>IF('Marks Entry'!E92="","",'Marks Entry'!E92)</f>
        <v/>
      </c>
      <c r="E92" s="92" t="str">
        <f>IF('Marks Entry'!F92="","",'Marks Entry'!F92)</f>
        <v/>
      </c>
      <c r="F92" s="93" t="str">
        <f>IF('Marks Entry'!G92="","",'Marks Entry'!G92)</f>
        <v/>
      </c>
      <c r="G92" s="93" t="str">
        <f>IF('Marks Entry'!H92="","",'Marks Entry'!H92)</f>
        <v/>
      </c>
      <c r="H92" s="93" t="str">
        <f>IF('Marks Entry'!I92="","",'Marks Entry'!I92)</f>
        <v/>
      </c>
      <c r="I92" s="94" t="str">
        <f>IF('Marks Entry'!J92="","",'Marks Entry'!J92)</f>
        <v/>
      </c>
      <c r="J92" s="95" t="str">
        <f>IF('Marks Entry'!K92="","",'Marks Entry'!K92)</f>
        <v/>
      </c>
      <c r="K92" s="68" t="str">
        <f>IF('Marks Entry'!L92="","",'Marks Entry'!L92)</f>
        <v/>
      </c>
      <c r="L92" s="68" t="str">
        <f>IF('Marks Entry'!M92="","",'Marks Entry'!M92)</f>
        <v/>
      </c>
      <c r="M92" s="68" t="str">
        <f>IF('Marks Entry'!N92="","",'Marks Entry'!N92)</f>
        <v/>
      </c>
      <c r="N92" s="514" t="str">
        <f t="shared" si="257"/>
        <v/>
      </c>
      <c r="O92" s="68" t="str">
        <f>IF('Marks Entry'!O92="","",'Marks Entry'!O92)</f>
        <v/>
      </c>
      <c r="P92" s="515" t="str">
        <f t="shared" si="258"/>
        <v/>
      </c>
      <c r="Q92" s="68" t="str">
        <f>IF('Marks Entry'!P92="","",'Marks Entry'!P92)</f>
        <v/>
      </c>
      <c r="R92" s="96" t="str">
        <f t="shared" si="259"/>
        <v/>
      </c>
      <c r="S92" s="65">
        <f t="shared" si="260"/>
        <v>0</v>
      </c>
      <c r="T92" s="65">
        <f t="shared" si="261"/>
        <v>0</v>
      </c>
      <c r="U92" s="66" t="str">
        <f t="shared" si="171"/>
        <v/>
      </c>
      <c r="V92" s="65" t="str">
        <f t="shared" si="172"/>
        <v/>
      </c>
      <c r="W92" s="65" t="str">
        <f t="shared" si="262"/>
        <v/>
      </c>
      <c r="X92" s="65" t="str">
        <f t="shared" si="173"/>
        <v/>
      </c>
      <c r="Y92" s="68" t="str">
        <f>IF('Marks Entry'!Q92="","",'Marks Entry'!Q92)</f>
        <v/>
      </c>
      <c r="Z92" s="68" t="str">
        <f>IF('Marks Entry'!R92="","",'Marks Entry'!R92)</f>
        <v/>
      </c>
      <c r="AA92" s="68" t="str">
        <f>IF('Marks Entry'!S92="","",'Marks Entry'!S92)</f>
        <v/>
      </c>
      <c r="AB92" s="514" t="str">
        <f t="shared" si="174"/>
        <v/>
      </c>
      <c r="AC92" s="68" t="str">
        <f>IF('Marks Entry'!T92="","",'Marks Entry'!T92)</f>
        <v/>
      </c>
      <c r="AD92" s="515" t="str">
        <f t="shared" si="175"/>
        <v/>
      </c>
      <c r="AE92" s="68" t="str">
        <f>IF('Marks Entry'!U92="","",'Marks Entry'!U92)</f>
        <v/>
      </c>
      <c r="AF92" s="96" t="str">
        <f t="shared" si="176"/>
        <v/>
      </c>
      <c r="AG92" s="65">
        <f t="shared" si="177"/>
        <v>0</v>
      </c>
      <c r="AH92" s="65">
        <f t="shared" si="178"/>
        <v>0</v>
      </c>
      <c r="AI92" s="66" t="str">
        <f t="shared" si="179"/>
        <v/>
      </c>
      <c r="AJ92" s="65" t="str">
        <f t="shared" si="180"/>
        <v/>
      </c>
      <c r="AK92" s="65" t="str">
        <f t="shared" si="181"/>
        <v/>
      </c>
      <c r="AL92" s="65" t="str">
        <f t="shared" si="182"/>
        <v/>
      </c>
      <c r="AM92" s="524" t="str">
        <f>IF('Marks Entry'!V92="","",IF('Marks Entry'!V92=1,'School Profile'!$I$9,IF('Marks Entry'!V92=2,'School Profile'!$I$10,IF('Marks Entry'!V92=3,'School Profile'!$I$11,IF('Marks Entry'!V92=4,'School Profile'!$I$12,IF('Marks Entry'!V92=5,'School Profile'!$I$13,IF('Marks Entry'!V92=6,'School Profile'!$I$14,"")))))))</f>
        <v/>
      </c>
      <c r="AN92" s="68" t="str">
        <f>IF('Marks Entry'!W92="","",'Marks Entry'!W92)</f>
        <v/>
      </c>
      <c r="AO92" s="68" t="str">
        <f>IF('Marks Entry'!X92="","",'Marks Entry'!X92)</f>
        <v/>
      </c>
      <c r="AP92" s="68" t="str">
        <f>IF('Marks Entry'!Y92="","",'Marks Entry'!Y92)</f>
        <v/>
      </c>
      <c r="AQ92" s="514" t="str">
        <f t="shared" si="183"/>
        <v/>
      </c>
      <c r="AR92" s="68" t="str">
        <f>IF('Marks Entry'!Z92="","",'Marks Entry'!Z92)</f>
        <v/>
      </c>
      <c r="AS92" s="515" t="str">
        <f t="shared" si="184"/>
        <v/>
      </c>
      <c r="AT92" s="68" t="str">
        <f>IF('Marks Entry'!AA92="","",'Marks Entry'!AA92)</f>
        <v/>
      </c>
      <c r="AU92" s="96" t="str">
        <f t="shared" si="185"/>
        <v/>
      </c>
      <c r="AV92" s="65">
        <f t="shared" si="186"/>
        <v>0</v>
      </c>
      <c r="AW92" s="65">
        <f t="shared" si="187"/>
        <v>0</v>
      </c>
      <c r="AX92" s="66" t="str">
        <f t="shared" si="188"/>
        <v/>
      </c>
      <c r="AY92" s="65" t="str">
        <f t="shared" si="189"/>
        <v/>
      </c>
      <c r="AZ92" s="65" t="str">
        <f t="shared" si="190"/>
        <v/>
      </c>
      <c r="BA92" s="65" t="str">
        <f t="shared" si="191"/>
        <v/>
      </c>
      <c r="BB92" s="68" t="str">
        <f>IF('Marks Entry'!AB92="","",'Marks Entry'!AB92)</f>
        <v/>
      </c>
      <c r="BC92" s="68" t="str">
        <f>IF('Marks Entry'!AC92="","",'Marks Entry'!AC92)</f>
        <v/>
      </c>
      <c r="BD92" s="68" t="str">
        <f>IF('Marks Entry'!AD92="","",'Marks Entry'!AD92)</f>
        <v/>
      </c>
      <c r="BE92" s="514" t="str">
        <f t="shared" si="192"/>
        <v/>
      </c>
      <c r="BF92" s="68" t="str">
        <f>IF('Marks Entry'!AE92="","",'Marks Entry'!AE92)</f>
        <v/>
      </c>
      <c r="BG92" s="515" t="str">
        <f t="shared" si="193"/>
        <v/>
      </c>
      <c r="BH92" s="68" t="str">
        <f>IF('Marks Entry'!AF92="","",'Marks Entry'!AF92)</f>
        <v/>
      </c>
      <c r="BI92" s="96" t="str">
        <f t="shared" si="194"/>
        <v/>
      </c>
      <c r="BJ92" s="65">
        <f t="shared" si="195"/>
        <v>0</v>
      </c>
      <c r="BK92" s="65">
        <f t="shared" si="263"/>
        <v>0</v>
      </c>
      <c r="BL92" s="66" t="str">
        <f t="shared" si="196"/>
        <v/>
      </c>
      <c r="BM92" s="65" t="str">
        <f t="shared" si="197"/>
        <v/>
      </c>
      <c r="BN92" s="65" t="str">
        <f t="shared" si="198"/>
        <v/>
      </c>
      <c r="BO92" s="65" t="str">
        <f t="shared" si="199"/>
        <v/>
      </c>
      <c r="BP92" s="68" t="str">
        <f>IF('Marks Entry'!AG92="","",'Marks Entry'!AG92)</f>
        <v/>
      </c>
      <c r="BQ92" s="68" t="str">
        <f>IF('Marks Entry'!AH92="","",'Marks Entry'!AH92)</f>
        <v/>
      </c>
      <c r="BR92" s="68" t="str">
        <f>IF('Marks Entry'!AI92="","",'Marks Entry'!AI92)</f>
        <v/>
      </c>
      <c r="BS92" s="514" t="str">
        <f t="shared" si="200"/>
        <v/>
      </c>
      <c r="BT92" s="68" t="str">
        <f>IF('Marks Entry'!AJ92="","",'Marks Entry'!AJ92)</f>
        <v/>
      </c>
      <c r="BU92" s="515" t="str">
        <f t="shared" si="201"/>
        <v/>
      </c>
      <c r="BV92" s="68" t="str">
        <f>IF('Marks Entry'!AK92="","",'Marks Entry'!AK92)</f>
        <v/>
      </c>
      <c r="BW92" s="96" t="str">
        <f t="shared" si="202"/>
        <v/>
      </c>
      <c r="BX92" s="65">
        <f t="shared" si="203"/>
        <v>0</v>
      </c>
      <c r="BY92" s="65">
        <f t="shared" si="204"/>
        <v>0</v>
      </c>
      <c r="BZ92" s="66" t="str">
        <f t="shared" si="205"/>
        <v/>
      </c>
      <c r="CA92" s="65" t="str">
        <f t="shared" si="206"/>
        <v/>
      </c>
      <c r="CB92" s="65" t="str">
        <f t="shared" si="207"/>
        <v/>
      </c>
      <c r="CC92" s="65" t="str">
        <f t="shared" si="208"/>
        <v/>
      </c>
      <c r="CD92" s="66">
        <f t="shared" si="209"/>
        <v>0</v>
      </c>
      <c r="CE92" s="68" t="str">
        <f>IF('Marks Entry'!AL92="","",'Marks Entry'!AL92)</f>
        <v/>
      </c>
      <c r="CF92" s="68" t="str">
        <f>IF('Marks Entry'!AM92="","",'Marks Entry'!AM92)</f>
        <v/>
      </c>
      <c r="CG92" s="68" t="str">
        <f>IF('Marks Entry'!AN92="","",'Marks Entry'!AN92)</f>
        <v/>
      </c>
      <c r="CH92" s="514" t="str">
        <f t="shared" si="210"/>
        <v/>
      </c>
      <c r="CI92" s="68" t="str">
        <f>IF('Marks Entry'!AO92="","",'Marks Entry'!AO92)</f>
        <v/>
      </c>
      <c r="CJ92" s="515" t="str">
        <f t="shared" si="211"/>
        <v/>
      </c>
      <c r="CK92" s="68" t="str">
        <f>IF('Marks Entry'!AP92="","",'Marks Entry'!AP92)</f>
        <v/>
      </c>
      <c r="CL92" s="96" t="str">
        <f t="shared" si="212"/>
        <v/>
      </c>
      <c r="CM92" s="65">
        <f t="shared" si="213"/>
        <v>0</v>
      </c>
      <c r="CN92" s="65">
        <f t="shared" si="214"/>
        <v>0</v>
      </c>
      <c r="CO92" s="66" t="str">
        <f t="shared" si="215"/>
        <v/>
      </c>
      <c r="CP92" s="65" t="str">
        <f t="shared" si="216"/>
        <v/>
      </c>
      <c r="CQ92" s="65" t="str">
        <f t="shared" si="217"/>
        <v/>
      </c>
      <c r="CR92" s="65" t="str">
        <f t="shared" si="218"/>
        <v/>
      </c>
      <c r="CS92" s="616"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8" t="str">
        <f>IF('School Profile'!$D$20="NO","",IF('Marks Entry'!AR92="","",'Marks Entry'!AR92))</f>
        <v/>
      </c>
      <c r="CU92" s="68" t="str">
        <f>IF('School Profile'!$D$20="NO","",IF('Marks Entry'!AS92="","",'Marks Entry'!AS92))</f>
        <v/>
      </c>
      <c r="CV92" s="68" t="str">
        <f>IF('School Profile'!$D$20="NO","",IF('Marks Entry'!AT92="","",'Marks Entry'!AT92))</f>
        <v/>
      </c>
      <c r="CW92" s="514" t="str">
        <f>IF('School Profile'!$D$20="NO","",IF(AND(CT92="",CU92="",CV92=""),"",SUM(CT92:CV92)))</f>
        <v/>
      </c>
      <c r="CX92" s="68" t="str">
        <f>IF('School Profile'!$D$20="NO","",IF('Marks Entry'!AU92="","",'Marks Entry'!AU92))</f>
        <v/>
      </c>
      <c r="CY92" s="68" t="str">
        <f>IF('School Profile'!$D$20="NO","",IF('Marks Entry'!AV92="","",'Marks Entry'!AV92))</f>
        <v/>
      </c>
      <c r="CZ92" s="515" t="str">
        <f>IF('School Profile'!$D$20="NO","",IF(AND(CX92="",CY92=""),"",SUM(CX92,CY92)))</f>
        <v/>
      </c>
      <c r="DA92" s="69" t="str">
        <f>IF('School Profile'!$D$20="NO","",IF(AND(CW92="",CZ92=""),"",SUM(CW92+CZ92)))</f>
        <v/>
      </c>
      <c r="DB92" s="68" t="str">
        <f>IF('School Profile'!$D$20="NO","",IF('Marks Entry'!AW92="","",'Marks Entry'!AW92))</f>
        <v/>
      </c>
      <c r="DC92" s="68" t="str">
        <f>IF('School Profile'!$D$20="NO","",IF('Marks Entry'!AX92="","",'Marks Entry'!AX92))</f>
        <v/>
      </c>
      <c r="DD92" s="515" t="str">
        <f>IF('School Profile'!$D$20="NO","",IF(AND(DB92="",DC92=""),"",SUM(DB92,DC92)))</f>
        <v/>
      </c>
      <c r="DE92" s="96" t="str">
        <f>IF('School Profile'!$D$20="NO","",IF(AND(DA92="",DD92=""),"",SUM(DA92,DD92)))</f>
        <v/>
      </c>
      <c r="DF92" s="532">
        <f t="shared" si="219"/>
        <v>0</v>
      </c>
      <c r="DG92" s="65">
        <f t="shared" si="220"/>
        <v>0</v>
      </c>
      <c r="DH92" s="66" t="str">
        <f t="shared" si="221"/>
        <v/>
      </c>
      <c r="DI92" s="65" t="str">
        <f t="shared" si="222"/>
        <v/>
      </c>
      <c r="DJ92" s="65" t="str">
        <f t="shared" si="223"/>
        <v/>
      </c>
      <c r="DK92" s="65" t="str">
        <f t="shared" si="224"/>
        <v/>
      </c>
      <c r="DL92" s="97" t="str">
        <f t="shared" si="264"/>
        <v/>
      </c>
      <c r="DM92" s="97" t="str">
        <f t="shared" si="265"/>
        <v/>
      </c>
      <c r="DN92" s="97" t="str">
        <f t="shared" si="266"/>
        <v/>
      </c>
      <c r="DO92" s="97" t="str">
        <f t="shared" si="267"/>
        <v/>
      </c>
      <c r="DP92" s="97" t="str">
        <f t="shared" si="268"/>
        <v/>
      </c>
      <c r="DQ92" s="97" t="str">
        <f t="shared" si="269"/>
        <v/>
      </c>
      <c r="DR92" s="97" t="str">
        <f t="shared" si="270"/>
        <v/>
      </c>
      <c r="DS92" s="98">
        <f t="shared" si="271"/>
        <v>0</v>
      </c>
      <c r="DT92" s="98">
        <f t="shared" si="272"/>
        <v>0</v>
      </c>
      <c r="DU92" s="98">
        <f t="shared" si="273"/>
        <v>0</v>
      </c>
      <c r="DV92" s="98">
        <f t="shared" si="274"/>
        <v>0</v>
      </c>
      <c r="DW92" s="98">
        <f t="shared" si="275"/>
        <v>0</v>
      </c>
      <c r="DX92" s="98" t="str">
        <f t="shared" si="276"/>
        <v/>
      </c>
      <c r="DY92" s="99" t="str">
        <f t="shared" si="277"/>
        <v/>
      </c>
      <c r="DZ92" s="74" t="str">
        <f>IF('Marks Entry'!AY92="","",'Marks Entry'!AY92)</f>
        <v/>
      </c>
      <c r="EA92" s="74" t="str">
        <f>IF('Marks Entry'!AZ92="","",'Marks Entry'!AZ92)</f>
        <v/>
      </c>
      <c r="EB92" s="74" t="str">
        <f>IF('Marks Entry'!BA92="","",'Marks Entry'!BA92)</f>
        <v/>
      </c>
      <c r="EC92" s="527" t="str">
        <f t="shared" si="225"/>
        <v/>
      </c>
      <c r="ED92" s="74" t="str">
        <f>IF('Marks Entry'!BB92="","",'Marks Entry'!BB92)</f>
        <v/>
      </c>
      <c r="EE92" s="528" t="str">
        <f t="shared" si="226"/>
        <v/>
      </c>
      <c r="EF92" s="74" t="str">
        <f>IF('Marks Entry'!BC92="","",'Marks Entry'!BC92)</f>
        <v/>
      </c>
      <c r="EG92" s="530" t="str">
        <f t="shared" si="227"/>
        <v/>
      </c>
      <c r="EH92" s="368" t="str">
        <f t="shared" si="278"/>
        <v/>
      </c>
      <c r="EI92" s="65">
        <f t="shared" si="279"/>
        <v>0</v>
      </c>
      <c r="EJ92" s="65">
        <f t="shared" si="280"/>
        <v>0</v>
      </c>
      <c r="EK92" s="66" t="str">
        <f t="shared" si="281"/>
        <v/>
      </c>
      <c r="EL92" s="74" t="str">
        <f>IF('Marks Entry'!BD92="","",'Marks Entry'!BD92)</f>
        <v/>
      </c>
      <c r="EM92" s="74" t="str">
        <f>IF('Marks Entry'!BE92="","",'Marks Entry'!BE92)</f>
        <v/>
      </c>
      <c r="EN92" s="74" t="str">
        <f>IF('Marks Entry'!BF92="","",'Marks Entry'!BF92)</f>
        <v/>
      </c>
      <c r="EO92" s="527" t="str">
        <f t="shared" si="228"/>
        <v/>
      </c>
      <c r="EP92" s="74" t="str">
        <f>IF('Marks Entry'!BG92="","",'Marks Entry'!BG92)</f>
        <v/>
      </c>
      <c r="EQ92" s="74" t="str">
        <f>IF('Marks Entry'!BH92="","",'Marks Entry'!BH92)</f>
        <v/>
      </c>
      <c r="ER92" s="528" t="str">
        <f t="shared" si="229"/>
        <v/>
      </c>
      <c r="ES92" s="529" t="str">
        <f t="shared" si="230"/>
        <v/>
      </c>
      <c r="ET92" s="74" t="str">
        <f>IF('Marks Entry'!BI92="","",'Marks Entry'!BI92)</f>
        <v/>
      </c>
      <c r="EU92" s="74" t="str">
        <f>IF('Marks Entry'!BJ92="","",'Marks Entry'!BJ92)</f>
        <v/>
      </c>
      <c r="EV92" s="528" t="str">
        <f t="shared" si="231"/>
        <v/>
      </c>
      <c r="EW92" s="530" t="str">
        <f t="shared" si="232"/>
        <v/>
      </c>
      <c r="EX92" s="368" t="str">
        <f t="shared" si="282"/>
        <v/>
      </c>
      <c r="EY92" s="65">
        <f t="shared" si="283"/>
        <v>0</v>
      </c>
      <c r="EZ92" s="65">
        <f t="shared" si="284"/>
        <v>0</v>
      </c>
      <c r="FA92" s="66" t="str">
        <f t="shared" si="285"/>
        <v/>
      </c>
      <c r="FB92" s="74" t="str">
        <f>IF('Marks Entry'!BK92="","",'Marks Entry'!BK92)</f>
        <v/>
      </c>
      <c r="FC92" s="74" t="str">
        <f>IF('Marks Entry'!BL92="","",'Marks Entry'!BL92)</f>
        <v/>
      </c>
      <c r="FD92" s="74" t="str">
        <f>IF('Marks Entry'!BM92="","",'Marks Entry'!BM92)</f>
        <v/>
      </c>
      <c r="FE92" s="74" t="str">
        <f>IF('Marks Entry'!BN92="","",'Marks Entry'!BN92)</f>
        <v/>
      </c>
      <c r="FF92" s="74" t="str">
        <f>IF('Marks Entry'!BO92="","",'Marks Entry'!BO92)</f>
        <v/>
      </c>
      <c r="FG92" s="74" t="str">
        <f>IF('Marks Entry'!BP92="","",'Marks Entry'!BP92)</f>
        <v/>
      </c>
      <c r="FH92" s="527" t="str">
        <f t="shared" si="233"/>
        <v/>
      </c>
      <c r="FI92" s="74" t="str">
        <f>IF('Marks Entry'!BQ92="","",'Marks Entry'!BQ92)</f>
        <v/>
      </c>
      <c r="FJ92" s="74" t="str">
        <f>IF('Marks Entry'!BR92="","",'Marks Entry'!BR92)</f>
        <v/>
      </c>
      <c r="FK92" s="528" t="str">
        <f t="shared" si="234"/>
        <v/>
      </c>
      <c r="FL92" s="529" t="str">
        <f t="shared" si="235"/>
        <v/>
      </c>
      <c r="FM92" s="74" t="str">
        <f>IF('Marks Entry'!BS92="","",'Marks Entry'!BS92)</f>
        <v/>
      </c>
      <c r="FN92" s="74" t="str">
        <f>IF('Marks Entry'!BT92="","",'Marks Entry'!BT92)</f>
        <v/>
      </c>
      <c r="FO92" s="528" t="str">
        <f t="shared" si="236"/>
        <v/>
      </c>
      <c r="FP92" s="530" t="str">
        <f t="shared" si="237"/>
        <v/>
      </c>
      <c r="FQ92" s="368" t="str">
        <f t="shared" si="286"/>
        <v/>
      </c>
      <c r="FR92" s="65">
        <f t="shared" si="287"/>
        <v>0</v>
      </c>
      <c r="FS92" s="65">
        <f t="shared" si="288"/>
        <v>0</v>
      </c>
      <c r="FT92" s="66" t="str">
        <f t="shared" si="289"/>
        <v/>
      </c>
      <c r="FU92" s="74" t="str">
        <f>IF('Marks Entry'!BU92="","",'Marks Entry'!BU92)</f>
        <v/>
      </c>
      <c r="FV92" s="74" t="str">
        <f>IF('Marks Entry'!BV92="","",'Marks Entry'!BV92)</f>
        <v/>
      </c>
      <c r="FW92" s="74" t="str">
        <f>IF('Marks Entry'!BW92="","",'Marks Entry'!BW92)</f>
        <v/>
      </c>
      <c r="FX92" s="75" t="str">
        <f t="shared" si="238"/>
        <v/>
      </c>
      <c r="FY92" s="368" t="str">
        <f t="shared" si="290"/>
        <v/>
      </c>
      <c r="FZ92" s="65">
        <f t="shared" si="291"/>
        <v>0</v>
      </c>
      <c r="GA92" s="66">
        <f t="shared" si="292"/>
        <v>0</v>
      </c>
      <c r="GB92" s="66" t="str">
        <f t="shared" si="293"/>
        <v/>
      </c>
      <c r="GC92" s="74" t="str">
        <f>IF('Marks Entry'!BX92="","",'Marks Entry'!BX92)</f>
        <v/>
      </c>
      <c r="GD92" s="74" t="str">
        <f>IF('Marks Entry'!BY92="","",'Marks Entry'!BY92)</f>
        <v/>
      </c>
      <c r="GE92" s="74" t="str">
        <f>IF('Marks Entry'!BZ92="","",'Marks Entry'!BZ92)</f>
        <v/>
      </c>
      <c r="GF92" s="75" t="str">
        <f t="shared" si="294"/>
        <v/>
      </c>
      <c r="GG92" s="368" t="str">
        <f t="shared" si="295"/>
        <v/>
      </c>
      <c r="GH92" s="65">
        <f t="shared" si="296"/>
        <v>0</v>
      </c>
      <c r="GI92" s="66">
        <f t="shared" si="297"/>
        <v>0</v>
      </c>
      <c r="GJ92" s="66" t="str">
        <f t="shared" si="298"/>
        <v/>
      </c>
      <c r="GK92" s="100" t="str">
        <f>IF(AND(F92="",B92=""),"",IF('Student DATA Entry'!M89="","",'Student DATA Entry'!M89))</f>
        <v/>
      </c>
      <c r="GL92" s="101" t="str">
        <f>IF(AND(B92="",F92=""),"",IF('Student DATA Entry'!N89="","",'Student DATA Entry'!N89))</f>
        <v/>
      </c>
      <c r="GM92" s="581" t="str">
        <f t="shared" si="299"/>
        <v/>
      </c>
      <c r="GN92" s="94" t="str">
        <f t="shared" si="300"/>
        <v/>
      </c>
      <c r="GO92" s="94" t="str">
        <f t="shared" si="301"/>
        <v/>
      </c>
      <c r="GP92" s="102" t="str">
        <f t="shared" si="239"/>
        <v/>
      </c>
      <c r="GQ92" s="94" t="str">
        <f t="shared" si="302"/>
        <v/>
      </c>
      <c r="GR92" s="103" t="str">
        <f t="shared" si="303"/>
        <v/>
      </c>
      <c r="GS92" s="102" t="str">
        <f t="shared" si="240"/>
        <v/>
      </c>
      <c r="GT92" s="104" t="str">
        <f t="shared" si="304"/>
        <v/>
      </c>
      <c r="GU92" s="94" t="str">
        <f>IF('Marks Entry'!V92=1,GT92,"")</f>
        <v/>
      </c>
      <c r="GV92" s="94" t="str">
        <f>IF('Marks Entry'!V92=2,GT92,"")</f>
        <v/>
      </c>
      <c r="GW92" s="94" t="str">
        <f>IF('Marks Entry'!V92=3,GT92,"")</f>
        <v/>
      </c>
      <c r="GX92" s="94" t="str">
        <f>IF('Marks Entry'!V92=4,GT92,"")</f>
        <v/>
      </c>
      <c r="GY92" s="94" t="str">
        <f>IF('Marks Entry'!V92=5,GT92,"")</f>
        <v/>
      </c>
      <c r="GZ92" s="94" t="str">
        <f t="shared" si="305"/>
        <v/>
      </c>
      <c r="HA92" s="105" t="str">
        <f t="shared" si="241"/>
        <v/>
      </c>
      <c r="HB92" s="94" t="str">
        <f t="shared" si="306"/>
        <v/>
      </c>
      <c r="HC92" s="94" t="str">
        <f t="shared" si="307"/>
        <v/>
      </c>
      <c r="HD92" s="105" t="str">
        <f t="shared" si="242"/>
        <v/>
      </c>
      <c r="HE92" s="94" t="str">
        <f t="shared" si="308"/>
        <v/>
      </c>
      <c r="HF92" s="94" t="str">
        <f t="shared" si="309"/>
        <v/>
      </c>
      <c r="HG92" s="105" t="str">
        <f t="shared" si="243"/>
        <v/>
      </c>
      <c r="HH92" s="94" t="str">
        <f t="shared" si="310"/>
        <v/>
      </c>
      <c r="HI92" s="94" t="str">
        <f t="shared" si="311"/>
        <v/>
      </c>
      <c r="HJ92" s="105" t="str">
        <f t="shared" si="244"/>
        <v/>
      </c>
      <c r="HK92" s="94" t="str">
        <f t="shared" si="312"/>
        <v/>
      </c>
      <c r="HL92" s="94" t="str">
        <f t="shared" si="313"/>
        <v/>
      </c>
      <c r="HM92" s="105" t="str">
        <f t="shared" si="245"/>
        <v/>
      </c>
      <c r="HN92" s="367" t="str">
        <f t="shared" si="314"/>
        <v xml:space="preserve">      </v>
      </c>
      <c r="HO92" s="418" t="str">
        <f t="shared" si="246"/>
        <v xml:space="preserve">      </v>
      </c>
      <c r="HP92" s="367" t="str">
        <f t="shared" si="315"/>
        <v xml:space="preserve">      </v>
      </c>
      <c r="HQ92" s="107" t="str">
        <f t="shared" si="316"/>
        <v xml:space="preserve">      </v>
      </c>
      <c r="HR92" s="366" t="str">
        <f t="shared" si="317"/>
        <v xml:space="preserve">      </v>
      </c>
      <c r="HS92" s="544" t="str">
        <f t="shared" si="247"/>
        <v/>
      </c>
      <c r="HT92" s="542" t="str">
        <f t="shared" si="318"/>
        <v/>
      </c>
      <c r="HU92" s="541" t="str">
        <f t="shared" si="319"/>
        <v/>
      </c>
      <c r="HV92" s="540" t="str">
        <f t="shared" si="320"/>
        <v/>
      </c>
      <c r="HW92" s="537" t="str">
        <f t="shared" si="321"/>
        <v/>
      </c>
      <c r="HX92" s="539" t="str">
        <f t="shared" si="322"/>
        <v/>
      </c>
      <c r="HY92" s="553" t="str">
        <f>IFERROR(IF(OR(HS92="SUPPLEMENTARY",HS92="RE-EXAM"),'Supp. Result Entry'!AQ90,""),"")</f>
        <v/>
      </c>
      <c r="HZ92" s="538" t="str">
        <f t="shared" si="323"/>
        <v/>
      </c>
      <c r="IA92" s="415" t="str">
        <f t="shared" si="324"/>
        <v/>
      </c>
      <c r="IB92" s="415" t="str">
        <f>IF(AND(HZ92="",IA92=""),"",IF(OR(HS92="SUPPLEMENTARY",HS92="RE-EXAM"),'Supp. Result Entry'!AQ90,HS92))</f>
        <v/>
      </c>
      <c r="IC92" s="87"/>
      <c r="IS92" s="109" t="str">
        <f>IF('Supp. Result Entry'!T90="","",'Supp. Result Entry'!$T$4)</f>
        <v/>
      </c>
      <c r="IT92" s="110" t="str">
        <f>IF('Supp. Result Entry'!W90="","",'Supp. Result Entry'!$W$4)</f>
        <v/>
      </c>
      <c r="IU92" s="110" t="str">
        <f>IF('Supp. Result Entry'!Z90="","",'Supp. Result Entry'!$Z$4)</f>
        <v/>
      </c>
      <c r="IV92" s="110" t="str">
        <f>IF('Supp. Result Entry'!AC90="","",'Supp. Result Entry'!$AC$4)</f>
        <v/>
      </c>
      <c r="IW92" s="110" t="str">
        <f>IF('Supp. Result Entry'!AF90="","",'Supp. Result Entry'!$AF$4)</f>
        <v/>
      </c>
      <c r="IX92" s="110" t="str">
        <f>IF('Supp. Result Entry'!AI90="","",'Supp. Result Entry'!$AI$4)</f>
        <v/>
      </c>
      <c r="IY92" s="110" t="str">
        <f>IF('Supp. Result Entry'!AI90="","",'Supp. Result Entry'!$AL$4)</f>
        <v/>
      </c>
      <c r="IZ92" s="110" t="str">
        <f>IF('Supp. Result Entry'!U90="","",'Supp. Result Entry'!U90)</f>
        <v/>
      </c>
      <c r="JA92" s="110" t="str">
        <f>IF('Supp. Result Entry'!X90="","",'Supp. Result Entry'!X90)</f>
        <v/>
      </c>
      <c r="JB92" s="110" t="str">
        <f>IF('Supp. Result Entry'!AA90="","",'Supp. Result Entry'!AA90)</f>
        <v/>
      </c>
      <c r="JC92" s="110" t="str">
        <f>IF('Supp. Result Entry'!AD90="","",'Supp. Result Entry'!AD90)</f>
        <v/>
      </c>
      <c r="JD92" s="110" t="str">
        <f>IF('Supp. Result Entry'!AG90="","",'Supp. Result Entry'!AG90)</f>
        <v/>
      </c>
      <c r="JE92" s="110" t="str">
        <f>IF('Supp. Result Entry'!AJ90="","",'Supp. Result Entry'!AJ90)</f>
        <v/>
      </c>
      <c r="JF92" s="110" t="str">
        <f>IF('Supp. Result Entry'!AM90="","",'Supp. Result Entry'!AM90)</f>
        <v/>
      </c>
      <c r="JG92" s="110" t="str">
        <f>IF('Supp. Result Entry'!V90="","",'Supp. Result Entry'!V90)</f>
        <v/>
      </c>
      <c r="JH92" s="110" t="str">
        <f>IF('Supp. Result Entry'!Y90="","",'Supp. Result Entry'!Y90)</f>
        <v/>
      </c>
      <c r="JI92" s="110" t="str">
        <f>IF('Supp. Result Entry'!AB90="","",'Supp. Result Entry'!AB90)</f>
        <v/>
      </c>
      <c r="JJ92" s="110" t="str">
        <f>IF('Supp. Result Entry'!AE90="","",'Supp. Result Entry'!AE90)</f>
        <v/>
      </c>
      <c r="JK92" s="110" t="str">
        <f>IF('Supp. Result Entry'!AH90="","",'Supp. Result Entry'!AH90)</f>
        <v/>
      </c>
      <c r="JL92" s="110" t="str">
        <f>IF('Supp. Result Entry'!AK90="","",'Supp. Result Entry'!AK90)</f>
        <v/>
      </c>
      <c r="JM92" s="110" t="str">
        <f>IF('Supp. Result Entry'!AN90="","",'Supp. Result Entry'!AN90)</f>
        <v/>
      </c>
      <c r="JN92" s="110">
        <f>COUNTIF('Supp. Result Entry'!K90:Q90,"S")</f>
        <v>0</v>
      </c>
      <c r="JO92" s="110">
        <f t="shared" si="248"/>
        <v>0</v>
      </c>
      <c r="JP92" s="110">
        <f t="shared" si="325"/>
        <v>0</v>
      </c>
      <c r="JQ92" s="110" t="str">
        <f t="shared" si="249"/>
        <v/>
      </c>
      <c r="JR92" s="110" t="str">
        <f t="shared" si="250"/>
        <v/>
      </c>
      <c r="JS92" s="110" t="str">
        <f t="shared" si="251"/>
        <v/>
      </c>
      <c r="JT92" s="110" t="str">
        <f t="shared" si="252"/>
        <v/>
      </c>
      <c r="JU92" s="110" t="str">
        <f t="shared" si="253"/>
        <v/>
      </c>
      <c r="JV92" s="110" t="str">
        <f t="shared" si="254"/>
        <v/>
      </c>
      <c r="JW92" s="110" t="str">
        <f t="shared" si="255"/>
        <v/>
      </c>
      <c r="JX92" s="110" t="str">
        <f t="shared" si="326"/>
        <v/>
      </c>
      <c r="JY92" s="110" t="str">
        <f t="shared" si="327"/>
        <v/>
      </c>
      <c r="JZ92" s="110" t="str">
        <f t="shared" si="256"/>
        <v/>
      </c>
      <c r="KA92" s="108" t="str">
        <f t="shared" si="328"/>
        <v/>
      </c>
    </row>
    <row r="93" spans="1:287" s="108" customFormat="1" ht="21.95" customHeight="1">
      <c r="A93" s="89">
        <v>87</v>
      </c>
      <c r="B93" s="90" t="str">
        <f>IF('Marks Entry'!B93="","",'Marks Entry'!B93)</f>
        <v/>
      </c>
      <c r="C93" s="94" t="str">
        <f>IF('Marks Entry'!D93="","",'Marks Entry'!D93)</f>
        <v/>
      </c>
      <c r="D93" s="91" t="str">
        <f>IF('Marks Entry'!E93="","",'Marks Entry'!E93)</f>
        <v/>
      </c>
      <c r="E93" s="92" t="str">
        <f>IF('Marks Entry'!F93="","",'Marks Entry'!F93)</f>
        <v/>
      </c>
      <c r="F93" s="93" t="str">
        <f>IF('Marks Entry'!G93="","",'Marks Entry'!G93)</f>
        <v/>
      </c>
      <c r="G93" s="93" t="str">
        <f>IF('Marks Entry'!H93="","",'Marks Entry'!H93)</f>
        <v/>
      </c>
      <c r="H93" s="93" t="str">
        <f>IF('Marks Entry'!I93="","",'Marks Entry'!I93)</f>
        <v/>
      </c>
      <c r="I93" s="94" t="str">
        <f>IF('Marks Entry'!J93="","",'Marks Entry'!J93)</f>
        <v/>
      </c>
      <c r="J93" s="95" t="str">
        <f>IF('Marks Entry'!K93="","",'Marks Entry'!K93)</f>
        <v/>
      </c>
      <c r="K93" s="68" t="str">
        <f>IF('Marks Entry'!L93="","",'Marks Entry'!L93)</f>
        <v/>
      </c>
      <c r="L93" s="68" t="str">
        <f>IF('Marks Entry'!M93="","",'Marks Entry'!M93)</f>
        <v/>
      </c>
      <c r="M93" s="68" t="str">
        <f>IF('Marks Entry'!N93="","",'Marks Entry'!N93)</f>
        <v/>
      </c>
      <c r="N93" s="514" t="str">
        <f t="shared" si="257"/>
        <v/>
      </c>
      <c r="O93" s="68" t="str">
        <f>IF('Marks Entry'!O93="","",'Marks Entry'!O93)</f>
        <v/>
      </c>
      <c r="P93" s="515" t="str">
        <f t="shared" si="258"/>
        <v/>
      </c>
      <c r="Q93" s="68" t="str">
        <f>IF('Marks Entry'!P93="","",'Marks Entry'!P93)</f>
        <v/>
      </c>
      <c r="R93" s="96" t="str">
        <f t="shared" si="259"/>
        <v/>
      </c>
      <c r="S93" s="65">
        <f t="shared" si="260"/>
        <v>0</v>
      </c>
      <c r="T93" s="65">
        <f t="shared" si="261"/>
        <v>0</v>
      </c>
      <c r="U93" s="66" t="str">
        <f t="shared" si="171"/>
        <v/>
      </c>
      <c r="V93" s="65" t="str">
        <f t="shared" si="172"/>
        <v/>
      </c>
      <c r="W93" s="65" t="str">
        <f t="shared" si="262"/>
        <v/>
      </c>
      <c r="X93" s="65" t="str">
        <f t="shared" si="173"/>
        <v/>
      </c>
      <c r="Y93" s="68" t="str">
        <f>IF('Marks Entry'!Q93="","",'Marks Entry'!Q93)</f>
        <v/>
      </c>
      <c r="Z93" s="68" t="str">
        <f>IF('Marks Entry'!R93="","",'Marks Entry'!R93)</f>
        <v/>
      </c>
      <c r="AA93" s="68" t="str">
        <f>IF('Marks Entry'!S93="","",'Marks Entry'!S93)</f>
        <v/>
      </c>
      <c r="AB93" s="514" t="str">
        <f t="shared" si="174"/>
        <v/>
      </c>
      <c r="AC93" s="68" t="str">
        <f>IF('Marks Entry'!T93="","",'Marks Entry'!T93)</f>
        <v/>
      </c>
      <c r="AD93" s="515" t="str">
        <f t="shared" si="175"/>
        <v/>
      </c>
      <c r="AE93" s="68" t="str">
        <f>IF('Marks Entry'!U93="","",'Marks Entry'!U93)</f>
        <v/>
      </c>
      <c r="AF93" s="96" t="str">
        <f t="shared" si="176"/>
        <v/>
      </c>
      <c r="AG93" s="65">
        <f t="shared" si="177"/>
        <v>0</v>
      </c>
      <c r="AH93" s="65">
        <f t="shared" si="178"/>
        <v>0</v>
      </c>
      <c r="AI93" s="66" t="str">
        <f t="shared" si="179"/>
        <v/>
      </c>
      <c r="AJ93" s="65" t="str">
        <f t="shared" si="180"/>
        <v/>
      </c>
      <c r="AK93" s="65" t="str">
        <f t="shared" si="181"/>
        <v/>
      </c>
      <c r="AL93" s="65" t="str">
        <f t="shared" si="182"/>
        <v/>
      </c>
      <c r="AM93" s="524" t="str">
        <f>IF('Marks Entry'!V93="","",IF('Marks Entry'!V93=1,'School Profile'!$I$9,IF('Marks Entry'!V93=2,'School Profile'!$I$10,IF('Marks Entry'!V93=3,'School Profile'!$I$11,IF('Marks Entry'!V93=4,'School Profile'!$I$12,IF('Marks Entry'!V93=5,'School Profile'!$I$13,IF('Marks Entry'!V93=6,'School Profile'!$I$14,"")))))))</f>
        <v/>
      </c>
      <c r="AN93" s="68" t="str">
        <f>IF('Marks Entry'!W93="","",'Marks Entry'!W93)</f>
        <v/>
      </c>
      <c r="AO93" s="68" t="str">
        <f>IF('Marks Entry'!X93="","",'Marks Entry'!X93)</f>
        <v/>
      </c>
      <c r="AP93" s="68" t="str">
        <f>IF('Marks Entry'!Y93="","",'Marks Entry'!Y93)</f>
        <v/>
      </c>
      <c r="AQ93" s="514" t="str">
        <f t="shared" si="183"/>
        <v/>
      </c>
      <c r="AR93" s="68" t="str">
        <f>IF('Marks Entry'!Z93="","",'Marks Entry'!Z93)</f>
        <v/>
      </c>
      <c r="AS93" s="515" t="str">
        <f t="shared" si="184"/>
        <v/>
      </c>
      <c r="AT93" s="68" t="str">
        <f>IF('Marks Entry'!AA93="","",'Marks Entry'!AA93)</f>
        <v/>
      </c>
      <c r="AU93" s="96" t="str">
        <f t="shared" si="185"/>
        <v/>
      </c>
      <c r="AV93" s="65">
        <f t="shared" si="186"/>
        <v>0</v>
      </c>
      <c r="AW93" s="65">
        <f t="shared" si="187"/>
        <v>0</v>
      </c>
      <c r="AX93" s="66" t="str">
        <f t="shared" si="188"/>
        <v/>
      </c>
      <c r="AY93" s="65" t="str">
        <f t="shared" si="189"/>
        <v/>
      </c>
      <c r="AZ93" s="65" t="str">
        <f t="shared" si="190"/>
        <v/>
      </c>
      <c r="BA93" s="65" t="str">
        <f t="shared" si="191"/>
        <v/>
      </c>
      <c r="BB93" s="68" t="str">
        <f>IF('Marks Entry'!AB93="","",'Marks Entry'!AB93)</f>
        <v/>
      </c>
      <c r="BC93" s="68" t="str">
        <f>IF('Marks Entry'!AC93="","",'Marks Entry'!AC93)</f>
        <v/>
      </c>
      <c r="BD93" s="68" t="str">
        <f>IF('Marks Entry'!AD93="","",'Marks Entry'!AD93)</f>
        <v/>
      </c>
      <c r="BE93" s="514" t="str">
        <f t="shared" si="192"/>
        <v/>
      </c>
      <c r="BF93" s="68" t="str">
        <f>IF('Marks Entry'!AE93="","",'Marks Entry'!AE93)</f>
        <v/>
      </c>
      <c r="BG93" s="515" t="str">
        <f t="shared" si="193"/>
        <v/>
      </c>
      <c r="BH93" s="68" t="str">
        <f>IF('Marks Entry'!AF93="","",'Marks Entry'!AF93)</f>
        <v/>
      </c>
      <c r="BI93" s="96" t="str">
        <f t="shared" si="194"/>
        <v/>
      </c>
      <c r="BJ93" s="65">
        <f t="shared" si="195"/>
        <v>0</v>
      </c>
      <c r="BK93" s="65">
        <f t="shared" si="263"/>
        <v>0</v>
      </c>
      <c r="BL93" s="66" t="str">
        <f t="shared" si="196"/>
        <v/>
      </c>
      <c r="BM93" s="65" t="str">
        <f t="shared" si="197"/>
        <v/>
      </c>
      <c r="BN93" s="65" t="str">
        <f t="shared" si="198"/>
        <v/>
      </c>
      <c r="BO93" s="65" t="str">
        <f t="shared" si="199"/>
        <v/>
      </c>
      <c r="BP93" s="68" t="str">
        <f>IF('Marks Entry'!AG93="","",'Marks Entry'!AG93)</f>
        <v/>
      </c>
      <c r="BQ93" s="68" t="str">
        <f>IF('Marks Entry'!AH93="","",'Marks Entry'!AH93)</f>
        <v/>
      </c>
      <c r="BR93" s="68" t="str">
        <f>IF('Marks Entry'!AI93="","",'Marks Entry'!AI93)</f>
        <v/>
      </c>
      <c r="BS93" s="514" t="str">
        <f t="shared" si="200"/>
        <v/>
      </c>
      <c r="BT93" s="68" t="str">
        <f>IF('Marks Entry'!AJ93="","",'Marks Entry'!AJ93)</f>
        <v/>
      </c>
      <c r="BU93" s="515" t="str">
        <f t="shared" si="201"/>
        <v/>
      </c>
      <c r="BV93" s="68" t="str">
        <f>IF('Marks Entry'!AK93="","",'Marks Entry'!AK93)</f>
        <v/>
      </c>
      <c r="BW93" s="96" t="str">
        <f t="shared" si="202"/>
        <v/>
      </c>
      <c r="BX93" s="65">
        <f t="shared" si="203"/>
        <v>0</v>
      </c>
      <c r="BY93" s="65">
        <f t="shared" si="204"/>
        <v>0</v>
      </c>
      <c r="BZ93" s="66" t="str">
        <f t="shared" si="205"/>
        <v/>
      </c>
      <c r="CA93" s="65" t="str">
        <f t="shared" si="206"/>
        <v/>
      </c>
      <c r="CB93" s="65" t="str">
        <f t="shared" si="207"/>
        <v/>
      </c>
      <c r="CC93" s="65" t="str">
        <f t="shared" si="208"/>
        <v/>
      </c>
      <c r="CD93" s="66">
        <f t="shared" si="209"/>
        <v>0</v>
      </c>
      <c r="CE93" s="68" t="str">
        <f>IF('Marks Entry'!AL93="","",'Marks Entry'!AL93)</f>
        <v/>
      </c>
      <c r="CF93" s="68" t="str">
        <f>IF('Marks Entry'!AM93="","",'Marks Entry'!AM93)</f>
        <v/>
      </c>
      <c r="CG93" s="68" t="str">
        <f>IF('Marks Entry'!AN93="","",'Marks Entry'!AN93)</f>
        <v/>
      </c>
      <c r="CH93" s="514" t="str">
        <f t="shared" si="210"/>
        <v/>
      </c>
      <c r="CI93" s="68" t="str">
        <f>IF('Marks Entry'!AO93="","",'Marks Entry'!AO93)</f>
        <v/>
      </c>
      <c r="CJ93" s="515" t="str">
        <f t="shared" si="211"/>
        <v/>
      </c>
      <c r="CK93" s="68" t="str">
        <f>IF('Marks Entry'!AP93="","",'Marks Entry'!AP93)</f>
        <v/>
      </c>
      <c r="CL93" s="96" t="str">
        <f t="shared" si="212"/>
        <v/>
      </c>
      <c r="CM93" s="65">
        <f t="shared" si="213"/>
        <v>0</v>
      </c>
      <c r="CN93" s="65">
        <f t="shared" si="214"/>
        <v>0</v>
      </c>
      <c r="CO93" s="66" t="str">
        <f t="shared" si="215"/>
        <v/>
      </c>
      <c r="CP93" s="65" t="str">
        <f t="shared" si="216"/>
        <v/>
      </c>
      <c r="CQ93" s="65" t="str">
        <f t="shared" si="217"/>
        <v/>
      </c>
      <c r="CR93" s="65" t="str">
        <f t="shared" si="218"/>
        <v/>
      </c>
      <c r="CS93" s="616"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8" t="str">
        <f>IF('School Profile'!$D$20="NO","",IF('Marks Entry'!AR93="","",'Marks Entry'!AR93))</f>
        <v/>
      </c>
      <c r="CU93" s="68" t="str">
        <f>IF('School Profile'!$D$20="NO","",IF('Marks Entry'!AS93="","",'Marks Entry'!AS93))</f>
        <v/>
      </c>
      <c r="CV93" s="68" t="str">
        <f>IF('School Profile'!$D$20="NO","",IF('Marks Entry'!AT93="","",'Marks Entry'!AT93))</f>
        <v/>
      </c>
      <c r="CW93" s="514" t="str">
        <f>IF('School Profile'!$D$20="NO","",IF(AND(CT93="",CU93="",CV93=""),"",SUM(CT93:CV93)))</f>
        <v/>
      </c>
      <c r="CX93" s="68" t="str">
        <f>IF('School Profile'!$D$20="NO","",IF('Marks Entry'!AU93="","",'Marks Entry'!AU93))</f>
        <v/>
      </c>
      <c r="CY93" s="68" t="str">
        <f>IF('School Profile'!$D$20="NO","",IF('Marks Entry'!AV93="","",'Marks Entry'!AV93))</f>
        <v/>
      </c>
      <c r="CZ93" s="515" t="str">
        <f>IF('School Profile'!$D$20="NO","",IF(AND(CX93="",CY93=""),"",SUM(CX93,CY93)))</f>
        <v/>
      </c>
      <c r="DA93" s="69" t="str">
        <f>IF('School Profile'!$D$20="NO","",IF(AND(CW93="",CZ93=""),"",SUM(CW93+CZ93)))</f>
        <v/>
      </c>
      <c r="DB93" s="68" t="str">
        <f>IF('School Profile'!$D$20="NO","",IF('Marks Entry'!AW93="","",'Marks Entry'!AW93))</f>
        <v/>
      </c>
      <c r="DC93" s="68" t="str">
        <f>IF('School Profile'!$D$20="NO","",IF('Marks Entry'!AX93="","",'Marks Entry'!AX93))</f>
        <v/>
      </c>
      <c r="DD93" s="515" t="str">
        <f>IF('School Profile'!$D$20="NO","",IF(AND(DB93="",DC93=""),"",SUM(DB93,DC93)))</f>
        <v/>
      </c>
      <c r="DE93" s="96" t="str">
        <f>IF('School Profile'!$D$20="NO","",IF(AND(DA93="",DD93=""),"",SUM(DA93,DD93)))</f>
        <v/>
      </c>
      <c r="DF93" s="532">
        <f t="shared" si="219"/>
        <v>0</v>
      </c>
      <c r="DG93" s="65">
        <f t="shared" si="220"/>
        <v>0</v>
      </c>
      <c r="DH93" s="66" t="str">
        <f t="shared" si="221"/>
        <v/>
      </c>
      <c r="DI93" s="65" t="str">
        <f t="shared" si="222"/>
        <v/>
      </c>
      <c r="DJ93" s="65" t="str">
        <f t="shared" si="223"/>
        <v/>
      </c>
      <c r="DK93" s="65" t="str">
        <f t="shared" si="224"/>
        <v/>
      </c>
      <c r="DL93" s="97" t="str">
        <f t="shared" si="264"/>
        <v/>
      </c>
      <c r="DM93" s="97" t="str">
        <f t="shared" si="265"/>
        <v/>
      </c>
      <c r="DN93" s="97" t="str">
        <f t="shared" si="266"/>
        <v/>
      </c>
      <c r="DO93" s="97" t="str">
        <f t="shared" si="267"/>
        <v/>
      </c>
      <c r="DP93" s="97" t="str">
        <f t="shared" si="268"/>
        <v/>
      </c>
      <c r="DQ93" s="97" t="str">
        <f t="shared" si="269"/>
        <v/>
      </c>
      <c r="DR93" s="97" t="str">
        <f t="shared" si="270"/>
        <v/>
      </c>
      <c r="DS93" s="98">
        <f t="shared" si="271"/>
        <v>0</v>
      </c>
      <c r="DT93" s="98">
        <f t="shared" si="272"/>
        <v>0</v>
      </c>
      <c r="DU93" s="98">
        <f t="shared" si="273"/>
        <v>0</v>
      </c>
      <c r="DV93" s="98">
        <f t="shared" si="274"/>
        <v>0</v>
      </c>
      <c r="DW93" s="98">
        <f t="shared" si="275"/>
        <v>0</v>
      </c>
      <c r="DX93" s="98" t="str">
        <f t="shared" si="276"/>
        <v/>
      </c>
      <c r="DY93" s="99" t="str">
        <f t="shared" si="277"/>
        <v/>
      </c>
      <c r="DZ93" s="74" t="str">
        <f>IF('Marks Entry'!AY93="","",'Marks Entry'!AY93)</f>
        <v/>
      </c>
      <c r="EA93" s="74" t="str">
        <f>IF('Marks Entry'!AZ93="","",'Marks Entry'!AZ93)</f>
        <v/>
      </c>
      <c r="EB93" s="74" t="str">
        <f>IF('Marks Entry'!BA93="","",'Marks Entry'!BA93)</f>
        <v/>
      </c>
      <c r="EC93" s="527" t="str">
        <f t="shared" si="225"/>
        <v/>
      </c>
      <c r="ED93" s="74" t="str">
        <f>IF('Marks Entry'!BB93="","",'Marks Entry'!BB93)</f>
        <v/>
      </c>
      <c r="EE93" s="528" t="str">
        <f t="shared" si="226"/>
        <v/>
      </c>
      <c r="EF93" s="74" t="str">
        <f>IF('Marks Entry'!BC93="","",'Marks Entry'!BC93)</f>
        <v/>
      </c>
      <c r="EG93" s="530" t="str">
        <f t="shared" si="227"/>
        <v/>
      </c>
      <c r="EH93" s="368" t="str">
        <f t="shared" si="278"/>
        <v/>
      </c>
      <c r="EI93" s="65">
        <f t="shared" si="279"/>
        <v>0</v>
      </c>
      <c r="EJ93" s="65">
        <f t="shared" si="280"/>
        <v>0</v>
      </c>
      <c r="EK93" s="66" t="str">
        <f t="shared" si="281"/>
        <v/>
      </c>
      <c r="EL93" s="74" t="str">
        <f>IF('Marks Entry'!BD93="","",'Marks Entry'!BD93)</f>
        <v/>
      </c>
      <c r="EM93" s="74" t="str">
        <f>IF('Marks Entry'!BE93="","",'Marks Entry'!BE93)</f>
        <v/>
      </c>
      <c r="EN93" s="74" t="str">
        <f>IF('Marks Entry'!BF93="","",'Marks Entry'!BF93)</f>
        <v/>
      </c>
      <c r="EO93" s="527" t="str">
        <f t="shared" si="228"/>
        <v/>
      </c>
      <c r="EP93" s="74" t="str">
        <f>IF('Marks Entry'!BG93="","",'Marks Entry'!BG93)</f>
        <v/>
      </c>
      <c r="EQ93" s="74" t="str">
        <f>IF('Marks Entry'!BH93="","",'Marks Entry'!BH93)</f>
        <v/>
      </c>
      <c r="ER93" s="528" t="str">
        <f t="shared" si="229"/>
        <v/>
      </c>
      <c r="ES93" s="529" t="str">
        <f t="shared" si="230"/>
        <v/>
      </c>
      <c r="ET93" s="74" t="str">
        <f>IF('Marks Entry'!BI93="","",'Marks Entry'!BI93)</f>
        <v/>
      </c>
      <c r="EU93" s="74" t="str">
        <f>IF('Marks Entry'!BJ93="","",'Marks Entry'!BJ93)</f>
        <v/>
      </c>
      <c r="EV93" s="528" t="str">
        <f t="shared" si="231"/>
        <v/>
      </c>
      <c r="EW93" s="530" t="str">
        <f t="shared" si="232"/>
        <v/>
      </c>
      <c r="EX93" s="368" t="str">
        <f t="shared" si="282"/>
        <v/>
      </c>
      <c r="EY93" s="65">
        <f t="shared" si="283"/>
        <v>0</v>
      </c>
      <c r="EZ93" s="65">
        <f t="shared" si="284"/>
        <v>0</v>
      </c>
      <c r="FA93" s="66" t="str">
        <f t="shared" si="285"/>
        <v/>
      </c>
      <c r="FB93" s="74" t="str">
        <f>IF('Marks Entry'!BK93="","",'Marks Entry'!BK93)</f>
        <v/>
      </c>
      <c r="FC93" s="74" t="str">
        <f>IF('Marks Entry'!BL93="","",'Marks Entry'!BL93)</f>
        <v/>
      </c>
      <c r="FD93" s="74" t="str">
        <f>IF('Marks Entry'!BM93="","",'Marks Entry'!BM93)</f>
        <v/>
      </c>
      <c r="FE93" s="74" t="str">
        <f>IF('Marks Entry'!BN93="","",'Marks Entry'!BN93)</f>
        <v/>
      </c>
      <c r="FF93" s="74" t="str">
        <f>IF('Marks Entry'!BO93="","",'Marks Entry'!BO93)</f>
        <v/>
      </c>
      <c r="FG93" s="74" t="str">
        <f>IF('Marks Entry'!BP93="","",'Marks Entry'!BP93)</f>
        <v/>
      </c>
      <c r="FH93" s="527" t="str">
        <f t="shared" si="233"/>
        <v/>
      </c>
      <c r="FI93" s="74" t="str">
        <f>IF('Marks Entry'!BQ93="","",'Marks Entry'!BQ93)</f>
        <v/>
      </c>
      <c r="FJ93" s="74" t="str">
        <f>IF('Marks Entry'!BR93="","",'Marks Entry'!BR93)</f>
        <v/>
      </c>
      <c r="FK93" s="528" t="str">
        <f t="shared" si="234"/>
        <v/>
      </c>
      <c r="FL93" s="529" t="str">
        <f t="shared" si="235"/>
        <v/>
      </c>
      <c r="FM93" s="74" t="str">
        <f>IF('Marks Entry'!BS93="","",'Marks Entry'!BS93)</f>
        <v/>
      </c>
      <c r="FN93" s="74" t="str">
        <f>IF('Marks Entry'!BT93="","",'Marks Entry'!BT93)</f>
        <v/>
      </c>
      <c r="FO93" s="528" t="str">
        <f t="shared" si="236"/>
        <v/>
      </c>
      <c r="FP93" s="530" t="str">
        <f t="shared" si="237"/>
        <v/>
      </c>
      <c r="FQ93" s="368" t="str">
        <f t="shared" si="286"/>
        <v/>
      </c>
      <c r="FR93" s="65">
        <f t="shared" si="287"/>
        <v>0</v>
      </c>
      <c r="FS93" s="65">
        <f t="shared" si="288"/>
        <v>0</v>
      </c>
      <c r="FT93" s="66" t="str">
        <f t="shared" si="289"/>
        <v/>
      </c>
      <c r="FU93" s="74" t="str">
        <f>IF('Marks Entry'!BU93="","",'Marks Entry'!BU93)</f>
        <v/>
      </c>
      <c r="FV93" s="74" t="str">
        <f>IF('Marks Entry'!BV93="","",'Marks Entry'!BV93)</f>
        <v/>
      </c>
      <c r="FW93" s="74" t="str">
        <f>IF('Marks Entry'!BW93="","",'Marks Entry'!BW93)</f>
        <v/>
      </c>
      <c r="FX93" s="75" t="str">
        <f t="shared" si="238"/>
        <v/>
      </c>
      <c r="FY93" s="368" t="str">
        <f t="shared" si="290"/>
        <v/>
      </c>
      <c r="FZ93" s="65">
        <f t="shared" si="291"/>
        <v>0</v>
      </c>
      <c r="GA93" s="66">
        <f t="shared" si="292"/>
        <v>0</v>
      </c>
      <c r="GB93" s="66" t="str">
        <f t="shared" si="293"/>
        <v/>
      </c>
      <c r="GC93" s="74" t="str">
        <f>IF('Marks Entry'!BX93="","",'Marks Entry'!BX93)</f>
        <v/>
      </c>
      <c r="GD93" s="74" t="str">
        <f>IF('Marks Entry'!BY93="","",'Marks Entry'!BY93)</f>
        <v/>
      </c>
      <c r="GE93" s="74" t="str">
        <f>IF('Marks Entry'!BZ93="","",'Marks Entry'!BZ93)</f>
        <v/>
      </c>
      <c r="GF93" s="75" t="str">
        <f t="shared" si="294"/>
        <v/>
      </c>
      <c r="GG93" s="368" t="str">
        <f t="shared" si="295"/>
        <v/>
      </c>
      <c r="GH93" s="65">
        <f t="shared" si="296"/>
        <v>0</v>
      </c>
      <c r="GI93" s="66">
        <f t="shared" si="297"/>
        <v>0</v>
      </c>
      <c r="GJ93" s="66" t="str">
        <f t="shared" si="298"/>
        <v/>
      </c>
      <c r="GK93" s="100" t="str">
        <f>IF(AND(F93="",B93=""),"",IF('Student DATA Entry'!M90="","",'Student DATA Entry'!M90))</f>
        <v/>
      </c>
      <c r="GL93" s="101" t="str">
        <f>IF(AND(B93="",F93=""),"",IF('Student DATA Entry'!N90="","",'Student DATA Entry'!N90))</f>
        <v/>
      </c>
      <c r="GM93" s="581" t="str">
        <f t="shared" si="299"/>
        <v/>
      </c>
      <c r="GN93" s="94" t="str">
        <f t="shared" si="300"/>
        <v/>
      </c>
      <c r="GO93" s="94" t="str">
        <f t="shared" si="301"/>
        <v/>
      </c>
      <c r="GP93" s="102" t="str">
        <f t="shared" si="239"/>
        <v/>
      </c>
      <c r="GQ93" s="94" t="str">
        <f t="shared" si="302"/>
        <v/>
      </c>
      <c r="GR93" s="103" t="str">
        <f t="shared" si="303"/>
        <v/>
      </c>
      <c r="GS93" s="102" t="str">
        <f t="shared" si="240"/>
        <v/>
      </c>
      <c r="GT93" s="104" t="str">
        <f t="shared" si="304"/>
        <v/>
      </c>
      <c r="GU93" s="94" t="str">
        <f>IF('Marks Entry'!V93=1,GT93,"")</f>
        <v/>
      </c>
      <c r="GV93" s="94" t="str">
        <f>IF('Marks Entry'!V93=2,GT93,"")</f>
        <v/>
      </c>
      <c r="GW93" s="94" t="str">
        <f>IF('Marks Entry'!V93=3,GT93,"")</f>
        <v/>
      </c>
      <c r="GX93" s="94" t="str">
        <f>IF('Marks Entry'!V93=4,GT93,"")</f>
        <v/>
      </c>
      <c r="GY93" s="94" t="str">
        <f>IF('Marks Entry'!V93=5,GT93,"")</f>
        <v/>
      </c>
      <c r="GZ93" s="94" t="str">
        <f t="shared" si="305"/>
        <v/>
      </c>
      <c r="HA93" s="105" t="str">
        <f t="shared" si="241"/>
        <v/>
      </c>
      <c r="HB93" s="94" t="str">
        <f t="shared" si="306"/>
        <v/>
      </c>
      <c r="HC93" s="94" t="str">
        <f t="shared" si="307"/>
        <v/>
      </c>
      <c r="HD93" s="105" t="str">
        <f t="shared" si="242"/>
        <v/>
      </c>
      <c r="HE93" s="94" t="str">
        <f t="shared" si="308"/>
        <v/>
      </c>
      <c r="HF93" s="94" t="str">
        <f t="shared" si="309"/>
        <v/>
      </c>
      <c r="HG93" s="105" t="str">
        <f t="shared" si="243"/>
        <v/>
      </c>
      <c r="HH93" s="94" t="str">
        <f t="shared" si="310"/>
        <v/>
      </c>
      <c r="HI93" s="94" t="str">
        <f t="shared" si="311"/>
        <v/>
      </c>
      <c r="HJ93" s="105" t="str">
        <f t="shared" si="244"/>
        <v/>
      </c>
      <c r="HK93" s="94" t="str">
        <f t="shared" si="312"/>
        <v/>
      </c>
      <c r="HL93" s="94" t="str">
        <f t="shared" si="313"/>
        <v/>
      </c>
      <c r="HM93" s="105" t="str">
        <f t="shared" si="245"/>
        <v/>
      </c>
      <c r="HN93" s="367" t="str">
        <f t="shared" si="314"/>
        <v xml:space="preserve">      </v>
      </c>
      <c r="HO93" s="418" t="str">
        <f t="shared" si="246"/>
        <v xml:space="preserve">      </v>
      </c>
      <c r="HP93" s="367" t="str">
        <f t="shared" si="315"/>
        <v xml:space="preserve">      </v>
      </c>
      <c r="HQ93" s="107" t="str">
        <f t="shared" si="316"/>
        <v xml:space="preserve">      </v>
      </c>
      <c r="HR93" s="366" t="str">
        <f t="shared" si="317"/>
        <v xml:space="preserve">      </v>
      </c>
      <c r="HS93" s="544" t="str">
        <f t="shared" si="247"/>
        <v/>
      </c>
      <c r="HT93" s="542" t="str">
        <f t="shared" si="318"/>
        <v/>
      </c>
      <c r="HU93" s="541" t="str">
        <f t="shared" si="319"/>
        <v/>
      </c>
      <c r="HV93" s="540" t="str">
        <f t="shared" si="320"/>
        <v/>
      </c>
      <c r="HW93" s="537" t="str">
        <f t="shared" si="321"/>
        <v/>
      </c>
      <c r="HX93" s="539" t="str">
        <f t="shared" si="322"/>
        <v/>
      </c>
      <c r="HY93" s="553" t="str">
        <f>IFERROR(IF(OR(HS93="SUPPLEMENTARY",HS93="RE-EXAM"),'Supp. Result Entry'!AQ91,""),"")</f>
        <v/>
      </c>
      <c r="HZ93" s="538" t="str">
        <f t="shared" si="323"/>
        <v/>
      </c>
      <c r="IA93" s="415" t="str">
        <f t="shared" si="324"/>
        <v/>
      </c>
      <c r="IB93" s="415" t="str">
        <f>IF(AND(HZ93="",IA93=""),"",IF(OR(HS93="SUPPLEMENTARY",HS93="RE-EXAM"),'Supp. Result Entry'!AQ91,HS93))</f>
        <v/>
      </c>
      <c r="IC93" s="87"/>
      <c r="IS93" s="109" t="str">
        <f>IF('Supp. Result Entry'!T91="","",'Supp. Result Entry'!$T$4)</f>
        <v/>
      </c>
      <c r="IT93" s="110" t="str">
        <f>IF('Supp. Result Entry'!W91="","",'Supp. Result Entry'!$W$4)</f>
        <v/>
      </c>
      <c r="IU93" s="110" t="str">
        <f>IF('Supp. Result Entry'!Z91="","",'Supp. Result Entry'!$Z$4)</f>
        <v/>
      </c>
      <c r="IV93" s="110" t="str">
        <f>IF('Supp. Result Entry'!AC91="","",'Supp. Result Entry'!$AC$4)</f>
        <v/>
      </c>
      <c r="IW93" s="110" t="str">
        <f>IF('Supp. Result Entry'!AF91="","",'Supp. Result Entry'!$AF$4)</f>
        <v/>
      </c>
      <c r="IX93" s="110" t="str">
        <f>IF('Supp. Result Entry'!AI91="","",'Supp. Result Entry'!$AI$4)</f>
        <v/>
      </c>
      <c r="IY93" s="110" t="str">
        <f>IF('Supp. Result Entry'!AI91="","",'Supp. Result Entry'!$AL$4)</f>
        <v/>
      </c>
      <c r="IZ93" s="110" t="str">
        <f>IF('Supp. Result Entry'!U91="","",'Supp. Result Entry'!U91)</f>
        <v/>
      </c>
      <c r="JA93" s="110" t="str">
        <f>IF('Supp. Result Entry'!X91="","",'Supp. Result Entry'!X91)</f>
        <v/>
      </c>
      <c r="JB93" s="110" t="str">
        <f>IF('Supp. Result Entry'!AA91="","",'Supp. Result Entry'!AA91)</f>
        <v/>
      </c>
      <c r="JC93" s="110" t="str">
        <f>IF('Supp. Result Entry'!AD91="","",'Supp. Result Entry'!AD91)</f>
        <v/>
      </c>
      <c r="JD93" s="110" t="str">
        <f>IF('Supp. Result Entry'!AG91="","",'Supp. Result Entry'!AG91)</f>
        <v/>
      </c>
      <c r="JE93" s="110" t="str">
        <f>IF('Supp. Result Entry'!AJ91="","",'Supp. Result Entry'!AJ91)</f>
        <v/>
      </c>
      <c r="JF93" s="110" t="str">
        <f>IF('Supp. Result Entry'!AM91="","",'Supp. Result Entry'!AM91)</f>
        <v/>
      </c>
      <c r="JG93" s="110" t="str">
        <f>IF('Supp. Result Entry'!V91="","",'Supp. Result Entry'!V91)</f>
        <v/>
      </c>
      <c r="JH93" s="110" t="str">
        <f>IF('Supp. Result Entry'!Y91="","",'Supp. Result Entry'!Y91)</f>
        <v/>
      </c>
      <c r="JI93" s="110" t="str">
        <f>IF('Supp. Result Entry'!AB91="","",'Supp. Result Entry'!AB91)</f>
        <v/>
      </c>
      <c r="JJ93" s="110" t="str">
        <f>IF('Supp. Result Entry'!AE91="","",'Supp. Result Entry'!AE91)</f>
        <v/>
      </c>
      <c r="JK93" s="110" t="str">
        <f>IF('Supp. Result Entry'!AH91="","",'Supp. Result Entry'!AH91)</f>
        <v/>
      </c>
      <c r="JL93" s="110" t="str">
        <f>IF('Supp. Result Entry'!AK91="","",'Supp. Result Entry'!AK91)</f>
        <v/>
      </c>
      <c r="JM93" s="110" t="str">
        <f>IF('Supp. Result Entry'!AN91="","",'Supp. Result Entry'!AN91)</f>
        <v/>
      </c>
      <c r="JN93" s="110">
        <f>COUNTIF('Supp. Result Entry'!K91:Q91,"S")</f>
        <v>0</v>
      </c>
      <c r="JO93" s="110">
        <f t="shared" si="248"/>
        <v>0</v>
      </c>
      <c r="JP93" s="110">
        <f t="shared" si="325"/>
        <v>0</v>
      </c>
      <c r="JQ93" s="110" t="str">
        <f t="shared" si="249"/>
        <v/>
      </c>
      <c r="JR93" s="110" t="str">
        <f t="shared" si="250"/>
        <v/>
      </c>
      <c r="JS93" s="110" t="str">
        <f t="shared" si="251"/>
        <v/>
      </c>
      <c r="JT93" s="110" t="str">
        <f t="shared" si="252"/>
        <v/>
      </c>
      <c r="JU93" s="110" t="str">
        <f t="shared" si="253"/>
        <v/>
      </c>
      <c r="JV93" s="110" t="str">
        <f t="shared" si="254"/>
        <v/>
      </c>
      <c r="JW93" s="110" t="str">
        <f t="shared" si="255"/>
        <v/>
      </c>
      <c r="JX93" s="110" t="str">
        <f t="shared" si="326"/>
        <v/>
      </c>
      <c r="JY93" s="110" t="str">
        <f t="shared" si="327"/>
        <v/>
      </c>
      <c r="JZ93" s="110" t="str">
        <f t="shared" si="256"/>
        <v/>
      </c>
      <c r="KA93" s="108" t="str">
        <f t="shared" si="328"/>
        <v/>
      </c>
    </row>
    <row r="94" spans="1:287" s="108" customFormat="1" ht="21.95" customHeight="1">
      <c r="A94" s="89">
        <v>88</v>
      </c>
      <c r="B94" s="90" t="str">
        <f>IF('Marks Entry'!B94="","",'Marks Entry'!B94)</f>
        <v/>
      </c>
      <c r="C94" s="94" t="str">
        <f>IF('Marks Entry'!D94="","",'Marks Entry'!D94)</f>
        <v/>
      </c>
      <c r="D94" s="91" t="str">
        <f>IF('Marks Entry'!E94="","",'Marks Entry'!E94)</f>
        <v/>
      </c>
      <c r="E94" s="92" t="str">
        <f>IF('Marks Entry'!F94="","",'Marks Entry'!F94)</f>
        <v/>
      </c>
      <c r="F94" s="93" t="str">
        <f>IF('Marks Entry'!G94="","",'Marks Entry'!G94)</f>
        <v/>
      </c>
      <c r="G94" s="93" t="str">
        <f>IF('Marks Entry'!H94="","",'Marks Entry'!H94)</f>
        <v/>
      </c>
      <c r="H94" s="93" t="str">
        <f>IF('Marks Entry'!I94="","",'Marks Entry'!I94)</f>
        <v/>
      </c>
      <c r="I94" s="94" t="str">
        <f>IF('Marks Entry'!J94="","",'Marks Entry'!J94)</f>
        <v/>
      </c>
      <c r="J94" s="95" t="str">
        <f>IF('Marks Entry'!K94="","",'Marks Entry'!K94)</f>
        <v/>
      </c>
      <c r="K94" s="68" t="str">
        <f>IF('Marks Entry'!L94="","",'Marks Entry'!L94)</f>
        <v/>
      </c>
      <c r="L94" s="68" t="str">
        <f>IF('Marks Entry'!M94="","",'Marks Entry'!M94)</f>
        <v/>
      </c>
      <c r="M94" s="68" t="str">
        <f>IF('Marks Entry'!N94="","",'Marks Entry'!N94)</f>
        <v/>
      </c>
      <c r="N94" s="514" t="str">
        <f t="shared" si="257"/>
        <v/>
      </c>
      <c r="O94" s="68" t="str">
        <f>IF('Marks Entry'!O94="","",'Marks Entry'!O94)</f>
        <v/>
      </c>
      <c r="P94" s="515" t="str">
        <f t="shared" si="258"/>
        <v/>
      </c>
      <c r="Q94" s="68" t="str">
        <f>IF('Marks Entry'!P94="","",'Marks Entry'!P94)</f>
        <v/>
      </c>
      <c r="R94" s="96" t="str">
        <f t="shared" si="259"/>
        <v/>
      </c>
      <c r="S94" s="65">
        <f t="shared" si="260"/>
        <v>0</v>
      </c>
      <c r="T94" s="65">
        <f t="shared" si="261"/>
        <v>0</v>
      </c>
      <c r="U94" s="66" t="str">
        <f t="shared" si="171"/>
        <v/>
      </c>
      <c r="V94" s="65" t="str">
        <f t="shared" si="172"/>
        <v/>
      </c>
      <c r="W94" s="65" t="str">
        <f t="shared" si="262"/>
        <v/>
      </c>
      <c r="X94" s="65" t="str">
        <f t="shared" si="173"/>
        <v/>
      </c>
      <c r="Y94" s="68" t="str">
        <f>IF('Marks Entry'!Q94="","",'Marks Entry'!Q94)</f>
        <v/>
      </c>
      <c r="Z94" s="68" t="str">
        <f>IF('Marks Entry'!R94="","",'Marks Entry'!R94)</f>
        <v/>
      </c>
      <c r="AA94" s="68" t="str">
        <f>IF('Marks Entry'!S94="","",'Marks Entry'!S94)</f>
        <v/>
      </c>
      <c r="AB94" s="514" t="str">
        <f t="shared" si="174"/>
        <v/>
      </c>
      <c r="AC94" s="68" t="str">
        <f>IF('Marks Entry'!T94="","",'Marks Entry'!T94)</f>
        <v/>
      </c>
      <c r="AD94" s="515" t="str">
        <f t="shared" si="175"/>
        <v/>
      </c>
      <c r="AE94" s="68" t="str">
        <f>IF('Marks Entry'!U94="","",'Marks Entry'!U94)</f>
        <v/>
      </c>
      <c r="AF94" s="96" t="str">
        <f t="shared" si="176"/>
        <v/>
      </c>
      <c r="AG94" s="65">
        <f t="shared" si="177"/>
        <v>0</v>
      </c>
      <c r="AH94" s="65">
        <f t="shared" si="178"/>
        <v>0</v>
      </c>
      <c r="AI94" s="66" t="str">
        <f t="shared" si="179"/>
        <v/>
      </c>
      <c r="AJ94" s="65" t="str">
        <f t="shared" si="180"/>
        <v/>
      </c>
      <c r="AK94" s="65" t="str">
        <f t="shared" si="181"/>
        <v/>
      </c>
      <c r="AL94" s="65" t="str">
        <f t="shared" si="182"/>
        <v/>
      </c>
      <c r="AM94" s="524" t="str">
        <f>IF('Marks Entry'!V94="","",IF('Marks Entry'!V94=1,'School Profile'!$I$9,IF('Marks Entry'!V94=2,'School Profile'!$I$10,IF('Marks Entry'!V94=3,'School Profile'!$I$11,IF('Marks Entry'!V94=4,'School Profile'!$I$12,IF('Marks Entry'!V94=5,'School Profile'!$I$13,IF('Marks Entry'!V94=6,'School Profile'!$I$14,"")))))))</f>
        <v/>
      </c>
      <c r="AN94" s="68" t="str">
        <f>IF('Marks Entry'!W94="","",'Marks Entry'!W94)</f>
        <v/>
      </c>
      <c r="AO94" s="68" t="str">
        <f>IF('Marks Entry'!X94="","",'Marks Entry'!X94)</f>
        <v/>
      </c>
      <c r="AP94" s="68" t="str">
        <f>IF('Marks Entry'!Y94="","",'Marks Entry'!Y94)</f>
        <v/>
      </c>
      <c r="AQ94" s="514" t="str">
        <f t="shared" si="183"/>
        <v/>
      </c>
      <c r="AR94" s="68" t="str">
        <f>IF('Marks Entry'!Z94="","",'Marks Entry'!Z94)</f>
        <v/>
      </c>
      <c r="AS94" s="515" t="str">
        <f t="shared" si="184"/>
        <v/>
      </c>
      <c r="AT94" s="68" t="str">
        <f>IF('Marks Entry'!AA94="","",'Marks Entry'!AA94)</f>
        <v/>
      </c>
      <c r="AU94" s="96" t="str">
        <f t="shared" si="185"/>
        <v/>
      </c>
      <c r="AV94" s="65">
        <f t="shared" si="186"/>
        <v>0</v>
      </c>
      <c r="AW94" s="65">
        <f t="shared" si="187"/>
        <v>0</v>
      </c>
      <c r="AX94" s="66" t="str">
        <f t="shared" si="188"/>
        <v/>
      </c>
      <c r="AY94" s="65" t="str">
        <f t="shared" si="189"/>
        <v/>
      </c>
      <c r="AZ94" s="65" t="str">
        <f t="shared" si="190"/>
        <v/>
      </c>
      <c r="BA94" s="65" t="str">
        <f t="shared" si="191"/>
        <v/>
      </c>
      <c r="BB94" s="68" t="str">
        <f>IF('Marks Entry'!AB94="","",'Marks Entry'!AB94)</f>
        <v/>
      </c>
      <c r="BC94" s="68" t="str">
        <f>IF('Marks Entry'!AC94="","",'Marks Entry'!AC94)</f>
        <v/>
      </c>
      <c r="BD94" s="68" t="str">
        <f>IF('Marks Entry'!AD94="","",'Marks Entry'!AD94)</f>
        <v/>
      </c>
      <c r="BE94" s="514" t="str">
        <f t="shared" si="192"/>
        <v/>
      </c>
      <c r="BF94" s="68" t="str">
        <f>IF('Marks Entry'!AE94="","",'Marks Entry'!AE94)</f>
        <v/>
      </c>
      <c r="BG94" s="515" t="str">
        <f t="shared" si="193"/>
        <v/>
      </c>
      <c r="BH94" s="68" t="str">
        <f>IF('Marks Entry'!AF94="","",'Marks Entry'!AF94)</f>
        <v/>
      </c>
      <c r="BI94" s="96" t="str">
        <f t="shared" si="194"/>
        <v/>
      </c>
      <c r="BJ94" s="65">
        <f t="shared" si="195"/>
        <v>0</v>
      </c>
      <c r="BK94" s="65">
        <f t="shared" si="263"/>
        <v>0</v>
      </c>
      <c r="BL94" s="66" t="str">
        <f t="shared" si="196"/>
        <v/>
      </c>
      <c r="BM94" s="65" t="str">
        <f t="shared" si="197"/>
        <v/>
      </c>
      <c r="BN94" s="65" t="str">
        <f t="shared" si="198"/>
        <v/>
      </c>
      <c r="BO94" s="65" t="str">
        <f t="shared" si="199"/>
        <v/>
      </c>
      <c r="BP94" s="68" t="str">
        <f>IF('Marks Entry'!AG94="","",'Marks Entry'!AG94)</f>
        <v/>
      </c>
      <c r="BQ94" s="68" t="str">
        <f>IF('Marks Entry'!AH94="","",'Marks Entry'!AH94)</f>
        <v/>
      </c>
      <c r="BR94" s="68" t="str">
        <f>IF('Marks Entry'!AI94="","",'Marks Entry'!AI94)</f>
        <v/>
      </c>
      <c r="BS94" s="514" t="str">
        <f t="shared" si="200"/>
        <v/>
      </c>
      <c r="BT94" s="68" t="str">
        <f>IF('Marks Entry'!AJ94="","",'Marks Entry'!AJ94)</f>
        <v/>
      </c>
      <c r="BU94" s="515" t="str">
        <f t="shared" si="201"/>
        <v/>
      </c>
      <c r="BV94" s="68" t="str">
        <f>IF('Marks Entry'!AK94="","",'Marks Entry'!AK94)</f>
        <v/>
      </c>
      <c r="BW94" s="96" t="str">
        <f t="shared" si="202"/>
        <v/>
      </c>
      <c r="BX94" s="65">
        <f t="shared" si="203"/>
        <v>0</v>
      </c>
      <c r="BY94" s="65">
        <f t="shared" si="204"/>
        <v>0</v>
      </c>
      <c r="BZ94" s="66" t="str">
        <f t="shared" si="205"/>
        <v/>
      </c>
      <c r="CA94" s="65" t="str">
        <f t="shared" si="206"/>
        <v/>
      </c>
      <c r="CB94" s="65" t="str">
        <f t="shared" si="207"/>
        <v/>
      </c>
      <c r="CC94" s="65" t="str">
        <f t="shared" si="208"/>
        <v/>
      </c>
      <c r="CD94" s="66">
        <f t="shared" si="209"/>
        <v>0</v>
      </c>
      <c r="CE94" s="68" t="str">
        <f>IF('Marks Entry'!AL94="","",'Marks Entry'!AL94)</f>
        <v/>
      </c>
      <c r="CF94" s="68" t="str">
        <f>IF('Marks Entry'!AM94="","",'Marks Entry'!AM94)</f>
        <v/>
      </c>
      <c r="CG94" s="68" t="str">
        <f>IF('Marks Entry'!AN94="","",'Marks Entry'!AN94)</f>
        <v/>
      </c>
      <c r="CH94" s="514" t="str">
        <f t="shared" si="210"/>
        <v/>
      </c>
      <c r="CI94" s="68" t="str">
        <f>IF('Marks Entry'!AO94="","",'Marks Entry'!AO94)</f>
        <v/>
      </c>
      <c r="CJ94" s="515" t="str">
        <f t="shared" si="211"/>
        <v/>
      </c>
      <c r="CK94" s="68" t="str">
        <f>IF('Marks Entry'!AP94="","",'Marks Entry'!AP94)</f>
        <v/>
      </c>
      <c r="CL94" s="96" t="str">
        <f t="shared" si="212"/>
        <v/>
      </c>
      <c r="CM94" s="65">
        <f t="shared" si="213"/>
        <v>0</v>
      </c>
      <c r="CN94" s="65">
        <f t="shared" si="214"/>
        <v>0</v>
      </c>
      <c r="CO94" s="66" t="str">
        <f t="shared" si="215"/>
        <v/>
      </c>
      <c r="CP94" s="65" t="str">
        <f t="shared" si="216"/>
        <v/>
      </c>
      <c r="CQ94" s="65" t="str">
        <f t="shared" si="217"/>
        <v/>
      </c>
      <c r="CR94" s="65" t="str">
        <f t="shared" si="218"/>
        <v/>
      </c>
      <c r="CS94" s="616"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8" t="str">
        <f>IF('School Profile'!$D$20="NO","",IF('Marks Entry'!AR94="","",'Marks Entry'!AR94))</f>
        <v/>
      </c>
      <c r="CU94" s="68" t="str">
        <f>IF('School Profile'!$D$20="NO","",IF('Marks Entry'!AS94="","",'Marks Entry'!AS94))</f>
        <v/>
      </c>
      <c r="CV94" s="68" t="str">
        <f>IF('School Profile'!$D$20="NO","",IF('Marks Entry'!AT94="","",'Marks Entry'!AT94))</f>
        <v/>
      </c>
      <c r="CW94" s="514" t="str">
        <f>IF('School Profile'!$D$20="NO","",IF(AND(CT94="",CU94="",CV94=""),"",SUM(CT94:CV94)))</f>
        <v/>
      </c>
      <c r="CX94" s="68" t="str">
        <f>IF('School Profile'!$D$20="NO","",IF('Marks Entry'!AU94="","",'Marks Entry'!AU94))</f>
        <v/>
      </c>
      <c r="CY94" s="68" t="str">
        <f>IF('School Profile'!$D$20="NO","",IF('Marks Entry'!AV94="","",'Marks Entry'!AV94))</f>
        <v/>
      </c>
      <c r="CZ94" s="515" t="str">
        <f>IF('School Profile'!$D$20="NO","",IF(AND(CX94="",CY94=""),"",SUM(CX94,CY94)))</f>
        <v/>
      </c>
      <c r="DA94" s="69" t="str">
        <f>IF('School Profile'!$D$20="NO","",IF(AND(CW94="",CZ94=""),"",SUM(CW94+CZ94)))</f>
        <v/>
      </c>
      <c r="DB94" s="68" t="str">
        <f>IF('School Profile'!$D$20="NO","",IF('Marks Entry'!AW94="","",'Marks Entry'!AW94))</f>
        <v/>
      </c>
      <c r="DC94" s="68" t="str">
        <f>IF('School Profile'!$D$20="NO","",IF('Marks Entry'!AX94="","",'Marks Entry'!AX94))</f>
        <v/>
      </c>
      <c r="DD94" s="515" t="str">
        <f>IF('School Profile'!$D$20="NO","",IF(AND(DB94="",DC94=""),"",SUM(DB94,DC94)))</f>
        <v/>
      </c>
      <c r="DE94" s="96" t="str">
        <f>IF('School Profile'!$D$20="NO","",IF(AND(DA94="",DD94=""),"",SUM(DA94,DD94)))</f>
        <v/>
      </c>
      <c r="DF94" s="532">
        <f t="shared" si="219"/>
        <v>0</v>
      </c>
      <c r="DG94" s="65">
        <f t="shared" si="220"/>
        <v>0</v>
      </c>
      <c r="DH94" s="66" t="str">
        <f t="shared" si="221"/>
        <v/>
      </c>
      <c r="DI94" s="65" t="str">
        <f t="shared" si="222"/>
        <v/>
      </c>
      <c r="DJ94" s="65" t="str">
        <f t="shared" si="223"/>
        <v/>
      </c>
      <c r="DK94" s="65" t="str">
        <f t="shared" si="224"/>
        <v/>
      </c>
      <c r="DL94" s="97" t="str">
        <f t="shared" si="264"/>
        <v/>
      </c>
      <c r="DM94" s="97" t="str">
        <f t="shared" si="265"/>
        <v/>
      </c>
      <c r="DN94" s="97" t="str">
        <f t="shared" si="266"/>
        <v/>
      </c>
      <c r="DO94" s="97" t="str">
        <f t="shared" si="267"/>
        <v/>
      </c>
      <c r="DP94" s="97" t="str">
        <f t="shared" si="268"/>
        <v/>
      </c>
      <c r="DQ94" s="97" t="str">
        <f t="shared" si="269"/>
        <v/>
      </c>
      <c r="DR94" s="97" t="str">
        <f t="shared" si="270"/>
        <v/>
      </c>
      <c r="DS94" s="98">
        <f t="shared" si="271"/>
        <v>0</v>
      </c>
      <c r="DT94" s="98">
        <f t="shared" si="272"/>
        <v>0</v>
      </c>
      <c r="DU94" s="98">
        <f t="shared" si="273"/>
        <v>0</v>
      </c>
      <c r="DV94" s="98">
        <f t="shared" si="274"/>
        <v>0</v>
      </c>
      <c r="DW94" s="98">
        <f t="shared" si="275"/>
        <v>0</v>
      </c>
      <c r="DX94" s="98" t="str">
        <f t="shared" si="276"/>
        <v/>
      </c>
      <c r="DY94" s="99" t="str">
        <f t="shared" si="277"/>
        <v/>
      </c>
      <c r="DZ94" s="74" t="str">
        <f>IF('Marks Entry'!AY94="","",'Marks Entry'!AY94)</f>
        <v/>
      </c>
      <c r="EA94" s="74" t="str">
        <f>IF('Marks Entry'!AZ94="","",'Marks Entry'!AZ94)</f>
        <v/>
      </c>
      <c r="EB94" s="74" t="str">
        <f>IF('Marks Entry'!BA94="","",'Marks Entry'!BA94)</f>
        <v/>
      </c>
      <c r="EC94" s="527" t="str">
        <f t="shared" si="225"/>
        <v/>
      </c>
      <c r="ED94" s="74" t="str">
        <f>IF('Marks Entry'!BB94="","",'Marks Entry'!BB94)</f>
        <v/>
      </c>
      <c r="EE94" s="528" t="str">
        <f t="shared" si="226"/>
        <v/>
      </c>
      <c r="EF94" s="74" t="str">
        <f>IF('Marks Entry'!BC94="","",'Marks Entry'!BC94)</f>
        <v/>
      </c>
      <c r="EG94" s="530" t="str">
        <f t="shared" si="227"/>
        <v/>
      </c>
      <c r="EH94" s="368" t="str">
        <f t="shared" si="278"/>
        <v/>
      </c>
      <c r="EI94" s="65">
        <f t="shared" si="279"/>
        <v>0</v>
      </c>
      <c r="EJ94" s="65">
        <f t="shared" si="280"/>
        <v>0</v>
      </c>
      <c r="EK94" s="66" t="str">
        <f t="shared" si="281"/>
        <v/>
      </c>
      <c r="EL94" s="74" t="str">
        <f>IF('Marks Entry'!BD94="","",'Marks Entry'!BD94)</f>
        <v/>
      </c>
      <c r="EM94" s="74" t="str">
        <f>IF('Marks Entry'!BE94="","",'Marks Entry'!BE94)</f>
        <v/>
      </c>
      <c r="EN94" s="74" t="str">
        <f>IF('Marks Entry'!BF94="","",'Marks Entry'!BF94)</f>
        <v/>
      </c>
      <c r="EO94" s="527" t="str">
        <f t="shared" si="228"/>
        <v/>
      </c>
      <c r="EP94" s="74" t="str">
        <f>IF('Marks Entry'!BG94="","",'Marks Entry'!BG94)</f>
        <v/>
      </c>
      <c r="EQ94" s="74" t="str">
        <f>IF('Marks Entry'!BH94="","",'Marks Entry'!BH94)</f>
        <v/>
      </c>
      <c r="ER94" s="528" t="str">
        <f t="shared" si="229"/>
        <v/>
      </c>
      <c r="ES94" s="529" t="str">
        <f t="shared" si="230"/>
        <v/>
      </c>
      <c r="ET94" s="74" t="str">
        <f>IF('Marks Entry'!BI94="","",'Marks Entry'!BI94)</f>
        <v/>
      </c>
      <c r="EU94" s="74" t="str">
        <f>IF('Marks Entry'!BJ94="","",'Marks Entry'!BJ94)</f>
        <v/>
      </c>
      <c r="EV94" s="528" t="str">
        <f t="shared" si="231"/>
        <v/>
      </c>
      <c r="EW94" s="530" t="str">
        <f t="shared" si="232"/>
        <v/>
      </c>
      <c r="EX94" s="368" t="str">
        <f t="shared" si="282"/>
        <v/>
      </c>
      <c r="EY94" s="65">
        <f t="shared" si="283"/>
        <v>0</v>
      </c>
      <c r="EZ94" s="65">
        <f t="shared" si="284"/>
        <v>0</v>
      </c>
      <c r="FA94" s="66" t="str">
        <f t="shared" si="285"/>
        <v/>
      </c>
      <c r="FB94" s="74" t="str">
        <f>IF('Marks Entry'!BK94="","",'Marks Entry'!BK94)</f>
        <v/>
      </c>
      <c r="FC94" s="74" t="str">
        <f>IF('Marks Entry'!BL94="","",'Marks Entry'!BL94)</f>
        <v/>
      </c>
      <c r="FD94" s="74" t="str">
        <f>IF('Marks Entry'!BM94="","",'Marks Entry'!BM94)</f>
        <v/>
      </c>
      <c r="FE94" s="74" t="str">
        <f>IF('Marks Entry'!BN94="","",'Marks Entry'!BN94)</f>
        <v/>
      </c>
      <c r="FF94" s="74" t="str">
        <f>IF('Marks Entry'!BO94="","",'Marks Entry'!BO94)</f>
        <v/>
      </c>
      <c r="FG94" s="74" t="str">
        <f>IF('Marks Entry'!BP94="","",'Marks Entry'!BP94)</f>
        <v/>
      </c>
      <c r="FH94" s="527" t="str">
        <f t="shared" si="233"/>
        <v/>
      </c>
      <c r="FI94" s="74" t="str">
        <f>IF('Marks Entry'!BQ94="","",'Marks Entry'!BQ94)</f>
        <v/>
      </c>
      <c r="FJ94" s="74" t="str">
        <f>IF('Marks Entry'!BR94="","",'Marks Entry'!BR94)</f>
        <v/>
      </c>
      <c r="FK94" s="528" t="str">
        <f t="shared" si="234"/>
        <v/>
      </c>
      <c r="FL94" s="529" t="str">
        <f t="shared" si="235"/>
        <v/>
      </c>
      <c r="FM94" s="74" t="str">
        <f>IF('Marks Entry'!BS94="","",'Marks Entry'!BS94)</f>
        <v/>
      </c>
      <c r="FN94" s="74" t="str">
        <f>IF('Marks Entry'!BT94="","",'Marks Entry'!BT94)</f>
        <v/>
      </c>
      <c r="FO94" s="528" t="str">
        <f t="shared" si="236"/>
        <v/>
      </c>
      <c r="FP94" s="530" t="str">
        <f t="shared" si="237"/>
        <v/>
      </c>
      <c r="FQ94" s="368" t="str">
        <f t="shared" si="286"/>
        <v/>
      </c>
      <c r="FR94" s="65">
        <f t="shared" si="287"/>
        <v>0</v>
      </c>
      <c r="FS94" s="65">
        <f t="shared" si="288"/>
        <v>0</v>
      </c>
      <c r="FT94" s="66" t="str">
        <f t="shared" si="289"/>
        <v/>
      </c>
      <c r="FU94" s="74" t="str">
        <f>IF('Marks Entry'!BU94="","",'Marks Entry'!BU94)</f>
        <v/>
      </c>
      <c r="FV94" s="74" t="str">
        <f>IF('Marks Entry'!BV94="","",'Marks Entry'!BV94)</f>
        <v/>
      </c>
      <c r="FW94" s="74" t="str">
        <f>IF('Marks Entry'!BW94="","",'Marks Entry'!BW94)</f>
        <v/>
      </c>
      <c r="FX94" s="75" t="str">
        <f t="shared" si="238"/>
        <v/>
      </c>
      <c r="FY94" s="368" t="str">
        <f t="shared" si="290"/>
        <v/>
      </c>
      <c r="FZ94" s="65">
        <f t="shared" si="291"/>
        <v>0</v>
      </c>
      <c r="GA94" s="66">
        <f t="shared" si="292"/>
        <v>0</v>
      </c>
      <c r="GB94" s="66" t="str">
        <f t="shared" si="293"/>
        <v/>
      </c>
      <c r="GC94" s="74" t="str">
        <f>IF('Marks Entry'!BX94="","",'Marks Entry'!BX94)</f>
        <v/>
      </c>
      <c r="GD94" s="74" t="str">
        <f>IF('Marks Entry'!BY94="","",'Marks Entry'!BY94)</f>
        <v/>
      </c>
      <c r="GE94" s="74" t="str">
        <f>IF('Marks Entry'!BZ94="","",'Marks Entry'!BZ94)</f>
        <v/>
      </c>
      <c r="GF94" s="75" t="str">
        <f t="shared" si="294"/>
        <v/>
      </c>
      <c r="GG94" s="368" t="str">
        <f t="shared" si="295"/>
        <v/>
      </c>
      <c r="GH94" s="65">
        <f t="shared" si="296"/>
        <v>0</v>
      </c>
      <c r="GI94" s="66">
        <f t="shared" si="297"/>
        <v>0</v>
      </c>
      <c r="GJ94" s="66" t="str">
        <f t="shared" si="298"/>
        <v/>
      </c>
      <c r="GK94" s="100" t="str">
        <f>IF(AND(F94="",B94=""),"",IF('Student DATA Entry'!M91="","",'Student DATA Entry'!M91))</f>
        <v/>
      </c>
      <c r="GL94" s="101" t="str">
        <f>IF(AND(B94="",F94=""),"",IF('Student DATA Entry'!N91="","",'Student DATA Entry'!N91))</f>
        <v/>
      </c>
      <c r="GM94" s="581" t="str">
        <f t="shared" si="299"/>
        <v/>
      </c>
      <c r="GN94" s="94" t="str">
        <f t="shared" si="300"/>
        <v/>
      </c>
      <c r="GO94" s="94" t="str">
        <f t="shared" si="301"/>
        <v/>
      </c>
      <c r="GP94" s="102" t="str">
        <f t="shared" si="239"/>
        <v/>
      </c>
      <c r="GQ94" s="94" t="str">
        <f t="shared" si="302"/>
        <v/>
      </c>
      <c r="GR94" s="103" t="str">
        <f t="shared" si="303"/>
        <v/>
      </c>
      <c r="GS94" s="102" t="str">
        <f t="shared" si="240"/>
        <v/>
      </c>
      <c r="GT94" s="104" t="str">
        <f t="shared" si="304"/>
        <v/>
      </c>
      <c r="GU94" s="94" t="str">
        <f>IF('Marks Entry'!V94=1,GT94,"")</f>
        <v/>
      </c>
      <c r="GV94" s="94" t="str">
        <f>IF('Marks Entry'!V94=2,GT94,"")</f>
        <v/>
      </c>
      <c r="GW94" s="94" t="str">
        <f>IF('Marks Entry'!V94=3,GT94,"")</f>
        <v/>
      </c>
      <c r="GX94" s="94" t="str">
        <f>IF('Marks Entry'!V94=4,GT94,"")</f>
        <v/>
      </c>
      <c r="GY94" s="94" t="str">
        <f>IF('Marks Entry'!V94=5,GT94,"")</f>
        <v/>
      </c>
      <c r="GZ94" s="94" t="str">
        <f t="shared" si="305"/>
        <v/>
      </c>
      <c r="HA94" s="105" t="str">
        <f t="shared" si="241"/>
        <v/>
      </c>
      <c r="HB94" s="94" t="str">
        <f t="shared" si="306"/>
        <v/>
      </c>
      <c r="HC94" s="94" t="str">
        <f t="shared" si="307"/>
        <v/>
      </c>
      <c r="HD94" s="105" t="str">
        <f t="shared" si="242"/>
        <v/>
      </c>
      <c r="HE94" s="94" t="str">
        <f t="shared" si="308"/>
        <v/>
      </c>
      <c r="HF94" s="94" t="str">
        <f t="shared" si="309"/>
        <v/>
      </c>
      <c r="HG94" s="105" t="str">
        <f t="shared" si="243"/>
        <v/>
      </c>
      <c r="HH94" s="94" t="str">
        <f t="shared" si="310"/>
        <v/>
      </c>
      <c r="HI94" s="94" t="str">
        <f t="shared" si="311"/>
        <v/>
      </c>
      <c r="HJ94" s="105" t="str">
        <f t="shared" si="244"/>
        <v/>
      </c>
      <c r="HK94" s="94" t="str">
        <f t="shared" si="312"/>
        <v/>
      </c>
      <c r="HL94" s="94" t="str">
        <f t="shared" si="313"/>
        <v/>
      </c>
      <c r="HM94" s="105" t="str">
        <f t="shared" si="245"/>
        <v/>
      </c>
      <c r="HN94" s="367" t="str">
        <f t="shared" si="314"/>
        <v xml:space="preserve">      </v>
      </c>
      <c r="HO94" s="418" t="str">
        <f t="shared" si="246"/>
        <v xml:space="preserve">      </v>
      </c>
      <c r="HP94" s="367" t="str">
        <f t="shared" si="315"/>
        <v xml:space="preserve">      </v>
      </c>
      <c r="HQ94" s="107" t="str">
        <f t="shared" si="316"/>
        <v xml:space="preserve">      </v>
      </c>
      <c r="HR94" s="366" t="str">
        <f t="shared" si="317"/>
        <v xml:space="preserve">      </v>
      </c>
      <c r="HS94" s="544" t="str">
        <f t="shared" si="247"/>
        <v/>
      </c>
      <c r="HT94" s="542" t="str">
        <f t="shared" si="318"/>
        <v/>
      </c>
      <c r="HU94" s="541" t="str">
        <f t="shared" si="319"/>
        <v/>
      </c>
      <c r="HV94" s="540" t="str">
        <f t="shared" si="320"/>
        <v/>
      </c>
      <c r="HW94" s="537" t="str">
        <f t="shared" si="321"/>
        <v/>
      </c>
      <c r="HX94" s="539" t="str">
        <f t="shared" si="322"/>
        <v/>
      </c>
      <c r="HY94" s="553" t="str">
        <f>IFERROR(IF(OR(HS94="SUPPLEMENTARY",HS94="RE-EXAM"),'Supp. Result Entry'!AQ92,""),"")</f>
        <v/>
      </c>
      <c r="HZ94" s="538" t="str">
        <f t="shared" si="323"/>
        <v/>
      </c>
      <c r="IA94" s="415" t="str">
        <f t="shared" si="324"/>
        <v/>
      </c>
      <c r="IB94" s="415" t="str">
        <f>IF(AND(HZ94="",IA94=""),"",IF(OR(HS94="SUPPLEMENTARY",HS94="RE-EXAM"),'Supp. Result Entry'!AQ92,HS94))</f>
        <v/>
      </c>
      <c r="IC94" s="87"/>
      <c r="IS94" s="109" t="str">
        <f>IF('Supp. Result Entry'!T92="","",'Supp. Result Entry'!$T$4)</f>
        <v/>
      </c>
      <c r="IT94" s="110" t="str">
        <f>IF('Supp. Result Entry'!W92="","",'Supp. Result Entry'!$W$4)</f>
        <v/>
      </c>
      <c r="IU94" s="110" t="str">
        <f>IF('Supp. Result Entry'!Z92="","",'Supp. Result Entry'!$Z$4)</f>
        <v/>
      </c>
      <c r="IV94" s="110" t="str">
        <f>IF('Supp. Result Entry'!AC92="","",'Supp. Result Entry'!$AC$4)</f>
        <v/>
      </c>
      <c r="IW94" s="110" t="str">
        <f>IF('Supp. Result Entry'!AF92="","",'Supp. Result Entry'!$AF$4)</f>
        <v/>
      </c>
      <c r="IX94" s="110" t="str">
        <f>IF('Supp. Result Entry'!AI92="","",'Supp. Result Entry'!$AI$4)</f>
        <v/>
      </c>
      <c r="IY94" s="110" t="str">
        <f>IF('Supp. Result Entry'!AI92="","",'Supp. Result Entry'!$AL$4)</f>
        <v/>
      </c>
      <c r="IZ94" s="110" t="str">
        <f>IF('Supp. Result Entry'!U92="","",'Supp. Result Entry'!U92)</f>
        <v/>
      </c>
      <c r="JA94" s="110" t="str">
        <f>IF('Supp. Result Entry'!X92="","",'Supp. Result Entry'!X92)</f>
        <v/>
      </c>
      <c r="JB94" s="110" t="str">
        <f>IF('Supp. Result Entry'!AA92="","",'Supp. Result Entry'!AA92)</f>
        <v/>
      </c>
      <c r="JC94" s="110" t="str">
        <f>IF('Supp. Result Entry'!AD92="","",'Supp. Result Entry'!AD92)</f>
        <v/>
      </c>
      <c r="JD94" s="110" t="str">
        <f>IF('Supp. Result Entry'!AG92="","",'Supp. Result Entry'!AG92)</f>
        <v/>
      </c>
      <c r="JE94" s="110" t="str">
        <f>IF('Supp. Result Entry'!AJ92="","",'Supp. Result Entry'!AJ92)</f>
        <v/>
      </c>
      <c r="JF94" s="110" t="str">
        <f>IF('Supp. Result Entry'!AM92="","",'Supp. Result Entry'!AM92)</f>
        <v/>
      </c>
      <c r="JG94" s="110" t="str">
        <f>IF('Supp. Result Entry'!V92="","",'Supp. Result Entry'!V92)</f>
        <v/>
      </c>
      <c r="JH94" s="110" t="str">
        <f>IF('Supp. Result Entry'!Y92="","",'Supp. Result Entry'!Y92)</f>
        <v/>
      </c>
      <c r="JI94" s="110" t="str">
        <f>IF('Supp. Result Entry'!AB92="","",'Supp. Result Entry'!AB92)</f>
        <v/>
      </c>
      <c r="JJ94" s="110" t="str">
        <f>IF('Supp. Result Entry'!AE92="","",'Supp. Result Entry'!AE92)</f>
        <v/>
      </c>
      <c r="JK94" s="110" t="str">
        <f>IF('Supp. Result Entry'!AH92="","",'Supp. Result Entry'!AH92)</f>
        <v/>
      </c>
      <c r="JL94" s="110" t="str">
        <f>IF('Supp. Result Entry'!AK92="","",'Supp. Result Entry'!AK92)</f>
        <v/>
      </c>
      <c r="JM94" s="110" t="str">
        <f>IF('Supp. Result Entry'!AN92="","",'Supp. Result Entry'!AN92)</f>
        <v/>
      </c>
      <c r="JN94" s="110">
        <f>COUNTIF('Supp. Result Entry'!K92:Q92,"S")</f>
        <v>0</v>
      </c>
      <c r="JO94" s="110">
        <f t="shared" si="248"/>
        <v>0</v>
      </c>
      <c r="JP94" s="110">
        <f t="shared" si="325"/>
        <v>0</v>
      </c>
      <c r="JQ94" s="110" t="str">
        <f t="shared" si="249"/>
        <v/>
      </c>
      <c r="JR94" s="110" t="str">
        <f t="shared" si="250"/>
        <v/>
      </c>
      <c r="JS94" s="110" t="str">
        <f t="shared" si="251"/>
        <v/>
      </c>
      <c r="JT94" s="110" t="str">
        <f t="shared" si="252"/>
        <v/>
      </c>
      <c r="JU94" s="110" t="str">
        <f t="shared" si="253"/>
        <v/>
      </c>
      <c r="JV94" s="110" t="str">
        <f t="shared" si="254"/>
        <v/>
      </c>
      <c r="JW94" s="110" t="str">
        <f t="shared" si="255"/>
        <v/>
      </c>
      <c r="JX94" s="110" t="str">
        <f t="shared" si="326"/>
        <v/>
      </c>
      <c r="JY94" s="110" t="str">
        <f t="shared" si="327"/>
        <v/>
      </c>
      <c r="JZ94" s="110" t="str">
        <f t="shared" si="256"/>
        <v/>
      </c>
      <c r="KA94" s="108" t="str">
        <f t="shared" si="328"/>
        <v/>
      </c>
    </row>
    <row r="95" spans="1:287" s="108" customFormat="1" ht="21.95" customHeight="1">
      <c r="A95" s="89">
        <v>89</v>
      </c>
      <c r="B95" s="90" t="str">
        <f>IF('Marks Entry'!B95="","",'Marks Entry'!B95)</f>
        <v/>
      </c>
      <c r="C95" s="94" t="str">
        <f>IF('Marks Entry'!D95="","",'Marks Entry'!D95)</f>
        <v/>
      </c>
      <c r="D95" s="91" t="str">
        <f>IF('Marks Entry'!E95="","",'Marks Entry'!E95)</f>
        <v/>
      </c>
      <c r="E95" s="92" t="str">
        <f>IF('Marks Entry'!F95="","",'Marks Entry'!F95)</f>
        <v/>
      </c>
      <c r="F95" s="93" t="str">
        <f>IF('Marks Entry'!G95="","",'Marks Entry'!G95)</f>
        <v/>
      </c>
      <c r="G95" s="93" t="str">
        <f>IF('Marks Entry'!H95="","",'Marks Entry'!H95)</f>
        <v/>
      </c>
      <c r="H95" s="93" t="str">
        <f>IF('Marks Entry'!I95="","",'Marks Entry'!I95)</f>
        <v/>
      </c>
      <c r="I95" s="94" t="str">
        <f>IF('Marks Entry'!J95="","",'Marks Entry'!J95)</f>
        <v/>
      </c>
      <c r="J95" s="95" t="str">
        <f>IF('Marks Entry'!K95="","",'Marks Entry'!K95)</f>
        <v/>
      </c>
      <c r="K95" s="68" t="str">
        <f>IF('Marks Entry'!L95="","",'Marks Entry'!L95)</f>
        <v/>
      </c>
      <c r="L95" s="68" t="str">
        <f>IF('Marks Entry'!M95="","",'Marks Entry'!M95)</f>
        <v/>
      </c>
      <c r="M95" s="68" t="str">
        <f>IF('Marks Entry'!N95="","",'Marks Entry'!N95)</f>
        <v/>
      </c>
      <c r="N95" s="514" t="str">
        <f t="shared" si="257"/>
        <v/>
      </c>
      <c r="O95" s="68" t="str">
        <f>IF('Marks Entry'!O95="","",'Marks Entry'!O95)</f>
        <v/>
      </c>
      <c r="P95" s="515" t="str">
        <f t="shared" si="258"/>
        <v/>
      </c>
      <c r="Q95" s="68" t="str">
        <f>IF('Marks Entry'!P95="","",'Marks Entry'!P95)</f>
        <v/>
      </c>
      <c r="R95" s="96" t="str">
        <f t="shared" si="259"/>
        <v/>
      </c>
      <c r="S95" s="65">
        <f t="shared" si="260"/>
        <v>0</v>
      </c>
      <c r="T95" s="65">
        <f t="shared" si="261"/>
        <v>0</v>
      </c>
      <c r="U95" s="66" t="str">
        <f t="shared" si="171"/>
        <v/>
      </c>
      <c r="V95" s="65" t="str">
        <f t="shared" si="172"/>
        <v/>
      </c>
      <c r="W95" s="65" t="str">
        <f t="shared" si="262"/>
        <v/>
      </c>
      <c r="X95" s="65" t="str">
        <f t="shared" si="173"/>
        <v/>
      </c>
      <c r="Y95" s="68" t="str">
        <f>IF('Marks Entry'!Q95="","",'Marks Entry'!Q95)</f>
        <v/>
      </c>
      <c r="Z95" s="68" t="str">
        <f>IF('Marks Entry'!R95="","",'Marks Entry'!R95)</f>
        <v/>
      </c>
      <c r="AA95" s="68" t="str">
        <f>IF('Marks Entry'!S95="","",'Marks Entry'!S95)</f>
        <v/>
      </c>
      <c r="AB95" s="514" t="str">
        <f t="shared" si="174"/>
        <v/>
      </c>
      <c r="AC95" s="68" t="str">
        <f>IF('Marks Entry'!T95="","",'Marks Entry'!T95)</f>
        <v/>
      </c>
      <c r="AD95" s="515" t="str">
        <f t="shared" si="175"/>
        <v/>
      </c>
      <c r="AE95" s="68" t="str">
        <f>IF('Marks Entry'!U95="","",'Marks Entry'!U95)</f>
        <v/>
      </c>
      <c r="AF95" s="96" t="str">
        <f t="shared" si="176"/>
        <v/>
      </c>
      <c r="AG95" s="65">
        <f t="shared" si="177"/>
        <v>0</v>
      </c>
      <c r="AH95" s="65">
        <f t="shared" si="178"/>
        <v>0</v>
      </c>
      <c r="AI95" s="66" t="str">
        <f t="shared" si="179"/>
        <v/>
      </c>
      <c r="AJ95" s="65" t="str">
        <f t="shared" si="180"/>
        <v/>
      </c>
      <c r="AK95" s="65" t="str">
        <f t="shared" si="181"/>
        <v/>
      </c>
      <c r="AL95" s="65" t="str">
        <f t="shared" si="182"/>
        <v/>
      </c>
      <c r="AM95" s="524" t="str">
        <f>IF('Marks Entry'!V95="","",IF('Marks Entry'!V95=1,'School Profile'!$I$9,IF('Marks Entry'!V95=2,'School Profile'!$I$10,IF('Marks Entry'!V95=3,'School Profile'!$I$11,IF('Marks Entry'!V95=4,'School Profile'!$I$12,IF('Marks Entry'!V95=5,'School Profile'!$I$13,IF('Marks Entry'!V95=6,'School Profile'!$I$14,"")))))))</f>
        <v/>
      </c>
      <c r="AN95" s="68" t="str">
        <f>IF('Marks Entry'!W95="","",'Marks Entry'!W95)</f>
        <v/>
      </c>
      <c r="AO95" s="68" t="str">
        <f>IF('Marks Entry'!X95="","",'Marks Entry'!X95)</f>
        <v/>
      </c>
      <c r="AP95" s="68" t="str">
        <f>IF('Marks Entry'!Y95="","",'Marks Entry'!Y95)</f>
        <v/>
      </c>
      <c r="AQ95" s="514" t="str">
        <f t="shared" si="183"/>
        <v/>
      </c>
      <c r="AR95" s="68" t="str">
        <f>IF('Marks Entry'!Z95="","",'Marks Entry'!Z95)</f>
        <v/>
      </c>
      <c r="AS95" s="515" t="str">
        <f t="shared" si="184"/>
        <v/>
      </c>
      <c r="AT95" s="68" t="str">
        <f>IF('Marks Entry'!AA95="","",'Marks Entry'!AA95)</f>
        <v/>
      </c>
      <c r="AU95" s="96" t="str">
        <f t="shared" si="185"/>
        <v/>
      </c>
      <c r="AV95" s="65">
        <f t="shared" si="186"/>
        <v>0</v>
      </c>
      <c r="AW95" s="65">
        <f t="shared" si="187"/>
        <v>0</v>
      </c>
      <c r="AX95" s="66" t="str">
        <f t="shared" si="188"/>
        <v/>
      </c>
      <c r="AY95" s="65" t="str">
        <f t="shared" si="189"/>
        <v/>
      </c>
      <c r="AZ95" s="65" t="str">
        <f t="shared" si="190"/>
        <v/>
      </c>
      <c r="BA95" s="65" t="str">
        <f t="shared" si="191"/>
        <v/>
      </c>
      <c r="BB95" s="68" t="str">
        <f>IF('Marks Entry'!AB95="","",'Marks Entry'!AB95)</f>
        <v/>
      </c>
      <c r="BC95" s="68" t="str">
        <f>IF('Marks Entry'!AC95="","",'Marks Entry'!AC95)</f>
        <v/>
      </c>
      <c r="BD95" s="68" t="str">
        <f>IF('Marks Entry'!AD95="","",'Marks Entry'!AD95)</f>
        <v/>
      </c>
      <c r="BE95" s="514" t="str">
        <f t="shared" si="192"/>
        <v/>
      </c>
      <c r="BF95" s="68" t="str">
        <f>IF('Marks Entry'!AE95="","",'Marks Entry'!AE95)</f>
        <v/>
      </c>
      <c r="BG95" s="515" t="str">
        <f t="shared" si="193"/>
        <v/>
      </c>
      <c r="BH95" s="68" t="str">
        <f>IF('Marks Entry'!AF95="","",'Marks Entry'!AF95)</f>
        <v/>
      </c>
      <c r="BI95" s="96" t="str">
        <f t="shared" si="194"/>
        <v/>
      </c>
      <c r="BJ95" s="65">
        <f t="shared" si="195"/>
        <v>0</v>
      </c>
      <c r="BK95" s="65">
        <f t="shared" si="263"/>
        <v>0</v>
      </c>
      <c r="BL95" s="66" t="str">
        <f t="shared" si="196"/>
        <v/>
      </c>
      <c r="BM95" s="65" t="str">
        <f t="shared" si="197"/>
        <v/>
      </c>
      <c r="BN95" s="65" t="str">
        <f t="shared" si="198"/>
        <v/>
      </c>
      <c r="BO95" s="65" t="str">
        <f t="shared" si="199"/>
        <v/>
      </c>
      <c r="BP95" s="68" t="str">
        <f>IF('Marks Entry'!AG95="","",'Marks Entry'!AG95)</f>
        <v/>
      </c>
      <c r="BQ95" s="68" t="str">
        <f>IF('Marks Entry'!AH95="","",'Marks Entry'!AH95)</f>
        <v/>
      </c>
      <c r="BR95" s="68" t="str">
        <f>IF('Marks Entry'!AI95="","",'Marks Entry'!AI95)</f>
        <v/>
      </c>
      <c r="BS95" s="514" t="str">
        <f t="shared" si="200"/>
        <v/>
      </c>
      <c r="BT95" s="68" t="str">
        <f>IF('Marks Entry'!AJ95="","",'Marks Entry'!AJ95)</f>
        <v/>
      </c>
      <c r="BU95" s="515" t="str">
        <f t="shared" si="201"/>
        <v/>
      </c>
      <c r="BV95" s="68" t="str">
        <f>IF('Marks Entry'!AK95="","",'Marks Entry'!AK95)</f>
        <v/>
      </c>
      <c r="BW95" s="96" t="str">
        <f t="shared" si="202"/>
        <v/>
      </c>
      <c r="BX95" s="65">
        <f t="shared" si="203"/>
        <v>0</v>
      </c>
      <c r="BY95" s="65">
        <f t="shared" si="204"/>
        <v>0</v>
      </c>
      <c r="BZ95" s="66" t="str">
        <f t="shared" si="205"/>
        <v/>
      </c>
      <c r="CA95" s="65" t="str">
        <f t="shared" si="206"/>
        <v/>
      </c>
      <c r="CB95" s="65" t="str">
        <f t="shared" si="207"/>
        <v/>
      </c>
      <c r="CC95" s="65" t="str">
        <f t="shared" si="208"/>
        <v/>
      </c>
      <c r="CD95" s="66">
        <f t="shared" si="209"/>
        <v>0</v>
      </c>
      <c r="CE95" s="68" t="str">
        <f>IF('Marks Entry'!AL95="","",'Marks Entry'!AL95)</f>
        <v/>
      </c>
      <c r="CF95" s="68" t="str">
        <f>IF('Marks Entry'!AM95="","",'Marks Entry'!AM95)</f>
        <v/>
      </c>
      <c r="CG95" s="68" t="str">
        <f>IF('Marks Entry'!AN95="","",'Marks Entry'!AN95)</f>
        <v/>
      </c>
      <c r="CH95" s="514" t="str">
        <f t="shared" si="210"/>
        <v/>
      </c>
      <c r="CI95" s="68" t="str">
        <f>IF('Marks Entry'!AO95="","",'Marks Entry'!AO95)</f>
        <v/>
      </c>
      <c r="CJ95" s="515" t="str">
        <f t="shared" si="211"/>
        <v/>
      </c>
      <c r="CK95" s="68" t="str">
        <f>IF('Marks Entry'!AP95="","",'Marks Entry'!AP95)</f>
        <v/>
      </c>
      <c r="CL95" s="96" t="str">
        <f t="shared" si="212"/>
        <v/>
      </c>
      <c r="CM95" s="65">
        <f t="shared" si="213"/>
        <v>0</v>
      </c>
      <c r="CN95" s="65">
        <f t="shared" si="214"/>
        <v>0</v>
      </c>
      <c r="CO95" s="66" t="str">
        <f t="shared" si="215"/>
        <v/>
      </c>
      <c r="CP95" s="65" t="str">
        <f t="shared" si="216"/>
        <v/>
      </c>
      <c r="CQ95" s="65" t="str">
        <f t="shared" si="217"/>
        <v/>
      </c>
      <c r="CR95" s="65" t="str">
        <f t="shared" si="218"/>
        <v/>
      </c>
      <c r="CS95" s="616"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8" t="str">
        <f>IF('School Profile'!$D$20="NO","",IF('Marks Entry'!AR95="","",'Marks Entry'!AR95))</f>
        <v/>
      </c>
      <c r="CU95" s="68" t="str">
        <f>IF('School Profile'!$D$20="NO","",IF('Marks Entry'!AS95="","",'Marks Entry'!AS95))</f>
        <v/>
      </c>
      <c r="CV95" s="68" t="str">
        <f>IF('School Profile'!$D$20="NO","",IF('Marks Entry'!AT95="","",'Marks Entry'!AT95))</f>
        <v/>
      </c>
      <c r="CW95" s="514" t="str">
        <f>IF('School Profile'!$D$20="NO","",IF(AND(CT95="",CU95="",CV95=""),"",SUM(CT95:CV95)))</f>
        <v/>
      </c>
      <c r="CX95" s="68" t="str">
        <f>IF('School Profile'!$D$20="NO","",IF('Marks Entry'!AU95="","",'Marks Entry'!AU95))</f>
        <v/>
      </c>
      <c r="CY95" s="68" t="str">
        <f>IF('School Profile'!$D$20="NO","",IF('Marks Entry'!AV95="","",'Marks Entry'!AV95))</f>
        <v/>
      </c>
      <c r="CZ95" s="515" t="str">
        <f>IF('School Profile'!$D$20="NO","",IF(AND(CX95="",CY95=""),"",SUM(CX95,CY95)))</f>
        <v/>
      </c>
      <c r="DA95" s="69" t="str">
        <f>IF('School Profile'!$D$20="NO","",IF(AND(CW95="",CZ95=""),"",SUM(CW95+CZ95)))</f>
        <v/>
      </c>
      <c r="DB95" s="68" t="str">
        <f>IF('School Profile'!$D$20="NO","",IF('Marks Entry'!AW95="","",'Marks Entry'!AW95))</f>
        <v/>
      </c>
      <c r="DC95" s="68" t="str">
        <f>IF('School Profile'!$D$20="NO","",IF('Marks Entry'!AX95="","",'Marks Entry'!AX95))</f>
        <v/>
      </c>
      <c r="DD95" s="515" t="str">
        <f>IF('School Profile'!$D$20="NO","",IF(AND(DB95="",DC95=""),"",SUM(DB95,DC95)))</f>
        <v/>
      </c>
      <c r="DE95" s="96" t="str">
        <f>IF('School Profile'!$D$20="NO","",IF(AND(DA95="",DD95=""),"",SUM(DA95,DD95)))</f>
        <v/>
      </c>
      <c r="DF95" s="532">
        <f t="shared" si="219"/>
        <v>0</v>
      </c>
      <c r="DG95" s="65">
        <f t="shared" si="220"/>
        <v>0</v>
      </c>
      <c r="DH95" s="66" t="str">
        <f t="shared" si="221"/>
        <v/>
      </c>
      <c r="DI95" s="65" t="str">
        <f t="shared" si="222"/>
        <v/>
      </c>
      <c r="DJ95" s="65" t="str">
        <f t="shared" si="223"/>
        <v/>
      </c>
      <c r="DK95" s="65" t="str">
        <f t="shared" si="224"/>
        <v/>
      </c>
      <c r="DL95" s="97" t="str">
        <f t="shared" si="264"/>
        <v/>
      </c>
      <c r="DM95" s="97" t="str">
        <f t="shared" si="265"/>
        <v/>
      </c>
      <c r="DN95" s="97" t="str">
        <f t="shared" si="266"/>
        <v/>
      </c>
      <c r="DO95" s="97" t="str">
        <f t="shared" si="267"/>
        <v/>
      </c>
      <c r="DP95" s="97" t="str">
        <f t="shared" si="268"/>
        <v/>
      </c>
      <c r="DQ95" s="97" t="str">
        <f t="shared" si="269"/>
        <v/>
      </c>
      <c r="DR95" s="97" t="str">
        <f t="shared" si="270"/>
        <v/>
      </c>
      <c r="DS95" s="98">
        <f t="shared" si="271"/>
        <v>0</v>
      </c>
      <c r="DT95" s="98">
        <f t="shared" si="272"/>
        <v>0</v>
      </c>
      <c r="DU95" s="98">
        <f t="shared" si="273"/>
        <v>0</v>
      </c>
      <c r="DV95" s="98">
        <f t="shared" si="274"/>
        <v>0</v>
      </c>
      <c r="DW95" s="98">
        <f t="shared" si="275"/>
        <v>0</v>
      </c>
      <c r="DX95" s="98" t="str">
        <f t="shared" si="276"/>
        <v/>
      </c>
      <c r="DY95" s="99" t="str">
        <f t="shared" si="277"/>
        <v/>
      </c>
      <c r="DZ95" s="74" t="str">
        <f>IF('Marks Entry'!AY95="","",'Marks Entry'!AY95)</f>
        <v/>
      </c>
      <c r="EA95" s="74" t="str">
        <f>IF('Marks Entry'!AZ95="","",'Marks Entry'!AZ95)</f>
        <v/>
      </c>
      <c r="EB95" s="74" t="str">
        <f>IF('Marks Entry'!BA95="","",'Marks Entry'!BA95)</f>
        <v/>
      </c>
      <c r="EC95" s="527" t="str">
        <f t="shared" si="225"/>
        <v/>
      </c>
      <c r="ED95" s="74" t="str">
        <f>IF('Marks Entry'!BB95="","",'Marks Entry'!BB95)</f>
        <v/>
      </c>
      <c r="EE95" s="528" t="str">
        <f t="shared" si="226"/>
        <v/>
      </c>
      <c r="EF95" s="74" t="str">
        <f>IF('Marks Entry'!BC95="","",'Marks Entry'!BC95)</f>
        <v/>
      </c>
      <c r="EG95" s="530" t="str">
        <f t="shared" si="227"/>
        <v/>
      </c>
      <c r="EH95" s="368" t="str">
        <f t="shared" si="278"/>
        <v/>
      </c>
      <c r="EI95" s="65">
        <f t="shared" si="279"/>
        <v>0</v>
      </c>
      <c r="EJ95" s="65">
        <f t="shared" si="280"/>
        <v>0</v>
      </c>
      <c r="EK95" s="66" t="str">
        <f t="shared" si="281"/>
        <v/>
      </c>
      <c r="EL95" s="74" t="str">
        <f>IF('Marks Entry'!BD95="","",'Marks Entry'!BD95)</f>
        <v/>
      </c>
      <c r="EM95" s="74" t="str">
        <f>IF('Marks Entry'!BE95="","",'Marks Entry'!BE95)</f>
        <v/>
      </c>
      <c r="EN95" s="74" t="str">
        <f>IF('Marks Entry'!BF95="","",'Marks Entry'!BF95)</f>
        <v/>
      </c>
      <c r="EO95" s="527" t="str">
        <f t="shared" si="228"/>
        <v/>
      </c>
      <c r="EP95" s="74" t="str">
        <f>IF('Marks Entry'!BG95="","",'Marks Entry'!BG95)</f>
        <v/>
      </c>
      <c r="EQ95" s="74" t="str">
        <f>IF('Marks Entry'!BH95="","",'Marks Entry'!BH95)</f>
        <v/>
      </c>
      <c r="ER95" s="528" t="str">
        <f t="shared" si="229"/>
        <v/>
      </c>
      <c r="ES95" s="529" t="str">
        <f t="shared" si="230"/>
        <v/>
      </c>
      <c r="ET95" s="74" t="str">
        <f>IF('Marks Entry'!BI95="","",'Marks Entry'!BI95)</f>
        <v/>
      </c>
      <c r="EU95" s="74" t="str">
        <f>IF('Marks Entry'!BJ95="","",'Marks Entry'!BJ95)</f>
        <v/>
      </c>
      <c r="EV95" s="528" t="str">
        <f t="shared" si="231"/>
        <v/>
      </c>
      <c r="EW95" s="530" t="str">
        <f t="shared" si="232"/>
        <v/>
      </c>
      <c r="EX95" s="368" t="str">
        <f t="shared" si="282"/>
        <v/>
      </c>
      <c r="EY95" s="65">
        <f t="shared" si="283"/>
        <v>0</v>
      </c>
      <c r="EZ95" s="65">
        <f t="shared" si="284"/>
        <v>0</v>
      </c>
      <c r="FA95" s="66" t="str">
        <f t="shared" si="285"/>
        <v/>
      </c>
      <c r="FB95" s="74" t="str">
        <f>IF('Marks Entry'!BK95="","",'Marks Entry'!BK95)</f>
        <v/>
      </c>
      <c r="FC95" s="74" t="str">
        <f>IF('Marks Entry'!BL95="","",'Marks Entry'!BL95)</f>
        <v/>
      </c>
      <c r="FD95" s="74" t="str">
        <f>IF('Marks Entry'!BM95="","",'Marks Entry'!BM95)</f>
        <v/>
      </c>
      <c r="FE95" s="74" t="str">
        <f>IF('Marks Entry'!BN95="","",'Marks Entry'!BN95)</f>
        <v/>
      </c>
      <c r="FF95" s="74" t="str">
        <f>IF('Marks Entry'!BO95="","",'Marks Entry'!BO95)</f>
        <v/>
      </c>
      <c r="FG95" s="74" t="str">
        <f>IF('Marks Entry'!BP95="","",'Marks Entry'!BP95)</f>
        <v/>
      </c>
      <c r="FH95" s="527" t="str">
        <f t="shared" si="233"/>
        <v/>
      </c>
      <c r="FI95" s="74" t="str">
        <f>IF('Marks Entry'!BQ95="","",'Marks Entry'!BQ95)</f>
        <v/>
      </c>
      <c r="FJ95" s="74" t="str">
        <f>IF('Marks Entry'!BR95="","",'Marks Entry'!BR95)</f>
        <v/>
      </c>
      <c r="FK95" s="528" t="str">
        <f t="shared" si="234"/>
        <v/>
      </c>
      <c r="FL95" s="529" t="str">
        <f t="shared" si="235"/>
        <v/>
      </c>
      <c r="FM95" s="74" t="str">
        <f>IF('Marks Entry'!BS95="","",'Marks Entry'!BS95)</f>
        <v/>
      </c>
      <c r="FN95" s="74" t="str">
        <f>IF('Marks Entry'!BT95="","",'Marks Entry'!BT95)</f>
        <v/>
      </c>
      <c r="FO95" s="528" t="str">
        <f t="shared" si="236"/>
        <v/>
      </c>
      <c r="FP95" s="530" t="str">
        <f t="shared" si="237"/>
        <v/>
      </c>
      <c r="FQ95" s="368" t="str">
        <f t="shared" si="286"/>
        <v/>
      </c>
      <c r="FR95" s="65">
        <f t="shared" si="287"/>
        <v>0</v>
      </c>
      <c r="FS95" s="65">
        <f t="shared" si="288"/>
        <v>0</v>
      </c>
      <c r="FT95" s="66" t="str">
        <f t="shared" si="289"/>
        <v/>
      </c>
      <c r="FU95" s="74" t="str">
        <f>IF('Marks Entry'!BU95="","",'Marks Entry'!BU95)</f>
        <v/>
      </c>
      <c r="FV95" s="74" t="str">
        <f>IF('Marks Entry'!BV95="","",'Marks Entry'!BV95)</f>
        <v/>
      </c>
      <c r="FW95" s="74" t="str">
        <f>IF('Marks Entry'!BW95="","",'Marks Entry'!BW95)</f>
        <v/>
      </c>
      <c r="FX95" s="75" t="str">
        <f t="shared" si="238"/>
        <v/>
      </c>
      <c r="FY95" s="368" t="str">
        <f t="shared" si="290"/>
        <v/>
      </c>
      <c r="FZ95" s="65">
        <f t="shared" si="291"/>
        <v>0</v>
      </c>
      <c r="GA95" s="66">
        <f t="shared" si="292"/>
        <v>0</v>
      </c>
      <c r="GB95" s="66" t="str">
        <f t="shared" si="293"/>
        <v/>
      </c>
      <c r="GC95" s="74" t="str">
        <f>IF('Marks Entry'!BX95="","",'Marks Entry'!BX95)</f>
        <v/>
      </c>
      <c r="GD95" s="74" t="str">
        <f>IF('Marks Entry'!BY95="","",'Marks Entry'!BY95)</f>
        <v/>
      </c>
      <c r="GE95" s="74" t="str">
        <f>IF('Marks Entry'!BZ95="","",'Marks Entry'!BZ95)</f>
        <v/>
      </c>
      <c r="GF95" s="75" t="str">
        <f t="shared" si="294"/>
        <v/>
      </c>
      <c r="GG95" s="368" t="str">
        <f t="shared" si="295"/>
        <v/>
      </c>
      <c r="GH95" s="65">
        <f t="shared" si="296"/>
        <v>0</v>
      </c>
      <c r="GI95" s="66">
        <f t="shared" si="297"/>
        <v>0</v>
      </c>
      <c r="GJ95" s="66" t="str">
        <f t="shared" si="298"/>
        <v/>
      </c>
      <c r="GK95" s="100" t="str">
        <f>IF(AND(F95="",B95=""),"",IF('Student DATA Entry'!M92="","",'Student DATA Entry'!M92))</f>
        <v/>
      </c>
      <c r="GL95" s="101" t="str">
        <f>IF(AND(B95="",F95=""),"",IF('Student DATA Entry'!N92="","",'Student DATA Entry'!N92))</f>
        <v/>
      </c>
      <c r="GM95" s="581" t="str">
        <f t="shared" si="299"/>
        <v/>
      </c>
      <c r="GN95" s="94" t="str">
        <f t="shared" si="300"/>
        <v/>
      </c>
      <c r="GO95" s="94" t="str">
        <f t="shared" si="301"/>
        <v/>
      </c>
      <c r="GP95" s="102" t="str">
        <f t="shared" si="239"/>
        <v/>
      </c>
      <c r="GQ95" s="94" t="str">
        <f t="shared" si="302"/>
        <v/>
      </c>
      <c r="GR95" s="103" t="str">
        <f t="shared" si="303"/>
        <v/>
      </c>
      <c r="GS95" s="102" t="str">
        <f t="shared" si="240"/>
        <v/>
      </c>
      <c r="GT95" s="104" t="str">
        <f t="shared" si="304"/>
        <v/>
      </c>
      <c r="GU95" s="94" t="str">
        <f>IF('Marks Entry'!V95=1,GT95,"")</f>
        <v/>
      </c>
      <c r="GV95" s="94" t="str">
        <f>IF('Marks Entry'!V95=2,GT95,"")</f>
        <v/>
      </c>
      <c r="GW95" s="94" t="str">
        <f>IF('Marks Entry'!V95=3,GT95,"")</f>
        <v/>
      </c>
      <c r="GX95" s="94" t="str">
        <f>IF('Marks Entry'!V95=4,GT95,"")</f>
        <v/>
      </c>
      <c r="GY95" s="94" t="str">
        <f>IF('Marks Entry'!V95=5,GT95,"")</f>
        <v/>
      </c>
      <c r="GZ95" s="94" t="str">
        <f t="shared" si="305"/>
        <v/>
      </c>
      <c r="HA95" s="105" t="str">
        <f t="shared" si="241"/>
        <v/>
      </c>
      <c r="HB95" s="94" t="str">
        <f t="shared" si="306"/>
        <v/>
      </c>
      <c r="HC95" s="94" t="str">
        <f t="shared" si="307"/>
        <v/>
      </c>
      <c r="HD95" s="105" t="str">
        <f t="shared" si="242"/>
        <v/>
      </c>
      <c r="HE95" s="94" t="str">
        <f t="shared" si="308"/>
        <v/>
      </c>
      <c r="HF95" s="94" t="str">
        <f t="shared" si="309"/>
        <v/>
      </c>
      <c r="HG95" s="105" t="str">
        <f t="shared" si="243"/>
        <v/>
      </c>
      <c r="HH95" s="94" t="str">
        <f t="shared" si="310"/>
        <v/>
      </c>
      <c r="HI95" s="94" t="str">
        <f t="shared" si="311"/>
        <v/>
      </c>
      <c r="HJ95" s="105" t="str">
        <f t="shared" si="244"/>
        <v/>
      </c>
      <c r="HK95" s="94" t="str">
        <f t="shared" si="312"/>
        <v/>
      </c>
      <c r="HL95" s="94" t="str">
        <f t="shared" si="313"/>
        <v/>
      </c>
      <c r="HM95" s="105" t="str">
        <f t="shared" si="245"/>
        <v/>
      </c>
      <c r="HN95" s="367" t="str">
        <f t="shared" si="314"/>
        <v xml:space="preserve">      </v>
      </c>
      <c r="HO95" s="418" t="str">
        <f t="shared" si="246"/>
        <v xml:space="preserve">      </v>
      </c>
      <c r="HP95" s="367" t="str">
        <f t="shared" si="315"/>
        <v xml:space="preserve">      </v>
      </c>
      <c r="HQ95" s="107" t="str">
        <f t="shared" si="316"/>
        <v xml:space="preserve">      </v>
      </c>
      <c r="HR95" s="366" t="str">
        <f t="shared" si="317"/>
        <v xml:space="preserve">      </v>
      </c>
      <c r="HS95" s="544" t="str">
        <f t="shared" si="247"/>
        <v/>
      </c>
      <c r="HT95" s="542" t="str">
        <f t="shared" si="318"/>
        <v/>
      </c>
      <c r="HU95" s="541" t="str">
        <f t="shared" si="319"/>
        <v/>
      </c>
      <c r="HV95" s="540" t="str">
        <f t="shared" si="320"/>
        <v/>
      </c>
      <c r="HW95" s="537" t="str">
        <f t="shared" si="321"/>
        <v/>
      </c>
      <c r="HX95" s="539" t="str">
        <f t="shared" si="322"/>
        <v/>
      </c>
      <c r="HY95" s="553" t="str">
        <f>IFERROR(IF(OR(HS95="SUPPLEMENTARY",HS95="RE-EXAM"),'Supp. Result Entry'!AQ93,""),"")</f>
        <v/>
      </c>
      <c r="HZ95" s="538" t="str">
        <f t="shared" si="323"/>
        <v/>
      </c>
      <c r="IA95" s="415" t="str">
        <f t="shared" si="324"/>
        <v/>
      </c>
      <c r="IB95" s="415" t="str">
        <f>IF(AND(HZ95="",IA95=""),"",IF(OR(HS95="SUPPLEMENTARY",HS95="RE-EXAM"),'Supp. Result Entry'!AQ93,HS95))</f>
        <v/>
      </c>
      <c r="IC95" s="87"/>
      <c r="IS95" s="109" t="str">
        <f>IF('Supp. Result Entry'!T93="","",'Supp. Result Entry'!$T$4)</f>
        <v/>
      </c>
      <c r="IT95" s="110" t="str">
        <f>IF('Supp. Result Entry'!W93="","",'Supp. Result Entry'!$W$4)</f>
        <v/>
      </c>
      <c r="IU95" s="110" t="str">
        <f>IF('Supp. Result Entry'!Z93="","",'Supp. Result Entry'!$Z$4)</f>
        <v/>
      </c>
      <c r="IV95" s="110" t="str">
        <f>IF('Supp. Result Entry'!AC93="","",'Supp. Result Entry'!$AC$4)</f>
        <v/>
      </c>
      <c r="IW95" s="110" t="str">
        <f>IF('Supp. Result Entry'!AF93="","",'Supp. Result Entry'!$AF$4)</f>
        <v/>
      </c>
      <c r="IX95" s="110" t="str">
        <f>IF('Supp. Result Entry'!AI93="","",'Supp. Result Entry'!$AI$4)</f>
        <v/>
      </c>
      <c r="IY95" s="110" t="str">
        <f>IF('Supp. Result Entry'!AI93="","",'Supp. Result Entry'!$AL$4)</f>
        <v/>
      </c>
      <c r="IZ95" s="110" t="str">
        <f>IF('Supp. Result Entry'!U93="","",'Supp. Result Entry'!U93)</f>
        <v/>
      </c>
      <c r="JA95" s="110" t="str">
        <f>IF('Supp. Result Entry'!X93="","",'Supp. Result Entry'!X93)</f>
        <v/>
      </c>
      <c r="JB95" s="110" t="str">
        <f>IF('Supp. Result Entry'!AA93="","",'Supp. Result Entry'!AA93)</f>
        <v/>
      </c>
      <c r="JC95" s="110" t="str">
        <f>IF('Supp. Result Entry'!AD93="","",'Supp. Result Entry'!AD93)</f>
        <v/>
      </c>
      <c r="JD95" s="110" t="str">
        <f>IF('Supp. Result Entry'!AG93="","",'Supp. Result Entry'!AG93)</f>
        <v/>
      </c>
      <c r="JE95" s="110" t="str">
        <f>IF('Supp. Result Entry'!AJ93="","",'Supp. Result Entry'!AJ93)</f>
        <v/>
      </c>
      <c r="JF95" s="110" t="str">
        <f>IF('Supp. Result Entry'!AM93="","",'Supp. Result Entry'!AM93)</f>
        <v/>
      </c>
      <c r="JG95" s="110" t="str">
        <f>IF('Supp. Result Entry'!V93="","",'Supp. Result Entry'!V93)</f>
        <v/>
      </c>
      <c r="JH95" s="110" t="str">
        <f>IF('Supp. Result Entry'!Y93="","",'Supp. Result Entry'!Y93)</f>
        <v/>
      </c>
      <c r="JI95" s="110" t="str">
        <f>IF('Supp. Result Entry'!AB93="","",'Supp. Result Entry'!AB93)</f>
        <v/>
      </c>
      <c r="JJ95" s="110" t="str">
        <f>IF('Supp. Result Entry'!AE93="","",'Supp. Result Entry'!AE93)</f>
        <v/>
      </c>
      <c r="JK95" s="110" t="str">
        <f>IF('Supp. Result Entry'!AH93="","",'Supp. Result Entry'!AH93)</f>
        <v/>
      </c>
      <c r="JL95" s="110" t="str">
        <f>IF('Supp. Result Entry'!AK93="","",'Supp. Result Entry'!AK93)</f>
        <v/>
      </c>
      <c r="JM95" s="110" t="str">
        <f>IF('Supp. Result Entry'!AN93="","",'Supp. Result Entry'!AN93)</f>
        <v/>
      </c>
      <c r="JN95" s="110">
        <f>COUNTIF('Supp. Result Entry'!K93:Q93,"S")</f>
        <v>0</v>
      </c>
      <c r="JO95" s="110">
        <f t="shared" si="248"/>
        <v>0</v>
      </c>
      <c r="JP95" s="110">
        <f t="shared" si="325"/>
        <v>0</v>
      </c>
      <c r="JQ95" s="110" t="str">
        <f t="shared" si="249"/>
        <v/>
      </c>
      <c r="JR95" s="110" t="str">
        <f t="shared" si="250"/>
        <v/>
      </c>
      <c r="JS95" s="110" t="str">
        <f t="shared" si="251"/>
        <v/>
      </c>
      <c r="JT95" s="110" t="str">
        <f t="shared" si="252"/>
        <v/>
      </c>
      <c r="JU95" s="110" t="str">
        <f t="shared" si="253"/>
        <v/>
      </c>
      <c r="JV95" s="110" t="str">
        <f t="shared" si="254"/>
        <v/>
      </c>
      <c r="JW95" s="110" t="str">
        <f t="shared" si="255"/>
        <v/>
      </c>
      <c r="JX95" s="110" t="str">
        <f t="shared" si="326"/>
        <v/>
      </c>
      <c r="JY95" s="110" t="str">
        <f t="shared" si="327"/>
        <v/>
      </c>
      <c r="JZ95" s="110" t="str">
        <f t="shared" si="256"/>
        <v/>
      </c>
      <c r="KA95" s="108" t="str">
        <f t="shared" si="328"/>
        <v/>
      </c>
    </row>
    <row r="96" spans="1:287" s="108" customFormat="1" ht="21.95" customHeight="1">
      <c r="A96" s="89">
        <v>90</v>
      </c>
      <c r="B96" s="90" t="str">
        <f>IF('Marks Entry'!B96="","",'Marks Entry'!B96)</f>
        <v/>
      </c>
      <c r="C96" s="94" t="str">
        <f>IF('Marks Entry'!D96="","",'Marks Entry'!D96)</f>
        <v/>
      </c>
      <c r="D96" s="91" t="str">
        <f>IF('Marks Entry'!E96="","",'Marks Entry'!E96)</f>
        <v/>
      </c>
      <c r="E96" s="92" t="str">
        <f>IF('Marks Entry'!F96="","",'Marks Entry'!F96)</f>
        <v/>
      </c>
      <c r="F96" s="93" t="str">
        <f>IF('Marks Entry'!G96="","",'Marks Entry'!G96)</f>
        <v/>
      </c>
      <c r="G96" s="93" t="str">
        <f>IF('Marks Entry'!H96="","",'Marks Entry'!H96)</f>
        <v/>
      </c>
      <c r="H96" s="93" t="str">
        <f>IF('Marks Entry'!I96="","",'Marks Entry'!I96)</f>
        <v/>
      </c>
      <c r="I96" s="94" t="str">
        <f>IF('Marks Entry'!J96="","",'Marks Entry'!J96)</f>
        <v/>
      </c>
      <c r="J96" s="95" t="str">
        <f>IF('Marks Entry'!K96="","",'Marks Entry'!K96)</f>
        <v/>
      </c>
      <c r="K96" s="68" t="str">
        <f>IF('Marks Entry'!L96="","",'Marks Entry'!L96)</f>
        <v/>
      </c>
      <c r="L96" s="68" t="str">
        <f>IF('Marks Entry'!M96="","",'Marks Entry'!M96)</f>
        <v/>
      </c>
      <c r="M96" s="68" t="str">
        <f>IF('Marks Entry'!N96="","",'Marks Entry'!N96)</f>
        <v/>
      </c>
      <c r="N96" s="514" t="str">
        <f t="shared" si="257"/>
        <v/>
      </c>
      <c r="O96" s="68" t="str">
        <f>IF('Marks Entry'!O96="","",'Marks Entry'!O96)</f>
        <v/>
      </c>
      <c r="P96" s="515" t="str">
        <f t="shared" si="258"/>
        <v/>
      </c>
      <c r="Q96" s="68" t="str">
        <f>IF('Marks Entry'!P96="","",'Marks Entry'!P96)</f>
        <v/>
      </c>
      <c r="R96" s="96" t="str">
        <f t="shared" si="259"/>
        <v/>
      </c>
      <c r="S96" s="65">
        <f t="shared" si="260"/>
        <v>0</v>
      </c>
      <c r="T96" s="65">
        <f t="shared" si="261"/>
        <v>0</v>
      </c>
      <c r="U96" s="66" t="str">
        <f t="shared" si="171"/>
        <v/>
      </c>
      <c r="V96" s="65" t="str">
        <f t="shared" si="172"/>
        <v/>
      </c>
      <c r="W96" s="65" t="str">
        <f t="shared" si="262"/>
        <v/>
      </c>
      <c r="X96" s="65" t="str">
        <f t="shared" si="173"/>
        <v/>
      </c>
      <c r="Y96" s="68" t="str">
        <f>IF('Marks Entry'!Q96="","",'Marks Entry'!Q96)</f>
        <v/>
      </c>
      <c r="Z96" s="68" t="str">
        <f>IF('Marks Entry'!R96="","",'Marks Entry'!R96)</f>
        <v/>
      </c>
      <c r="AA96" s="68" t="str">
        <f>IF('Marks Entry'!S96="","",'Marks Entry'!S96)</f>
        <v/>
      </c>
      <c r="AB96" s="514" t="str">
        <f t="shared" si="174"/>
        <v/>
      </c>
      <c r="AC96" s="68" t="str">
        <f>IF('Marks Entry'!T96="","",'Marks Entry'!T96)</f>
        <v/>
      </c>
      <c r="AD96" s="515" t="str">
        <f t="shared" si="175"/>
        <v/>
      </c>
      <c r="AE96" s="68" t="str">
        <f>IF('Marks Entry'!U96="","",'Marks Entry'!U96)</f>
        <v/>
      </c>
      <c r="AF96" s="96" t="str">
        <f t="shared" si="176"/>
        <v/>
      </c>
      <c r="AG96" s="65">
        <f t="shared" si="177"/>
        <v>0</v>
      </c>
      <c r="AH96" s="65">
        <f t="shared" si="178"/>
        <v>0</v>
      </c>
      <c r="AI96" s="66" t="str">
        <f t="shared" si="179"/>
        <v/>
      </c>
      <c r="AJ96" s="65" t="str">
        <f t="shared" si="180"/>
        <v/>
      </c>
      <c r="AK96" s="65" t="str">
        <f t="shared" si="181"/>
        <v/>
      </c>
      <c r="AL96" s="65" t="str">
        <f t="shared" si="182"/>
        <v/>
      </c>
      <c r="AM96" s="524" t="str">
        <f>IF('Marks Entry'!V96="","",IF('Marks Entry'!V96=1,'School Profile'!$I$9,IF('Marks Entry'!V96=2,'School Profile'!$I$10,IF('Marks Entry'!V96=3,'School Profile'!$I$11,IF('Marks Entry'!V96=4,'School Profile'!$I$12,IF('Marks Entry'!V96=5,'School Profile'!$I$13,IF('Marks Entry'!V96=6,'School Profile'!$I$14,"")))))))</f>
        <v/>
      </c>
      <c r="AN96" s="68" t="str">
        <f>IF('Marks Entry'!W96="","",'Marks Entry'!W96)</f>
        <v/>
      </c>
      <c r="AO96" s="68" t="str">
        <f>IF('Marks Entry'!X96="","",'Marks Entry'!X96)</f>
        <v/>
      </c>
      <c r="AP96" s="68" t="str">
        <f>IF('Marks Entry'!Y96="","",'Marks Entry'!Y96)</f>
        <v/>
      </c>
      <c r="AQ96" s="514" t="str">
        <f t="shared" si="183"/>
        <v/>
      </c>
      <c r="AR96" s="68" t="str">
        <f>IF('Marks Entry'!Z96="","",'Marks Entry'!Z96)</f>
        <v/>
      </c>
      <c r="AS96" s="515" t="str">
        <f t="shared" si="184"/>
        <v/>
      </c>
      <c r="AT96" s="68" t="str">
        <f>IF('Marks Entry'!AA96="","",'Marks Entry'!AA96)</f>
        <v/>
      </c>
      <c r="AU96" s="96" t="str">
        <f t="shared" si="185"/>
        <v/>
      </c>
      <c r="AV96" s="65">
        <f t="shared" si="186"/>
        <v>0</v>
      </c>
      <c r="AW96" s="65">
        <f t="shared" si="187"/>
        <v>0</v>
      </c>
      <c r="AX96" s="66" t="str">
        <f t="shared" si="188"/>
        <v/>
      </c>
      <c r="AY96" s="65" t="str">
        <f t="shared" si="189"/>
        <v/>
      </c>
      <c r="AZ96" s="65" t="str">
        <f t="shared" si="190"/>
        <v/>
      </c>
      <c r="BA96" s="65" t="str">
        <f t="shared" si="191"/>
        <v/>
      </c>
      <c r="BB96" s="68" t="str">
        <f>IF('Marks Entry'!AB96="","",'Marks Entry'!AB96)</f>
        <v/>
      </c>
      <c r="BC96" s="68" t="str">
        <f>IF('Marks Entry'!AC96="","",'Marks Entry'!AC96)</f>
        <v/>
      </c>
      <c r="BD96" s="68" t="str">
        <f>IF('Marks Entry'!AD96="","",'Marks Entry'!AD96)</f>
        <v/>
      </c>
      <c r="BE96" s="514" t="str">
        <f t="shared" si="192"/>
        <v/>
      </c>
      <c r="BF96" s="68" t="str">
        <f>IF('Marks Entry'!AE96="","",'Marks Entry'!AE96)</f>
        <v/>
      </c>
      <c r="BG96" s="515" t="str">
        <f t="shared" si="193"/>
        <v/>
      </c>
      <c r="BH96" s="68" t="str">
        <f>IF('Marks Entry'!AF96="","",'Marks Entry'!AF96)</f>
        <v/>
      </c>
      <c r="BI96" s="96" t="str">
        <f t="shared" si="194"/>
        <v/>
      </c>
      <c r="BJ96" s="65">
        <f t="shared" si="195"/>
        <v>0</v>
      </c>
      <c r="BK96" s="65">
        <f t="shared" si="263"/>
        <v>0</v>
      </c>
      <c r="BL96" s="66" t="str">
        <f t="shared" si="196"/>
        <v/>
      </c>
      <c r="BM96" s="65" t="str">
        <f t="shared" si="197"/>
        <v/>
      </c>
      <c r="BN96" s="65" t="str">
        <f t="shared" si="198"/>
        <v/>
      </c>
      <c r="BO96" s="65" t="str">
        <f t="shared" si="199"/>
        <v/>
      </c>
      <c r="BP96" s="68" t="str">
        <f>IF('Marks Entry'!AG96="","",'Marks Entry'!AG96)</f>
        <v/>
      </c>
      <c r="BQ96" s="68" t="str">
        <f>IF('Marks Entry'!AH96="","",'Marks Entry'!AH96)</f>
        <v/>
      </c>
      <c r="BR96" s="68" t="str">
        <f>IF('Marks Entry'!AI96="","",'Marks Entry'!AI96)</f>
        <v/>
      </c>
      <c r="BS96" s="514" t="str">
        <f t="shared" si="200"/>
        <v/>
      </c>
      <c r="BT96" s="68" t="str">
        <f>IF('Marks Entry'!AJ96="","",'Marks Entry'!AJ96)</f>
        <v/>
      </c>
      <c r="BU96" s="515" t="str">
        <f t="shared" si="201"/>
        <v/>
      </c>
      <c r="BV96" s="68" t="str">
        <f>IF('Marks Entry'!AK96="","",'Marks Entry'!AK96)</f>
        <v/>
      </c>
      <c r="BW96" s="96" t="str">
        <f t="shared" si="202"/>
        <v/>
      </c>
      <c r="BX96" s="65">
        <f t="shared" si="203"/>
        <v>0</v>
      </c>
      <c r="BY96" s="65">
        <f t="shared" si="204"/>
        <v>0</v>
      </c>
      <c r="BZ96" s="66" t="str">
        <f t="shared" si="205"/>
        <v/>
      </c>
      <c r="CA96" s="65" t="str">
        <f t="shared" si="206"/>
        <v/>
      </c>
      <c r="CB96" s="65" t="str">
        <f t="shared" si="207"/>
        <v/>
      </c>
      <c r="CC96" s="65" t="str">
        <f t="shared" si="208"/>
        <v/>
      </c>
      <c r="CD96" s="66">
        <f t="shared" si="209"/>
        <v>0</v>
      </c>
      <c r="CE96" s="68" t="str">
        <f>IF('Marks Entry'!AL96="","",'Marks Entry'!AL96)</f>
        <v/>
      </c>
      <c r="CF96" s="68" t="str">
        <f>IF('Marks Entry'!AM96="","",'Marks Entry'!AM96)</f>
        <v/>
      </c>
      <c r="CG96" s="68" t="str">
        <f>IF('Marks Entry'!AN96="","",'Marks Entry'!AN96)</f>
        <v/>
      </c>
      <c r="CH96" s="514" t="str">
        <f t="shared" si="210"/>
        <v/>
      </c>
      <c r="CI96" s="68" t="str">
        <f>IF('Marks Entry'!AO96="","",'Marks Entry'!AO96)</f>
        <v/>
      </c>
      <c r="CJ96" s="515" t="str">
        <f t="shared" si="211"/>
        <v/>
      </c>
      <c r="CK96" s="68" t="str">
        <f>IF('Marks Entry'!AP96="","",'Marks Entry'!AP96)</f>
        <v/>
      </c>
      <c r="CL96" s="96" t="str">
        <f t="shared" si="212"/>
        <v/>
      </c>
      <c r="CM96" s="65">
        <f t="shared" si="213"/>
        <v>0</v>
      </c>
      <c r="CN96" s="65">
        <f t="shared" si="214"/>
        <v>0</v>
      </c>
      <c r="CO96" s="66" t="str">
        <f t="shared" si="215"/>
        <v/>
      </c>
      <c r="CP96" s="65" t="str">
        <f t="shared" si="216"/>
        <v/>
      </c>
      <c r="CQ96" s="65" t="str">
        <f t="shared" si="217"/>
        <v/>
      </c>
      <c r="CR96" s="65" t="str">
        <f t="shared" si="218"/>
        <v/>
      </c>
      <c r="CS96" s="616"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8" t="str">
        <f>IF('School Profile'!$D$20="NO","",IF('Marks Entry'!AR96="","",'Marks Entry'!AR96))</f>
        <v/>
      </c>
      <c r="CU96" s="68" t="str">
        <f>IF('School Profile'!$D$20="NO","",IF('Marks Entry'!AS96="","",'Marks Entry'!AS96))</f>
        <v/>
      </c>
      <c r="CV96" s="68" t="str">
        <f>IF('School Profile'!$D$20="NO","",IF('Marks Entry'!AT96="","",'Marks Entry'!AT96))</f>
        <v/>
      </c>
      <c r="CW96" s="514" t="str">
        <f>IF('School Profile'!$D$20="NO","",IF(AND(CT96="",CU96="",CV96=""),"",SUM(CT96:CV96)))</f>
        <v/>
      </c>
      <c r="CX96" s="68" t="str">
        <f>IF('School Profile'!$D$20="NO","",IF('Marks Entry'!AU96="","",'Marks Entry'!AU96))</f>
        <v/>
      </c>
      <c r="CY96" s="68" t="str">
        <f>IF('School Profile'!$D$20="NO","",IF('Marks Entry'!AV96="","",'Marks Entry'!AV96))</f>
        <v/>
      </c>
      <c r="CZ96" s="515" t="str">
        <f>IF('School Profile'!$D$20="NO","",IF(AND(CX96="",CY96=""),"",SUM(CX96,CY96)))</f>
        <v/>
      </c>
      <c r="DA96" s="69" t="str">
        <f>IF('School Profile'!$D$20="NO","",IF(AND(CW96="",CZ96=""),"",SUM(CW96+CZ96)))</f>
        <v/>
      </c>
      <c r="DB96" s="68" t="str">
        <f>IF('School Profile'!$D$20="NO","",IF('Marks Entry'!AW96="","",'Marks Entry'!AW96))</f>
        <v/>
      </c>
      <c r="DC96" s="68" t="str">
        <f>IF('School Profile'!$D$20="NO","",IF('Marks Entry'!AX96="","",'Marks Entry'!AX96))</f>
        <v/>
      </c>
      <c r="DD96" s="515" t="str">
        <f>IF('School Profile'!$D$20="NO","",IF(AND(DB96="",DC96=""),"",SUM(DB96,DC96)))</f>
        <v/>
      </c>
      <c r="DE96" s="96" t="str">
        <f>IF('School Profile'!$D$20="NO","",IF(AND(DA96="",DD96=""),"",SUM(DA96,DD96)))</f>
        <v/>
      </c>
      <c r="DF96" s="532">
        <f t="shared" si="219"/>
        <v>0</v>
      </c>
      <c r="DG96" s="65">
        <f t="shared" si="220"/>
        <v>0</v>
      </c>
      <c r="DH96" s="66" t="str">
        <f t="shared" si="221"/>
        <v/>
      </c>
      <c r="DI96" s="65" t="str">
        <f t="shared" si="222"/>
        <v/>
      </c>
      <c r="DJ96" s="65" t="str">
        <f t="shared" si="223"/>
        <v/>
      </c>
      <c r="DK96" s="65" t="str">
        <f t="shared" si="224"/>
        <v/>
      </c>
      <c r="DL96" s="97" t="str">
        <f t="shared" si="264"/>
        <v/>
      </c>
      <c r="DM96" s="97" t="str">
        <f t="shared" si="265"/>
        <v/>
      </c>
      <c r="DN96" s="97" t="str">
        <f t="shared" si="266"/>
        <v/>
      </c>
      <c r="DO96" s="97" t="str">
        <f t="shared" si="267"/>
        <v/>
      </c>
      <c r="DP96" s="97" t="str">
        <f t="shared" si="268"/>
        <v/>
      </c>
      <c r="DQ96" s="97" t="str">
        <f t="shared" si="269"/>
        <v/>
      </c>
      <c r="DR96" s="97" t="str">
        <f t="shared" si="270"/>
        <v/>
      </c>
      <c r="DS96" s="98">
        <f t="shared" si="271"/>
        <v>0</v>
      </c>
      <c r="DT96" s="98">
        <f t="shared" si="272"/>
        <v>0</v>
      </c>
      <c r="DU96" s="98">
        <f t="shared" si="273"/>
        <v>0</v>
      </c>
      <c r="DV96" s="98">
        <f t="shared" si="274"/>
        <v>0</v>
      </c>
      <c r="DW96" s="98">
        <f t="shared" si="275"/>
        <v>0</v>
      </c>
      <c r="DX96" s="98" t="str">
        <f t="shared" si="276"/>
        <v/>
      </c>
      <c r="DY96" s="99" t="str">
        <f t="shared" si="277"/>
        <v/>
      </c>
      <c r="DZ96" s="74" t="str">
        <f>IF('Marks Entry'!AY96="","",'Marks Entry'!AY96)</f>
        <v/>
      </c>
      <c r="EA96" s="74" t="str">
        <f>IF('Marks Entry'!AZ96="","",'Marks Entry'!AZ96)</f>
        <v/>
      </c>
      <c r="EB96" s="74" t="str">
        <f>IF('Marks Entry'!BA96="","",'Marks Entry'!BA96)</f>
        <v/>
      </c>
      <c r="EC96" s="527" t="str">
        <f t="shared" si="225"/>
        <v/>
      </c>
      <c r="ED96" s="74" t="str">
        <f>IF('Marks Entry'!BB96="","",'Marks Entry'!BB96)</f>
        <v/>
      </c>
      <c r="EE96" s="528" t="str">
        <f t="shared" si="226"/>
        <v/>
      </c>
      <c r="EF96" s="74" t="str">
        <f>IF('Marks Entry'!BC96="","",'Marks Entry'!BC96)</f>
        <v/>
      </c>
      <c r="EG96" s="530" t="str">
        <f t="shared" si="227"/>
        <v/>
      </c>
      <c r="EH96" s="368" t="str">
        <f t="shared" si="278"/>
        <v/>
      </c>
      <c r="EI96" s="65">
        <f t="shared" si="279"/>
        <v>0</v>
      </c>
      <c r="EJ96" s="65">
        <f t="shared" si="280"/>
        <v>0</v>
      </c>
      <c r="EK96" s="66" t="str">
        <f t="shared" si="281"/>
        <v/>
      </c>
      <c r="EL96" s="74" t="str">
        <f>IF('Marks Entry'!BD96="","",'Marks Entry'!BD96)</f>
        <v/>
      </c>
      <c r="EM96" s="74" t="str">
        <f>IF('Marks Entry'!BE96="","",'Marks Entry'!BE96)</f>
        <v/>
      </c>
      <c r="EN96" s="74" t="str">
        <f>IF('Marks Entry'!BF96="","",'Marks Entry'!BF96)</f>
        <v/>
      </c>
      <c r="EO96" s="527" t="str">
        <f t="shared" si="228"/>
        <v/>
      </c>
      <c r="EP96" s="74" t="str">
        <f>IF('Marks Entry'!BG96="","",'Marks Entry'!BG96)</f>
        <v/>
      </c>
      <c r="EQ96" s="74" t="str">
        <f>IF('Marks Entry'!BH96="","",'Marks Entry'!BH96)</f>
        <v/>
      </c>
      <c r="ER96" s="528" t="str">
        <f t="shared" si="229"/>
        <v/>
      </c>
      <c r="ES96" s="529" t="str">
        <f t="shared" si="230"/>
        <v/>
      </c>
      <c r="ET96" s="74" t="str">
        <f>IF('Marks Entry'!BI96="","",'Marks Entry'!BI96)</f>
        <v/>
      </c>
      <c r="EU96" s="74" t="str">
        <f>IF('Marks Entry'!BJ96="","",'Marks Entry'!BJ96)</f>
        <v/>
      </c>
      <c r="EV96" s="528" t="str">
        <f t="shared" si="231"/>
        <v/>
      </c>
      <c r="EW96" s="530" t="str">
        <f t="shared" si="232"/>
        <v/>
      </c>
      <c r="EX96" s="368" t="str">
        <f t="shared" si="282"/>
        <v/>
      </c>
      <c r="EY96" s="65">
        <f t="shared" si="283"/>
        <v>0</v>
      </c>
      <c r="EZ96" s="65">
        <f t="shared" si="284"/>
        <v>0</v>
      </c>
      <c r="FA96" s="66" t="str">
        <f t="shared" si="285"/>
        <v/>
      </c>
      <c r="FB96" s="74" t="str">
        <f>IF('Marks Entry'!BK96="","",'Marks Entry'!BK96)</f>
        <v/>
      </c>
      <c r="FC96" s="74" t="str">
        <f>IF('Marks Entry'!BL96="","",'Marks Entry'!BL96)</f>
        <v/>
      </c>
      <c r="FD96" s="74" t="str">
        <f>IF('Marks Entry'!BM96="","",'Marks Entry'!BM96)</f>
        <v/>
      </c>
      <c r="FE96" s="74" t="str">
        <f>IF('Marks Entry'!BN96="","",'Marks Entry'!BN96)</f>
        <v/>
      </c>
      <c r="FF96" s="74" t="str">
        <f>IF('Marks Entry'!BO96="","",'Marks Entry'!BO96)</f>
        <v/>
      </c>
      <c r="FG96" s="74" t="str">
        <f>IF('Marks Entry'!BP96="","",'Marks Entry'!BP96)</f>
        <v/>
      </c>
      <c r="FH96" s="527" t="str">
        <f t="shared" si="233"/>
        <v/>
      </c>
      <c r="FI96" s="74" t="str">
        <f>IF('Marks Entry'!BQ96="","",'Marks Entry'!BQ96)</f>
        <v/>
      </c>
      <c r="FJ96" s="74" t="str">
        <f>IF('Marks Entry'!BR96="","",'Marks Entry'!BR96)</f>
        <v/>
      </c>
      <c r="FK96" s="528" t="str">
        <f t="shared" si="234"/>
        <v/>
      </c>
      <c r="FL96" s="529" t="str">
        <f t="shared" si="235"/>
        <v/>
      </c>
      <c r="FM96" s="74" t="str">
        <f>IF('Marks Entry'!BS96="","",'Marks Entry'!BS96)</f>
        <v/>
      </c>
      <c r="FN96" s="74" t="str">
        <f>IF('Marks Entry'!BT96="","",'Marks Entry'!BT96)</f>
        <v/>
      </c>
      <c r="FO96" s="528" t="str">
        <f t="shared" si="236"/>
        <v/>
      </c>
      <c r="FP96" s="530" t="str">
        <f t="shared" si="237"/>
        <v/>
      </c>
      <c r="FQ96" s="368" t="str">
        <f t="shared" si="286"/>
        <v/>
      </c>
      <c r="FR96" s="65">
        <f t="shared" si="287"/>
        <v>0</v>
      </c>
      <c r="FS96" s="65">
        <f t="shared" si="288"/>
        <v>0</v>
      </c>
      <c r="FT96" s="66" t="str">
        <f t="shared" si="289"/>
        <v/>
      </c>
      <c r="FU96" s="74" t="str">
        <f>IF('Marks Entry'!BU96="","",'Marks Entry'!BU96)</f>
        <v/>
      </c>
      <c r="FV96" s="74" t="str">
        <f>IF('Marks Entry'!BV96="","",'Marks Entry'!BV96)</f>
        <v/>
      </c>
      <c r="FW96" s="74" t="str">
        <f>IF('Marks Entry'!BW96="","",'Marks Entry'!BW96)</f>
        <v/>
      </c>
      <c r="FX96" s="75" t="str">
        <f t="shared" si="238"/>
        <v/>
      </c>
      <c r="FY96" s="368" t="str">
        <f t="shared" si="290"/>
        <v/>
      </c>
      <c r="FZ96" s="65">
        <f t="shared" si="291"/>
        <v>0</v>
      </c>
      <c r="GA96" s="66">
        <f t="shared" si="292"/>
        <v>0</v>
      </c>
      <c r="GB96" s="66" t="str">
        <f t="shared" si="293"/>
        <v/>
      </c>
      <c r="GC96" s="74" t="str">
        <f>IF('Marks Entry'!BX96="","",'Marks Entry'!BX96)</f>
        <v/>
      </c>
      <c r="GD96" s="74" t="str">
        <f>IF('Marks Entry'!BY96="","",'Marks Entry'!BY96)</f>
        <v/>
      </c>
      <c r="GE96" s="74" t="str">
        <f>IF('Marks Entry'!BZ96="","",'Marks Entry'!BZ96)</f>
        <v/>
      </c>
      <c r="GF96" s="75" t="str">
        <f t="shared" si="294"/>
        <v/>
      </c>
      <c r="GG96" s="368" t="str">
        <f t="shared" si="295"/>
        <v/>
      </c>
      <c r="GH96" s="65">
        <f t="shared" si="296"/>
        <v>0</v>
      </c>
      <c r="GI96" s="66">
        <f t="shared" si="297"/>
        <v>0</v>
      </c>
      <c r="GJ96" s="66" t="str">
        <f t="shared" si="298"/>
        <v/>
      </c>
      <c r="GK96" s="100" t="str">
        <f>IF(AND(F96="",B96=""),"",IF('Student DATA Entry'!M93="","",'Student DATA Entry'!M93))</f>
        <v/>
      </c>
      <c r="GL96" s="101" t="str">
        <f>IF(AND(B96="",F96=""),"",IF('Student DATA Entry'!N93="","",'Student DATA Entry'!N93))</f>
        <v/>
      </c>
      <c r="GM96" s="581" t="str">
        <f t="shared" si="299"/>
        <v/>
      </c>
      <c r="GN96" s="94" t="str">
        <f t="shared" si="300"/>
        <v/>
      </c>
      <c r="GO96" s="94" t="str">
        <f t="shared" si="301"/>
        <v/>
      </c>
      <c r="GP96" s="102" t="str">
        <f t="shared" si="239"/>
        <v/>
      </c>
      <c r="GQ96" s="94" t="str">
        <f t="shared" si="302"/>
        <v/>
      </c>
      <c r="GR96" s="103" t="str">
        <f t="shared" si="303"/>
        <v/>
      </c>
      <c r="GS96" s="102" t="str">
        <f t="shared" si="240"/>
        <v/>
      </c>
      <c r="GT96" s="104" t="str">
        <f t="shared" si="304"/>
        <v/>
      </c>
      <c r="GU96" s="94" t="str">
        <f>IF('Marks Entry'!V96=1,GT96,"")</f>
        <v/>
      </c>
      <c r="GV96" s="94" t="str">
        <f>IF('Marks Entry'!V96=2,GT96,"")</f>
        <v/>
      </c>
      <c r="GW96" s="94" t="str">
        <f>IF('Marks Entry'!V96=3,GT96,"")</f>
        <v/>
      </c>
      <c r="GX96" s="94" t="str">
        <f>IF('Marks Entry'!V96=4,GT96,"")</f>
        <v/>
      </c>
      <c r="GY96" s="94" t="str">
        <f>IF('Marks Entry'!V96=5,GT96,"")</f>
        <v/>
      </c>
      <c r="GZ96" s="94" t="str">
        <f t="shared" si="305"/>
        <v/>
      </c>
      <c r="HA96" s="105" t="str">
        <f t="shared" si="241"/>
        <v/>
      </c>
      <c r="HB96" s="94" t="str">
        <f t="shared" si="306"/>
        <v/>
      </c>
      <c r="HC96" s="94" t="str">
        <f t="shared" si="307"/>
        <v/>
      </c>
      <c r="HD96" s="105" t="str">
        <f t="shared" si="242"/>
        <v/>
      </c>
      <c r="HE96" s="94" t="str">
        <f t="shared" si="308"/>
        <v/>
      </c>
      <c r="HF96" s="94" t="str">
        <f t="shared" si="309"/>
        <v/>
      </c>
      <c r="HG96" s="105" t="str">
        <f t="shared" si="243"/>
        <v/>
      </c>
      <c r="HH96" s="94" t="str">
        <f t="shared" si="310"/>
        <v/>
      </c>
      <c r="HI96" s="94" t="str">
        <f t="shared" si="311"/>
        <v/>
      </c>
      <c r="HJ96" s="105" t="str">
        <f t="shared" si="244"/>
        <v/>
      </c>
      <c r="HK96" s="94" t="str">
        <f t="shared" si="312"/>
        <v/>
      </c>
      <c r="HL96" s="94" t="str">
        <f t="shared" si="313"/>
        <v/>
      </c>
      <c r="HM96" s="105" t="str">
        <f t="shared" si="245"/>
        <v/>
      </c>
      <c r="HN96" s="367" t="str">
        <f t="shared" si="314"/>
        <v xml:space="preserve">      </v>
      </c>
      <c r="HO96" s="418" t="str">
        <f t="shared" si="246"/>
        <v xml:space="preserve">      </v>
      </c>
      <c r="HP96" s="367" t="str">
        <f t="shared" si="315"/>
        <v xml:space="preserve">      </v>
      </c>
      <c r="HQ96" s="107" t="str">
        <f t="shared" si="316"/>
        <v xml:space="preserve">      </v>
      </c>
      <c r="HR96" s="366" t="str">
        <f t="shared" si="317"/>
        <v xml:space="preserve">      </v>
      </c>
      <c r="HS96" s="544" t="str">
        <f t="shared" si="247"/>
        <v/>
      </c>
      <c r="HT96" s="542" t="str">
        <f t="shared" si="318"/>
        <v/>
      </c>
      <c r="HU96" s="541" t="str">
        <f t="shared" si="319"/>
        <v/>
      </c>
      <c r="HV96" s="540" t="str">
        <f t="shared" si="320"/>
        <v/>
      </c>
      <c r="HW96" s="537" t="str">
        <f t="shared" si="321"/>
        <v/>
      </c>
      <c r="HX96" s="539" t="str">
        <f t="shared" si="322"/>
        <v/>
      </c>
      <c r="HY96" s="553" t="str">
        <f>IFERROR(IF(OR(HS96="SUPPLEMENTARY",HS96="RE-EXAM"),'Supp. Result Entry'!AQ94,""),"")</f>
        <v/>
      </c>
      <c r="HZ96" s="538" t="str">
        <f t="shared" si="323"/>
        <v/>
      </c>
      <c r="IA96" s="415" t="str">
        <f t="shared" si="324"/>
        <v/>
      </c>
      <c r="IB96" s="415" t="str">
        <f>IF(AND(HZ96="",IA96=""),"",IF(OR(HS96="SUPPLEMENTARY",HS96="RE-EXAM"),'Supp. Result Entry'!AQ94,HS96))</f>
        <v/>
      </c>
      <c r="IC96" s="87"/>
      <c r="IS96" s="109" t="str">
        <f>IF('Supp. Result Entry'!T94="","",'Supp. Result Entry'!$T$4)</f>
        <v/>
      </c>
      <c r="IT96" s="110" t="str">
        <f>IF('Supp. Result Entry'!W94="","",'Supp. Result Entry'!$W$4)</f>
        <v/>
      </c>
      <c r="IU96" s="110" t="str">
        <f>IF('Supp. Result Entry'!Z94="","",'Supp. Result Entry'!$Z$4)</f>
        <v/>
      </c>
      <c r="IV96" s="110" t="str">
        <f>IF('Supp. Result Entry'!AC94="","",'Supp. Result Entry'!$AC$4)</f>
        <v/>
      </c>
      <c r="IW96" s="110" t="str">
        <f>IF('Supp. Result Entry'!AF94="","",'Supp. Result Entry'!$AF$4)</f>
        <v/>
      </c>
      <c r="IX96" s="110" t="str">
        <f>IF('Supp. Result Entry'!AI94="","",'Supp. Result Entry'!$AI$4)</f>
        <v/>
      </c>
      <c r="IY96" s="110" t="str">
        <f>IF('Supp. Result Entry'!AI94="","",'Supp. Result Entry'!$AL$4)</f>
        <v/>
      </c>
      <c r="IZ96" s="110" t="str">
        <f>IF('Supp. Result Entry'!U94="","",'Supp. Result Entry'!U94)</f>
        <v/>
      </c>
      <c r="JA96" s="110" t="str">
        <f>IF('Supp. Result Entry'!X94="","",'Supp. Result Entry'!X94)</f>
        <v/>
      </c>
      <c r="JB96" s="110" t="str">
        <f>IF('Supp. Result Entry'!AA94="","",'Supp. Result Entry'!AA94)</f>
        <v/>
      </c>
      <c r="JC96" s="110" t="str">
        <f>IF('Supp. Result Entry'!AD94="","",'Supp. Result Entry'!AD94)</f>
        <v/>
      </c>
      <c r="JD96" s="110" t="str">
        <f>IF('Supp. Result Entry'!AG94="","",'Supp. Result Entry'!AG94)</f>
        <v/>
      </c>
      <c r="JE96" s="110" t="str">
        <f>IF('Supp. Result Entry'!AJ94="","",'Supp. Result Entry'!AJ94)</f>
        <v/>
      </c>
      <c r="JF96" s="110" t="str">
        <f>IF('Supp. Result Entry'!AM94="","",'Supp. Result Entry'!AM94)</f>
        <v/>
      </c>
      <c r="JG96" s="110" t="str">
        <f>IF('Supp. Result Entry'!V94="","",'Supp. Result Entry'!V94)</f>
        <v/>
      </c>
      <c r="JH96" s="110" t="str">
        <f>IF('Supp. Result Entry'!Y94="","",'Supp. Result Entry'!Y94)</f>
        <v/>
      </c>
      <c r="JI96" s="110" t="str">
        <f>IF('Supp. Result Entry'!AB94="","",'Supp. Result Entry'!AB94)</f>
        <v/>
      </c>
      <c r="JJ96" s="110" t="str">
        <f>IF('Supp. Result Entry'!AE94="","",'Supp. Result Entry'!AE94)</f>
        <v/>
      </c>
      <c r="JK96" s="110" t="str">
        <f>IF('Supp. Result Entry'!AH94="","",'Supp. Result Entry'!AH94)</f>
        <v/>
      </c>
      <c r="JL96" s="110" t="str">
        <f>IF('Supp. Result Entry'!AK94="","",'Supp. Result Entry'!AK94)</f>
        <v/>
      </c>
      <c r="JM96" s="110" t="str">
        <f>IF('Supp. Result Entry'!AN94="","",'Supp. Result Entry'!AN94)</f>
        <v/>
      </c>
      <c r="JN96" s="110">
        <f>COUNTIF('Supp. Result Entry'!K94:Q94,"S")</f>
        <v>0</v>
      </c>
      <c r="JO96" s="110">
        <f t="shared" si="248"/>
        <v>0</v>
      </c>
      <c r="JP96" s="110">
        <f t="shared" si="325"/>
        <v>0</v>
      </c>
      <c r="JQ96" s="110" t="str">
        <f t="shared" si="249"/>
        <v/>
      </c>
      <c r="JR96" s="110" t="str">
        <f t="shared" si="250"/>
        <v/>
      </c>
      <c r="JS96" s="110" t="str">
        <f t="shared" si="251"/>
        <v/>
      </c>
      <c r="JT96" s="110" t="str">
        <f t="shared" si="252"/>
        <v/>
      </c>
      <c r="JU96" s="110" t="str">
        <f t="shared" si="253"/>
        <v/>
      </c>
      <c r="JV96" s="110" t="str">
        <f t="shared" si="254"/>
        <v/>
      </c>
      <c r="JW96" s="110" t="str">
        <f t="shared" si="255"/>
        <v/>
      </c>
      <c r="JX96" s="110" t="str">
        <f t="shared" si="326"/>
        <v/>
      </c>
      <c r="JY96" s="110" t="str">
        <f t="shared" si="327"/>
        <v/>
      </c>
      <c r="JZ96" s="110" t="str">
        <f t="shared" si="256"/>
        <v/>
      </c>
      <c r="KA96" s="108" t="str">
        <f t="shared" si="328"/>
        <v/>
      </c>
    </row>
    <row r="97" spans="1:287" s="108" customFormat="1" ht="21.95" customHeight="1">
      <c r="A97" s="89">
        <v>91</v>
      </c>
      <c r="B97" s="90" t="str">
        <f>IF('Marks Entry'!B97="","",'Marks Entry'!B97)</f>
        <v/>
      </c>
      <c r="C97" s="94" t="str">
        <f>IF('Marks Entry'!D97="","",'Marks Entry'!D97)</f>
        <v/>
      </c>
      <c r="D97" s="91" t="str">
        <f>IF('Marks Entry'!E97="","",'Marks Entry'!E97)</f>
        <v/>
      </c>
      <c r="E97" s="92" t="str">
        <f>IF('Marks Entry'!F97="","",'Marks Entry'!F97)</f>
        <v/>
      </c>
      <c r="F97" s="93" t="str">
        <f>IF('Marks Entry'!G97="","",'Marks Entry'!G97)</f>
        <v/>
      </c>
      <c r="G97" s="93" t="str">
        <f>IF('Marks Entry'!H97="","",'Marks Entry'!H97)</f>
        <v/>
      </c>
      <c r="H97" s="93" t="str">
        <f>IF('Marks Entry'!I97="","",'Marks Entry'!I97)</f>
        <v/>
      </c>
      <c r="I97" s="94" t="str">
        <f>IF('Marks Entry'!J97="","",'Marks Entry'!J97)</f>
        <v/>
      </c>
      <c r="J97" s="95" t="str">
        <f>IF('Marks Entry'!K97="","",'Marks Entry'!K97)</f>
        <v/>
      </c>
      <c r="K97" s="68" t="str">
        <f>IF('Marks Entry'!L97="","",'Marks Entry'!L97)</f>
        <v/>
      </c>
      <c r="L97" s="68" t="str">
        <f>IF('Marks Entry'!M97="","",'Marks Entry'!M97)</f>
        <v/>
      </c>
      <c r="M97" s="68" t="str">
        <f>IF('Marks Entry'!N97="","",'Marks Entry'!N97)</f>
        <v/>
      </c>
      <c r="N97" s="514" t="str">
        <f t="shared" si="257"/>
        <v/>
      </c>
      <c r="O97" s="68" t="str">
        <f>IF('Marks Entry'!O97="","",'Marks Entry'!O97)</f>
        <v/>
      </c>
      <c r="P97" s="515" t="str">
        <f t="shared" si="258"/>
        <v/>
      </c>
      <c r="Q97" s="68" t="str">
        <f>IF('Marks Entry'!P97="","",'Marks Entry'!P97)</f>
        <v/>
      </c>
      <c r="R97" s="96" t="str">
        <f t="shared" si="259"/>
        <v/>
      </c>
      <c r="S97" s="65">
        <f t="shared" si="260"/>
        <v>0</v>
      </c>
      <c r="T97" s="65">
        <f t="shared" si="261"/>
        <v>0</v>
      </c>
      <c r="U97" s="66" t="str">
        <f t="shared" si="171"/>
        <v/>
      </c>
      <c r="V97" s="65" t="str">
        <f t="shared" si="172"/>
        <v/>
      </c>
      <c r="W97" s="65" t="str">
        <f t="shared" si="262"/>
        <v/>
      </c>
      <c r="X97" s="65" t="str">
        <f t="shared" si="173"/>
        <v/>
      </c>
      <c r="Y97" s="68" t="str">
        <f>IF('Marks Entry'!Q97="","",'Marks Entry'!Q97)</f>
        <v/>
      </c>
      <c r="Z97" s="68" t="str">
        <f>IF('Marks Entry'!R97="","",'Marks Entry'!R97)</f>
        <v/>
      </c>
      <c r="AA97" s="68" t="str">
        <f>IF('Marks Entry'!S97="","",'Marks Entry'!S97)</f>
        <v/>
      </c>
      <c r="AB97" s="514" t="str">
        <f t="shared" si="174"/>
        <v/>
      </c>
      <c r="AC97" s="68" t="str">
        <f>IF('Marks Entry'!T97="","",'Marks Entry'!T97)</f>
        <v/>
      </c>
      <c r="AD97" s="515" t="str">
        <f t="shared" si="175"/>
        <v/>
      </c>
      <c r="AE97" s="68" t="str">
        <f>IF('Marks Entry'!U97="","",'Marks Entry'!U97)</f>
        <v/>
      </c>
      <c r="AF97" s="96" t="str">
        <f t="shared" si="176"/>
        <v/>
      </c>
      <c r="AG97" s="65">
        <f t="shared" si="177"/>
        <v>0</v>
      </c>
      <c r="AH97" s="65">
        <f t="shared" si="178"/>
        <v>0</v>
      </c>
      <c r="AI97" s="66" t="str">
        <f t="shared" si="179"/>
        <v/>
      </c>
      <c r="AJ97" s="65" t="str">
        <f t="shared" si="180"/>
        <v/>
      </c>
      <c r="AK97" s="65" t="str">
        <f t="shared" si="181"/>
        <v/>
      </c>
      <c r="AL97" s="65" t="str">
        <f t="shared" si="182"/>
        <v/>
      </c>
      <c r="AM97" s="524" t="str">
        <f>IF('Marks Entry'!V97="","",IF('Marks Entry'!V97=1,'School Profile'!$I$9,IF('Marks Entry'!V97=2,'School Profile'!$I$10,IF('Marks Entry'!V97=3,'School Profile'!$I$11,IF('Marks Entry'!V97=4,'School Profile'!$I$12,IF('Marks Entry'!V97=5,'School Profile'!$I$13,IF('Marks Entry'!V97=6,'School Profile'!$I$14,"")))))))</f>
        <v/>
      </c>
      <c r="AN97" s="68" t="str">
        <f>IF('Marks Entry'!W97="","",'Marks Entry'!W97)</f>
        <v/>
      </c>
      <c r="AO97" s="68" t="str">
        <f>IF('Marks Entry'!X97="","",'Marks Entry'!X97)</f>
        <v/>
      </c>
      <c r="AP97" s="68" t="str">
        <f>IF('Marks Entry'!Y97="","",'Marks Entry'!Y97)</f>
        <v/>
      </c>
      <c r="AQ97" s="514" t="str">
        <f t="shared" si="183"/>
        <v/>
      </c>
      <c r="AR97" s="68" t="str">
        <f>IF('Marks Entry'!Z97="","",'Marks Entry'!Z97)</f>
        <v/>
      </c>
      <c r="AS97" s="515" t="str">
        <f t="shared" si="184"/>
        <v/>
      </c>
      <c r="AT97" s="68" t="str">
        <f>IF('Marks Entry'!AA97="","",'Marks Entry'!AA97)</f>
        <v/>
      </c>
      <c r="AU97" s="96" t="str">
        <f t="shared" si="185"/>
        <v/>
      </c>
      <c r="AV97" s="65">
        <f t="shared" si="186"/>
        <v>0</v>
      </c>
      <c r="AW97" s="65">
        <f t="shared" si="187"/>
        <v>0</v>
      </c>
      <c r="AX97" s="66" t="str">
        <f t="shared" si="188"/>
        <v/>
      </c>
      <c r="AY97" s="65" t="str">
        <f t="shared" si="189"/>
        <v/>
      </c>
      <c r="AZ97" s="65" t="str">
        <f t="shared" si="190"/>
        <v/>
      </c>
      <c r="BA97" s="65" t="str">
        <f t="shared" si="191"/>
        <v/>
      </c>
      <c r="BB97" s="68" t="str">
        <f>IF('Marks Entry'!AB97="","",'Marks Entry'!AB97)</f>
        <v/>
      </c>
      <c r="BC97" s="68" t="str">
        <f>IF('Marks Entry'!AC97="","",'Marks Entry'!AC97)</f>
        <v/>
      </c>
      <c r="BD97" s="68" t="str">
        <f>IF('Marks Entry'!AD97="","",'Marks Entry'!AD97)</f>
        <v/>
      </c>
      <c r="BE97" s="514" t="str">
        <f t="shared" si="192"/>
        <v/>
      </c>
      <c r="BF97" s="68" t="str">
        <f>IF('Marks Entry'!AE97="","",'Marks Entry'!AE97)</f>
        <v/>
      </c>
      <c r="BG97" s="515" t="str">
        <f t="shared" si="193"/>
        <v/>
      </c>
      <c r="BH97" s="68" t="str">
        <f>IF('Marks Entry'!AF97="","",'Marks Entry'!AF97)</f>
        <v/>
      </c>
      <c r="BI97" s="96" t="str">
        <f t="shared" si="194"/>
        <v/>
      </c>
      <c r="BJ97" s="65">
        <f t="shared" si="195"/>
        <v>0</v>
      </c>
      <c r="BK97" s="65">
        <f t="shared" si="263"/>
        <v>0</v>
      </c>
      <c r="BL97" s="66" t="str">
        <f t="shared" si="196"/>
        <v/>
      </c>
      <c r="BM97" s="65" t="str">
        <f t="shared" si="197"/>
        <v/>
      </c>
      <c r="BN97" s="65" t="str">
        <f t="shared" si="198"/>
        <v/>
      </c>
      <c r="BO97" s="65" t="str">
        <f t="shared" si="199"/>
        <v/>
      </c>
      <c r="BP97" s="68" t="str">
        <f>IF('Marks Entry'!AG97="","",'Marks Entry'!AG97)</f>
        <v/>
      </c>
      <c r="BQ97" s="68" t="str">
        <f>IF('Marks Entry'!AH97="","",'Marks Entry'!AH97)</f>
        <v/>
      </c>
      <c r="BR97" s="68" t="str">
        <f>IF('Marks Entry'!AI97="","",'Marks Entry'!AI97)</f>
        <v/>
      </c>
      <c r="BS97" s="514" t="str">
        <f t="shared" si="200"/>
        <v/>
      </c>
      <c r="BT97" s="68" t="str">
        <f>IF('Marks Entry'!AJ97="","",'Marks Entry'!AJ97)</f>
        <v/>
      </c>
      <c r="BU97" s="515" t="str">
        <f t="shared" si="201"/>
        <v/>
      </c>
      <c r="BV97" s="68" t="str">
        <f>IF('Marks Entry'!AK97="","",'Marks Entry'!AK97)</f>
        <v/>
      </c>
      <c r="BW97" s="96" t="str">
        <f t="shared" si="202"/>
        <v/>
      </c>
      <c r="BX97" s="65">
        <f t="shared" si="203"/>
        <v>0</v>
      </c>
      <c r="BY97" s="65">
        <f t="shared" si="204"/>
        <v>0</v>
      </c>
      <c r="BZ97" s="66" t="str">
        <f t="shared" si="205"/>
        <v/>
      </c>
      <c r="CA97" s="65" t="str">
        <f t="shared" si="206"/>
        <v/>
      </c>
      <c r="CB97" s="65" t="str">
        <f t="shared" si="207"/>
        <v/>
      </c>
      <c r="CC97" s="65" t="str">
        <f t="shared" si="208"/>
        <v/>
      </c>
      <c r="CD97" s="66">
        <f t="shared" si="209"/>
        <v>0</v>
      </c>
      <c r="CE97" s="68" t="str">
        <f>IF('Marks Entry'!AL97="","",'Marks Entry'!AL97)</f>
        <v/>
      </c>
      <c r="CF97" s="68" t="str">
        <f>IF('Marks Entry'!AM97="","",'Marks Entry'!AM97)</f>
        <v/>
      </c>
      <c r="CG97" s="68" t="str">
        <f>IF('Marks Entry'!AN97="","",'Marks Entry'!AN97)</f>
        <v/>
      </c>
      <c r="CH97" s="514" t="str">
        <f t="shared" si="210"/>
        <v/>
      </c>
      <c r="CI97" s="68" t="str">
        <f>IF('Marks Entry'!AO97="","",'Marks Entry'!AO97)</f>
        <v/>
      </c>
      <c r="CJ97" s="515" t="str">
        <f t="shared" si="211"/>
        <v/>
      </c>
      <c r="CK97" s="68" t="str">
        <f>IF('Marks Entry'!AP97="","",'Marks Entry'!AP97)</f>
        <v/>
      </c>
      <c r="CL97" s="96" t="str">
        <f t="shared" si="212"/>
        <v/>
      </c>
      <c r="CM97" s="65">
        <f t="shared" si="213"/>
        <v>0</v>
      </c>
      <c r="CN97" s="65">
        <f t="shared" si="214"/>
        <v>0</v>
      </c>
      <c r="CO97" s="66" t="str">
        <f t="shared" si="215"/>
        <v/>
      </c>
      <c r="CP97" s="65" t="str">
        <f t="shared" si="216"/>
        <v/>
      </c>
      <c r="CQ97" s="65" t="str">
        <f t="shared" si="217"/>
        <v/>
      </c>
      <c r="CR97" s="65" t="str">
        <f t="shared" si="218"/>
        <v/>
      </c>
      <c r="CS97" s="616"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8" t="str">
        <f>IF('School Profile'!$D$20="NO","",IF('Marks Entry'!AR97="","",'Marks Entry'!AR97))</f>
        <v/>
      </c>
      <c r="CU97" s="68" t="str">
        <f>IF('School Profile'!$D$20="NO","",IF('Marks Entry'!AS97="","",'Marks Entry'!AS97))</f>
        <v/>
      </c>
      <c r="CV97" s="68" t="str">
        <f>IF('School Profile'!$D$20="NO","",IF('Marks Entry'!AT97="","",'Marks Entry'!AT97))</f>
        <v/>
      </c>
      <c r="CW97" s="514" t="str">
        <f>IF('School Profile'!$D$20="NO","",IF(AND(CT97="",CU97="",CV97=""),"",SUM(CT97:CV97)))</f>
        <v/>
      </c>
      <c r="CX97" s="68" t="str">
        <f>IF('School Profile'!$D$20="NO","",IF('Marks Entry'!AU97="","",'Marks Entry'!AU97))</f>
        <v/>
      </c>
      <c r="CY97" s="68" t="str">
        <f>IF('School Profile'!$D$20="NO","",IF('Marks Entry'!AV97="","",'Marks Entry'!AV97))</f>
        <v/>
      </c>
      <c r="CZ97" s="515" t="str">
        <f>IF('School Profile'!$D$20="NO","",IF(AND(CX97="",CY97=""),"",SUM(CX97,CY97)))</f>
        <v/>
      </c>
      <c r="DA97" s="69" t="str">
        <f>IF('School Profile'!$D$20="NO","",IF(AND(CW97="",CZ97=""),"",SUM(CW97+CZ97)))</f>
        <v/>
      </c>
      <c r="DB97" s="68" t="str">
        <f>IF('School Profile'!$D$20="NO","",IF('Marks Entry'!AW97="","",'Marks Entry'!AW97))</f>
        <v/>
      </c>
      <c r="DC97" s="68" t="str">
        <f>IF('School Profile'!$D$20="NO","",IF('Marks Entry'!AX97="","",'Marks Entry'!AX97))</f>
        <v/>
      </c>
      <c r="DD97" s="515" t="str">
        <f>IF('School Profile'!$D$20="NO","",IF(AND(DB97="",DC97=""),"",SUM(DB97,DC97)))</f>
        <v/>
      </c>
      <c r="DE97" s="96" t="str">
        <f>IF('School Profile'!$D$20="NO","",IF(AND(DA97="",DD97=""),"",SUM(DA97,DD97)))</f>
        <v/>
      </c>
      <c r="DF97" s="532">
        <f t="shared" si="219"/>
        <v>0</v>
      </c>
      <c r="DG97" s="65">
        <f t="shared" si="220"/>
        <v>0</v>
      </c>
      <c r="DH97" s="66" t="str">
        <f t="shared" si="221"/>
        <v/>
      </c>
      <c r="DI97" s="65" t="str">
        <f t="shared" si="222"/>
        <v/>
      </c>
      <c r="DJ97" s="65" t="str">
        <f t="shared" si="223"/>
        <v/>
      </c>
      <c r="DK97" s="65" t="str">
        <f t="shared" si="224"/>
        <v/>
      </c>
      <c r="DL97" s="97" t="str">
        <f t="shared" si="264"/>
        <v/>
      </c>
      <c r="DM97" s="97" t="str">
        <f t="shared" si="265"/>
        <v/>
      </c>
      <c r="DN97" s="97" t="str">
        <f t="shared" si="266"/>
        <v/>
      </c>
      <c r="DO97" s="97" t="str">
        <f t="shared" si="267"/>
        <v/>
      </c>
      <c r="DP97" s="97" t="str">
        <f t="shared" si="268"/>
        <v/>
      </c>
      <c r="DQ97" s="97" t="str">
        <f t="shared" si="269"/>
        <v/>
      </c>
      <c r="DR97" s="97" t="str">
        <f t="shared" si="270"/>
        <v/>
      </c>
      <c r="DS97" s="98">
        <f t="shared" si="271"/>
        <v>0</v>
      </c>
      <c r="DT97" s="98">
        <f t="shared" si="272"/>
        <v>0</v>
      </c>
      <c r="DU97" s="98">
        <f t="shared" si="273"/>
        <v>0</v>
      </c>
      <c r="DV97" s="98">
        <f t="shared" si="274"/>
        <v>0</v>
      </c>
      <c r="DW97" s="98">
        <f t="shared" si="275"/>
        <v>0</v>
      </c>
      <c r="DX97" s="98" t="str">
        <f t="shared" si="276"/>
        <v/>
      </c>
      <c r="DY97" s="99" t="str">
        <f t="shared" si="277"/>
        <v/>
      </c>
      <c r="DZ97" s="74" t="str">
        <f>IF('Marks Entry'!AY97="","",'Marks Entry'!AY97)</f>
        <v/>
      </c>
      <c r="EA97" s="74" t="str">
        <f>IF('Marks Entry'!AZ97="","",'Marks Entry'!AZ97)</f>
        <v/>
      </c>
      <c r="EB97" s="74" t="str">
        <f>IF('Marks Entry'!BA97="","",'Marks Entry'!BA97)</f>
        <v/>
      </c>
      <c r="EC97" s="527" t="str">
        <f t="shared" si="225"/>
        <v/>
      </c>
      <c r="ED97" s="74" t="str">
        <f>IF('Marks Entry'!BB97="","",'Marks Entry'!BB97)</f>
        <v/>
      </c>
      <c r="EE97" s="528" t="str">
        <f t="shared" si="226"/>
        <v/>
      </c>
      <c r="EF97" s="74" t="str">
        <f>IF('Marks Entry'!BC97="","",'Marks Entry'!BC97)</f>
        <v/>
      </c>
      <c r="EG97" s="530" t="str">
        <f t="shared" si="227"/>
        <v/>
      </c>
      <c r="EH97" s="368" t="str">
        <f t="shared" si="278"/>
        <v/>
      </c>
      <c r="EI97" s="65">
        <f t="shared" si="279"/>
        <v>0</v>
      </c>
      <c r="EJ97" s="65">
        <f t="shared" si="280"/>
        <v>0</v>
      </c>
      <c r="EK97" s="66" t="str">
        <f t="shared" si="281"/>
        <v/>
      </c>
      <c r="EL97" s="74" t="str">
        <f>IF('Marks Entry'!BD97="","",'Marks Entry'!BD97)</f>
        <v/>
      </c>
      <c r="EM97" s="74" t="str">
        <f>IF('Marks Entry'!BE97="","",'Marks Entry'!BE97)</f>
        <v/>
      </c>
      <c r="EN97" s="74" t="str">
        <f>IF('Marks Entry'!BF97="","",'Marks Entry'!BF97)</f>
        <v/>
      </c>
      <c r="EO97" s="527" t="str">
        <f t="shared" si="228"/>
        <v/>
      </c>
      <c r="EP97" s="74" t="str">
        <f>IF('Marks Entry'!BG97="","",'Marks Entry'!BG97)</f>
        <v/>
      </c>
      <c r="EQ97" s="74" t="str">
        <f>IF('Marks Entry'!BH97="","",'Marks Entry'!BH97)</f>
        <v/>
      </c>
      <c r="ER97" s="528" t="str">
        <f t="shared" si="229"/>
        <v/>
      </c>
      <c r="ES97" s="529" t="str">
        <f t="shared" si="230"/>
        <v/>
      </c>
      <c r="ET97" s="74" t="str">
        <f>IF('Marks Entry'!BI97="","",'Marks Entry'!BI97)</f>
        <v/>
      </c>
      <c r="EU97" s="74" t="str">
        <f>IF('Marks Entry'!BJ97="","",'Marks Entry'!BJ97)</f>
        <v/>
      </c>
      <c r="EV97" s="528" t="str">
        <f t="shared" si="231"/>
        <v/>
      </c>
      <c r="EW97" s="530" t="str">
        <f t="shared" si="232"/>
        <v/>
      </c>
      <c r="EX97" s="368" t="str">
        <f t="shared" si="282"/>
        <v/>
      </c>
      <c r="EY97" s="65">
        <f t="shared" si="283"/>
        <v>0</v>
      </c>
      <c r="EZ97" s="65">
        <f t="shared" si="284"/>
        <v>0</v>
      </c>
      <c r="FA97" s="66" t="str">
        <f t="shared" si="285"/>
        <v/>
      </c>
      <c r="FB97" s="74" t="str">
        <f>IF('Marks Entry'!BK97="","",'Marks Entry'!BK97)</f>
        <v/>
      </c>
      <c r="FC97" s="74" t="str">
        <f>IF('Marks Entry'!BL97="","",'Marks Entry'!BL97)</f>
        <v/>
      </c>
      <c r="FD97" s="74" t="str">
        <f>IF('Marks Entry'!BM97="","",'Marks Entry'!BM97)</f>
        <v/>
      </c>
      <c r="FE97" s="74" t="str">
        <f>IF('Marks Entry'!BN97="","",'Marks Entry'!BN97)</f>
        <v/>
      </c>
      <c r="FF97" s="74" t="str">
        <f>IF('Marks Entry'!BO97="","",'Marks Entry'!BO97)</f>
        <v/>
      </c>
      <c r="FG97" s="74" t="str">
        <f>IF('Marks Entry'!BP97="","",'Marks Entry'!BP97)</f>
        <v/>
      </c>
      <c r="FH97" s="527" t="str">
        <f t="shared" si="233"/>
        <v/>
      </c>
      <c r="FI97" s="74" t="str">
        <f>IF('Marks Entry'!BQ97="","",'Marks Entry'!BQ97)</f>
        <v/>
      </c>
      <c r="FJ97" s="74" t="str">
        <f>IF('Marks Entry'!BR97="","",'Marks Entry'!BR97)</f>
        <v/>
      </c>
      <c r="FK97" s="528" t="str">
        <f t="shared" si="234"/>
        <v/>
      </c>
      <c r="FL97" s="529" t="str">
        <f t="shared" si="235"/>
        <v/>
      </c>
      <c r="FM97" s="74" t="str">
        <f>IF('Marks Entry'!BS97="","",'Marks Entry'!BS97)</f>
        <v/>
      </c>
      <c r="FN97" s="74" t="str">
        <f>IF('Marks Entry'!BT97="","",'Marks Entry'!BT97)</f>
        <v/>
      </c>
      <c r="FO97" s="528" t="str">
        <f t="shared" si="236"/>
        <v/>
      </c>
      <c r="FP97" s="530" t="str">
        <f t="shared" si="237"/>
        <v/>
      </c>
      <c r="FQ97" s="368" t="str">
        <f t="shared" si="286"/>
        <v/>
      </c>
      <c r="FR97" s="65">
        <f t="shared" si="287"/>
        <v>0</v>
      </c>
      <c r="FS97" s="65">
        <f t="shared" si="288"/>
        <v>0</v>
      </c>
      <c r="FT97" s="66" t="str">
        <f t="shared" si="289"/>
        <v/>
      </c>
      <c r="FU97" s="74" t="str">
        <f>IF('Marks Entry'!BU97="","",'Marks Entry'!BU97)</f>
        <v/>
      </c>
      <c r="FV97" s="74" t="str">
        <f>IF('Marks Entry'!BV97="","",'Marks Entry'!BV97)</f>
        <v/>
      </c>
      <c r="FW97" s="74" t="str">
        <f>IF('Marks Entry'!BW97="","",'Marks Entry'!BW97)</f>
        <v/>
      </c>
      <c r="FX97" s="75" t="str">
        <f t="shared" si="238"/>
        <v/>
      </c>
      <c r="FY97" s="368" t="str">
        <f t="shared" si="290"/>
        <v/>
      </c>
      <c r="FZ97" s="65">
        <f t="shared" si="291"/>
        <v>0</v>
      </c>
      <c r="GA97" s="66">
        <f t="shared" si="292"/>
        <v>0</v>
      </c>
      <c r="GB97" s="66" t="str">
        <f t="shared" si="293"/>
        <v/>
      </c>
      <c r="GC97" s="74" t="str">
        <f>IF('Marks Entry'!BX97="","",'Marks Entry'!BX97)</f>
        <v/>
      </c>
      <c r="GD97" s="74" t="str">
        <f>IF('Marks Entry'!BY97="","",'Marks Entry'!BY97)</f>
        <v/>
      </c>
      <c r="GE97" s="74" t="str">
        <f>IF('Marks Entry'!BZ97="","",'Marks Entry'!BZ97)</f>
        <v/>
      </c>
      <c r="GF97" s="75" t="str">
        <f t="shared" si="294"/>
        <v/>
      </c>
      <c r="GG97" s="368" t="str">
        <f t="shared" si="295"/>
        <v/>
      </c>
      <c r="GH97" s="65">
        <f t="shared" si="296"/>
        <v>0</v>
      </c>
      <c r="GI97" s="66">
        <f t="shared" si="297"/>
        <v>0</v>
      </c>
      <c r="GJ97" s="66" t="str">
        <f t="shared" si="298"/>
        <v/>
      </c>
      <c r="GK97" s="100" t="str">
        <f>IF(AND(F97="",B97=""),"",IF('Student DATA Entry'!M94="","",'Student DATA Entry'!M94))</f>
        <v/>
      </c>
      <c r="GL97" s="101" t="str">
        <f>IF(AND(B97="",F97=""),"",IF('Student DATA Entry'!N94="","",'Student DATA Entry'!N94))</f>
        <v/>
      </c>
      <c r="GM97" s="581" t="str">
        <f t="shared" si="299"/>
        <v/>
      </c>
      <c r="GN97" s="94" t="str">
        <f t="shared" si="300"/>
        <v/>
      </c>
      <c r="GO97" s="94" t="str">
        <f t="shared" si="301"/>
        <v/>
      </c>
      <c r="GP97" s="102" t="str">
        <f t="shared" si="239"/>
        <v/>
      </c>
      <c r="GQ97" s="94" t="str">
        <f t="shared" si="302"/>
        <v/>
      </c>
      <c r="GR97" s="103" t="str">
        <f t="shared" si="303"/>
        <v/>
      </c>
      <c r="GS97" s="102" t="str">
        <f t="shared" si="240"/>
        <v/>
      </c>
      <c r="GT97" s="104" t="str">
        <f t="shared" si="304"/>
        <v/>
      </c>
      <c r="GU97" s="94" t="str">
        <f>IF('Marks Entry'!V97=1,GT97,"")</f>
        <v/>
      </c>
      <c r="GV97" s="94" t="str">
        <f>IF('Marks Entry'!V97=2,GT97,"")</f>
        <v/>
      </c>
      <c r="GW97" s="94" t="str">
        <f>IF('Marks Entry'!V97=3,GT97,"")</f>
        <v/>
      </c>
      <c r="GX97" s="94" t="str">
        <f>IF('Marks Entry'!V97=4,GT97,"")</f>
        <v/>
      </c>
      <c r="GY97" s="94" t="str">
        <f>IF('Marks Entry'!V97=5,GT97,"")</f>
        <v/>
      </c>
      <c r="GZ97" s="94" t="str">
        <f t="shared" si="305"/>
        <v/>
      </c>
      <c r="HA97" s="105" t="str">
        <f t="shared" si="241"/>
        <v/>
      </c>
      <c r="HB97" s="94" t="str">
        <f t="shared" si="306"/>
        <v/>
      </c>
      <c r="HC97" s="94" t="str">
        <f t="shared" si="307"/>
        <v/>
      </c>
      <c r="HD97" s="105" t="str">
        <f t="shared" si="242"/>
        <v/>
      </c>
      <c r="HE97" s="94" t="str">
        <f t="shared" si="308"/>
        <v/>
      </c>
      <c r="HF97" s="94" t="str">
        <f t="shared" si="309"/>
        <v/>
      </c>
      <c r="HG97" s="105" t="str">
        <f t="shared" si="243"/>
        <v/>
      </c>
      <c r="HH97" s="94" t="str">
        <f t="shared" si="310"/>
        <v/>
      </c>
      <c r="HI97" s="94" t="str">
        <f t="shared" si="311"/>
        <v/>
      </c>
      <c r="HJ97" s="105" t="str">
        <f t="shared" si="244"/>
        <v/>
      </c>
      <c r="HK97" s="94" t="str">
        <f t="shared" si="312"/>
        <v/>
      </c>
      <c r="HL97" s="94" t="str">
        <f t="shared" si="313"/>
        <v/>
      </c>
      <c r="HM97" s="105" t="str">
        <f t="shared" si="245"/>
        <v/>
      </c>
      <c r="HN97" s="367" t="str">
        <f t="shared" si="314"/>
        <v xml:space="preserve">      </v>
      </c>
      <c r="HO97" s="418" t="str">
        <f t="shared" si="246"/>
        <v xml:space="preserve">      </v>
      </c>
      <c r="HP97" s="367" t="str">
        <f t="shared" si="315"/>
        <v xml:space="preserve">      </v>
      </c>
      <c r="HQ97" s="107" t="str">
        <f t="shared" si="316"/>
        <v xml:space="preserve">      </v>
      </c>
      <c r="HR97" s="366" t="str">
        <f t="shared" si="317"/>
        <v xml:space="preserve">      </v>
      </c>
      <c r="HS97" s="544" t="str">
        <f t="shared" si="247"/>
        <v/>
      </c>
      <c r="HT97" s="542" t="str">
        <f t="shared" si="318"/>
        <v/>
      </c>
      <c r="HU97" s="541" t="str">
        <f t="shared" si="319"/>
        <v/>
      </c>
      <c r="HV97" s="540" t="str">
        <f t="shared" si="320"/>
        <v/>
      </c>
      <c r="HW97" s="537" t="str">
        <f t="shared" si="321"/>
        <v/>
      </c>
      <c r="HX97" s="539" t="str">
        <f t="shared" si="322"/>
        <v/>
      </c>
      <c r="HY97" s="553" t="str">
        <f>IFERROR(IF(OR(HS97="SUPPLEMENTARY",HS97="RE-EXAM"),'Supp. Result Entry'!AQ95,""),"")</f>
        <v/>
      </c>
      <c r="HZ97" s="538" t="str">
        <f t="shared" si="323"/>
        <v/>
      </c>
      <c r="IA97" s="415" t="str">
        <f t="shared" si="324"/>
        <v/>
      </c>
      <c r="IB97" s="415" t="str">
        <f>IF(AND(HZ97="",IA97=""),"",IF(OR(HS97="SUPPLEMENTARY",HS97="RE-EXAM"),'Supp. Result Entry'!AQ95,HS97))</f>
        <v/>
      </c>
      <c r="IC97" s="87"/>
      <c r="IS97" s="109" t="str">
        <f>IF('Supp. Result Entry'!T95="","",'Supp. Result Entry'!$T$4)</f>
        <v/>
      </c>
      <c r="IT97" s="110" t="str">
        <f>IF('Supp. Result Entry'!W95="","",'Supp. Result Entry'!$W$4)</f>
        <v/>
      </c>
      <c r="IU97" s="110" t="str">
        <f>IF('Supp. Result Entry'!Z95="","",'Supp. Result Entry'!$Z$4)</f>
        <v/>
      </c>
      <c r="IV97" s="110" t="str">
        <f>IF('Supp. Result Entry'!AC95="","",'Supp. Result Entry'!$AC$4)</f>
        <v/>
      </c>
      <c r="IW97" s="110" t="str">
        <f>IF('Supp. Result Entry'!AF95="","",'Supp. Result Entry'!$AF$4)</f>
        <v/>
      </c>
      <c r="IX97" s="110" t="str">
        <f>IF('Supp. Result Entry'!AI95="","",'Supp. Result Entry'!$AI$4)</f>
        <v/>
      </c>
      <c r="IY97" s="110" t="str">
        <f>IF('Supp. Result Entry'!AI95="","",'Supp. Result Entry'!$AL$4)</f>
        <v/>
      </c>
      <c r="IZ97" s="110" t="str">
        <f>IF('Supp. Result Entry'!U95="","",'Supp. Result Entry'!U95)</f>
        <v/>
      </c>
      <c r="JA97" s="110" t="str">
        <f>IF('Supp. Result Entry'!X95="","",'Supp. Result Entry'!X95)</f>
        <v/>
      </c>
      <c r="JB97" s="110" t="str">
        <f>IF('Supp. Result Entry'!AA95="","",'Supp. Result Entry'!AA95)</f>
        <v/>
      </c>
      <c r="JC97" s="110" t="str">
        <f>IF('Supp. Result Entry'!AD95="","",'Supp. Result Entry'!AD95)</f>
        <v/>
      </c>
      <c r="JD97" s="110" t="str">
        <f>IF('Supp. Result Entry'!AG95="","",'Supp. Result Entry'!AG95)</f>
        <v/>
      </c>
      <c r="JE97" s="110" t="str">
        <f>IF('Supp. Result Entry'!AJ95="","",'Supp. Result Entry'!AJ95)</f>
        <v/>
      </c>
      <c r="JF97" s="110" t="str">
        <f>IF('Supp. Result Entry'!AM95="","",'Supp. Result Entry'!AM95)</f>
        <v/>
      </c>
      <c r="JG97" s="110" t="str">
        <f>IF('Supp. Result Entry'!V95="","",'Supp. Result Entry'!V95)</f>
        <v/>
      </c>
      <c r="JH97" s="110" t="str">
        <f>IF('Supp. Result Entry'!Y95="","",'Supp. Result Entry'!Y95)</f>
        <v/>
      </c>
      <c r="JI97" s="110" t="str">
        <f>IF('Supp. Result Entry'!AB95="","",'Supp. Result Entry'!AB95)</f>
        <v/>
      </c>
      <c r="JJ97" s="110" t="str">
        <f>IF('Supp. Result Entry'!AE95="","",'Supp. Result Entry'!AE95)</f>
        <v/>
      </c>
      <c r="JK97" s="110" t="str">
        <f>IF('Supp. Result Entry'!AH95="","",'Supp. Result Entry'!AH95)</f>
        <v/>
      </c>
      <c r="JL97" s="110" t="str">
        <f>IF('Supp. Result Entry'!AK95="","",'Supp. Result Entry'!AK95)</f>
        <v/>
      </c>
      <c r="JM97" s="110" t="str">
        <f>IF('Supp. Result Entry'!AN95="","",'Supp. Result Entry'!AN95)</f>
        <v/>
      </c>
      <c r="JN97" s="110">
        <f>COUNTIF('Supp. Result Entry'!K95:Q95,"S")</f>
        <v>0</v>
      </c>
      <c r="JO97" s="110">
        <f t="shared" si="248"/>
        <v>0</v>
      </c>
      <c r="JP97" s="110">
        <f t="shared" si="325"/>
        <v>0</v>
      </c>
      <c r="JQ97" s="110" t="str">
        <f t="shared" si="249"/>
        <v/>
      </c>
      <c r="JR97" s="110" t="str">
        <f t="shared" si="250"/>
        <v/>
      </c>
      <c r="JS97" s="110" t="str">
        <f t="shared" si="251"/>
        <v/>
      </c>
      <c r="JT97" s="110" t="str">
        <f t="shared" si="252"/>
        <v/>
      </c>
      <c r="JU97" s="110" t="str">
        <f t="shared" si="253"/>
        <v/>
      </c>
      <c r="JV97" s="110" t="str">
        <f t="shared" si="254"/>
        <v/>
      </c>
      <c r="JW97" s="110" t="str">
        <f t="shared" si="255"/>
        <v/>
      </c>
      <c r="JX97" s="110" t="str">
        <f t="shared" si="326"/>
        <v/>
      </c>
      <c r="JY97" s="110" t="str">
        <f t="shared" si="327"/>
        <v/>
      </c>
      <c r="JZ97" s="110" t="str">
        <f t="shared" si="256"/>
        <v/>
      </c>
      <c r="KA97" s="108" t="str">
        <f t="shared" si="328"/>
        <v/>
      </c>
    </row>
    <row r="98" spans="1:287" s="108" customFormat="1" ht="21.95" customHeight="1">
      <c r="A98" s="89">
        <v>92</v>
      </c>
      <c r="B98" s="90" t="str">
        <f>IF('Marks Entry'!B98="","",'Marks Entry'!B98)</f>
        <v/>
      </c>
      <c r="C98" s="94" t="str">
        <f>IF('Marks Entry'!D98="","",'Marks Entry'!D98)</f>
        <v/>
      </c>
      <c r="D98" s="91" t="str">
        <f>IF('Marks Entry'!E98="","",'Marks Entry'!E98)</f>
        <v/>
      </c>
      <c r="E98" s="92" t="str">
        <f>IF('Marks Entry'!F98="","",'Marks Entry'!F98)</f>
        <v/>
      </c>
      <c r="F98" s="93" t="str">
        <f>IF('Marks Entry'!G98="","",'Marks Entry'!G98)</f>
        <v/>
      </c>
      <c r="G98" s="93" t="str">
        <f>IF('Marks Entry'!H98="","",'Marks Entry'!H98)</f>
        <v/>
      </c>
      <c r="H98" s="93" t="str">
        <f>IF('Marks Entry'!I98="","",'Marks Entry'!I98)</f>
        <v/>
      </c>
      <c r="I98" s="94" t="str">
        <f>IF('Marks Entry'!J98="","",'Marks Entry'!J98)</f>
        <v/>
      </c>
      <c r="J98" s="95" t="str">
        <f>IF('Marks Entry'!K98="","",'Marks Entry'!K98)</f>
        <v/>
      </c>
      <c r="K98" s="68" t="str">
        <f>IF('Marks Entry'!L98="","",'Marks Entry'!L98)</f>
        <v/>
      </c>
      <c r="L98" s="68" t="str">
        <f>IF('Marks Entry'!M98="","",'Marks Entry'!M98)</f>
        <v/>
      </c>
      <c r="M98" s="68" t="str">
        <f>IF('Marks Entry'!N98="","",'Marks Entry'!N98)</f>
        <v/>
      </c>
      <c r="N98" s="514" t="str">
        <f t="shared" si="257"/>
        <v/>
      </c>
      <c r="O98" s="68" t="str">
        <f>IF('Marks Entry'!O98="","",'Marks Entry'!O98)</f>
        <v/>
      </c>
      <c r="P98" s="515" t="str">
        <f t="shared" si="258"/>
        <v/>
      </c>
      <c r="Q98" s="68" t="str">
        <f>IF('Marks Entry'!P98="","",'Marks Entry'!P98)</f>
        <v/>
      </c>
      <c r="R98" s="96" t="str">
        <f t="shared" si="259"/>
        <v/>
      </c>
      <c r="S98" s="65">
        <f t="shared" si="260"/>
        <v>0</v>
      </c>
      <c r="T98" s="65">
        <f t="shared" si="261"/>
        <v>0</v>
      </c>
      <c r="U98" s="66" t="str">
        <f t="shared" si="171"/>
        <v/>
      </c>
      <c r="V98" s="65" t="str">
        <f t="shared" si="172"/>
        <v/>
      </c>
      <c r="W98" s="65" t="str">
        <f t="shared" si="262"/>
        <v/>
      </c>
      <c r="X98" s="65" t="str">
        <f t="shared" si="173"/>
        <v/>
      </c>
      <c r="Y98" s="68" t="str">
        <f>IF('Marks Entry'!Q98="","",'Marks Entry'!Q98)</f>
        <v/>
      </c>
      <c r="Z98" s="68" t="str">
        <f>IF('Marks Entry'!R98="","",'Marks Entry'!R98)</f>
        <v/>
      </c>
      <c r="AA98" s="68" t="str">
        <f>IF('Marks Entry'!S98="","",'Marks Entry'!S98)</f>
        <v/>
      </c>
      <c r="AB98" s="514" t="str">
        <f t="shared" si="174"/>
        <v/>
      </c>
      <c r="AC98" s="68" t="str">
        <f>IF('Marks Entry'!T98="","",'Marks Entry'!T98)</f>
        <v/>
      </c>
      <c r="AD98" s="515" t="str">
        <f t="shared" si="175"/>
        <v/>
      </c>
      <c r="AE98" s="68" t="str">
        <f>IF('Marks Entry'!U98="","",'Marks Entry'!U98)</f>
        <v/>
      </c>
      <c r="AF98" s="96" t="str">
        <f t="shared" si="176"/>
        <v/>
      </c>
      <c r="AG98" s="65">
        <f t="shared" si="177"/>
        <v>0</v>
      </c>
      <c r="AH98" s="65">
        <f t="shared" si="178"/>
        <v>0</v>
      </c>
      <c r="AI98" s="66" t="str">
        <f t="shared" si="179"/>
        <v/>
      </c>
      <c r="AJ98" s="65" t="str">
        <f t="shared" si="180"/>
        <v/>
      </c>
      <c r="AK98" s="65" t="str">
        <f t="shared" si="181"/>
        <v/>
      </c>
      <c r="AL98" s="65" t="str">
        <f t="shared" si="182"/>
        <v/>
      </c>
      <c r="AM98" s="524" t="str">
        <f>IF('Marks Entry'!V98="","",IF('Marks Entry'!V98=1,'School Profile'!$I$9,IF('Marks Entry'!V98=2,'School Profile'!$I$10,IF('Marks Entry'!V98=3,'School Profile'!$I$11,IF('Marks Entry'!V98=4,'School Profile'!$I$12,IF('Marks Entry'!V98=5,'School Profile'!$I$13,IF('Marks Entry'!V98=6,'School Profile'!$I$14,"")))))))</f>
        <v/>
      </c>
      <c r="AN98" s="68" t="str">
        <f>IF('Marks Entry'!W98="","",'Marks Entry'!W98)</f>
        <v/>
      </c>
      <c r="AO98" s="68" t="str">
        <f>IF('Marks Entry'!X98="","",'Marks Entry'!X98)</f>
        <v/>
      </c>
      <c r="AP98" s="68" t="str">
        <f>IF('Marks Entry'!Y98="","",'Marks Entry'!Y98)</f>
        <v/>
      </c>
      <c r="AQ98" s="514" t="str">
        <f t="shared" si="183"/>
        <v/>
      </c>
      <c r="AR98" s="68" t="str">
        <f>IF('Marks Entry'!Z98="","",'Marks Entry'!Z98)</f>
        <v/>
      </c>
      <c r="AS98" s="515" t="str">
        <f t="shared" si="184"/>
        <v/>
      </c>
      <c r="AT98" s="68" t="str">
        <f>IF('Marks Entry'!AA98="","",'Marks Entry'!AA98)</f>
        <v/>
      </c>
      <c r="AU98" s="96" t="str">
        <f t="shared" si="185"/>
        <v/>
      </c>
      <c r="AV98" s="65">
        <f t="shared" si="186"/>
        <v>0</v>
      </c>
      <c r="AW98" s="65">
        <f t="shared" si="187"/>
        <v>0</v>
      </c>
      <c r="AX98" s="66" t="str">
        <f t="shared" si="188"/>
        <v/>
      </c>
      <c r="AY98" s="65" t="str">
        <f t="shared" si="189"/>
        <v/>
      </c>
      <c r="AZ98" s="65" t="str">
        <f t="shared" si="190"/>
        <v/>
      </c>
      <c r="BA98" s="65" t="str">
        <f t="shared" si="191"/>
        <v/>
      </c>
      <c r="BB98" s="68" t="str">
        <f>IF('Marks Entry'!AB98="","",'Marks Entry'!AB98)</f>
        <v/>
      </c>
      <c r="BC98" s="68" t="str">
        <f>IF('Marks Entry'!AC98="","",'Marks Entry'!AC98)</f>
        <v/>
      </c>
      <c r="BD98" s="68" t="str">
        <f>IF('Marks Entry'!AD98="","",'Marks Entry'!AD98)</f>
        <v/>
      </c>
      <c r="BE98" s="514" t="str">
        <f t="shared" si="192"/>
        <v/>
      </c>
      <c r="BF98" s="68" t="str">
        <f>IF('Marks Entry'!AE98="","",'Marks Entry'!AE98)</f>
        <v/>
      </c>
      <c r="BG98" s="515" t="str">
        <f t="shared" si="193"/>
        <v/>
      </c>
      <c r="BH98" s="68" t="str">
        <f>IF('Marks Entry'!AF98="","",'Marks Entry'!AF98)</f>
        <v/>
      </c>
      <c r="BI98" s="96" t="str">
        <f t="shared" si="194"/>
        <v/>
      </c>
      <c r="BJ98" s="65">
        <f t="shared" si="195"/>
        <v>0</v>
      </c>
      <c r="BK98" s="65">
        <f t="shared" si="263"/>
        <v>0</v>
      </c>
      <c r="BL98" s="66" t="str">
        <f t="shared" si="196"/>
        <v/>
      </c>
      <c r="BM98" s="65" t="str">
        <f t="shared" si="197"/>
        <v/>
      </c>
      <c r="BN98" s="65" t="str">
        <f t="shared" si="198"/>
        <v/>
      </c>
      <c r="BO98" s="65" t="str">
        <f t="shared" si="199"/>
        <v/>
      </c>
      <c r="BP98" s="68" t="str">
        <f>IF('Marks Entry'!AG98="","",'Marks Entry'!AG98)</f>
        <v/>
      </c>
      <c r="BQ98" s="68" t="str">
        <f>IF('Marks Entry'!AH98="","",'Marks Entry'!AH98)</f>
        <v/>
      </c>
      <c r="BR98" s="68" t="str">
        <f>IF('Marks Entry'!AI98="","",'Marks Entry'!AI98)</f>
        <v/>
      </c>
      <c r="BS98" s="514" t="str">
        <f t="shared" si="200"/>
        <v/>
      </c>
      <c r="BT98" s="68" t="str">
        <f>IF('Marks Entry'!AJ98="","",'Marks Entry'!AJ98)</f>
        <v/>
      </c>
      <c r="BU98" s="515" t="str">
        <f t="shared" si="201"/>
        <v/>
      </c>
      <c r="BV98" s="68" t="str">
        <f>IF('Marks Entry'!AK98="","",'Marks Entry'!AK98)</f>
        <v/>
      </c>
      <c r="BW98" s="96" t="str">
        <f t="shared" si="202"/>
        <v/>
      </c>
      <c r="BX98" s="65">
        <f t="shared" si="203"/>
        <v>0</v>
      </c>
      <c r="BY98" s="65">
        <f t="shared" si="204"/>
        <v>0</v>
      </c>
      <c r="BZ98" s="66" t="str">
        <f t="shared" si="205"/>
        <v/>
      </c>
      <c r="CA98" s="65" t="str">
        <f t="shared" si="206"/>
        <v/>
      </c>
      <c r="CB98" s="65" t="str">
        <f t="shared" si="207"/>
        <v/>
      </c>
      <c r="CC98" s="65" t="str">
        <f t="shared" si="208"/>
        <v/>
      </c>
      <c r="CD98" s="66">
        <f t="shared" si="209"/>
        <v>0</v>
      </c>
      <c r="CE98" s="68" t="str">
        <f>IF('Marks Entry'!AL98="","",'Marks Entry'!AL98)</f>
        <v/>
      </c>
      <c r="CF98" s="68" t="str">
        <f>IF('Marks Entry'!AM98="","",'Marks Entry'!AM98)</f>
        <v/>
      </c>
      <c r="CG98" s="68" t="str">
        <f>IF('Marks Entry'!AN98="","",'Marks Entry'!AN98)</f>
        <v/>
      </c>
      <c r="CH98" s="514" t="str">
        <f t="shared" si="210"/>
        <v/>
      </c>
      <c r="CI98" s="68" t="str">
        <f>IF('Marks Entry'!AO98="","",'Marks Entry'!AO98)</f>
        <v/>
      </c>
      <c r="CJ98" s="515" t="str">
        <f t="shared" si="211"/>
        <v/>
      </c>
      <c r="CK98" s="68" t="str">
        <f>IF('Marks Entry'!AP98="","",'Marks Entry'!AP98)</f>
        <v/>
      </c>
      <c r="CL98" s="96" t="str">
        <f t="shared" si="212"/>
        <v/>
      </c>
      <c r="CM98" s="65">
        <f t="shared" si="213"/>
        <v>0</v>
      </c>
      <c r="CN98" s="65">
        <f t="shared" si="214"/>
        <v>0</v>
      </c>
      <c r="CO98" s="66" t="str">
        <f t="shared" si="215"/>
        <v/>
      </c>
      <c r="CP98" s="65" t="str">
        <f t="shared" si="216"/>
        <v/>
      </c>
      <c r="CQ98" s="65" t="str">
        <f t="shared" si="217"/>
        <v/>
      </c>
      <c r="CR98" s="65" t="str">
        <f t="shared" si="218"/>
        <v/>
      </c>
      <c r="CS98" s="616"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8" t="str">
        <f>IF('School Profile'!$D$20="NO","",IF('Marks Entry'!AR98="","",'Marks Entry'!AR98))</f>
        <v/>
      </c>
      <c r="CU98" s="68" t="str">
        <f>IF('School Profile'!$D$20="NO","",IF('Marks Entry'!AS98="","",'Marks Entry'!AS98))</f>
        <v/>
      </c>
      <c r="CV98" s="68" t="str">
        <f>IF('School Profile'!$D$20="NO","",IF('Marks Entry'!AT98="","",'Marks Entry'!AT98))</f>
        <v/>
      </c>
      <c r="CW98" s="514" t="str">
        <f>IF('School Profile'!$D$20="NO","",IF(AND(CT98="",CU98="",CV98=""),"",SUM(CT98:CV98)))</f>
        <v/>
      </c>
      <c r="CX98" s="68" t="str">
        <f>IF('School Profile'!$D$20="NO","",IF('Marks Entry'!AU98="","",'Marks Entry'!AU98))</f>
        <v/>
      </c>
      <c r="CY98" s="68" t="str">
        <f>IF('School Profile'!$D$20="NO","",IF('Marks Entry'!AV98="","",'Marks Entry'!AV98))</f>
        <v/>
      </c>
      <c r="CZ98" s="515" t="str">
        <f>IF('School Profile'!$D$20="NO","",IF(AND(CX98="",CY98=""),"",SUM(CX98,CY98)))</f>
        <v/>
      </c>
      <c r="DA98" s="69" t="str">
        <f>IF('School Profile'!$D$20="NO","",IF(AND(CW98="",CZ98=""),"",SUM(CW98+CZ98)))</f>
        <v/>
      </c>
      <c r="DB98" s="68" t="str">
        <f>IF('School Profile'!$D$20="NO","",IF('Marks Entry'!AW98="","",'Marks Entry'!AW98))</f>
        <v/>
      </c>
      <c r="DC98" s="68" t="str">
        <f>IF('School Profile'!$D$20="NO","",IF('Marks Entry'!AX98="","",'Marks Entry'!AX98))</f>
        <v/>
      </c>
      <c r="DD98" s="515" t="str">
        <f>IF('School Profile'!$D$20="NO","",IF(AND(DB98="",DC98=""),"",SUM(DB98,DC98)))</f>
        <v/>
      </c>
      <c r="DE98" s="96" t="str">
        <f>IF('School Profile'!$D$20="NO","",IF(AND(DA98="",DD98=""),"",SUM(DA98,DD98)))</f>
        <v/>
      </c>
      <c r="DF98" s="532">
        <f t="shared" si="219"/>
        <v>0</v>
      </c>
      <c r="DG98" s="65">
        <f t="shared" si="220"/>
        <v>0</v>
      </c>
      <c r="DH98" s="66" t="str">
        <f t="shared" si="221"/>
        <v/>
      </c>
      <c r="DI98" s="65" t="str">
        <f t="shared" si="222"/>
        <v/>
      </c>
      <c r="DJ98" s="65" t="str">
        <f t="shared" si="223"/>
        <v/>
      </c>
      <c r="DK98" s="65" t="str">
        <f t="shared" si="224"/>
        <v/>
      </c>
      <c r="DL98" s="97" t="str">
        <f t="shared" si="264"/>
        <v/>
      </c>
      <c r="DM98" s="97" t="str">
        <f t="shared" si="265"/>
        <v/>
      </c>
      <c r="DN98" s="97" t="str">
        <f t="shared" si="266"/>
        <v/>
      </c>
      <c r="DO98" s="97" t="str">
        <f t="shared" si="267"/>
        <v/>
      </c>
      <c r="DP98" s="97" t="str">
        <f t="shared" si="268"/>
        <v/>
      </c>
      <c r="DQ98" s="97" t="str">
        <f t="shared" si="269"/>
        <v/>
      </c>
      <c r="DR98" s="97" t="str">
        <f t="shared" si="270"/>
        <v/>
      </c>
      <c r="DS98" s="98">
        <f t="shared" si="271"/>
        <v>0</v>
      </c>
      <c r="DT98" s="98">
        <f t="shared" si="272"/>
        <v>0</v>
      </c>
      <c r="DU98" s="98">
        <f t="shared" si="273"/>
        <v>0</v>
      </c>
      <c r="DV98" s="98">
        <f t="shared" si="274"/>
        <v>0</v>
      </c>
      <c r="DW98" s="98">
        <f t="shared" si="275"/>
        <v>0</v>
      </c>
      <c r="DX98" s="98" t="str">
        <f t="shared" si="276"/>
        <v/>
      </c>
      <c r="DY98" s="99" t="str">
        <f t="shared" si="277"/>
        <v/>
      </c>
      <c r="DZ98" s="74" t="str">
        <f>IF('Marks Entry'!AY98="","",'Marks Entry'!AY98)</f>
        <v/>
      </c>
      <c r="EA98" s="74" t="str">
        <f>IF('Marks Entry'!AZ98="","",'Marks Entry'!AZ98)</f>
        <v/>
      </c>
      <c r="EB98" s="74" t="str">
        <f>IF('Marks Entry'!BA98="","",'Marks Entry'!BA98)</f>
        <v/>
      </c>
      <c r="EC98" s="527" t="str">
        <f t="shared" si="225"/>
        <v/>
      </c>
      <c r="ED98" s="74" t="str">
        <f>IF('Marks Entry'!BB98="","",'Marks Entry'!BB98)</f>
        <v/>
      </c>
      <c r="EE98" s="528" t="str">
        <f t="shared" si="226"/>
        <v/>
      </c>
      <c r="EF98" s="74" t="str">
        <f>IF('Marks Entry'!BC98="","",'Marks Entry'!BC98)</f>
        <v/>
      </c>
      <c r="EG98" s="530" t="str">
        <f t="shared" si="227"/>
        <v/>
      </c>
      <c r="EH98" s="368" t="str">
        <f t="shared" si="278"/>
        <v/>
      </c>
      <c r="EI98" s="65">
        <f t="shared" si="279"/>
        <v>0</v>
      </c>
      <c r="EJ98" s="65">
        <f t="shared" si="280"/>
        <v>0</v>
      </c>
      <c r="EK98" s="66" t="str">
        <f t="shared" si="281"/>
        <v/>
      </c>
      <c r="EL98" s="74" t="str">
        <f>IF('Marks Entry'!BD98="","",'Marks Entry'!BD98)</f>
        <v/>
      </c>
      <c r="EM98" s="74" t="str">
        <f>IF('Marks Entry'!BE98="","",'Marks Entry'!BE98)</f>
        <v/>
      </c>
      <c r="EN98" s="74" t="str">
        <f>IF('Marks Entry'!BF98="","",'Marks Entry'!BF98)</f>
        <v/>
      </c>
      <c r="EO98" s="527" t="str">
        <f t="shared" si="228"/>
        <v/>
      </c>
      <c r="EP98" s="74" t="str">
        <f>IF('Marks Entry'!BG98="","",'Marks Entry'!BG98)</f>
        <v/>
      </c>
      <c r="EQ98" s="74" t="str">
        <f>IF('Marks Entry'!BH98="","",'Marks Entry'!BH98)</f>
        <v/>
      </c>
      <c r="ER98" s="528" t="str">
        <f t="shared" si="229"/>
        <v/>
      </c>
      <c r="ES98" s="529" t="str">
        <f t="shared" si="230"/>
        <v/>
      </c>
      <c r="ET98" s="74" t="str">
        <f>IF('Marks Entry'!BI98="","",'Marks Entry'!BI98)</f>
        <v/>
      </c>
      <c r="EU98" s="74" t="str">
        <f>IF('Marks Entry'!BJ98="","",'Marks Entry'!BJ98)</f>
        <v/>
      </c>
      <c r="EV98" s="528" t="str">
        <f t="shared" si="231"/>
        <v/>
      </c>
      <c r="EW98" s="530" t="str">
        <f t="shared" si="232"/>
        <v/>
      </c>
      <c r="EX98" s="368" t="str">
        <f t="shared" si="282"/>
        <v/>
      </c>
      <c r="EY98" s="65">
        <f t="shared" si="283"/>
        <v>0</v>
      </c>
      <c r="EZ98" s="65">
        <f t="shared" si="284"/>
        <v>0</v>
      </c>
      <c r="FA98" s="66" t="str">
        <f t="shared" si="285"/>
        <v/>
      </c>
      <c r="FB98" s="74" t="str">
        <f>IF('Marks Entry'!BK98="","",'Marks Entry'!BK98)</f>
        <v/>
      </c>
      <c r="FC98" s="74" t="str">
        <f>IF('Marks Entry'!BL98="","",'Marks Entry'!BL98)</f>
        <v/>
      </c>
      <c r="FD98" s="74" t="str">
        <f>IF('Marks Entry'!BM98="","",'Marks Entry'!BM98)</f>
        <v/>
      </c>
      <c r="FE98" s="74" t="str">
        <f>IF('Marks Entry'!BN98="","",'Marks Entry'!BN98)</f>
        <v/>
      </c>
      <c r="FF98" s="74" t="str">
        <f>IF('Marks Entry'!BO98="","",'Marks Entry'!BO98)</f>
        <v/>
      </c>
      <c r="FG98" s="74" t="str">
        <f>IF('Marks Entry'!BP98="","",'Marks Entry'!BP98)</f>
        <v/>
      </c>
      <c r="FH98" s="527" t="str">
        <f t="shared" si="233"/>
        <v/>
      </c>
      <c r="FI98" s="74" t="str">
        <f>IF('Marks Entry'!BQ98="","",'Marks Entry'!BQ98)</f>
        <v/>
      </c>
      <c r="FJ98" s="74" t="str">
        <f>IF('Marks Entry'!BR98="","",'Marks Entry'!BR98)</f>
        <v/>
      </c>
      <c r="FK98" s="528" t="str">
        <f t="shared" si="234"/>
        <v/>
      </c>
      <c r="FL98" s="529" t="str">
        <f t="shared" si="235"/>
        <v/>
      </c>
      <c r="FM98" s="74" t="str">
        <f>IF('Marks Entry'!BS98="","",'Marks Entry'!BS98)</f>
        <v/>
      </c>
      <c r="FN98" s="74" t="str">
        <f>IF('Marks Entry'!BT98="","",'Marks Entry'!BT98)</f>
        <v/>
      </c>
      <c r="FO98" s="528" t="str">
        <f t="shared" si="236"/>
        <v/>
      </c>
      <c r="FP98" s="530" t="str">
        <f t="shared" si="237"/>
        <v/>
      </c>
      <c r="FQ98" s="368" t="str">
        <f t="shared" si="286"/>
        <v/>
      </c>
      <c r="FR98" s="65">
        <f t="shared" si="287"/>
        <v>0</v>
      </c>
      <c r="FS98" s="65">
        <f t="shared" si="288"/>
        <v>0</v>
      </c>
      <c r="FT98" s="66" t="str">
        <f t="shared" si="289"/>
        <v/>
      </c>
      <c r="FU98" s="74" t="str">
        <f>IF('Marks Entry'!BU98="","",'Marks Entry'!BU98)</f>
        <v/>
      </c>
      <c r="FV98" s="74" t="str">
        <f>IF('Marks Entry'!BV98="","",'Marks Entry'!BV98)</f>
        <v/>
      </c>
      <c r="FW98" s="74" t="str">
        <f>IF('Marks Entry'!BW98="","",'Marks Entry'!BW98)</f>
        <v/>
      </c>
      <c r="FX98" s="75" t="str">
        <f t="shared" si="238"/>
        <v/>
      </c>
      <c r="FY98" s="368" t="str">
        <f t="shared" si="290"/>
        <v/>
      </c>
      <c r="FZ98" s="65">
        <f t="shared" si="291"/>
        <v>0</v>
      </c>
      <c r="GA98" s="66">
        <f t="shared" si="292"/>
        <v>0</v>
      </c>
      <c r="GB98" s="66" t="str">
        <f t="shared" si="293"/>
        <v/>
      </c>
      <c r="GC98" s="74" t="str">
        <f>IF('Marks Entry'!BX98="","",'Marks Entry'!BX98)</f>
        <v/>
      </c>
      <c r="GD98" s="74" t="str">
        <f>IF('Marks Entry'!BY98="","",'Marks Entry'!BY98)</f>
        <v/>
      </c>
      <c r="GE98" s="74" t="str">
        <f>IF('Marks Entry'!BZ98="","",'Marks Entry'!BZ98)</f>
        <v/>
      </c>
      <c r="GF98" s="75" t="str">
        <f t="shared" si="294"/>
        <v/>
      </c>
      <c r="GG98" s="368" t="str">
        <f t="shared" si="295"/>
        <v/>
      </c>
      <c r="GH98" s="65">
        <f t="shared" si="296"/>
        <v>0</v>
      </c>
      <c r="GI98" s="66">
        <f t="shared" si="297"/>
        <v>0</v>
      </c>
      <c r="GJ98" s="66" t="str">
        <f t="shared" si="298"/>
        <v/>
      </c>
      <c r="GK98" s="100" t="str">
        <f>IF(AND(F98="",B98=""),"",IF('Student DATA Entry'!M95="","",'Student DATA Entry'!M95))</f>
        <v/>
      </c>
      <c r="GL98" s="101" t="str">
        <f>IF(AND(B98="",F98=""),"",IF('Student DATA Entry'!N95="","",'Student DATA Entry'!N95))</f>
        <v/>
      </c>
      <c r="GM98" s="581" t="str">
        <f t="shared" si="299"/>
        <v/>
      </c>
      <c r="GN98" s="94" t="str">
        <f t="shared" si="300"/>
        <v/>
      </c>
      <c r="GO98" s="94" t="str">
        <f t="shared" si="301"/>
        <v/>
      </c>
      <c r="GP98" s="102" t="str">
        <f t="shared" si="239"/>
        <v/>
      </c>
      <c r="GQ98" s="94" t="str">
        <f t="shared" si="302"/>
        <v/>
      </c>
      <c r="GR98" s="103" t="str">
        <f t="shared" si="303"/>
        <v/>
      </c>
      <c r="GS98" s="102" t="str">
        <f t="shared" si="240"/>
        <v/>
      </c>
      <c r="GT98" s="104" t="str">
        <f t="shared" si="304"/>
        <v/>
      </c>
      <c r="GU98" s="94" t="str">
        <f>IF('Marks Entry'!V98=1,GT98,"")</f>
        <v/>
      </c>
      <c r="GV98" s="94" t="str">
        <f>IF('Marks Entry'!V98=2,GT98,"")</f>
        <v/>
      </c>
      <c r="GW98" s="94" t="str">
        <f>IF('Marks Entry'!V98=3,GT98,"")</f>
        <v/>
      </c>
      <c r="GX98" s="94" t="str">
        <f>IF('Marks Entry'!V98=4,GT98,"")</f>
        <v/>
      </c>
      <c r="GY98" s="94" t="str">
        <f>IF('Marks Entry'!V98=5,GT98,"")</f>
        <v/>
      </c>
      <c r="GZ98" s="94" t="str">
        <f t="shared" si="305"/>
        <v/>
      </c>
      <c r="HA98" s="105" t="str">
        <f t="shared" si="241"/>
        <v/>
      </c>
      <c r="HB98" s="94" t="str">
        <f t="shared" si="306"/>
        <v/>
      </c>
      <c r="HC98" s="94" t="str">
        <f t="shared" si="307"/>
        <v/>
      </c>
      <c r="HD98" s="105" t="str">
        <f t="shared" si="242"/>
        <v/>
      </c>
      <c r="HE98" s="94" t="str">
        <f t="shared" si="308"/>
        <v/>
      </c>
      <c r="HF98" s="94" t="str">
        <f t="shared" si="309"/>
        <v/>
      </c>
      <c r="HG98" s="105" t="str">
        <f t="shared" si="243"/>
        <v/>
      </c>
      <c r="HH98" s="94" t="str">
        <f t="shared" si="310"/>
        <v/>
      </c>
      <c r="HI98" s="94" t="str">
        <f t="shared" si="311"/>
        <v/>
      </c>
      <c r="HJ98" s="105" t="str">
        <f t="shared" si="244"/>
        <v/>
      </c>
      <c r="HK98" s="94" t="str">
        <f t="shared" si="312"/>
        <v/>
      </c>
      <c r="HL98" s="94" t="str">
        <f t="shared" si="313"/>
        <v/>
      </c>
      <c r="HM98" s="105" t="str">
        <f t="shared" si="245"/>
        <v/>
      </c>
      <c r="HN98" s="367" t="str">
        <f t="shared" si="314"/>
        <v xml:space="preserve">      </v>
      </c>
      <c r="HO98" s="418" t="str">
        <f t="shared" si="246"/>
        <v xml:space="preserve">      </v>
      </c>
      <c r="HP98" s="367" t="str">
        <f t="shared" si="315"/>
        <v xml:space="preserve">      </v>
      </c>
      <c r="HQ98" s="107" t="str">
        <f t="shared" si="316"/>
        <v xml:space="preserve">      </v>
      </c>
      <c r="HR98" s="366" t="str">
        <f t="shared" si="317"/>
        <v xml:space="preserve">      </v>
      </c>
      <c r="HS98" s="544" t="str">
        <f t="shared" si="247"/>
        <v/>
      </c>
      <c r="HT98" s="542" t="str">
        <f t="shared" si="318"/>
        <v/>
      </c>
      <c r="HU98" s="541" t="str">
        <f t="shared" si="319"/>
        <v/>
      </c>
      <c r="HV98" s="540" t="str">
        <f t="shared" si="320"/>
        <v/>
      </c>
      <c r="HW98" s="537" t="str">
        <f t="shared" si="321"/>
        <v/>
      </c>
      <c r="HX98" s="539" t="str">
        <f t="shared" si="322"/>
        <v/>
      </c>
      <c r="HY98" s="553" t="str">
        <f>IFERROR(IF(OR(HS98="SUPPLEMENTARY",HS98="RE-EXAM"),'Supp. Result Entry'!AQ96,""),"")</f>
        <v/>
      </c>
      <c r="HZ98" s="538" t="str">
        <f t="shared" si="323"/>
        <v/>
      </c>
      <c r="IA98" s="415" t="str">
        <f t="shared" si="324"/>
        <v/>
      </c>
      <c r="IB98" s="415" t="str">
        <f>IF(AND(HZ98="",IA98=""),"",IF(OR(HS98="SUPPLEMENTARY",HS98="RE-EXAM"),'Supp. Result Entry'!AQ96,HS98))</f>
        <v/>
      </c>
      <c r="IC98" s="87"/>
      <c r="IS98" s="109" t="str">
        <f>IF('Supp. Result Entry'!T96="","",'Supp. Result Entry'!$T$4)</f>
        <v/>
      </c>
      <c r="IT98" s="110" t="str">
        <f>IF('Supp. Result Entry'!W96="","",'Supp. Result Entry'!$W$4)</f>
        <v/>
      </c>
      <c r="IU98" s="110" t="str">
        <f>IF('Supp. Result Entry'!Z96="","",'Supp. Result Entry'!$Z$4)</f>
        <v/>
      </c>
      <c r="IV98" s="110" t="str">
        <f>IF('Supp. Result Entry'!AC96="","",'Supp. Result Entry'!$AC$4)</f>
        <v/>
      </c>
      <c r="IW98" s="110" t="str">
        <f>IF('Supp. Result Entry'!AF96="","",'Supp. Result Entry'!$AF$4)</f>
        <v/>
      </c>
      <c r="IX98" s="110" t="str">
        <f>IF('Supp. Result Entry'!AI96="","",'Supp. Result Entry'!$AI$4)</f>
        <v/>
      </c>
      <c r="IY98" s="110" t="str">
        <f>IF('Supp. Result Entry'!AI96="","",'Supp. Result Entry'!$AL$4)</f>
        <v/>
      </c>
      <c r="IZ98" s="110" t="str">
        <f>IF('Supp. Result Entry'!U96="","",'Supp. Result Entry'!U96)</f>
        <v/>
      </c>
      <c r="JA98" s="110" t="str">
        <f>IF('Supp. Result Entry'!X96="","",'Supp. Result Entry'!X96)</f>
        <v/>
      </c>
      <c r="JB98" s="110" t="str">
        <f>IF('Supp. Result Entry'!AA96="","",'Supp. Result Entry'!AA96)</f>
        <v/>
      </c>
      <c r="JC98" s="110" t="str">
        <f>IF('Supp. Result Entry'!AD96="","",'Supp. Result Entry'!AD96)</f>
        <v/>
      </c>
      <c r="JD98" s="110" t="str">
        <f>IF('Supp. Result Entry'!AG96="","",'Supp. Result Entry'!AG96)</f>
        <v/>
      </c>
      <c r="JE98" s="110" t="str">
        <f>IF('Supp. Result Entry'!AJ96="","",'Supp. Result Entry'!AJ96)</f>
        <v/>
      </c>
      <c r="JF98" s="110" t="str">
        <f>IF('Supp. Result Entry'!AM96="","",'Supp. Result Entry'!AM96)</f>
        <v/>
      </c>
      <c r="JG98" s="110" t="str">
        <f>IF('Supp. Result Entry'!V96="","",'Supp. Result Entry'!V96)</f>
        <v/>
      </c>
      <c r="JH98" s="110" t="str">
        <f>IF('Supp. Result Entry'!Y96="","",'Supp. Result Entry'!Y96)</f>
        <v/>
      </c>
      <c r="JI98" s="110" t="str">
        <f>IF('Supp. Result Entry'!AB96="","",'Supp. Result Entry'!AB96)</f>
        <v/>
      </c>
      <c r="JJ98" s="110" t="str">
        <f>IF('Supp. Result Entry'!AE96="","",'Supp. Result Entry'!AE96)</f>
        <v/>
      </c>
      <c r="JK98" s="110" t="str">
        <f>IF('Supp. Result Entry'!AH96="","",'Supp. Result Entry'!AH96)</f>
        <v/>
      </c>
      <c r="JL98" s="110" t="str">
        <f>IF('Supp. Result Entry'!AK96="","",'Supp. Result Entry'!AK96)</f>
        <v/>
      </c>
      <c r="JM98" s="110" t="str">
        <f>IF('Supp. Result Entry'!AN96="","",'Supp. Result Entry'!AN96)</f>
        <v/>
      </c>
      <c r="JN98" s="110">
        <f>COUNTIF('Supp. Result Entry'!K96:Q96,"S")</f>
        <v>0</v>
      </c>
      <c r="JO98" s="110">
        <f t="shared" si="248"/>
        <v>0</v>
      </c>
      <c r="JP98" s="110">
        <f t="shared" si="325"/>
        <v>0</v>
      </c>
      <c r="JQ98" s="110" t="str">
        <f t="shared" si="249"/>
        <v/>
      </c>
      <c r="JR98" s="110" t="str">
        <f t="shared" si="250"/>
        <v/>
      </c>
      <c r="JS98" s="110" t="str">
        <f t="shared" si="251"/>
        <v/>
      </c>
      <c r="JT98" s="110" t="str">
        <f t="shared" si="252"/>
        <v/>
      </c>
      <c r="JU98" s="110" t="str">
        <f t="shared" si="253"/>
        <v/>
      </c>
      <c r="JV98" s="110" t="str">
        <f t="shared" si="254"/>
        <v/>
      </c>
      <c r="JW98" s="110" t="str">
        <f t="shared" si="255"/>
        <v/>
      </c>
      <c r="JX98" s="110" t="str">
        <f t="shared" si="326"/>
        <v/>
      </c>
      <c r="JY98" s="110" t="str">
        <f t="shared" si="327"/>
        <v/>
      </c>
      <c r="JZ98" s="110" t="str">
        <f t="shared" si="256"/>
        <v/>
      </c>
      <c r="KA98" s="108" t="str">
        <f t="shared" si="328"/>
        <v/>
      </c>
    </row>
    <row r="99" spans="1:287" s="108" customFormat="1" ht="21.95" customHeight="1">
      <c r="A99" s="89">
        <v>93</v>
      </c>
      <c r="B99" s="90" t="str">
        <f>IF('Marks Entry'!B99="","",'Marks Entry'!B99)</f>
        <v/>
      </c>
      <c r="C99" s="94" t="str">
        <f>IF('Marks Entry'!D99="","",'Marks Entry'!D99)</f>
        <v/>
      </c>
      <c r="D99" s="91" t="str">
        <f>IF('Marks Entry'!E99="","",'Marks Entry'!E99)</f>
        <v/>
      </c>
      <c r="E99" s="92" t="str">
        <f>IF('Marks Entry'!F99="","",'Marks Entry'!F99)</f>
        <v/>
      </c>
      <c r="F99" s="93" t="str">
        <f>IF('Marks Entry'!G99="","",'Marks Entry'!G99)</f>
        <v/>
      </c>
      <c r="G99" s="93" t="str">
        <f>IF('Marks Entry'!H99="","",'Marks Entry'!H99)</f>
        <v/>
      </c>
      <c r="H99" s="93" t="str">
        <f>IF('Marks Entry'!I99="","",'Marks Entry'!I99)</f>
        <v/>
      </c>
      <c r="I99" s="94" t="str">
        <f>IF('Marks Entry'!J99="","",'Marks Entry'!J99)</f>
        <v/>
      </c>
      <c r="J99" s="95" t="str">
        <f>IF('Marks Entry'!K99="","",'Marks Entry'!K99)</f>
        <v/>
      </c>
      <c r="K99" s="68" t="str">
        <f>IF('Marks Entry'!L99="","",'Marks Entry'!L99)</f>
        <v/>
      </c>
      <c r="L99" s="68" t="str">
        <f>IF('Marks Entry'!M99="","",'Marks Entry'!M99)</f>
        <v/>
      </c>
      <c r="M99" s="68" t="str">
        <f>IF('Marks Entry'!N99="","",'Marks Entry'!N99)</f>
        <v/>
      </c>
      <c r="N99" s="514" t="str">
        <f t="shared" si="257"/>
        <v/>
      </c>
      <c r="O99" s="68" t="str">
        <f>IF('Marks Entry'!O99="","",'Marks Entry'!O99)</f>
        <v/>
      </c>
      <c r="P99" s="515" t="str">
        <f t="shared" si="258"/>
        <v/>
      </c>
      <c r="Q99" s="68" t="str">
        <f>IF('Marks Entry'!P99="","",'Marks Entry'!P99)</f>
        <v/>
      </c>
      <c r="R99" s="96" t="str">
        <f t="shared" si="259"/>
        <v/>
      </c>
      <c r="S99" s="65">
        <f t="shared" si="260"/>
        <v>0</v>
      </c>
      <c r="T99" s="65">
        <f t="shared" si="261"/>
        <v>0</v>
      </c>
      <c r="U99" s="66" t="str">
        <f t="shared" si="171"/>
        <v/>
      </c>
      <c r="V99" s="65" t="str">
        <f t="shared" si="172"/>
        <v/>
      </c>
      <c r="W99" s="65" t="str">
        <f t="shared" si="262"/>
        <v/>
      </c>
      <c r="X99" s="65" t="str">
        <f t="shared" si="173"/>
        <v/>
      </c>
      <c r="Y99" s="68" t="str">
        <f>IF('Marks Entry'!Q99="","",'Marks Entry'!Q99)</f>
        <v/>
      </c>
      <c r="Z99" s="68" t="str">
        <f>IF('Marks Entry'!R99="","",'Marks Entry'!R99)</f>
        <v/>
      </c>
      <c r="AA99" s="68" t="str">
        <f>IF('Marks Entry'!S99="","",'Marks Entry'!S99)</f>
        <v/>
      </c>
      <c r="AB99" s="514" t="str">
        <f t="shared" si="174"/>
        <v/>
      </c>
      <c r="AC99" s="68" t="str">
        <f>IF('Marks Entry'!T99="","",'Marks Entry'!T99)</f>
        <v/>
      </c>
      <c r="AD99" s="515" t="str">
        <f t="shared" si="175"/>
        <v/>
      </c>
      <c r="AE99" s="68" t="str">
        <f>IF('Marks Entry'!U99="","",'Marks Entry'!U99)</f>
        <v/>
      </c>
      <c r="AF99" s="96" t="str">
        <f t="shared" si="176"/>
        <v/>
      </c>
      <c r="AG99" s="65">
        <f t="shared" si="177"/>
        <v>0</v>
      </c>
      <c r="AH99" s="65">
        <f t="shared" si="178"/>
        <v>0</v>
      </c>
      <c r="AI99" s="66" t="str">
        <f t="shared" si="179"/>
        <v/>
      </c>
      <c r="AJ99" s="65" t="str">
        <f t="shared" si="180"/>
        <v/>
      </c>
      <c r="AK99" s="65" t="str">
        <f t="shared" si="181"/>
        <v/>
      </c>
      <c r="AL99" s="65" t="str">
        <f t="shared" si="182"/>
        <v/>
      </c>
      <c r="AM99" s="524" t="str">
        <f>IF('Marks Entry'!V99="","",IF('Marks Entry'!V99=1,'School Profile'!$I$9,IF('Marks Entry'!V99=2,'School Profile'!$I$10,IF('Marks Entry'!V99=3,'School Profile'!$I$11,IF('Marks Entry'!V99=4,'School Profile'!$I$12,IF('Marks Entry'!V99=5,'School Profile'!$I$13,IF('Marks Entry'!V99=6,'School Profile'!$I$14,"")))))))</f>
        <v/>
      </c>
      <c r="AN99" s="68" t="str">
        <f>IF('Marks Entry'!W99="","",'Marks Entry'!W99)</f>
        <v/>
      </c>
      <c r="AO99" s="68" t="str">
        <f>IF('Marks Entry'!X99="","",'Marks Entry'!X99)</f>
        <v/>
      </c>
      <c r="AP99" s="68" t="str">
        <f>IF('Marks Entry'!Y99="","",'Marks Entry'!Y99)</f>
        <v/>
      </c>
      <c r="AQ99" s="514" t="str">
        <f t="shared" si="183"/>
        <v/>
      </c>
      <c r="AR99" s="68" t="str">
        <f>IF('Marks Entry'!Z99="","",'Marks Entry'!Z99)</f>
        <v/>
      </c>
      <c r="AS99" s="515" t="str">
        <f t="shared" si="184"/>
        <v/>
      </c>
      <c r="AT99" s="68" t="str">
        <f>IF('Marks Entry'!AA99="","",'Marks Entry'!AA99)</f>
        <v/>
      </c>
      <c r="AU99" s="96" t="str">
        <f t="shared" si="185"/>
        <v/>
      </c>
      <c r="AV99" s="65">
        <f t="shared" si="186"/>
        <v>0</v>
      </c>
      <c r="AW99" s="65">
        <f t="shared" si="187"/>
        <v>0</v>
      </c>
      <c r="AX99" s="66" t="str">
        <f t="shared" si="188"/>
        <v/>
      </c>
      <c r="AY99" s="65" t="str">
        <f t="shared" si="189"/>
        <v/>
      </c>
      <c r="AZ99" s="65" t="str">
        <f t="shared" si="190"/>
        <v/>
      </c>
      <c r="BA99" s="65" t="str">
        <f t="shared" si="191"/>
        <v/>
      </c>
      <c r="BB99" s="68" t="str">
        <f>IF('Marks Entry'!AB99="","",'Marks Entry'!AB99)</f>
        <v/>
      </c>
      <c r="BC99" s="68" t="str">
        <f>IF('Marks Entry'!AC99="","",'Marks Entry'!AC99)</f>
        <v/>
      </c>
      <c r="BD99" s="68" t="str">
        <f>IF('Marks Entry'!AD99="","",'Marks Entry'!AD99)</f>
        <v/>
      </c>
      <c r="BE99" s="514" t="str">
        <f t="shared" si="192"/>
        <v/>
      </c>
      <c r="BF99" s="68" t="str">
        <f>IF('Marks Entry'!AE99="","",'Marks Entry'!AE99)</f>
        <v/>
      </c>
      <c r="BG99" s="515" t="str">
        <f t="shared" si="193"/>
        <v/>
      </c>
      <c r="BH99" s="68" t="str">
        <f>IF('Marks Entry'!AF99="","",'Marks Entry'!AF99)</f>
        <v/>
      </c>
      <c r="BI99" s="96" t="str">
        <f t="shared" si="194"/>
        <v/>
      </c>
      <c r="BJ99" s="65">
        <f t="shared" si="195"/>
        <v>0</v>
      </c>
      <c r="BK99" s="65">
        <f t="shared" si="263"/>
        <v>0</v>
      </c>
      <c r="BL99" s="66" t="str">
        <f t="shared" si="196"/>
        <v/>
      </c>
      <c r="BM99" s="65" t="str">
        <f t="shared" si="197"/>
        <v/>
      </c>
      <c r="BN99" s="65" t="str">
        <f t="shared" si="198"/>
        <v/>
      </c>
      <c r="BO99" s="65" t="str">
        <f t="shared" si="199"/>
        <v/>
      </c>
      <c r="BP99" s="68" t="str">
        <f>IF('Marks Entry'!AG99="","",'Marks Entry'!AG99)</f>
        <v/>
      </c>
      <c r="BQ99" s="68" t="str">
        <f>IF('Marks Entry'!AH99="","",'Marks Entry'!AH99)</f>
        <v/>
      </c>
      <c r="BR99" s="68" t="str">
        <f>IF('Marks Entry'!AI99="","",'Marks Entry'!AI99)</f>
        <v/>
      </c>
      <c r="BS99" s="514" t="str">
        <f t="shared" si="200"/>
        <v/>
      </c>
      <c r="BT99" s="68" t="str">
        <f>IF('Marks Entry'!AJ99="","",'Marks Entry'!AJ99)</f>
        <v/>
      </c>
      <c r="BU99" s="515" t="str">
        <f t="shared" si="201"/>
        <v/>
      </c>
      <c r="BV99" s="68" t="str">
        <f>IF('Marks Entry'!AK99="","",'Marks Entry'!AK99)</f>
        <v/>
      </c>
      <c r="BW99" s="96" t="str">
        <f t="shared" si="202"/>
        <v/>
      </c>
      <c r="BX99" s="65">
        <f t="shared" si="203"/>
        <v>0</v>
      </c>
      <c r="BY99" s="65">
        <f t="shared" si="204"/>
        <v>0</v>
      </c>
      <c r="BZ99" s="66" t="str">
        <f t="shared" si="205"/>
        <v/>
      </c>
      <c r="CA99" s="65" t="str">
        <f t="shared" si="206"/>
        <v/>
      </c>
      <c r="CB99" s="65" t="str">
        <f t="shared" si="207"/>
        <v/>
      </c>
      <c r="CC99" s="65" t="str">
        <f t="shared" si="208"/>
        <v/>
      </c>
      <c r="CD99" s="66">
        <f t="shared" si="209"/>
        <v>0</v>
      </c>
      <c r="CE99" s="68" t="str">
        <f>IF('Marks Entry'!AL99="","",'Marks Entry'!AL99)</f>
        <v/>
      </c>
      <c r="CF99" s="68" t="str">
        <f>IF('Marks Entry'!AM99="","",'Marks Entry'!AM99)</f>
        <v/>
      </c>
      <c r="CG99" s="68" t="str">
        <f>IF('Marks Entry'!AN99="","",'Marks Entry'!AN99)</f>
        <v/>
      </c>
      <c r="CH99" s="514" t="str">
        <f t="shared" si="210"/>
        <v/>
      </c>
      <c r="CI99" s="68" t="str">
        <f>IF('Marks Entry'!AO99="","",'Marks Entry'!AO99)</f>
        <v/>
      </c>
      <c r="CJ99" s="515" t="str">
        <f t="shared" si="211"/>
        <v/>
      </c>
      <c r="CK99" s="68" t="str">
        <f>IF('Marks Entry'!AP99="","",'Marks Entry'!AP99)</f>
        <v/>
      </c>
      <c r="CL99" s="96" t="str">
        <f t="shared" si="212"/>
        <v/>
      </c>
      <c r="CM99" s="65">
        <f t="shared" si="213"/>
        <v>0</v>
      </c>
      <c r="CN99" s="65">
        <f t="shared" si="214"/>
        <v>0</v>
      </c>
      <c r="CO99" s="66" t="str">
        <f t="shared" si="215"/>
        <v/>
      </c>
      <c r="CP99" s="65" t="str">
        <f t="shared" si="216"/>
        <v/>
      </c>
      <c r="CQ99" s="65" t="str">
        <f t="shared" si="217"/>
        <v/>
      </c>
      <c r="CR99" s="65" t="str">
        <f t="shared" si="218"/>
        <v/>
      </c>
      <c r="CS99" s="616"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8" t="str">
        <f>IF('School Profile'!$D$20="NO","",IF('Marks Entry'!AR99="","",'Marks Entry'!AR99))</f>
        <v/>
      </c>
      <c r="CU99" s="68" t="str">
        <f>IF('School Profile'!$D$20="NO","",IF('Marks Entry'!AS99="","",'Marks Entry'!AS99))</f>
        <v/>
      </c>
      <c r="CV99" s="68" t="str">
        <f>IF('School Profile'!$D$20="NO","",IF('Marks Entry'!AT99="","",'Marks Entry'!AT99))</f>
        <v/>
      </c>
      <c r="CW99" s="514" t="str">
        <f>IF('School Profile'!$D$20="NO","",IF(AND(CT99="",CU99="",CV99=""),"",SUM(CT99:CV99)))</f>
        <v/>
      </c>
      <c r="CX99" s="68" t="str">
        <f>IF('School Profile'!$D$20="NO","",IF('Marks Entry'!AU99="","",'Marks Entry'!AU99))</f>
        <v/>
      </c>
      <c r="CY99" s="68" t="str">
        <f>IF('School Profile'!$D$20="NO","",IF('Marks Entry'!AV99="","",'Marks Entry'!AV99))</f>
        <v/>
      </c>
      <c r="CZ99" s="515" t="str">
        <f>IF('School Profile'!$D$20="NO","",IF(AND(CX99="",CY99=""),"",SUM(CX99,CY99)))</f>
        <v/>
      </c>
      <c r="DA99" s="69" t="str">
        <f>IF('School Profile'!$D$20="NO","",IF(AND(CW99="",CZ99=""),"",SUM(CW99+CZ99)))</f>
        <v/>
      </c>
      <c r="DB99" s="68" t="str">
        <f>IF('School Profile'!$D$20="NO","",IF('Marks Entry'!AW99="","",'Marks Entry'!AW99))</f>
        <v/>
      </c>
      <c r="DC99" s="68" t="str">
        <f>IF('School Profile'!$D$20="NO","",IF('Marks Entry'!AX99="","",'Marks Entry'!AX99))</f>
        <v/>
      </c>
      <c r="DD99" s="515" t="str">
        <f>IF('School Profile'!$D$20="NO","",IF(AND(DB99="",DC99=""),"",SUM(DB99,DC99)))</f>
        <v/>
      </c>
      <c r="DE99" s="96" t="str">
        <f>IF('School Profile'!$D$20="NO","",IF(AND(DA99="",DD99=""),"",SUM(DA99,DD99)))</f>
        <v/>
      </c>
      <c r="DF99" s="532">
        <f t="shared" si="219"/>
        <v>0</v>
      </c>
      <c r="DG99" s="65">
        <f t="shared" si="220"/>
        <v>0</v>
      </c>
      <c r="DH99" s="66" t="str">
        <f t="shared" si="221"/>
        <v/>
      </c>
      <c r="DI99" s="65" t="str">
        <f t="shared" si="222"/>
        <v/>
      </c>
      <c r="DJ99" s="65" t="str">
        <f t="shared" si="223"/>
        <v/>
      </c>
      <c r="DK99" s="65" t="str">
        <f t="shared" si="224"/>
        <v/>
      </c>
      <c r="DL99" s="97" t="str">
        <f t="shared" si="264"/>
        <v/>
      </c>
      <c r="DM99" s="97" t="str">
        <f t="shared" si="265"/>
        <v/>
      </c>
      <c r="DN99" s="97" t="str">
        <f t="shared" si="266"/>
        <v/>
      </c>
      <c r="DO99" s="97" t="str">
        <f t="shared" si="267"/>
        <v/>
      </c>
      <c r="DP99" s="97" t="str">
        <f t="shared" si="268"/>
        <v/>
      </c>
      <c r="DQ99" s="97" t="str">
        <f t="shared" si="269"/>
        <v/>
      </c>
      <c r="DR99" s="97" t="str">
        <f t="shared" si="270"/>
        <v/>
      </c>
      <c r="DS99" s="98">
        <f t="shared" si="271"/>
        <v>0</v>
      </c>
      <c r="DT99" s="98">
        <f t="shared" si="272"/>
        <v>0</v>
      </c>
      <c r="DU99" s="98">
        <f t="shared" si="273"/>
        <v>0</v>
      </c>
      <c r="DV99" s="98">
        <f t="shared" si="274"/>
        <v>0</v>
      </c>
      <c r="DW99" s="98">
        <f t="shared" si="275"/>
        <v>0</v>
      </c>
      <c r="DX99" s="98" t="str">
        <f t="shared" si="276"/>
        <v/>
      </c>
      <c r="DY99" s="99" t="str">
        <f t="shared" si="277"/>
        <v/>
      </c>
      <c r="DZ99" s="74" t="str">
        <f>IF('Marks Entry'!AY99="","",'Marks Entry'!AY99)</f>
        <v/>
      </c>
      <c r="EA99" s="74" t="str">
        <f>IF('Marks Entry'!AZ99="","",'Marks Entry'!AZ99)</f>
        <v/>
      </c>
      <c r="EB99" s="74" t="str">
        <f>IF('Marks Entry'!BA99="","",'Marks Entry'!BA99)</f>
        <v/>
      </c>
      <c r="EC99" s="527" t="str">
        <f t="shared" si="225"/>
        <v/>
      </c>
      <c r="ED99" s="74" t="str">
        <f>IF('Marks Entry'!BB99="","",'Marks Entry'!BB99)</f>
        <v/>
      </c>
      <c r="EE99" s="528" t="str">
        <f t="shared" si="226"/>
        <v/>
      </c>
      <c r="EF99" s="74" t="str">
        <f>IF('Marks Entry'!BC99="","",'Marks Entry'!BC99)</f>
        <v/>
      </c>
      <c r="EG99" s="530" t="str">
        <f t="shared" si="227"/>
        <v/>
      </c>
      <c r="EH99" s="368" t="str">
        <f t="shared" si="278"/>
        <v/>
      </c>
      <c r="EI99" s="65">
        <f t="shared" si="279"/>
        <v>0</v>
      </c>
      <c r="EJ99" s="65">
        <f t="shared" si="280"/>
        <v>0</v>
      </c>
      <c r="EK99" s="66" t="str">
        <f t="shared" si="281"/>
        <v/>
      </c>
      <c r="EL99" s="74" t="str">
        <f>IF('Marks Entry'!BD99="","",'Marks Entry'!BD99)</f>
        <v/>
      </c>
      <c r="EM99" s="74" t="str">
        <f>IF('Marks Entry'!BE99="","",'Marks Entry'!BE99)</f>
        <v/>
      </c>
      <c r="EN99" s="74" t="str">
        <f>IF('Marks Entry'!BF99="","",'Marks Entry'!BF99)</f>
        <v/>
      </c>
      <c r="EO99" s="527" t="str">
        <f t="shared" si="228"/>
        <v/>
      </c>
      <c r="EP99" s="74" t="str">
        <f>IF('Marks Entry'!BG99="","",'Marks Entry'!BG99)</f>
        <v/>
      </c>
      <c r="EQ99" s="74" t="str">
        <f>IF('Marks Entry'!BH99="","",'Marks Entry'!BH99)</f>
        <v/>
      </c>
      <c r="ER99" s="528" t="str">
        <f t="shared" si="229"/>
        <v/>
      </c>
      <c r="ES99" s="529" t="str">
        <f t="shared" si="230"/>
        <v/>
      </c>
      <c r="ET99" s="74" t="str">
        <f>IF('Marks Entry'!BI99="","",'Marks Entry'!BI99)</f>
        <v/>
      </c>
      <c r="EU99" s="74" t="str">
        <f>IF('Marks Entry'!BJ99="","",'Marks Entry'!BJ99)</f>
        <v/>
      </c>
      <c r="EV99" s="528" t="str">
        <f t="shared" si="231"/>
        <v/>
      </c>
      <c r="EW99" s="530" t="str">
        <f t="shared" si="232"/>
        <v/>
      </c>
      <c r="EX99" s="368" t="str">
        <f t="shared" si="282"/>
        <v/>
      </c>
      <c r="EY99" s="65">
        <f t="shared" si="283"/>
        <v>0</v>
      </c>
      <c r="EZ99" s="65">
        <f t="shared" si="284"/>
        <v>0</v>
      </c>
      <c r="FA99" s="66" t="str">
        <f t="shared" si="285"/>
        <v/>
      </c>
      <c r="FB99" s="74" t="str">
        <f>IF('Marks Entry'!BK99="","",'Marks Entry'!BK99)</f>
        <v/>
      </c>
      <c r="FC99" s="74" t="str">
        <f>IF('Marks Entry'!BL99="","",'Marks Entry'!BL99)</f>
        <v/>
      </c>
      <c r="FD99" s="74" t="str">
        <f>IF('Marks Entry'!BM99="","",'Marks Entry'!BM99)</f>
        <v/>
      </c>
      <c r="FE99" s="74" t="str">
        <f>IF('Marks Entry'!BN99="","",'Marks Entry'!BN99)</f>
        <v/>
      </c>
      <c r="FF99" s="74" t="str">
        <f>IF('Marks Entry'!BO99="","",'Marks Entry'!BO99)</f>
        <v/>
      </c>
      <c r="FG99" s="74" t="str">
        <f>IF('Marks Entry'!BP99="","",'Marks Entry'!BP99)</f>
        <v/>
      </c>
      <c r="FH99" s="527" t="str">
        <f t="shared" si="233"/>
        <v/>
      </c>
      <c r="FI99" s="74" t="str">
        <f>IF('Marks Entry'!BQ99="","",'Marks Entry'!BQ99)</f>
        <v/>
      </c>
      <c r="FJ99" s="74" t="str">
        <f>IF('Marks Entry'!BR99="","",'Marks Entry'!BR99)</f>
        <v/>
      </c>
      <c r="FK99" s="528" t="str">
        <f t="shared" si="234"/>
        <v/>
      </c>
      <c r="FL99" s="529" t="str">
        <f t="shared" si="235"/>
        <v/>
      </c>
      <c r="FM99" s="74" t="str">
        <f>IF('Marks Entry'!BS99="","",'Marks Entry'!BS99)</f>
        <v/>
      </c>
      <c r="FN99" s="74" t="str">
        <f>IF('Marks Entry'!BT99="","",'Marks Entry'!BT99)</f>
        <v/>
      </c>
      <c r="FO99" s="528" t="str">
        <f t="shared" si="236"/>
        <v/>
      </c>
      <c r="FP99" s="530" t="str">
        <f t="shared" si="237"/>
        <v/>
      </c>
      <c r="FQ99" s="368" t="str">
        <f t="shared" si="286"/>
        <v/>
      </c>
      <c r="FR99" s="65">
        <f t="shared" si="287"/>
        <v>0</v>
      </c>
      <c r="FS99" s="65">
        <f t="shared" si="288"/>
        <v>0</v>
      </c>
      <c r="FT99" s="66" t="str">
        <f t="shared" si="289"/>
        <v/>
      </c>
      <c r="FU99" s="74" t="str">
        <f>IF('Marks Entry'!BU99="","",'Marks Entry'!BU99)</f>
        <v/>
      </c>
      <c r="FV99" s="74" t="str">
        <f>IF('Marks Entry'!BV99="","",'Marks Entry'!BV99)</f>
        <v/>
      </c>
      <c r="FW99" s="74" t="str">
        <f>IF('Marks Entry'!BW99="","",'Marks Entry'!BW99)</f>
        <v/>
      </c>
      <c r="FX99" s="75" t="str">
        <f t="shared" si="238"/>
        <v/>
      </c>
      <c r="FY99" s="368" t="str">
        <f t="shared" si="290"/>
        <v/>
      </c>
      <c r="FZ99" s="65">
        <f t="shared" si="291"/>
        <v>0</v>
      </c>
      <c r="GA99" s="66">
        <f t="shared" si="292"/>
        <v>0</v>
      </c>
      <c r="GB99" s="66" t="str">
        <f t="shared" si="293"/>
        <v/>
      </c>
      <c r="GC99" s="74" t="str">
        <f>IF('Marks Entry'!BX99="","",'Marks Entry'!BX99)</f>
        <v/>
      </c>
      <c r="GD99" s="74" t="str">
        <f>IF('Marks Entry'!BY99="","",'Marks Entry'!BY99)</f>
        <v/>
      </c>
      <c r="GE99" s="74" t="str">
        <f>IF('Marks Entry'!BZ99="","",'Marks Entry'!BZ99)</f>
        <v/>
      </c>
      <c r="GF99" s="75" t="str">
        <f t="shared" si="294"/>
        <v/>
      </c>
      <c r="GG99" s="368" t="str">
        <f t="shared" si="295"/>
        <v/>
      </c>
      <c r="GH99" s="65">
        <f t="shared" si="296"/>
        <v>0</v>
      </c>
      <c r="GI99" s="66">
        <f t="shared" si="297"/>
        <v>0</v>
      </c>
      <c r="GJ99" s="66" t="str">
        <f t="shared" si="298"/>
        <v/>
      </c>
      <c r="GK99" s="100" t="str">
        <f>IF(AND(F99="",B99=""),"",IF('Student DATA Entry'!M96="","",'Student DATA Entry'!M96))</f>
        <v/>
      </c>
      <c r="GL99" s="101" t="str">
        <f>IF(AND(B99="",F99=""),"",IF('Student DATA Entry'!N96="","",'Student DATA Entry'!N96))</f>
        <v/>
      </c>
      <c r="GM99" s="581" t="str">
        <f t="shared" si="299"/>
        <v/>
      </c>
      <c r="GN99" s="94" t="str">
        <f t="shared" si="300"/>
        <v/>
      </c>
      <c r="GO99" s="94" t="str">
        <f t="shared" si="301"/>
        <v/>
      </c>
      <c r="GP99" s="102" t="str">
        <f t="shared" si="239"/>
        <v/>
      </c>
      <c r="GQ99" s="94" t="str">
        <f t="shared" si="302"/>
        <v/>
      </c>
      <c r="GR99" s="103" t="str">
        <f t="shared" si="303"/>
        <v/>
      </c>
      <c r="GS99" s="102" t="str">
        <f t="shared" si="240"/>
        <v/>
      </c>
      <c r="GT99" s="104" t="str">
        <f t="shared" si="304"/>
        <v/>
      </c>
      <c r="GU99" s="94" t="str">
        <f>IF('Marks Entry'!V99=1,GT99,"")</f>
        <v/>
      </c>
      <c r="GV99" s="94" t="str">
        <f>IF('Marks Entry'!V99=2,GT99,"")</f>
        <v/>
      </c>
      <c r="GW99" s="94" t="str">
        <f>IF('Marks Entry'!V99=3,GT99,"")</f>
        <v/>
      </c>
      <c r="GX99" s="94" t="str">
        <f>IF('Marks Entry'!V99=4,GT99,"")</f>
        <v/>
      </c>
      <c r="GY99" s="94" t="str">
        <f>IF('Marks Entry'!V99=5,GT99,"")</f>
        <v/>
      </c>
      <c r="GZ99" s="94" t="str">
        <f t="shared" si="305"/>
        <v/>
      </c>
      <c r="HA99" s="105" t="str">
        <f t="shared" si="241"/>
        <v/>
      </c>
      <c r="HB99" s="94" t="str">
        <f t="shared" si="306"/>
        <v/>
      </c>
      <c r="HC99" s="94" t="str">
        <f t="shared" si="307"/>
        <v/>
      </c>
      <c r="HD99" s="105" t="str">
        <f t="shared" si="242"/>
        <v/>
      </c>
      <c r="HE99" s="94" t="str">
        <f t="shared" si="308"/>
        <v/>
      </c>
      <c r="HF99" s="94" t="str">
        <f t="shared" si="309"/>
        <v/>
      </c>
      <c r="HG99" s="105" t="str">
        <f t="shared" si="243"/>
        <v/>
      </c>
      <c r="HH99" s="94" t="str">
        <f t="shared" si="310"/>
        <v/>
      </c>
      <c r="HI99" s="94" t="str">
        <f t="shared" si="311"/>
        <v/>
      </c>
      <c r="HJ99" s="105" t="str">
        <f t="shared" si="244"/>
        <v/>
      </c>
      <c r="HK99" s="94" t="str">
        <f t="shared" si="312"/>
        <v/>
      </c>
      <c r="HL99" s="94" t="str">
        <f t="shared" si="313"/>
        <v/>
      </c>
      <c r="HM99" s="105" t="str">
        <f t="shared" si="245"/>
        <v/>
      </c>
      <c r="HN99" s="367" t="str">
        <f t="shared" si="314"/>
        <v xml:space="preserve">      </v>
      </c>
      <c r="HO99" s="418" t="str">
        <f t="shared" si="246"/>
        <v xml:space="preserve">      </v>
      </c>
      <c r="HP99" s="367" t="str">
        <f t="shared" si="315"/>
        <v xml:space="preserve">      </v>
      </c>
      <c r="HQ99" s="107" t="str">
        <f t="shared" si="316"/>
        <v xml:space="preserve">      </v>
      </c>
      <c r="HR99" s="366" t="str">
        <f t="shared" si="317"/>
        <v xml:space="preserve">      </v>
      </c>
      <c r="HS99" s="544" t="str">
        <f t="shared" si="247"/>
        <v/>
      </c>
      <c r="HT99" s="542" t="str">
        <f t="shared" si="318"/>
        <v/>
      </c>
      <c r="HU99" s="541" t="str">
        <f t="shared" si="319"/>
        <v/>
      </c>
      <c r="HV99" s="540" t="str">
        <f t="shared" si="320"/>
        <v/>
      </c>
      <c r="HW99" s="537" t="str">
        <f t="shared" si="321"/>
        <v/>
      </c>
      <c r="HX99" s="539" t="str">
        <f t="shared" si="322"/>
        <v/>
      </c>
      <c r="HY99" s="553" t="str">
        <f>IFERROR(IF(OR(HS99="SUPPLEMENTARY",HS99="RE-EXAM"),'Supp. Result Entry'!AQ97,""),"")</f>
        <v/>
      </c>
      <c r="HZ99" s="538" t="str">
        <f t="shared" si="323"/>
        <v/>
      </c>
      <c r="IA99" s="415" t="str">
        <f t="shared" si="324"/>
        <v/>
      </c>
      <c r="IB99" s="415" t="str">
        <f>IF(AND(HZ99="",IA99=""),"",IF(OR(HS99="SUPPLEMENTARY",HS99="RE-EXAM"),'Supp. Result Entry'!AQ97,HS99))</f>
        <v/>
      </c>
      <c r="IC99" s="87"/>
      <c r="IS99" s="109" t="str">
        <f>IF('Supp. Result Entry'!T97="","",'Supp. Result Entry'!$T$4)</f>
        <v/>
      </c>
      <c r="IT99" s="110" t="str">
        <f>IF('Supp. Result Entry'!W97="","",'Supp. Result Entry'!$W$4)</f>
        <v/>
      </c>
      <c r="IU99" s="110" t="str">
        <f>IF('Supp. Result Entry'!Z97="","",'Supp. Result Entry'!$Z$4)</f>
        <v/>
      </c>
      <c r="IV99" s="110" t="str">
        <f>IF('Supp. Result Entry'!AC97="","",'Supp. Result Entry'!$AC$4)</f>
        <v/>
      </c>
      <c r="IW99" s="110" t="str">
        <f>IF('Supp. Result Entry'!AF97="","",'Supp. Result Entry'!$AF$4)</f>
        <v/>
      </c>
      <c r="IX99" s="110" t="str">
        <f>IF('Supp. Result Entry'!AI97="","",'Supp. Result Entry'!$AI$4)</f>
        <v/>
      </c>
      <c r="IY99" s="110" t="str">
        <f>IF('Supp. Result Entry'!AI97="","",'Supp. Result Entry'!$AL$4)</f>
        <v/>
      </c>
      <c r="IZ99" s="110" t="str">
        <f>IF('Supp. Result Entry'!U97="","",'Supp. Result Entry'!U97)</f>
        <v/>
      </c>
      <c r="JA99" s="110" t="str">
        <f>IF('Supp. Result Entry'!X97="","",'Supp. Result Entry'!X97)</f>
        <v/>
      </c>
      <c r="JB99" s="110" t="str">
        <f>IF('Supp. Result Entry'!AA97="","",'Supp. Result Entry'!AA97)</f>
        <v/>
      </c>
      <c r="JC99" s="110" t="str">
        <f>IF('Supp. Result Entry'!AD97="","",'Supp. Result Entry'!AD97)</f>
        <v/>
      </c>
      <c r="JD99" s="110" t="str">
        <f>IF('Supp. Result Entry'!AG97="","",'Supp. Result Entry'!AG97)</f>
        <v/>
      </c>
      <c r="JE99" s="110" t="str">
        <f>IF('Supp. Result Entry'!AJ97="","",'Supp. Result Entry'!AJ97)</f>
        <v/>
      </c>
      <c r="JF99" s="110" t="str">
        <f>IF('Supp. Result Entry'!AM97="","",'Supp. Result Entry'!AM97)</f>
        <v/>
      </c>
      <c r="JG99" s="110" t="str">
        <f>IF('Supp. Result Entry'!V97="","",'Supp. Result Entry'!V97)</f>
        <v/>
      </c>
      <c r="JH99" s="110" t="str">
        <f>IF('Supp. Result Entry'!Y97="","",'Supp. Result Entry'!Y97)</f>
        <v/>
      </c>
      <c r="JI99" s="110" t="str">
        <f>IF('Supp. Result Entry'!AB97="","",'Supp. Result Entry'!AB97)</f>
        <v/>
      </c>
      <c r="JJ99" s="110" t="str">
        <f>IF('Supp. Result Entry'!AE97="","",'Supp. Result Entry'!AE97)</f>
        <v/>
      </c>
      <c r="JK99" s="110" t="str">
        <f>IF('Supp. Result Entry'!AH97="","",'Supp. Result Entry'!AH97)</f>
        <v/>
      </c>
      <c r="JL99" s="110" t="str">
        <f>IF('Supp. Result Entry'!AK97="","",'Supp. Result Entry'!AK97)</f>
        <v/>
      </c>
      <c r="JM99" s="110" t="str">
        <f>IF('Supp. Result Entry'!AN97="","",'Supp. Result Entry'!AN97)</f>
        <v/>
      </c>
      <c r="JN99" s="110">
        <f>COUNTIF('Supp. Result Entry'!K97:Q97,"S")</f>
        <v>0</v>
      </c>
      <c r="JO99" s="110">
        <f t="shared" si="248"/>
        <v>0</v>
      </c>
      <c r="JP99" s="110">
        <f t="shared" si="325"/>
        <v>0</v>
      </c>
      <c r="JQ99" s="110" t="str">
        <f t="shared" si="249"/>
        <v/>
      </c>
      <c r="JR99" s="110" t="str">
        <f t="shared" si="250"/>
        <v/>
      </c>
      <c r="JS99" s="110" t="str">
        <f t="shared" si="251"/>
        <v/>
      </c>
      <c r="JT99" s="110" t="str">
        <f t="shared" si="252"/>
        <v/>
      </c>
      <c r="JU99" s="110" t="str">
        <f t="shared" si="253"/>
        <v/>
      </c>
      <c r="JV99" s="110" t="str">
        <f t="shared" si="254"/>
        <v/>
      </c>
      <c r="JW99" s="110" t="str">
        <f t="shared" si="255"/>
        <v/>
      </c>
      <c r="JX99" s="110" t="str">
        <f t="shared" si="326"/>
        <v/>
      </c>
      <c r="JY99" s="110" t="str">
        <f t="shared" si="327"/>
        <v/>
      </c>
      <c r="JZ99" s="110" t="str">
        <f t="shared" si="256"/>
        <v/>
      </c>
      <c r="KA99" s="108" t="str">
        <f t="shared" si="328"/>
        <v/>
      </c>
    </row>
    <row r="100" spans="1:287" s="108" customFormat="1" ht="21.95" customHeight="1">
      <c r="A100" s="89">
        <v>94</v>
      </c>
      <c r="B100" s="90" t="str">
        <f>IF('Marks Entry'!B100="","",'Marks Entry'!B100)</f>
        <v/>
      </c>
      <c r="C100" s="94" t="str">
        <f>IF('Marks Entry'!D100="","",'Marks Entry'!D100)</f>
        <v/>
      </c>
      <c r="D100" s="91" t="str">
        <f>IF('Marks Entry'!E100="","",'Marks Entry'!E100)</f>
        <v/>
      </c>
      <c r="E100" s="92" t="str">
        <f>IF('Marks Entry'!F100="","",'Marks Entry'!F100)</f>
        <v/>
      </c>
      <c r="F100" s="93" t="str">
        <f>IF('Marks Entry'!G100="","",'Marks Entry'!G100)</f>
        <v/>
      </c>
      <c r="G100" s="93" t="str">
        <f>IF('Marks Entry'!H100="","",'Marks Entry'!H100)</f>
        <v/>
      </c>
      <c r="H100" s="93" t="str">
        <f>IF('Marks Entry'!I100="","",'Marks Entry'!I100)</f>
        <v/>
      </c>
      <c r="I100" s="94" t="str">
        <f>IF('Marks Entry'!J100="","",'Marks Entry'!J100)</f>
        <v/>
      </c>
      <c r="J100" s="95" t="str">
        <f>IF('Marks Entry'!K100="","",'Marks Entry'!K100)</f>
        <v/>
      </c>
      <c r="K100" s="68" t="str">
        <f>IF('Marks Entry'!L100="","",'Marks Entry'!L100)</f>
        <v/>
      </c>
      <c r="L100" s="68" t="str">
        <f>IF('Marks Entry'!M100="","",'Marks Entry'!M100)</f>
        <v/>
      </c>
      <c r="M100" s="68" t="str">
        <f>IF('Marks Entry'!N100="","",'Marks Entry'!N100)</f>
        <v/>
      </c>
      <c r="N100" s="514" t="str">
        <f t="shared" si="257"/>
        <v/>
      </c>
      <c r="O100" s="68" t="str">
        <f>IF('Marks Entry'!O100="","",'Marks Entry'!O100)</f>
        <v/>
      </c>
      <c r="P100" s="515" t="str">
        <f t="shared" si="258"/>
        <v/>
      </c>
      <c r="Q100" s="68" t="str">
        <f>IF('Marks Entry'!P100="","",'Marks Entry'!P100)</f>
        <v/>
      </c>
      <c r="R100" s="96" t="str">
        <f t="shared" si="259"/>
        <v/>
      </c>
      <c r="S100" s="65">
        <f t="shared" si="260"/>
        <v>0</v>
      </c>
      <c r="T100" s="65">
        <f t="shared" si="261"/>
        <v>0</v>
      </c>
      <c r="U100" s="66" t="str">
        <f t="shared" si="171"/>
        <v/>
      </c>
      <c r="V100" s="65" t="str">
        <f t="shared" si="172"/>
        <v/>
      </c>
      <c r="W100" s="65" t="str">
        <f t="shared" si="262"/>
        <v/>
      </c>
      <c r="X100" s="65" t="str">
        <f t="shared" si="173"/>
        <v/>
      </c>
      <c r="Y100" s="68" t="str">
        <f>IF('Marks Entry'!Q100="","",'Marks Entry'!Q100)</f>
        <v/>
      </c>
      <c r="Z100" s="68" t="str">
        <f>IF('Marks Entry'!R100="","",'Marks Entry'!R100)</f>
        <v/>
      </c>
      <c r="AA100" s="68" t="str">
        <f>IF('Marks Entry'!S100="","",'Marks Entry'!S100)</f>
        <v/>
      </c>
      <c r="AB100" s="514" t="str">
        <f t="shared" si="174"/>
        <v/>
      </c>
      <c r="AC100" s="68" t="str">
        <f>IF('Marks Entry'!T100="","",'Marks Entry'!T100)</f>
        <v/>
      </c>
      <c r="AD100" s="515" t="str">
        <f t="shared" si="175"/>
        <v/>
      </c>
      <c r="AE100" s="68" t="str">
        <f>IF('Marks Entry'!U100="","",'Marks Entry'!U100)</f>
        <v/>
      </c>
      <c r="AF100" s="96" t="str">
        <f t="shared" si="176"/>
        <v/>
      </c>
      <c r="AG100" s="65">
        <f t="shared" si="177"/>
        <v>0</v>
      </c>
      <c r="AH100" s="65">
        <f t="shared" si="178"/>
        <v>0</v>
      </c>
      <c r="AI100" s="66" t="str">
        <f t="shared" si="179"/>
        <v/>
      </c>
      <c r="AJ100" s="65" t="str">
        <f t="shared" si="180"/>
        <v/>
      </c>
      <c r="AK100" s="65" t="str">
        <f t="shared" si="181"/>
        <v/>
      </c>
      <c r="AL100" s="65" t="str">
        <f t="shared" si="182"/>
        <v/>
      </c>
      <c r="AM100" s="524" t="str">
        <f>IF('Marks Entry'!V100="","",IF('Marks Entry'!V100=1,'School Profile'!$I$9,IF('Marks Entry'!V100=2,'School Profile'!$I$10,IF('Marks Entry'!V100=3,'School Profile'!$I$11,IF('Marks Entry'!V100=4,'School Profile'!$I$12,IF('Marks Entry'!V100=5,'School Profile'!$I$13,IF('Marks Entry'!V100=6,'School Profile'!$I$14,"")))))))</f>
        <v/>
      </c>
      <c r="AN100" s="68" t="str">
        <f>IF('Marks Entry'!W100="","",'Marks Entry'!W100)</f>
        <v/>
      </c>
      <c r="AO100" s="68" t="str">
        <f>IF('Marks Entry'!X100="","",'Marks Entry'!X100)</f>
        <v/>
      </c>
      <c r="AP100" s="68" t="str">
        <f>IF('Marks Entry'!Y100="","",'Marks Entry'!Y100)</f>
        <v/>
      </c>
      <c r="AQ100" s="514" t="str">
        <f t="shared" si="183"/>
        <v/>
      </c>
      <c r="AR100" s="68" t="str">
        <f>IF('Marks Entry'!Z100="","",'Marks Entry'!Z100)</f>
        <v/>
      </c>
      <c r="AS100" s="515" t="str">
        <f t="shared" si="184"/>
        <v/>
      </c>
      <c r="AT100" s="68" t="str">
        <f>IF('Marks Entry'!AA100="","",'Marks Entry'!AA100)</f>
        <v/>
      </c>
      <c r="AU100" s="96" t="str">
        <f t="shared" si="185"/>
        <v/>
      </c>
      <c r="AV100" s="65">
        <f t="shared" si="186"/>
        <v>0</v>
      </c>
      <c r="AW100" s="65">
        <f t="shared" si="187"/>
        <v>0</v>
      </c>
      <c r="AX100" s="66" t="str">
        <f t="shared" si="188"/>
        <v/>
      </c>
      <c r="AY100" s="65" t="str">
        <f t="shared" si="189"/>
        <v/>
      </c>
      <c r="AZ100" s="65" t="str">
        <f t="shared" si="190"/>
        <v/>
      </c>
      <c r="BA100" s="65" t="str">
        <f t="shared" si="191"/>
        <v/>
      </c>
      <c r="BB100" s="68" t="str">
        <f>IF('Marks Entry'!AB100="","",'Marks Entry'!AB100)</f>
        <v/>
      </c>
      <c r="BC100" s="68" t="str">
        <f>IF('Marks Entry'!AC100="","",'Marks Entry'!AC100)</f>
        <v/>
      </c>
      <c r="BD100" s="68" t="str">
        <f>IF('Marks Entry'!AD100="","",'Marks Entry'!AD100)</f>
        <v/>
      </c>
      <c r="BE100" s="514" t="str">
        <f t="shared" si="192"/>
        <v/>
      </c>
      <c r="BF100" s="68" t="str">
        <f>IF('Marks Entry'!AE100="","",'Marks Entry'!AE100)</f>
        <v/>
      </c>
      <c r="BG100" s="515" t="str">
        <f t="shared" si="193"/>
        <v/>
      </c>
      <c r="BH100" s="68" t="str">
        <f>IF('Marks Entry'!AF100="","",'Marks Entry'!AF100)</f>
        <v/>
      </c>
      <c r="BI100" s="96" t="str">
        <f t="shared" si="194"/>
        <v/>
      </c>
      <c r="BJ100" s="65">
        <f t="shared" si="195"/>
        <v>0</v>
      </c>
      <c r="BK100" s="65">
        <f t="shared" si="263"/>
        <v>0</v>
      </c>
      <c r="BL100" s="66" t="str">
        <f t="shared" si="196"/>
        <v/>
      </c>
      <c r="BM100" s="65" t="str">
        <f t="shared" si="197"/>
        <v/>
      </c>
      <c r="BN100" s="65" t="str">
        <f t="shared" si="198"/>
        <v/>
      </c>
      <c r="BO100" s="65" t="str">
        <f t="shared" si="199"/>
        <v/>
      </c>
      <c r="BP100" s="68" t="str">
        <f>IF('Marks Entry'!AG100="","",'Marks Entry'!AG100)</f>
        <v/>
      </c>
      <c r="BQ100" s="68" t="str">
        <f>IF('Marks Entry'!AH100="","",'Marks Entry'!AH100)</f>
        <v/>
      </c>
      <c r="BR100" s="68" t="str">
        <f>IF('Marks Entry'!AI100="","",'Marks Entry'!AI100)</f>
        <v/>
      </c>
      <c r="BS100" s="514" t="str">
        <f t="shared" si="200"/>
        <v/>
      </c>
      <c r="BT100" s="68" t="str">
        <f>IF('Marks Entry'!AJ100="","",'Marks Entry'!AJ100)</f>
        <v/>
      </c>
      <c r="BU100" s="515" t="str">
        <f t="shared" si="201"/>
        <v/>
      </c>
      <c r="BV100" s="68" t="str">
        <f>IF('Marks Entry'!AK100="","",'Marks Entry'!AK100)</f>
        <v/>
      </c>
      <c r="BW100" s="96" t="str">
        <f t="shared" si="202"/>
        <v/>
      </c>
      <c r="BX100" s="65">
        <f t="shared" si="203"/>
        <v>0</v>
      </c>
      <c r="BY100" s="65">
        <f t="shared" si="204"/>
        <v>0</v>
      </c>
      <c r="BZ100" s="66" t="str">
        <f t="shared" si="205"/>
        <v/>
      </c>
      <c r="CA100" s="65" t="str">
        <f t="shared" si="206"/>
        <v/>
      </c>
      <c r="CB100" s="65" t="str">
        <f t="shared" si="207"/>
        <v/>
      </c>
      <c r="CC100" s="65" t="str">
        <f t="shared" si="208"/>
        <v/>
      </c>
      <c r="CD100" s="66">
        <f t="shared" si="209"/>
        <v>0</v>
      </c>
      <c r="CE100" s="68" t="str">
        <f>IF('Marks Entry'!AL100="","",'Marks Entry'!AL100)</f>
        <v/>
      </c>
      <c r="CF100" s="68" t="str">
        <f>IF('Marks Entry'!AM100="","",'Marks Entry'!AM100)</f>
        <v/>
      </c>
      <c r="CG100" s="68" t="str">
        <f>IF('Marks Entry'!AN100="","",'Marks Entry'!AN100)</f>
        <v/>
      </c>
      <c r="CH100" s="514" t="str">
        <f t="shared" si="210"/>
        <v/>
      </c>
      <c r="CI100" s="68" t="str">
        <f>IF('Marks Entry'!AO100="","",'Marks Entry'!AO100)</f>
        <v/>
      </c>
      <c r="CJ100" s="515" t="str">
        <f t="shared" si="211"/>
        <v/>
      </c>
      <c r="CK100" s="68" t="str">
        <f>IF('Marks Entry'!AP100="","",'Marks Entry'!AP100)</f>
        <v/>
      </c>
      <c r="CL100" s="96" t="str">
        <f t="shared" si="212"/>
        <v/>
      </c>
      <c r="CM100" s="65">
        <f t="shared" si="213"/>
        <v>0</v>
      </c>
      <c r="CN100" s="65">
        <f t="shared" si="214"/>
        <v>0</v>
      </c>
      <c r="CO100" s="66" t="str">
        <f t="shared" si="215"/>
        <v/>
      </c>
      <c r="CP100" s="65" t="str">
        <f t="shared" si="216"/>
        <v/>
      </c>
      <c r="CQ100" s="65" t="str">
        <f t="shared" si="217"/>
        <v/>
      </c>
      <c r="CR100" s="65" t="str">
        <f t="shared" si="218"/>
        <v/>
      </c>
      <c r="CS100" s="616"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8" t="str">
        <f>IF('School Profile'!$D$20="NO","",IF('Marks Entry'!AR100="","",'Marks Entry'!AR100))</f>
        <v/>
      </c>
      <c r="CU100" s="68" t="str">
        <f>IF('School Profile'!$D$20="NO","",IF('Marks Entry'!AS100="","",'Marks Entry'!AS100))</f>
        <v/>
      </c>
      <c r="CV100" s="68" t="str">
        <f>IF('School Profile'!$D$20="NO","",IF('Marks Entry'!AT100="","",'Marks Entry'!AT100))</f>
        <v/>
      </c>
      <c r="CW100" s="514" t="str">
        <f>IF('School Profile'!$D$20="NO","",IF(AND(CT100="",CU100="",CV100=""),"",SUM(CT100:CV100)))</f>
        <v/>
      </c>
      <c r="CX100" s="68" t="str">
        <f>IF('School Profile'!$D$20="NO","",IF('Marks Entry'!AU100="","",'Marks Entry'!AU100))</f>
        <v/>
      </c>
      <c r="CY100" s="68" t="str">
        <f>IF('School Profile'!$D$20="NO","",IF('Marks Entry'!AV100="","",'Marks Entry'!AV100))</f>
        <v/>
      </c>
      <c r="CZ100" s="515" t="str">
        <f>IF('School Profile'!$D$20="NO","",IF(AND(CX100="",CY100=""),"",SUM(CX100,CY100)))</f>
        <v/>
      </c>
      <c r="DA100" s="69" t="str">
        <f>IF('School Profile'!$D$20="NO","",IF(AND(CW100="",CZ100=""),"",SUM(CW100+CZ100)))</f>
        <v/>
      </c>
      <c r="DB100" s="68" t="str">
        <f>IF('School Profile'!$D$20="NO","",IF('Marks Entry'!AW100="","",'Marks Entry'!AW100))</f>
        <v/>
      </c>
      <c r="DC100" s="68" t="str">
        <f>IF('School Profile'!$D$20="NO","",IF('Marks Entry'!AX100="","",'Marks Entry'!AX100))</f>
        <v/>
      </c>
      <c r="DD100" s="515" t="str">
        <f>IF('School Profile'!$D$20="NO","",IF(AND(DB100="",DC100=""),"",SUM(DB100,DC100)))</f>
        <v/>
      </c>
      <c r="DE100" s="96" t="str">
        <f>IF('School Profile'!$D$20="NO","",IF(AND(DA100="",DD100=""),"",SUM(DA100,DD100)))</f>
        <v/>
      </c>
      <c r="DF100" s="532">
        <f t="shared" si="219"/>
        <v>0</v>
      </c>
      <c r="DG100" s="65">
        <f t="shared" si="220"/>
        <v>0</v>
      </c>
      <c r="DH100" s="66" t="str">
        <f t="shared" si="221"/>
        <v/>
      </c>
      <c r="DI100" s="65" t="str">
        <f t="shared" si="222"/>
        <v/>
      </c>
      <c r="DJ100" s="65" t="str">
        <f t="shared" si="223"/>
        <v/>
      </c>
      <c r="DK100" s="65" t="str">
        <f t="shared" si="224"/>
        <v/>
      </c>
      <c r="DL100" s="97" t="str">
        <f t="shared" si="264"/>
        <v/>
      </c>
      <c r="DM100" s="97" t="str">
        <f t="shared" si="265"/>
        <v/>
      </c>
      <c r="DN100" s="97" t="str">
        <f t="shared" si="266"/>
        <v/>
      </c>
      <c r="DO100" s="97" t="str">
        <f t="shared" si="267"/>
        <v/>
      </c>
      <c r="DP100" s="97" t="str">
        <f t="shared" si="268"/>
        <v/>
      </c>
      <c r="DQ100" s="97" t="str">
        <f t="shared" si="269"/>
        <v/>
      </c>
      <c r="DR100" s="97" t="str">
        <f t="shared" si="270"/>
        <v/>
      </c>
      <c r="DS100" s="98">
        <f t="shared" si="271"/>
        <v>0</v>
      </c>
      <c r="DT100" s="98">
        <f t="shared" si="272"/>
        <v>0</v>
      </c>
      <c r="DU100" s="98">
        <f t="shared" si="273"/>
        <v>0</v>
      </c>
      <c r="DV100" s="98">
        <f t="shared" si="274"/>
        <v>0</v>
      </c>
      <c r="DW100" s="98">
        <f t="shared" si="275"/>
        <v>0</v>
      </c>
      <c r="DX100" s="98" t="str">
        <f t="shared" si="276"/>
        <v/>
      </c>
      <c r="DY100" s="99" t="str">
        <f t="shared" si="277"/>
        <v/>
      </c>
      <c r="DZ100" s="74" t="str">
        <f>IF('Marks Entry'!AY100="","",'Marks Entry'!AY100)</f>
        <v/>
      </c>
      <c r="EA100" s="74" t="str">
        <f>IF('Marks Entry'!AZ100="","",'Marks Entry'!AZ100)</f>
        <v/>
      </c>
      <c r="EB100" s="74" t="str">
        <f>IF('Marks Entry'!BA100="","",'Marks Entry'!BA100)</f>
        <v/>
      </c>
      <c r="EC100" s="527" t="str">
        <f t="shared" si="225"/>
        <v/>
      </c>
      <c r="ED100" s="74" t="str">
        <f>IF('Marks Entry'!BB100="","",'Marks Entry'!BB100)</f>
        <v/>
      </c>
      <c r="EE100" s="528" t="str">
        <f t="shared" si="226"/>
        <v/>
      </c>
      <c r="EF100" s="74" t="str">
        <f>IF('Marks Entry'!BC100="","",'Marks Entry'!BC100)</f>
        <v/>
      </c>
      <c r="EG100" s="530" t="str">
        <f t="shared" si="227"/>
        <v/>
      </c>
      <c r="EH100" s="368" t="str">
        <f t="shared" si="278"/>
        <v/>
      </c>
      <c r="EI100" s="65">
        <f t="shared" si="279"/>
        <v>0</v>
      </c>
      <c r="EJ100" s="65">
        <f t="shared" si="280"/>
        <v>0</v>
      </c>
      <c r="EK100" s="66" t="str">
        <f t="shared" si="281"/>
        <v/>
      </c>
      <c r="EL100" s="74" t="str">
        <f>IF('Marks Entry'!BD100="","",'Marks Entry'!BD100)</f>
        <v/>
      </c>
      <c r="EM100" s="74" t="str">
        <f>IF('Marks Entry'!BE100="","",'Marks Entry'!BE100)</f>
        <v/>
      </c>
      <c r="EN100" s="74" t="str">
        <f>IF('Marks Entry'!BF100="","",'Marks Entry'!BF100)</f>
        <v/>
      </c>
      <c r="EO100" s="527" t="str">
        <f t="shared" si="228"/>
        <v/>
      </c>
      <c r="EP100" s="74" t="str">
        <f>IF('Marks Entry'!BG100="","",'Marks Entry'!BG100)</f>
        <v/>
      </c>
      <c r="EQ100" s="74" t="str">
        <f>IF('Marks Entry'!BH100="","",'Marks Entry'!BH100)</f>
        <v/>
      </c>
      <c r="ER100" s="528" t="str">
        <f t="shared" si="229"/>
        <v/>
      </c>
      <c r="ES100" s="529" t="str">
        <f t="shared" si="230"/>
        <v/>
      </c>
      <c r="ET100" s="74" t="str">
        <f>IF('Marks Entry'!BI100="","",'Marks Entry'!BI100)</f>
        <v/>
      </c>
      <c r="EU100" s="74" t="str">
        <f>IF('Marks Entry'!BJ100="","",'Marks Entry'!BJ100)</f>
        <v/>
      </c>
      <c r="EV100" s="528" t="str">
        <f t="shared" si="231"/>
        <v/>
      </c>
      <c r="EW100" s="530" t="str">
        <f t="shared" si="232"/>
        <v/>
      </c>
      <c r="EX100" s="368" t="str">
        <f t="shared" si="282"/>
        <v/>
      </c>
      <c r="EY100" s="65">
        <f t="shared" si="283"/>
        <v>0</v>
      </c>
      <c r="EZ100" s="65">
        <f t="shared" si="284"/>
        <v>0</v>
      </c>
      <c r="FA100" s="66" t="str">
        <f t="shared" si="285"/>
        <v/>
      </c>
      <c r="FB100" s="74" t="str">
        <f>IF('Marks Entry'!BK100="","",'Marks Entry'!BK100)</f>
        <v/>
      </c>
      <c r="FC100" s="74" t="str">
        <f>IF('Marks Entry'!BL100="","",'Marks Entry'!BL100)</f>
        <v/>
      </c>
      <c r="FD100" s="74" t="str">
        <f>IF('Marks Entry'!BM100="","",'Marks Entry'!BM100)</f>
        <v/>
      </c>
      <c r="FE100" s="74" t="str">
        <f>IF('Marks Entry'!BN100="","",'Marks Entry'!BN100)</f>
        <v/>
      </c>
      <c r="FF100" s="74" t="str">
        <f>IF('Marks Entry'!BO100="","",'Marks Entry'!BO100)</f>
        <v/>
      </c>
      <c r="FG100" s="74" t="str">
        <f>IF('Marks Entry'!BP100="","",'Marks Entry'!BP100)</f>
        <v/>
      </c>
      <c r="FH100" s="527" t="str">
        <f t="shared" si="233"/>
        <v/>
      </c>
      <c r="FI100" s="74" t="str">
        <f>IF('Marks Entry'!BQ100="","",'Marks Entry'!BQ100)</f>
        <v/>
      </c>
      <c r="FJ100" s="74" t="str">
        <f>IF('Marks Entry'!BR100="","",'Marks Entry'!BR100)</f>
        <v/>
      </c>
      <c r="FK100" s="528" t="str">
        <f t="shared" si="234"/>
        <v/>
      </c>
      <c r="FL100" s="529" t="str">
        <f t="shared" si="235"/>
        <v/>
      </c>
      <c r="FM100" s="74" t="str">
        <f>IF('Marks Entry'!BS100="","",'Marks Entry'!BS100)</f>
        <v/>
      </c>
      <c r="FN100" s="74" t="str">
        <f>IF('Marks Entry'!BT100="","",'Marks Entry'!BT100)</f>
        <v/>
      </c>
      <c r="FO100" s="528" t="str">
        <f t="shared" si="236"/>
        <v/>
      </c>
      <c r="FP100" s="530" t="str">
        <f t="shared" si="237"/>
        <v/>
      </c>
      <c r="FQ100" s="368" t="str">
        <f t="shared" si="286"/>
        <v/>
      </c>
      <c r="FR100" s="65">
        <f t="shared" si="287"/>
        <v>0</v>
      </c>
      <c r="FS100" s="65">
        <f t="shared" si="288"/>
        <v>0</v>
      </c>
      <c r="FT100" s="66" t="str">
        <f t="shared" si="289"/>
        <v/>
      </c>
      <c r="FU100" s="74" t="str">
        <f>IF('Marks Entry'!BU100="","",'Marks Entry'!BU100)</f>
        <v/>
      </c>
      <c r="FV100" s="74" t="str">
        <f>IF('Marks Entry'!BV100="","",'Marks Entry'!BV100)</f>
        <v/>
      </c>
      <c r="FW100" s="74" t="str">
        <f>IF('Marks Entry'!BW100="","",'Marks Entry'!BW100)</f>
        <v/>
      </c>
      <c r="FX100" s="75" t="str">
        <f t="shared" si="238"/>
        <v/>
      </c>
      <c r="FY100" s="368" t="str">
        <f t="shared" si="290"/>
        <v/>
      </c>
      <c r="FZ100" s="65">
        <f t="shared" si="291"/>
        <v>0</v>
      </c>
      <c r="GA100" s="66">
        <f t="shared" si="292"/>
        <v>0</v>
      </c>
      <c r="GB100" s="66" t="str">
        <f t="shared" si="293"/>
        <v/>
      </c>
      <c r="GC100" s="74" t="str">
        <f>IF('Marks Entry'!BX100="","",'Marks Entry'!BX100)</f>
        <v/>
      </c>
      <c r="GD100" s="74" t="str">
        <f>IF('Marks Entry'!BY100="","",'Marks Entry'!BY100)</f>
        <v/>
      </c>
      <c r="GE100" s="74" t="str">
        <f>IF('Marks Entry'!BZ100="","",'Marks Entry'!BZ100)</f>
        <v/>
      </c>
      <c r="GF100" s="75" t="str">
        <f t="shared" si="294"/>
        <v/>
      </c>
      <c r="GG100" s="368" t="str">
        <f t="shared" si="295"/>
        <v/>
      </c>
      <c r="GH100" s="65">
        <f t="shared" si="296"/>
        <v>0</v>
      </c>
      <c r="GI100" s="66">
        <f t="shared" si="297"/>
        <v>0</v>
      </c>
      <c r="GJ100" s="66" t="str">
        <f t="shared" si="298"/>
        <v/>
      </c>
      <c r="GK100" s="100" t="str">
        <f>IF(AND(F100="",B100=""),"",IF('Student DATA Entry'!M97="","",'Student DATA Entry'!M97))</f>
        <v/>
      </c>
      <c r="GL100" s="101" t="str">
        <f>IF(AND(B100="",F100=""),"",IF('Student DATA Entry'!N97="","",'Student DATA Entry'!N97))</f>
        <v/>
      </c>
      <c r="GM100" s="581" t="str">
        <f t="shared" si="299"/>
        <v/>
      </c>
      <c r="GN100" s="94" t="str">
        <f t="shared" si="300"/>
        <v/>
      </c>
      <c r="GO100" s="94" t="str">
        <f t="shared" si="301"/>
        <v/>
      </c>
      <c r="GP100" s="102" t="str">
        <f t="shared" si="239"/>
        <v/>
      </c>
      <c r="GQ100" s="94" t="str">
        <f t="shared" si="302"/>
        <v/>
      </c>
      <c r="GR100" s="103" t="str">
        <f t="shared" si="303"/>
        <v/>
      </c>
      <c r="GS100" s="102" t="str">
        <f t="shared" si="240"/>
        <v/>
      </c>
      <c r="GT100" s="104" t="str">
        <f t="shared" si="304"/>
        <v/>
      </c>
      <c r="GU100" s="94" t="str">
        <f>IF('Marks Entry'!V100=1,GT100,"")</f>
        <v/>
      </c>
      <c r="GV100" s="94" t="str">
        <f>IF('Marks Entry'!V100=2,GT100,"")</f>
        <v/>
      </c>
      <c r="GW100" s="94" t="str">
        <f>IF('Marks Entry'!V100=3,GT100,"")</f>
        <v/>
      </c>
      <c r="GX100" s="94" t="str">
        <f>IF('Marks Entry'!V100=4,GT100,"")</f>
        <v/>
      </c>
      <c r="GY100" s="94" t="str">
        <f>IF('Marks Entry'!V100=5,GT100,"")</f>
        <v/>
      </c>
      <c r="GZ100" s="94" t="str">
        <f t="shared" si="305"/>
        <v/>
      </c>
      <c r="HA100" s="105" t="str">
        <f t="shared" si="241"/>
        <v/>
      </c>
      <c r="HB100" s="94" t="str">
        <f t="shared" si="306"/>
        <v/>
      </c>
      <c r="HC100" s="94" t="str">
        <f t="shared" si="307"/>
        <v/>
      </c>
      <c r="HD100" s="105" t="str">
        <f t="shared" si="242"/>
        <v/>
      </c>
      <c r="HE100" s="94" t="str">
        <f t="shared" si="308"/>
        <v/>
      </c>
      <c r="HF100" s="94" t="str">
        <f t="shared" si="309"/>
        <v/>
      </c>
      <c r="HG100" s="105" t="str">
        <f t="shared" si="243"/>
        <v/>
      </c>
      <c r="HH100" s="94" t="str">
        <f t="shared" si="310"/>
        <v/>
      </c>
      <c r="HI100" s="94" t="str">
        <f t="shared" si="311"/>
        <v/>
      </c>
      <c r="HJ100" s="105" t="str">
        <f t="shared" si="244"/>
        <v/>
      </c>
      <c r="HK100" s="94" t="str">
        <f t="shared" si="312"/>
        <v/>
      </c>
      <c r="HL100" s="94" t="str">
        <f t="shared" si="313"/>
        <v/>
      </c>
      <c r="HM100" s="105" t="str">
        <f t="shared" si="245"/>
        <v/>
      </c>
      <c r="HN100" s="367" t="str">
        <f t="shared" si="314"/>
        <v xml:space="preserve">      </v>
      </c>
      <c r="HO100" s="418" t="str">
        <f t="shared" si="246"/>
        <v xml:space="preserve">      </v>
      </c>
      <c r="HP100" s="367" t="str">
        <f t="shared" si="315"/>
        <v xml:space="preserve">      </v>
      </c>
      <c r="HQ100" s="107" t="str">
        <f t="shared" si="316"/>
        <v xml:space="preserve">      </v>
      </c>
      <c r="HR100" s="366" t="str">
        <f t="shared" si="317"/>
        <v xml:space="preserve">      </v>
      </c>
      <c r="HS100" s="544" t="str">
        <f t="shared" si="247"/>
        <v/>
      </c>
      <c r="HT100" s="542" t="str">
        <f t="shared" si="318"/>
        <v/>
      </c>
      <c r="HU100" s="541" t="str">
        <f t="shared" si="319"/>
        <v/>
      </c>
      <c r="HV100" s="540" t="str">
        <f t="shared" si="320"/>
        <v/>
      </c>
      <c r="HW100" s="537" t="str">
        <f t="shared" si="321"/>
        <v/>
      </c>
      <c r="HX100" s="539" t="str">
        <f t="shared" si="322"/>
        <v/>
      </c>
      <c r="HY100" s="553" t="str">
        <f>IFERROR(IF(OR(HS100="SUPPLEMENTARY",HS100="RE-EXAM"),'Supp. Result Entry'!AQ98,""),"")</f>
        <v/>
      </c>
      <c r="HZ100" s="538" t="str">
        <f t="shared" si="323"/>
        <v/>
      </c>
      <c r="IA100" s="415" t="str">
        <f t="shared" si="324"/>
        <v/>
      </c>
      <c r="IB100" s="415" t="str">
        <f>IF(AND(HZ100="",IA100=""),"",IF(OR(HS100="SUPPLEMENTARY",HS100="RE-EXAM"),'Supp. Result Entry'!AQ98,HS100))</f>
        <v/>
      </c>
      <c r="IC100" s="87"/>
      <c r="IS100" s="109" t="str">
        <f>IF('Supp. Result Entry'!T98="","",'Supp. Result Entry'!$T$4)</f>
        <v/>
      </c>
      <c r="IT100" s="110" t="str">
        <f>IF('Supp. Result Entry'!W98="","",'Supp. Result Entry'!$W$4)</f>
        <v/>
      </c>
      <c r="IU100" s="110" t="str">
        <f>IF('Supp. Result Entry'!Z98="","",'Supp. Result Entry'!$Z$4)</f>
        <v/>
      </c>
      <c r="IV100" s="110" t="str">
        <f>IF('Supp. Result Entry'!AC98="","",'Supp. Result Entry'!$AC$4)</f>
        <v/>
      </c>
      <c r="IW100" s="110" t="str">
        <f>IF('Supp. Result Entry'!AF98="","",'Supp. Result Entry'!$AF$4)</f>
        <v/>
      </c>
      <c r="IX100" s="110" t="str">
        <f>IF('Supp. Result Entry'!AI98="","",'Supp. Result Entry'!$AI$4)</f>
        <v/>
      </c>
      <c r="IY100" s="110" t="str">
        <f>IF('Supp. Result Entry'!AI98="","",'Supp. Result Entry'!$AL$4)</f>
        <v/>
      </c>
      <c r="IZ100" s="110" t="str">
        <f>IF('Supp. Result Entry'!U98="","",'Supp. Result Entry'!U98)</f>
        <v/>
      </c>
      <c r="JA100" s="110" t="str">
        <f>IF('Supp. Result Entry'!X98="","",'Supp. Result Entry'!X98)</f>
        <v/>
      </c>
      <c r="JB100" s="110" t="str">
        <f>IF('Supp. Result Entry'!AA98="","",'Supp. Result Entry'!AA98)</f>
        <v/>
      </c>
      <c r="JC100" s="110" t="str">
        <f>IF('Supp. Result Entry'!AD98="","",'Supp. Result Entry'!AD98)</f>
        <v/>
      </c>
      <c r="JD100" s="110" t="str">
        <f>IF('Supp. Result Entry'!AG98="","",'Supp. Result Entry'!AG98)</f>
        <v/>
      </c>
      <c r="JE100" s="110" t="str">
        <f>IF('Supp. Result Entry'!AJ98="","",'Supp. Result Entry'!AJ98)</f>
        <v/>
      </c>
      <c r="JF100" s="110" t="str">
        <f>IF('Supp. Result Entry'!AM98="","",'Supp. Result Entry'!AM98)</f>
        <v/>
      </c>
      <c r="JG100" s="110" t="str">
        <f>IF('Supp. Result Entry'!V98="","",'Supp. Result Entry'!V98)</f>
        <v/>
      </c>
      <c r="JH100" s="110" t="str">
        <f>IF('Supp. Result Entry'!Y98="","",'Supp. Result Entry'!Y98)</f>
        <v/>
      </c>
      <c r="JI100" s="110" t="str">
        <f>IF('Supp. Result Entry'!AB98="","",'Supp. Result Entry'!AB98)</f>
        <v/>
      </c>
      <c r="JJ100" s="110" t="str">
        <f>IF('Supp. Result Entry'!AE98="","",'Supp. Result Entry'!AE98)</f>
        <v/>
      </c>
      <c r="JK100" s="110" t="str">
        <f>IF('Supp. Result Entry'!AH98="","",'Supp. Result Entry'!AH98)</f>
        <v/>
      </c>
      <c r="JL100" s="110" t="str">
        <f>IF('Supp. Result Entry'!AK98="","",'Supp. Result Entry'!AK98)</f>
        <v/>
      </c>
      <c r="JM100" s="110" t="str">
        <f>IF('Supp. Result Entry'!AN98="","",'Supp. Result Entry'!AN98)</f>
        <v/>
      </c>
      <c r="JN100" s="110">
        <f>COUNTIF('Supp. Result Entry'!K98:Q98,"S")</f>
        <v>0</v>
      </c>
      <c r="JO100" s="110">
        <f t="shared" si="248"/>
        <v>0</v>
      </c>
      <c r="JP100" s="110">
        <f t="shared" si="325"/>
        <v>0</v>
      </c>
      <c r="JQ100" s="110" t="str">
        <f t="shared" si="249"/>
        <v/>
      </c>
      <c r="JR100" s="110" t="str">
        <f t="shared" si="250"/>
        <v/>
      </c>
      <c r="JS100" s="110" t="str">
        <f t="shared" si="251"/>
        <v/>
      </c>
      <c r="JT100" s="110" t="str">
        <f t="shared" si="252"/>
        <v/>
      </c>
      <c r="JU100" s="110" t="str">
        <f t="shared" si="253"/>
        <v/>
      </c>
      <c r="JV100" s="110" t="str">
        <f t="shared" si="254"/>
        <v/>
      </c>
      <c r="JW100" s="110" t="str">
        <f t="shared" si="255"/>
        <v/>
      </c>
      <c r="JX100" s="110" t="str">
        <f t="shared" si="326"/>
        <v/>
      </c>
      <c r="JY100" s="110" t="str">
        <f t="shared" si="327"/>
        <v/>
      </c>
      <c r="JZ100" s="110" t="str">
        <f t="shared" si="256"/>
        <v/>
      </c>
      <c r="KA100" s="108" t="str">
        <f t="shared" si="328"/>
        <v/>
      </c>
    </row>
    <row r="101" spans="1:287" s="108" customFormat="1" ht="21.95" customHeight="1">
      <c r="A101" s="89">
        <v>95</v>
      </c>
      <c r="B101" s="90" t="str">
        <f>IF('Marks Entry'!B101="","",'Marks Entry'!B101)</f>
        <v/>
      </c>
      <c r="C101" s="94" t="str">
        <f>IF('Marks Entry'!D101="","",'Marks Entry'!D101)</f>
        <v/>
      </c>
      <c r="D101" s="91" t="str">
        <f>IF('Marks Entry'!E101="","",'Marks Entry'!E101)</f>
        <v/>
      </c>
      <c r="E101" s="92" t="str">
        <f>IF('Marks Entry'!F101="","",'Marks Entry'!F101)</f>
        <v/>
      </c>
      <c r="F101" s="93" t="str">
        <f>IF('Marks Entry'!G101="","",'Marks Entry'!G101)</f>
        <v/>
      </c>
      <c r="G101" s="93" t="str">
        <f>IF('Marks Entry'!H101="","",'Marks Entry'!H101)</f>
        <v/>
      </c>
      <c r="H101" s="93" t="str">
        <f>IF('Marks Entry'!I101="","",'Marks Entry'!I101)</f>
        <v/>
      </c>
      <c r="I101" s="94" t="str">
        <f>IF('Marks Entry'!J101="","",'Marks Entry'!J101)</f>
        <v/>
      </c>
      <c r="J101" s="95" t="str">
        <f>IF('Marks Entry'!K101="","",'Marks Entry'!K101)</f>
        <v/>
      </c>
      <c r="K101" s="68" t="str">
        <f>IF('Marks Entry'!L101="","",'Marks Entry'!L101)</f>
        <v/>
      </c>
      <c r="L101" s="68" t="str">
        <f>IF('Marks Entry'!M101="","",'Marks Entry'!M101)</f>
        <v/>
      </c>
      <c r="M101" s="68" t="str">
        <f>IF('Marks Entry'!N101="","",'Marks Entry'!N101)</f>
        <v/>
      </c>
      <c r="N101" s="514" t="str">
        <f t="shared" si="257"/>
        <v/>
      </c>
      <c r="O101" s="68" t="str">
        <f>IF('Marks Entry'!O101="","",'Marks Entry'!O101)</f>
        <v/>
      </c>
      <c r="P101" s="515" t="str">
        <f t="shared" si="258"/>
        <v/>
      </c>
      <c r="Q101" s="68" t="str">
        <f>IF('Marks Entry'!P101="","",'Marks Entry'!P101)</f>
        <v/>
      </c>
      <c r="R101" s="96" t="str">
        <f t="shared" si="259"/>
        <v/>
      </c>
      <c r="S101" s="65">
        <f t="shared" si="260"/>
        <v>0</v>
      </c>
      <c r="T101" s="65">
        <f t="shared" si="261"/>
        <v>0</v>
      </c>
      <c r="U101" s="66" t="str">
        <f t="shared" si="171"/>
        <v/>
      </c>
      <c r="V101" s="65" t="str">
        <f t="shared" si="172"/>
        <v/>
      </c>
      <c r="W101" s="65" t="str">
        <f t="shared" si="262"/>
        <v/>
      </c>
      <c r="X101" s="65" t="str">
        <f t="shared" si="173"/>
        <v/>
      </c>
      <c r="Y101" s="68" t="str">
        <f>IF('Marks Entry'!Q101="","",'Marks Entry'!Q101)</f>
        <v/>
      </c>
      <c r="Z101" s="68" t="str">
        <f>IF('Marks Entry'!R101="","",'Marks Entry'!R101)</f>
        <v/>
      </c>
      <c r="AA101" s="68" t="str">
        <f>IF('Marks Entry'!S101="","",'Marks Entry'!S101)</f>
        <v/>
      </c>
      <c r="AB101" s="514" t="str">
        <f t="shared" si="174"/>
        <v/>
      </c>
      <c r="AC101" s="68" t="str">
        <f>IF('Marks Entry'!T101="","",'Marks Entry'!T101)</f>
        <v/>
      </c>
      <c r="AD101" s="515" t="str">
        <f t="shared" si="175"/>
        <v/>
      </c>
      <c r="AE101" s="68" t="str">
        <f>IF('Marks Entry'!U101="","",'Marks Entry'!U101)</f>
        <v/>
      </c>
      <c r="AF101" s="96" t="str">
        <f t="shared" si="176"/>
        <v/>
      </c>
      <c r="AG101" s="65">
        <f t="shared" si="177"/>
        <v>0</v>
      </c>
      <c r="AH101" s="65">
        <f t="shared" si="178"/>
        <v>0</v>
      </c>
      <c r="AI101" s="66" t="str">
        <f t="shared" si="179"/>
        <v/>
      </c>
      <c r="AJ101" s="65" t="str">
        <f t="shared" si="180"/>
        <v/>
      </c>
      <c r="AK101" s="65" t="str">
        <f t="shared" si="181"/>
        <v/>
      </c>
      <c r="AL101" s="65" t="str">
        <f t="shared" si="182"/>
        <v/>
      </c>
      <c r="AM101" s="524" t="str">
        <f>IF('Marks Entry'!V101="","",IF('Marks Entry'!V101=1,'School Profile'!$I$9,IF('Marks Entry'!V101=2,'School Profile'!$I$10,IF('Marks Entry'!V101=3,'School Profile'!$I$11,IF('Marks Entry'!V101=4,'School Profile'!$I$12,IF('Marks Entry'!V101=5,'School Profile'!$I$13,IF('Marks Entry'!V101=6,'School Profile'!$I$14,"")))))))</f>
        <v/>
      </c>
      <c r="AN101" s="68" t="str">
        <f>IF('Marks Entry'!W101="","",'Marks Entry'!W101)</f>
        <v/>
      </c>
      <c r="AO101" s="68" t="str">
        <f>IF('Marks Entry'!X101="","",'Marks Entry'!X101)</f>
        <v/>
      </c>
      <c r="AP101" s="68" t="str">
        <f>IF('Marks Entry'!Y101="","",'Marks Entry'!Y101)</f>
        <v/>
      </c>
      <c r="AQ101" s="514" t="str">
        <f t="shared" si="183"/>
        <v/>
      </c>
      <c r="AR101" s="68" t="str">
        <f>IF('Marks Entry'!Z101="","",'Marks Entry'!Z101)</f>
        <v/>
      </c>
      <c r="AS101" s="515" t="str">
        <f t="shared" si="184"/>
        <v/>
      </c>
      <c r="AT101" s="68" t="str">
        <f>IF('Marks Entry'!AA101="","",'Marks Entry'!AA101)</f>
        <v/>
      </c>
      <c r="AU101" s="96" t="str">
        <f t="shared" si="185"/>
        <v/>
      </c>
      <c r="AV101" s="65">
        <f t="shared" si="186"/>
        <v>0</v>
      </c>
      <c r="AW101" s="65">
        <f t="shared" si="187"/>
        <v>0</v>
      </c>
      <c r="AX101" s="66" t="str">
        <f t="shared" si="188"/>
        <v/>
      </c>
      <c r="AY101" s="65" t="str">
        <f t="shared" si="189"/>
        <v/>
      </c>
      <c r="AZ101" s="65" t="str">
        <f t="shared" si="190"/>
        <v/>
      </c>
      <c r="BA101" s="65" t="str">
        <f t="shared" si="191"/>
        <v/>
      </c>
      <c r="BB101" s="68" t="str">
        <f>IF('Marks Entry'!AB101="","",'Marks Entry'!AB101)</f>
        <v/>
      </c>
      <c r="BC101" s="68" t="str">
        <f>IF('Marks Entry'!AC101="","",'Marks Entry'!AC101)</f>
        <v/>
      </c>
      <c r="BD101" s="68" t="str">
        <f>IF('Marks Entry'!AD101="","",'Marks Entry'!AD101)</f>
        <v/>
      </c>
      <c r="BE101" s="514" t="str">
        <f t="shared" si="192"/>
        <v/>
      </c>
      <c r="BF101" s="68" t="str">
        <f>IF('Marks Entry'!AE101="","",'Marks Entry'!AE101)</f>
        <v/>
      </c>
      <c r="BG101" s="515" t="str">
        <f t="shared" si="193"/>
        <v/>
      </c>
      <c r="BH101" s="68" t="str">
        <f>IF('Marks Entry'!AF101="","",'Marks Entry'!AF101)</f>
        <v/>
      </c>
      <c r="BI101" s="96" t="str">
        <f t="shared" si="194"/>
        <v/>
      </c>
      <c r="BJ101" s="65">
        <f t="shared" si="195"/>
        <v>0</v>
      </c>
      <c r="BK101" s="65">
        <f t="shared" si="263"/>
        <v>0</v>
      </c>
      <c r="BL101" s="66" t="str">
        <f t="shared" si="196"/>
        <v/>
      </c>
      <c r="BM101" s="65" t="str">
        <f t="shared" si="197"/>
        <v/>
      </c>
      <c r="BN101" s="65" t="str">
        <f t="shared" si="198"/>
        <v/>
      </c>
      <c r="BO101" s="65" t="str">
        <f t="shared" si="199"/>
        <v/>
      </c>
      <c r="BP101" s="68" t="str">
        <f>IF('Marks Entry'!AG101="","",'Marks Entry'!AG101)</f>
        <v/>
      </c>
      <c r="BQ101" s="68" t="str">
        <f>IF('Marks Entry'!AH101="","",'Marks Entry'!AH101)</f>
        <v/>
      </c>
      <c r="BR101" s="68" t="str">
        <f>IF('Marks Entry'!AI101="","",'Marks Entry'!AI101)</f>
        <v/>
      </c>
      <c r="BS101" s="514" t="str">
        <f t="shared" si="200"/>
        <v/>
      </c>
      <c r="BT101" s="68" t="str">
        <f>IF('Marks Entry'!AJ101="","",'Marks Entry'!AJ101)</f>
        <v/>
      </c>
      <c r="BU101" s="515" t="str">
        <f t="shared" si="201"/>
        <v/>
      </c>
      <c r="BV101" s="68" t="str">
        <f>IF('Marks Entry'!AK101="","",'Marks Entry'!AK101)</f>
        <v/>
      </c>
      <c r="BW101" s="96" t="str">
        <f t="shared" si="202"/>
        <v/>
      </c>
      <c r="BX101" s="65">
        <f t="shared" si="203"/>
        <v>0</v>
      </c>
      <c r="BY101" s="65">
        <f t="shared" si="204"/>
        <v>0</v>
      </c>
      <c r="BZ101" s="66" t="str">
        <f t="shared" si="205"/>
        <v/>
      </c>
      <c r="CA101" s="65" t="str">
        <f t="shared" si="206"/>
        <v/>
      </c>
      <c r="CB101" s="65" t="str">
        <f t="shared" si="207"/>
        <v/>
      </c>
      <c r="CC101" s="65" t="str">
        <f t="shared" si="208"/>
        <v/>
      </c>
      <c r="CD101" s="66">
        <f t="shared" si="209"/>
        <v>0</v>
      </c>
      <c r="CE101" s="68" t="str">
        <f>IF('Marks Entry'!AL101="","",'Marks Entry'!AL101)</f>
        <v/>
      </c>
      <c r="CF101" s="68" t="str">
        <f>IF('Marks Entry'!AM101="","",'Marks Entry'!AM101)</f>
        <v/>
      </c>
      <c r="CG101" s="68" t="str">
        <f>IF('Marks Entry'!AN101="","",'Marks Entry'!AN101)</f>
        <v/>
      </c>
      <c r="CH101" s="514" t="str">
        <f t="shared" si="210"/>
        <v/>
      </c>
      <c r="CI101" s="68" t="str">
        <f>IF('Marks Entry'!AO101="","",'Marks Entry'!AO101)</f>
        <v/>
      </c>
      <c r="CJ101" s="515" t="str">
        <f t="shared" si="211"/>
        <v/>
      </c>
      <c r="CK101" s="68" t="str">
        <f>IF('Marks Entry'!AP101="","",'Marks Entry'!AP101)</f>
        <v/>
      </c>
      <c r="CL101" s="96" t="str">
        <f t="shared" si="212"/>
        <v/>
      </c>
      <c r="CM101" s="65">
        <f t="shared" si="213"/>
        <v>0</v>
      </c>
      <c r="CN101" s="65">
        <f t="shared" si="214"/>
        <v>0</v>
      </c>
      <c r="CO101" s="66" t="str">
        <f t="shared" si="215"/>
        <v/>
      </c>
      <c r="CP101" s="65" t="str">
        <f t="shared" si="216"/>
        <v/>
      </c>
      <c r="CQ101" s="65" t="str">
        <f t="shared" si="217"/>
        <v/>
      </c>
      <c r="CR101" s="65" t="str">
        <f t="shared" si="218"/>
        <v/>
      </c>
      <c r="CS101" s="616"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8" t="str">
        <f>IF('School Profile'!$D$20="NO","",IF('Marks Entry'!AR101="","",'Marks Entry'!AR101))</f>
        <v/>
      </c>
      <c r="CU101" s="68" t="str">
        <f>IF('School Profile'!$D$20="NO","",IF('Marks Entry'!AS101="","",'Marks Entry'!AS101))</f>
        <v/>
      </c>
      <c r="CV101" s="68" t="str">
        <f>IF('School Profile'!$D$20="NO","",IF('Marks Entry'!AT101="","",'Marks Entry'!AT101))</f>
        <v/>
      </c>
      <c r="CW101" s="514" t="str">
        <f>IF('School Profile'!$D$20="NO","",IF(AND(CT101="",CU101="",CV101=""),"",SUM(CT101:CV101)))</f>
        <v/>
      </c>
      <c r="CX101" s="68" t="str">
        <f>IF('School Profile'!$D$20="NO","",IF('Marks Entry'!AU101="","",'Marks Entry'!AU101))</f>
        <v/>
      </c>
      <c r="CY101" s="68" t="str">
        <f>IF('School Profile'!$D$20="NO","",IF('Marks Entry'!AV101="","",'Marks Entry'!AV101))</f>
        <v/>
      </c>
      <c r="CZ101" s="515" t="str">
        <f>IF('School Profile'!$D$20="NO","",IF(AND(CX101="",CY101=""),"",SUM(CX101,CY101)))</f>
        <v/>
      </c>
      <c r="DA101" s="69" t="str">
        <f>IF('School Profile'!$D$20="NO","",IF(AND(CW101="",CZ101=""),"",SUM(CW101+CZ101)))</f>
        <v/>
      </c>
      <c r="DB101" s="68" t="str">
        <f>IF('School Profile'!$D$20="NO","",IF('Marks Entry'!AW101="","",'Marks Entry'!AW101))</f>
        <v/>
      </c>
      <c r="DC101" s="68" t="str">
        <f>IF('School Profile'!$D$20="NO","",IF('Marks Entry'!AX101="","",'Marks Entry'!AX101))</f>
        <v/>
      </c>
      <c r="DD101" s="515" t="str">
        <f>IF('School Profile'!$D$20="NO","",IF(AND(DB101="",DC101=""),"",SUM(DB101,DC101)))</f>
        <v/>
      </c>
      <c r="DE101" s="96" t="str">
        <f>IF('School Profile'!$D$20="NO","",IF(AND(DA101="",DD101=""),"",SUM(DA101,DD101)))</f>
        <v/>
      </c>
      <c r="DF101" s="532">
        <f t="shared" si="219"/>
        <v>0</v>
      </c>
      <c r="DG101" s="65">
        <f t="shared" si="220"/>
        <v>0</v>
      </c>
      <c r="DH101" s="66" t="str">
        <f t="shared" si="221"/>
        <v/>
      </c>
      <c r="DI101" s="65" t="str">
        <f t="shared" si="222"/>
        <v/>
      </c>
      <c r="DJ101" s="65" t="str">
        <f t="shared" si="223"/>
        <v/>
      </c>
      <c r="DK101" s="65" t="str">
        <f t="shared" si="224"/>
        <v/>
      </c>
      <c r="DL101" s="97" t="str">
        <f t="shared" si="264"/>
        <v/>
      </c>
      <c r="DM101" s="97" t="str">
        <f t="shared" si="265"/>
        <v/>
      </c>
      <c r="DN101" s="97" t="str">
        <f t="shared" si="266"/>
        <v/>
      </c>
      <c r="DO101" s="97" t="str">
        <f t="shared" si="267"/>
        <v/>
      </c>
      <c r="DP101" s="97" t="str">
        <f t="shared" si="268"/>
        <v/>
      </c>
      <c r="DQ101" s="97" t="str">
        <f t="shared" si="269"/>
        <v/>
      </c>
      <c r="DR101" s="97" t="str">
        <f t="shared" si="270"/>
        <v/>
      </c>
      <c r="DS101" s="98">
        <f t="shared" si="271"/>
        <v>0</v>
      </c>
      <c r="DT101" s="98">
        <f t="shared" si="272"/>
        <v>0</v>
      </c>
      <c r="DU101" s="98">
        <f t="shared" si="273"/>
        <v>0</v>
      </c>
      <c r="DV101" s="98">
        <f t="shared" si="274"/>
        <v>0</v>
      </c>
      <c r="DW101" s="98">
        <f t="shared" si="275"/>
        <v>0</v>
      </c>
      <c r="DX101" s="98" t="str">
        <f t="shared" si="276"/>
        <v/>
      </c>
      <c r="DY101" s="99" t="str">
        <f t="shared" si="277"/>
        <v/>
      </c>
      <c r="DZ101" s="74" t="str">
        <f>IF('Marks Entry'!AY101="","",'Marks Entry'!AY101)</f>
        <v/>
      </c>
      <c r="EA101" s="74" t="str">
        <f>IF('Marks Entry'!AZ101="","",'Marks Entry'!AZ101)</f>
        <v/>
      </c>
      <c r="EB101" s="74" t="str">
        <f>IF('Marks Entry'!BA101="","",'Marks Entry'!BA101)</f>
        <v/>
      </c>
      <c r="EC101" s="527" t="str">
        <f t="shared" si="225"/>
        <v/>
      </c>
      <c r="ED101" s="74" t="str">
        <f>IF('Marks Entry'!BB101="","",'Marks Entry'!BB101)</f>
        <v/>
      </c>
      <c r="EE101" s="528" t="str">
        <f t="shared" si="226"/>
        <v/>
      </c>
      <c r="EF101" s="74" t="str">
        <f>IF('Marks Entry'!BC101="","",'Marks Entry'!BC101)</f>
        <v/>
      </c>
      <c r="EG101" s="530" t="str">
        <f t="shared" si="227"/>
        <v/>
      </c>
      <c r="EH101" s="368" t="str">
        <f t="shared" si="278"/>
        <v/>
      </c>
      <c r="EI101" s="65">
        <f t="shared" si="279"/>
        <v>0</v>
      </c>
      <c r="EJ101" s="65">
        <f t="shared" si="280"/>
        <v>0</v>
      </c>
      <c r="EK101" s="66" t="str">
        <f t="shared" si="281"/>
        <v/>
      </c>
      <c r="EL101" s="74" t="str">
        <f>IF('Marks Entry'!BD101="","",'Marks Entry'!BD101)</f>
        <v/>
      </c>
      <c r="EM101" s="74" t="str">
        <f>IF('Marks Entry'!BE101="","",'Marks Entry'!BE101)</f>
        <v/>
      </c>
      <c r="EN101" s="74" t="str">
        <f>IF('Marks Entry'!BF101="","",'Marks Entry'!BF101)</f>
        <v/>
      </c>
      <c r="EO101" s="527" t="str">
        <f t="shared" si="228"/>
        <v/>
      </c>
      <c r="EP101" s="74" t="str">
        <f>IF('Marks Entry'!BG101="","",'Marks Entry'!BG101)</f>
        <v/>
      </c>
      <c r="EQ101" s="74" t="str">
        <f>IF('Marks Entry'!BH101="","",'Marks Entry'!BH101)</f>
        <v/>
      </c>
      <c r="ER101" s="528" t="str">
        <f t="shared" si="229"/>
        <v/>
      </c>
      <c r="ES101" s="529" t="str">
        <f t="shared" si="230"/>
        <v/>
      </c>
      <c r="ET101" s="74" t="str">
        <f>IF('Marks Entry'!BI101="","",'Marks Entry'!BI101)</f>
        <v/>
      </c>
      <c r="EU101" s="74" t="str">
        <f>IF('Marks Entry'!BJ101="","",'Marks Entry'!BJ101)</f>
        <v/>
      </c>
      <c r="EV101" s="528" t="str">
        <f t="shared" si="231"/>
        <v/>
      </c>
      <c r="EW101" s="530" t="str">
        <f t="shared" si="232"/>
        <v/>
      </c>
      <c r="EX101" s="368" t="str">
        <f t="shared" si="282"/>
        <v/>
      </c>
      <c r="EY101" s="65">
        <f t="shared" si="283"/>
        <v>0</v>
      </c>
      <c r="EZ101" s="65">
        <f t="shared" si="284"/>
        <v>0</v>
      </c>
      <c r="FA101" s="66" t="str">
        <f t="shared" si="285"/>
        <v/>
      </c>
      <c r="FB101" s="74" t="str">
        <f>IF('Marks Entry'!BK101="","",'Marks Entry'!BK101)</f>
        <v/>
      </c>
      <c r="FC101" s="74" t="str">
        <f>IF('Marks Entry'!BL101="","",'Marks Entry'!BL101)</f>
        <v/>
      </c>
      <c r="FD101" s="74" t="str">
        <f>IF('Marks Entry'!BM101="","",'Marks Entry'!BM101)</f>
        <v/>
      </c>
      <c r="FE101" s="74" t="str">
        <f>IF('Marks Entry'!BN101="","",'Marks Entry'!BN101)</f>
        <v/>
      </c>
      <c r="FF101" s="74" t="str">
        <f>IF('Marks Entry'!BO101="","",'Marks Entry'!BO101)</f>
        <v/>
      </c>
      <c r="FG101" s="74" t="str">
        <f>IF('Marks Entry'!BP101="","",'Marks Entry'!BP101)</f>
        <v/>
      </c>
      <c r="FH101" s="527" t="str">
        <f t="shared" si="233"/>
        <v/>
      </c>
      <c r="FI101" s="74" t="str">
        <f>IF('Marks Entry'!BQ101="","",'Marks Entry'!BQ101)</f>
        <v/>
      </c>
      <c r="FJ101" s="74" t="str">
        <f>IF('Marks Entry'!BR101="","",'Marks Entry'!BR101)</f>
        <v/>
      </c>
      <c r="FK101" s="528" t="str">
        <f t="shared" si="234"/>
        <v/>
      </c>
      <c r="FL101" s="529" t="str">
        <f t="shared" si="235"/>
        <v/>
      </c>
      <c r="FM101" s="74" t="str">
        <f>IF('Marks Entry'!BS101="","",'Marks Entry'!BS101)</f>
        <v/>
      </c>
      <c r="FN101" s="74" t="str">
        <f>IF('Marks Entry'!BT101="","",'Marks Entry'!BT101)</f>
        <v/>
      </c>
      <c r="FO101" s="528" t="str">
        <f t="shared" si="236"/>
        <v/>
      </c>
      <c r="FP101" s="530" t="str">
        <f t="shared" si="237"/>
        <v/>
      </c>
      <c r="FQ101" s="368" t="str">
        <f t="shared" si="286"/>
        <v/>
      </c>
      <c r="FR101" s="65">
        <f t="shared" si="287"/>
        <v>0</v>
      </c>
      <c r="FS101" s="65">
        <f t="shared" si="288"/>
        <v>0</v>
      </c>
      <c r="FT101" s="66" t="str">
        <f t="shared" si="289"/>
        <v/>
      </c>
      <c r="FU101" s="74" t="str">
        <f>IF('Marks Entry'!BU101="","",'Marks Entry'!BU101)</f>
        <v/>
      </c>
      <c r="FV101" s="74" t="str">
        <f>IF('Marks Entry'!BV101="","",'Marks Entry'!BV101)</f>
        <v/>
      </c>
      <c r="FW101" s="74" t="str">
        <f>IF('Marks Entry'!BW101="","",'Marks Entry'!BW101)</f>
        <v/>
      </c>
      <c r="FX101" s="75" t="str">
        <f t="shared" si="238"/>
        <v/>
      </c>
      <c r="FY101" s="368" t="str">
        <f t="shared" si="290"/>
        <v/>
      </c>
      <c r="FZ101" s="65">
        <f t="shared" si="291"/>
        <v>0</v>
      </c>
      <c r="GA101" s="66">
        <f t="shared" si="292"/>
        <v>0</v>
      </c>
      <c r="GB101" s="66" t="str">
        <f t="shared" si="293"/>
        <v/>
      </c>
      <c r="GC101" s="74" t="str">
        <f>IF('Marks Entry'!BX101="","",'Marks Entry'!BX101)</f>
        <v/>
      </c>
      <c r="GD101" s="74" t="str">
        <f>IF('Marks Entry'!BY101="","",'Marks Entry'!BY101)</f>
        <v/>
      </c>
      <c r="GE101" s="74" t="str">
        <f>IF('Marks Entry'!BZ101="","",'Marks Entry'!BZ101)</f>
        <v/>
      </c>
      <c r="GF101" s="75" t="str">
        <f t="shared" si="294"/>
        <v/>
      </c>
      <c r="GG101" s="368" t="str">
        <f t="shared" si="295"/>
        <v/>
      </c>
      <c r="GH101" s="65">
        <f t="shared" si="296"/>
        <v>0</v>
      </c>
      <c r="GI101" s="66">
        <f t="shared" si="297"/>
        <v>0</v>
      </c>
      <c r="GJ101" s="66" t="str">
        <f t="shared" si="298"/>
        <v/>
      </c>
      <c r="GK101" s="100" t="str">
        <f>IF(AND(F101="",B101=""),"",IF('Student DATA Entry'!M98="","",'Student DATA Entry'!M98))</f>
        <v/>
      </c>
      <c r="GL101" s="101" t="str">
        <f>IF(AND(B101="",F101=""),"",IF('Student DATA Entry'!N98="","",'Student DATA Entry'!N98))</f>
        <v/>
      </c>
      <c r="GM101" s="581" t="str">
        <f t="shared" si="299"/>
        <v/>
      </c>
      <c r="GN101" s="94" t="str">
        <f t="shared" si="300"/>
        <v/>
      </c>
      <c r="GO101" s="94" t="str">
        <f t="shared" si="301"/>
        <v/>
      </c>
      <c r="GP101" s="102" t="str">
        <f t="shared" si="239"/>
        <v/>
      </c>
      <c r="GQ101" s="94" t="str">
        <f t="shared" si="302"/>
        <v/>
      </c>
      <c r="GR101" s="103" t="str">
        <f t="shared" si="303"/>
        <v/>
      </c>
      <c r="GS101" s="102" t="str">
        <f t="shared" si="240"/>
        <v/>
      </c>
      <c r="GT101" s="104" t="str">
        <f t="shared" si="304"/>
        <v/>
      </c>
      <c r="GU101" s="94" t="str">
        <f>IF('Marks Entry'!V101=1,GT101,"")</f>
        <v/>
      </c>
      <c r="GV101" s="94" t="str">
        <f>IF('Marks Entry'!V101=2,GT101,"")</f>
        <v/>
      </c>
      <c r="GW101" s="94" t="str">
        <f>IF('Marks Entry'!V101=3,GT101,"")</f>
        <v/>
      </c>
      <c r="GX101" s="94" t="str">
        <f>IF('Marks Entry'!V101=4,GT101,"")</f>
        <v/>
      </c>
      <c r="GY101" s="94" t="str">
        <f>IF('Marks Entry'!V101=5,GT101,"")</f>
        <v/>
      </c>
      <c r="GZ101" s="94" t="str">
        <f t="shared" si="305"/>
        <v/>
      </c>
      <c r="HA101" s="105" t="str">
        <f t="shared" si="241"/>
        <v/>
      </c>
      <c r="HB101" s="94" t="str">
        <f t="shared" si="306"/>
        <v/>
      </c>
      <c r="HC101" s="94" t="str">
        <f t="shared" si="307"/>
        <v/>
      </c>
      <c r="HD101" s="105" t="str">
        <f t="shared" si="242"/>
        <v/>
      </c>
      <c r="HE101" s="94" t="str">
        <f t="shared" si="308"/>
        <v/>
      </c>
      <c r="HF101" s="94" t="str">
        <f t="shared" si="309"/>
        <v/>
      </c>
      <c r="HG101" s="105" t="str">
        <f t="shared" si="243"/>
        <v/>
      </c>
      <c r="HH101" s="94" t="str">
        <f t="shared" si="310"/>
        <v/>
      </c>
      <c r="HI101" s="94" t="str">
        <f t="shared" si="311"/>
        <v/>
      </c>
      <c r="HJ101" s="105" t="str">
        <f t="shared" si="244"/>
        <v/>
      </c>
      <c r="HK101" s="94" t="str">
        <f t="shared" si="312"/>
        <v/>
      </c>
      <c r="HL101" s="94" t="str">
        <f t="shared" si="313"/>
        <v/>
      </c>
      <c r="HM101" s="105" t="str">
        <f t="shared" si="245"/>
        <v/>
      </c>
      <c r="HN101" s="367" t="str">
        <f t="shared" si="314"/>
        <v xml:space="preserve">      </v>
      </c>
      <c r="HO101" s="418" t="str">
        <f t="shared" si="246"/>
        <v xml:space="preserve">      </v>
      </c>
      <c r="HP101" s="367" t="str">
        <f t="shared" si="315"/>
        <v xml:space="preserve">      </v>
      </c>
      <c r="HQ101" s="107" t="str">
        <f t="shared" si="316"/>
        <v xml:space="preserve">      </v>
      </c>
      <c r="HR101" s="366" t="str">
        <f t="shared" si="317"/>
        <v xml:space="preserve">      </v>
      </c>
      <c r="HS101" s="544" t="str">
        <f t="shared" si="247"/>
        <v/>
      </c>
      <c r="HT101" s="542" t="str">
        <f t="shared" si="318"/>
        <v/>
      </c>
      <c r="HU101" s="541" t="str">
        <f t="shared" si="319"/>
        <v/>
      </c>
      <c r="HV101" s="540" t="str">
        <f t="shared" si="320"/>
        <v/>
      </c>
      <c r="HW101" s="537" t="str">
        <f t="shared" si="321"/>
        <v/>
      </c>
      <c r="HX101" s="539" t="str">
        <f t="shared" si="322"/>
        <v/>
      </c>
      <c r="HY101" s="553" t="str">
        <f>IFERROR(IF(OR(HS101="SUPPLEMENTARY",HS101="RE-EXAM"),'Supp. Result Entry'!AQ99,""),"")</f>
        <v/>
      </c>
      <c r="HZ101" s="538" t="str">
        <f t="shared" si="323"/>
        <v/>
      </c>
      <c r="IA101" s="415" t="str">
        <f t="shared" si="324"/>
        <v/>
      </c>
      <c r="IB101" s="415" t="str">
        <f>IF(AND(HZ101="",IA101=""),"",IF(OR(HS101="SUPPLEMENTARY",HS101="RE-EXAM"),'Supp. Result Entry'!AQ99,HS101))</f>
        <v/>
      </c>
      <c r="IC101" s="87"/>
      <c r="IS101" s="109" t="str">
        <f>IF('Supp. Result Entry'!T99="","",'Supp. Result Entry'!$T$4)</f>
        <v/>
      </c>
      <c r="IT101" s="110" t="str">
        <f>IF('Supp. Result Entry'!W99="","",'Supp. Result Entry'!$W$4)</f>
        <v/>
      </c>
      <c r="IU101" s="110" t="str">
        <f>IF('Supp. Result Entry'!Z99="","",'Supp. Result Entry'!$Z$4)</f>
        <v/>
      </c>
      <c r="IV101" s="110" t="str">
        <f>IF('Supp. Result Entry'!AC99="","",'Supp. Result Entry'!$AC$4)</f>
        <v/>
      </c>
      <c r="IW101" s="110" t="str">
        <f>IF('Supp. Result Entry'!AF99="","",'Supp. Result Entry'!$AF$4)</f>
        <v/>
      </c>
      <c r="IX101" s="110" t="str">
        <f>IF('Supp. Result Entry'!AI99="","",'Supp. Result Entry'!$AI$4)</f>
        <v/>
      </c>
      <c r="IY101" s="110" t="str">
        <f>IF('Supp. Result Entry'!AI99="","",'Supp. Result Entry'!$AL$4)</f>
        <v/>
      </c>
      <c r="IZ101" s="110" t="str">
        <f>IF('Supp. Result Entry'!U99="","",'Supp. Result Entry'!U99)</f>
        <v/>
      </c>
      <c r="JA101" s="110" t="str">
        <f>IF('Supp. Result Entry'!X99="","",'Supp. Result Entry'!X99)</f>
        <v/>
      </c>
      <c r="JB101" s="110" t="str">
        <f>IF('Supp. Result Entry'!AA99="","",'Supp. Result Entry'!AA99)</f>
        <v/>
      </c>
      <c r="JC101" s="110" t="str">
        <f>IF('Supp. Result Entry'!AD99="","",'Supp. Result Entry'!AD99)</f>
        <v/>
      </c>
      <c r="JD101" s="110" t="str">
        <f>IF('Supp. Result Entry'!AG99="","",'Supp. Result Entry'!AG99)</f>
        <v/>
      </c>
      <c r="JE101" s="110" t="str">
        <f>IF('Supp. Result Entry'!AJ99="","",'Supp. Result Entry'!AJ99)</f>
        <v/>
      </c>
      <c r="JF101" s="110" t="str">
        <f>IF('Supp. Result Entry'!AM99="","",'Supp. Result Entry'!AM99)</f>
        <v/>
      </c>
      <c r="JG101" s="110" t="str">
        <f>IF('Supp. Result Entry'!V99="","",'Supp. Result Entry'!V99)</f>
        <v/>
      </c>
      <c r="JH101" s="110" t="str">
        <f>IF('Supp. Result Entry'!Y99="","",'Supp. Result Entry'!Y99)</f>
        <v/>
      </c>
      <c r="JI101" s="110" t="str">
        <f>IF('Supp. Result Entry'!AB99="","",'Supp. Result Entry'!AB99)</f>
        <v/>
      </c>
      <c r="JJ101" s="110" t="str">
        <f>IF('Supp. Result Entry'!AE99="","",'Supp. Result Entry'!AE99)</f>
        <v/>
      </c>
      <c r="JK101" s="110" t="str">
        <f>IF('Supp. Result Entry'!AH99="","",'Supp. Result Entry'!AH99)</f>
        <v/>
      </c>
      <c r="JL101" s="110" t="str">
        <f>IF('Supp. Result Entry'!AK99="","",'Supp. Result Entry'!AK99)</f>
        <v/>
      </c>
      <c r="JM101" s="110" t="str">
        <f>IF('Supp. Result Entry'!AN99="","",'Supp. Result Entry'!AN99)</f>
        <v/>
      </c>
      <c r="JN101" s="110">
        <f>COUNTIF('Supp. Result Entry'!K99:Q99,"S")</f>
        <v>0</v>
      </c>
      <c r="JO101" s="110">
        <f t="shared" si="248"/>
        <v>0</v>
      </c>
      <c r="JP101" s="110">
        <f t="shared" si="325"/>
        <v>0</v>
      </c>
      <c r="JQ101" s="110" t="str">
        <f t="shared" si="249"/>
        <v/>
      </c>
      <c r="JR101" s="110" t="str">
        <f t="shared" si="250"/>
        <v/>
      </c>
      <c r="JS101" s="110" t="str">
        <f t="shared" si="251"/>
        <v/>
      </c>
      <c r="JT101" s="110" t="str">
        <f t="shared" si="252"/>
        <v/>
      </c>
      <c r="JU101" s="110" t="str">
        <f t="shared" si="253"/>
        <v/>
      </c>
      <c r="JV101" s="110" t="str">
        <f t="shared" si="254"/>
        <v/>
      </c>
      <c r="JW101" s="110" t="str">
        <f t="shared" si="255"/>
        <v/>
      </c>
      <c r="JX101" s="110" t="str">
        <f t="shared" si="326"/>
        <v/>
      </c>
      <c r="JY101" s="110" t="str">
        <f t="shared" si="327"/>
        <v/>
      </c>
      <c r="JZ101" s="110" t="str">
        <f t="shared" si="256"/>
        <v/>
      </c>
      <c r="KA101" s="108" t="str">
        <f t="shared" si="328"/>
        <v/>
      </c>
    </row>
    <row r="102" spans="1:287" s="108" customFormat="1" ht="21.95" customHeight="1">
      <c r="A102" s="89">
        <v>96</v>
      </c>
      <c r="B102" s="90" t="str">
        <f>IF('Marks Entry'!B102="","",'Marks Entry'!B102)</f>
        <v/>
      </c>
      <c r="C102" s="94" t="str">
        <f>IF('Marks Entry'!D102="","",'Marks Entry'!D102)</f>
        <v/>
      </c>
      <c r="D102" s="91" t="str">
        <f>IF('Marks Entry'!E102="","",'Marks Entry'!E102)</f>
        <v/>
      </c>
      <c r="E102" s="92" t="str">
        <f>IF('Marks Entry'!F102="","",'Marks Entry'!F102)</f>
        <v/>
      </c>
      <c r="F102" s="93" t="str">
        <f>IF('Marks Entry'!G102="","",'Marks Entry'!G102)</f>
        <v/>
      </c>
      <c r="G102" s="93" t="str">
        <f>IF('Marks Entry'!H102="","",'Marks Entry'!H102)</f>
        <v/>
      </c>
      <c r="H102" s="93" t="str">
        <f>IF('Marks Entry'!I102="","",'Marks Entry'!I102)</f>
        <v/>
      </c>
      <c r="I102" s="94" t="str">
        <f>IF('Marks Entry'!J102="","",'Marks Entry'!J102)</f>
        <v/>
      </c>
      <c r="J102" s="95" t="str">
        <f>IF('Marks Entry'!K102="","",'Marks Entry'!K102)</f>
        <v/>
      </c>
      <c r="K102" s="68" t="str">
        <f>IF('Marks Entry'!L102="","",'Marks Entry'!L102)</f>
        <v/>
      </c>
      <c r="L102" s="68" t="str">
        <f>IF('Marks Entry'!M102="","",'Marks Entry'!M102)</f>
        <v/>
      </c>
      <c r="M102" s="68" t="str">
        <f>IF('Marks Entry'!N102="","",'Marks Entry'!N102)</f>
        <v/>
      </c>
      <c r="N102" s="514" t="str">
        <f t="shared" si="257"/>
        <v/>
      </c>
      <c r="O102" s="68" t="str">
        <f>IF('Marks Entry'!O102="","",'Marks Entry'!O102)</f>
        <v/>
      </c>
      <c r="P102" s="515" t="str">
        <f t="shared" si="258"/>
        <v/>
      </c>
      <c r="Q102" s="68" t="str">
        <f>IF('Marks Entry'!P102="","",'Marks Entry'!P102)</f>
        <v/>
      </c>
      <c r="R102" s="96" t="str">
        <f t="shared" si="259"/>
        <v/>
      </c>
      <c r="S102" s="65">
        <f t="shared" si="260"/>
        <v>0</v>
      </c>
      <c r="T102" s="65">
        <f t="shared" si="261"/>
        <v>0</v>
      </c>
      <c r="U102" s="66" t="str">
        <f t="shared" si="171"/>
        <v/>
      </c>
      <c r="V102" s="65" t="str">
        <f t="shared" si="172"/>
        <v/>
      </c>
      <c r="W102" s="65" t="str">
        <f t="shared" si="262"/>
        <v/>
      </c>
      <c r="X102" s="65" t="str">
        <f t="shared" si="173"/>
        <v/>
      </c>
      <c r="Y102" s="68" t="str">
        <f>IF('Marks Entry'!Q102="","",'Marks Entry'!Q102)</f>
        <v/>
      </c>
      <c r="Z102" s="68" t="str">
        <f>IF('Marks Entry'!R102="","",'Marks Entry'!R102)</f>
        <v/>
      </c>
      <c r="AA102" s="68" t="str">
        <f>IF('Marks Entry'!S102="","",'Marks Entry'!S102)</f>
        <v/>
      </c>
      <c r="AB102" s="514" t="str">
        <f t="shared" si="174"/>
        <v/>
      </c>
      <c r="AC102" s="68" t="str">
        <f>IF('Marks Entry'!T102="","",'Marks Entry'!T102)</f>
        <v/>
      </c>
      <c r="AD102" s="515" t="str">
        <f t="shared" si="175"/>
        <v/>
      </c>
      <c r="AE102" s="68" t="str">
        <f>IF('Marks Entry'!U102="","",'Marks Entry'!U102)</f>
        <v/>
      </c>
      <c r="AF102" s="96" t="str">
        <f t="shared" si="176"/>
        <v/>
      </c>
      <c r="AG102" s="65">
        <f t="shared" si="177"/>
        <v>0</v>
      </c>
      <c r="AH102" s="65">
        <f t="shared" si="178"/>
        <v>0</v>
      </c>
      <c r="AI102" s="66" t="str">
        <f t="shared" si="179"/>
        <v/>
      </c>
      <c r="AJ102" s="65" t="str">
        <f t="shared" si="180"/>
        <v/>
      </c>
      <c r="AK102" s="65" t="str">
        <f t="shared" si="181"/>
        <v/>
      </c>
      <c r="AL102" s="65" t="str">
        <f t="shared" si="182"/>
        <v/>
      </c>
      <c r="AM102" s="524" t="str">
        <f>IF('Marks Entry'!V102="","",IF('Marks Entry'!V102=1,'School Profile'!$I$9,IF('Marks Entry'!V102=2,'School Profile'!$I$10,IF('Marks Entry'!V102=3,'School Profile'!$I$11,IF('Marks Entry'!V102=4,'School Profile'!$I$12,IF('Marks Entry'!V102=5,'School Profile'!$I$13,IF('Marks Entry'!V102=6,'School Profile'!$I$14,"")))))))</f>
        <v/>
      </c>
      <c r="AN102" s="68" t="str">
        <f>IF('Marks Entry'!W102="","",'Marks Entry'!W102)</f>
        <v/>
      </c>
      <c r="AO102" s="68" t="str">
        <f>IF('Marks Entry'!X102="","",'Marks Entry'!X102)</f>
        <v/>
      </c>
      <c r="AP102" s="68" t="str">
        <f>IF('Marks Entry'!Y102="","",'Marks Entry'!Y102)</f>
        <v/>
      </c>
      <c r="AQ102" s="514" t="str">
        <f t="shared" si="183"/>
        <v/>
      </c>
      <c r="AR102" s="68" t="str">
        <f>IF('Marks Entry'!Z102="","",'Marks Entry'!Z102)</f>
        <v/>
      </c>
      <c r="AS102" s="515" t="str">
        <f t="shared" si="184"/>
        <v/>
      </c>
      <c r="AT102" s="68" t="str">
        <f>IF('Marks Entry'!AA102="","",'Marks Entry'!AA102)</f>
        <v/>
      </c>
      <c r="AU102" s="96" t="str">
        <f t="shared" si="185"/>
        <v/>
      </c>
      <c r="AV102" s="65">
        <f t="shared" si="186"/>
        <v>0</v>
      </c>
      <c r="AW102" s="65">
        <f t="shared" si="187"/>
        <v>0</v>
      </c>
      <c r="AX102" s="66" t="str">
        <f t="shared" si="188"/>
        <v/>
      </c>
      <c r="AY102" s="65" t="str">
        <f t="shared" si="189"/>
        <v/>
      </c>
      <c r="AZ102" s="65" t="str">
        <f t="shared" si="190"/>
        <v/>
      </c>
      <c r="BA102" s="65" t="str">
        <f t="shared" si="191"/>
        <v/>
      </c>
      <c r="BB102" s="68" t="str">
        <f>IF('Marks Entry'!AB102="","",'Marks Entry'!AB102)</f>
        <v/>
      </c>
      <c r="BC102" s="68" t="str">
        <f>IF('Marks Entry'!AC102="","",'Marks Entry'!AC102)</f>
        <v/>
      </c>
      <c r="BD102" s="68" t="str">
        <f>IF('Marks Entry'!AD102="","",'Marks Entry'!AD102)</f>
        <v/>
      </c>
      <c r="BE102" s="514" t="str">
        <f t="shared" si="192"/>
        <v/>
      </c>
      <c r="BF102" s="68" t="str">
        <f>IF('Marks Entry'!AE102="","",'Marks Entry'!AE102)</f>
        <v/>
      </c>
      <c r="BG102" s="515" t="str">
        <f t="shared" si="193"/>
        <v/>
      </c>
      <c r="BH102" s="68" t="str">
        <f>IF('Marks Entry'!AF102="","",'Marks Entry'!AF102)</f>
        <v/>
      </c>
      <c r="BI102" s="96" t="str">
        <f t="shared" si="194"/>
        <v/>
      </c>
      <c r="BJ102" s="65">
        <f t="shared" si="195"/>
        <v>0</v>
      </c>
      <c r="BK102" s="65">
        <f t="shared" si="263"/>
        <v>0</v>
      </c>
      <c r="BL102" s="66" t="str">
        <f t="shared" si="196"/>
        <v/>
      </c>
      <c r="BM102" s="65" t="str">
        <f t="shared" si="197"/>
        <v/>
      </c>
      <c r="BN102" s="65" t="str">
        <f t="shared" si="198"/>
        <v/>
      </c>
      <c r="BO102" s="65" t="str">
        <f t="shared" si="199"/>
        <v/>
      </c>
      <c r="BP102" s="68" t="str">
        <f>IF('Marks Entry'!AG102="","",'Marks Entry'!AG102)</f>
        <v/>
      </c>
      <c r="BQ102" s="68" t="str">
        <f>IF('Marks Entry'!AH102="","",'Marks Entry'!AH102)</f>
        <v/>
      </c>
      <c r="BR102" s="68" t="str">
        <f>IF('Marks Entry'!AI102="","",'Marks Entry'!AI102)</f>
        <v/>
      </c>
      <c r="BS102" s="514" t="str">
        <f t="shared" si="200"/>
        <v/>
      </c>
      <c r="BT102" s="68" t="str">
        <f>IF('Marks Entry'!AJ102="","",'Marks Entry'!AJ102)</f>
        <v/>
      </c>
      <c r="BU102" s="515" t="str">
        <f t="shared" si="201"/>
        <v/>
      </c>
      <c r="BV102" s="68" t="str">
        <f>IF('Marks Entry'!AK102="","",'Marks Entry'!AK102)</f>
        <v/>
      </c>
      <c r="BW102" s="96" t="str">
        <f t="shared" si="202"/>
        <v/>
      </c>
      <c r="BX102" s="65">
        <f t="shared" si="203"/>
        <v>0</v>
      </c>
      <c r="BY102" s="65">
        <f t="shared" si="204"/>
        <v>0</v>
      </c>
      <c r="BZ102" s="66" t="str">
        <f t="shared" si="205"/>
        <v/>
      </c>
      <c r="CA102" s="65" t="str">
        <f t="shared" si="206"/>
        <v/>
      </c>
      <c r="CB102" s="65" t="str">
        <f t="shared" si="207"/>
        <v/>
      </c>
      <c r="CC102" s="65" t="str">
        <f t="shared" si="208"/>
        <v/>
      </c>
      <c r="CD102" s="66">
        <f t="shared" si="209"/>
        <v>0</v>
      </c>
      <c r="CE102" s="68" t="str">
        <f>IF('Marks Entry'!AL102="","",'Marks Entry'!AL102)</f>
        <v/>
      </c>
      <c r="CF102" s="68" t="str">
        <f>IF('Marks Entry'!AM102="","",'Marks Entry'!AM102)</f>
        <v/>
      </c>
      <c r="CG102" s="68" t="str">
        <f>IF('Marks Entry'!AN102="","",'Marks Entry'!AN102)</f>
        <v/>
      </c>
      <c r="CH102" s="514" t="str">
        <f t="shared" si="210"/>
        <v/>
      </c>
      <c r="CI102" s="68" t="str">
        <f>IF('Marks Entry'!AO102="","",'Marks Entry'!AO102)</f>
        <v/>
      </c>
      <c r="CJ102" s="515" t="str">
        <f t="shared" si="211"/>
        <v/>
      </c>
      <c r="CK102" s="68" t="str">
        <f>IF('Marks Entry'!AP102="","",'Marks Entry'!AP102)</f>
        <v/>
      </c>
      <c r="CL102" s="96" t="str">
        <f t="shared" si="212"/>
        <v/>
      </c>
      <c r="CM102" s="65">
        <f t="shared" si="213"/>
        <v>0</v>
      </c>
      <c r="CN102" s="65">
        <f t="shared" si="214"/>
        <v>0</v>
      </c>
      <c r="CO102" s="66" t="str">
        <f t="shared" si="215"/>
        <v/>
      </c>
      <c r="CP102" s="65" t="str">
        <f t="shared" si="216"/>
        <v/>
      </c>
      <c r="CQ102" s="65" t="str">
        <f t="shared" si="217"/>
        <v/>
      </c>
      <c r="CR102" s="65" t="str">
        <f t="shared" si="218"/>
        <v/>
      </c>
      <c r="CS102" s="616"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8" t="str">
        <f>IF('School Profile'!$D$20="NO","",IF('Marks Entry'!AR102="","",'Marks Entry'!AR102))</f>
        <v/>
      </c>
      <c r="CU102" s="68" t="str">
        <f>IF('School Profile'!$D$20="NO","",IF('Marks Entry'!AS102="","",'Marks Entry'!AS102))</f>
        <v/>
      </c>
      <c r="CV102" s="68" t="str">
        <f>IF('School Profile'!$D$20="NO","",IF('Marks Entry'!AT102="","",'Marks Entry'!AT102))</f>
        <v/>
      </c>
      <c r="CW102" s="514" t="str">
        <f>IF('School Profile'!$D$20="NO","",IF(AND(CT102="",CU102="",CV102=""),"",SUM(CT102:CV102)))</f>
        <v/>
      </c>
      <c r="CX102" s="68" t="str">
        <f>IF('School Profile'!$D$20="NO","",IF('Marks Entry'!AU102="","",'Marks Entry'!AU102))</f>
        <v/>
      </c>
      <c r="CY102" s="68" t="str">
        <f>IF('School Profile'!$D$20="NO","",IF('Marks Entry'!AV102="","",'Marks Entry'!AV102))</f>
        <v/>
      </c>
      <c r="CZ102" s="515" t="str">
        <f>IF('School Profile'!$D$20="NO","",IF(AND(CX102="",CY102=""),"",SUM(CX102,CY102)))</f>
        <v/>
      </c>
      <c r="DA102" s="69" t="str">
        <f>IF('School Profile'!$D$20="NO","",IF(AND(CW102="",CZ102=""),"",SUM(CW102+CZ102)))</f>
        <v/>
      </c>
      <c r="DB102" s="68" t="str">
        <f>IF('School Profile'!$D$20="NO","",IF('Marks Entry'!AW102="","",'Marks Entry'!AW102))</f>
        <v/>
      </c>
      <c r="DC102" s="68" t="str">
        <f>IF('School Profile'!$D$20="NO","",IF('Marks Entry'!AX102="","",'Marks Entry'!AX102))</f>
        <v/>
      </c>
      <c r="DD102" s="515" t="str">
        <f>IF('School Profile'!$D$20="NO","",IF(AND(DB102="",DC102=""),"",SUM(DB102,DC102)))</f>
        <v/>
      </c>
      <c r="DE102" s="96" t="str">
        <f>IF('School Profile'!$D$20="NO","",IF(AND(DA102="",DD102=""),"",SUM(DA102,DD102)))</f>
        <v/>
      </c>
      <c r="DF102" s="532">
        <f t="shared" si="219"/>
        <v>0</v>
      </c>
      <c r="DG102" s="65">
        <f t="shared" si="220"/>
        <v>0</v>
      </c>
      <c r="DH102" s="66" t="str">
        <f t="shared" si="221"/>
        <v/>
      </c>
      <c r="DI102" s="65" t="str">
        <f t="shared" si="222"/>
        <v/>
      </c>
      <c r="DJ102" s="65" t="str">
        <f t="shared" si="223"/>
        <v/>
      </c>
      <c r="DK102" s="65" t="str">
        <f t="shared" si="224"/>
        <v/>
      </c>
      <c r="DL102" s="97" t="str">
        <f t="shared" si="264"/>
        <v/>
      </c>
      <c r="DM102" s="97" t="str">
        <f t="shared" si="265"/>
        <v/>
      </c>
      <c r="DN102" s="97" t="str">
        <f t="shared" si="266"/>
        <v/>
      </c>
      <c r="DO102" s="97" t="str">
        <f t="shared" si="267"/>
        <v/>
      </c>
      <c r="DP102" s="97" t="str">
        <f t="shared" si="268"/>
        <v/>
      </c>
      <c r="DQ102" s="97" t="str">
        <f t="shared" si="269"/>
        <v/>
      </c>
      <c r="DR102" s="97" t="str">
        <f t="shared" si="270"/>
        <v/>
      </c>
      <c r="DS102" s="98">
        <f t="shared" si="271"/>
        <v>0</v>
      </c>
      <c r="DT102" s="98">
        <f t="shared" si="272"/>
        <v>0</v>
      </c>
      <c r="DU102" s="98">
        <f t="shared" si="273"/>
        <v>0</v>
      </c>
      <c r="DV102" s="98">
        <f t="shared" si="274"/>
        <v>0</v>
      </c>
      <c r="DW102" s="98">
        <f t="shared" si="275"/>
        <v>0</v>
      </c>
      <c r="DX102" s="98" t="str">
        <f t="shared" si="276"/>
        <v/>
      </c>
      <c r="DY102" s="99" t="str">
        <f t="shared" si="277"/>
        <v/>
      </c>
      <c r="DZ102" s="74" t="str">
        <f>IF('Marks Entry'!AY102="","",'Marks Entry'!AY102)</f>
        <v/>
      </c>
      <c r="EA102" s="74" t="str">
        <f>IF('Marks Entry'!AZ102="","",'Marks Entry'!AZ102)</f>
        <v/>
      </c>
      <c r="EB102" s="74" t="str">
        <f>IF('Marks Entry'!BA102="","",'Marks Entry'!BA102)</f>
        <v/>
      </c>
      <c r="EC102" s="527" t="str">
        <f t="shared" si="225"/>
        <v/>
      </c>
      <c r="ED102" s="74" t="str">
        <f>IF('Marks Entry'!BB102="","",'Marks Entry'!BB102)</f>
        <v/>
      </c>
      <c r="EE102" s="528" t="str">
        <f t="shared" si="226"/>
        <v/>
      </c>
      <c r="EF102" s="74" t="str">
        <f>IF('Marks Entry'!BC102="","",'Marks Entry'!BC102)</f>
        <v/>
      </c>
      <c r="EG102" s="530" t="str">
        <f t="shared" si="227"/>
        <v/>
      </c>
      <c r="EH102" s="368" t="str">
        <f t="shared" si="278"/>
        <v/>
      </c>
      <c r="EI102" s="65">
        <f t="shared" si="279"/>
        <v>0</v>
      </c>
      <c r="EJ102" s="65">
        <f t="shared" si="280"/>
        <v>0</v>
      </c>
      <c r="EK102" s="66" t="str">
        <f t="shared" si="281"/>
        <v/>
      </c>
      <c r="EL102" s="74" t="str">
        <f>IF('Marks Entry'!BD102="","",'Marks Entry'!BD102)</f>
        <v/>
      </c>
      <c r="EM102" s="74" t="str">
        <f>IF('Marks Entry'!BE102="","",'Marks Entry'!BE102)</f>
        <v/>
      </c>
      <c r="EN102" s="74" t="str">
        <f>IF('Marks Entry'!BF102="","",'Marks Entry'!BF102)</f>
        <v/>
      </c>
      <c r="EO102" s="527" t="str">
        <f t="shared" si="228"/>
        <v/>
      </c>
      <c r="EP102" s="74" t="str">
        <f>IF('Marks Entry'!BG102="","",'Marks Entry'!BG102)</f>
        <v/>
      </c>
      <c r="EQ102" s="74" t="str">
        <f>IF('Marks Entry'!BH102="","",'Marks Entry'!BH102)</f>
        <v/>
      </c>
      <c r="ER102" s="528" t="str">
        <f t="shared" si="229"/>
        <v/>
      </c>
      <c r="ES102" s="529" t="str">
        <f t="shared" si="230"/>
        <v/>
      </c>
      <c r="ET102" s="74" t="str">
        <f>IF('Marks Entry'!BI102="","",'Marks Entry'!BI102)</f>
        <v/>
      </c>
      <c r="EU102" s="74" t="str">
        <f>IF('Marks Entry'!BJ102="","",'Marks Entry'!BJ102)</f>
        <v/>
      </c>
      <c r="EV102" s="528" t="str">
        <f t="shared" si="231"/>
        <v/>
      </c>
      <c r="EW102" s="530" t="str">
        <f t="shared" si="232"/>
        <v/>
      </c>
      <c r="EX102" s="368" t="str">
        <f t="shared" si="282"/>
        <v/>
      </c>
      <c r="EY102" s="65">
        <f t="shared" si="283"/>
        <v>0</v>
      </c>
      <c r="EZ102" s="65">
        <f t="shared" si="284"/>
        <v>0</v>
      </c>
      <c r="FA102" s="66" t="str">
        <f t="shared" si="285"/>
        <v/>
      </c>
      <c r="FB102" s="74" t="str">
        <f>IF('Marks Entry'!BK102="","",'Marks Entry'!BK102)</f>
        <v/>
      </c>
      <c r="FC102" s="74" t="str">
        <f>IF('Marks Entry'!BL102="","",'Marks Entry'!BL102)</f>
        <v/>
      </c>
      <c r="FD102" s="74" t="str">
        <f>IF('Marks Entry'!BM102="","",'Marks Entry'!BM102)</f>
        <v/>
      </c>
      <c r="FE102" s="74" t="str">
        <f>IF('Marks Entry'!BN102="","",'Marks Entry'!BN102)</f>
        <v/>
      </c>
      <c r="FF102" s="74" t="str">
        <f>IF('Marks Entry'!BO102="","",'Marks Entry'!BO102)</f>
        <v/>
      </c>
      <c r="FG102" s="74" t="str">
        <f>IF('Marks Entry'!BP102="","",'Marks Entry'!BP102)</f>
        <v/>
      </c>
      <c r="FH102" s="527" t="str">
        <f t="shared" si="233"/>
        <v/>
      </c>
      <c r="FI102" s="74" t="str">
        <f>IF('Marks Entry'!BQ102="","",'Marks Entry'!BQ102)</f>
        <v/>
      </c>
      <c r="FJ102" s="74" t="str">
        <f>IF('Marks Entry'!BR102="","",'Marks Entry'!BR102)</f>
        <v/>
      </c>
      <c r="FK102" s="528" t="str">
        <f t="shared" si="234"/>
        <v/>
      </c>
      <c r="FL102" s="529" t="str">
        <f t="shared" si="235"/>
        <v/>
      </c>
      <c r="FM102" s="74" t="str">
        <f>IF('Marks Entry'!BS102="","",'Marks Entry'!BS102)</f>
        <v/>
      </c>
      <c r="FN102" s="74" t="str">
        <f>IF('Marks Entry'!BT102="","",'Marks Entry'!BT102)</f>
        <v/>
      </c>
      <c r="FO102" s="528" t="str">
        <f t="shared" si="236"/>
        <v/>
      </c>
      <c r="FP102" s="530" t="str">
        <f t="shared" si="237"/>
        <v/>
      </c>
      <c r="FQ102" s="368" t="str">
        <f t="shared" si="286"/>
        <v/>
      </c>
      <c r="FR102" s="65">
        <f t="shared" si="287"/>
        <v>0</v>
      </c>
      <c r="FS102" s="65">
        <f t="shared" si="288"/>
        <v>0</v>
      </c>
      <c r="FT102" s="66" t="str">
        <f t="shared" si="289"/>
        <v/>
      </c>
      <c r="FU102" s="74" t="str">
        <f>IF('Marks Entry'!BU102="","",'Marks Entry'!BU102)</f>
        <v/>
      </c>
      <c r="FV102" s="74" t="str">
        <f>IF('Marks Entry'!BV102="","",'Marks Entry'!BV102)</f>
        <v/>
      </c>
      <c r="FW102" s="74" t="str">
        <f>IF('Marks Entry'!BW102="","",'Marks Entry'!BW102)</f>
        <v/>
      </c>
      <c r="FX102" s="75" t="str">
        <f t="shared" si="238"/>
        <v/>
      </c>
      <c r="FY102" s="368" t="str">
        <f t="shared" si="290"/>
        <v/>
      </c>
      <c r="FZ102" s="65">
        <f t="shared" si="291"/>
        <v>0</v>
      </c>
      <c r="GA102" s="66">
        <f t="shared" si="292"/>
        <v>0</v>
      </c>
      <c r="GB102" s="66" t="str">
        <f t="shared" si="293"/>
        <v/>
      </c>
      <c r="GC102" s="74" t="str">
        <f>IF('Marks Entry'!BX102="","",'Marks Entry'!BX102)</f>
        <v/>
      </c>
      <c r="GD102" s="74" t="str">
        <f>IF('Marks Entry'!BY102="","",'Marks Entry'!BY102)</f>
        <v/>
      </c>
      <c r="GE102" s="74" t="str">
        <f>IF('Marks Entry'!BZ102="","",'Marks Entry'!BZ102)</f>
        <v/>
      </c>
      <c r="GF102" s="75" t="str">
        <f t="shared" si="294"/>
        <v/>
      </c>
      <c r="GG102" s="368" t="str">
        <f t="shared" si="295"/>
        <v/>
      </c>
      <c r="GH102" s="65">
        <f t="shared" si="296"/>
        <v>0</v>
      </c>
      <c r="GI102" s="66">
        <f t="shared" si="297"/>
        <v>0</v>
      </c>
      <c r="GJ102" s="66" t="str">
        <f t="shared" si="298"/>
        <v/>
      </c>
      <c r="GK102" s="100" t="str">
        <f>IF(AND(F102="",B102=""),"",IF('Student DATA Entry'!M99="","",'Student DATA Entry'!M99))</f>
        <v/>
      </c>
      <c r="GL102" s="101" t="str">
        <f>IF(AND(B102="",F102=""),"",IF('Student DATA Entry'!N99="","",'Student DATA Entry'!N99))</f>
        <v/>
      </c>
      <c r="GM102" s="581" t="str">
        <f t="shared" si="299"/>
        <v/>
      </c>
      <c r="GN102" s="94" t="str">
        <f t="shared" si="300"/>
        <v/>
      </c>
      <c r="GO102" s="94" t="str">
        <f t="shared" si="301"/>
        <v/>
      </c>
      <c r="GP102" s="102" t="str">
        <f t="shared" si="239"/>
        <v/>
      </c>
      <c r="GQ102" s="94" t="str">
        <f t="shared" si="302"/>
        <v/>
      </c>
      <c r="GR102" s="103" t="str">
        <f t="shared" si="303"/>
        <v/>
      </c>
      <c r="GS102" s="102" t="str">
        <f t="shared" si="240"/>
        <v/>
      </c>
      <c r="GT102" s="104" t="str">
        <f t="shared" si="304"/>
        <v/>
      </c>
      <c r="GU102" s="94" t="str">
        <f>IF('Marks Entry'!V102=1,GT102,"")</f>
        <v/>
      </c>
      <c r="GV102" s="94" t="str">
        <f>IF('Marks Entry'!V102=2,GT102,"")</f>
        <v/>
      </c>
      <c r="GW102" s="94" t="str">
        <f>IF('Marks Entry'!V102=3,GT102,"")</f>
        <v/>
      </c>
      <c r="GX102" s="94" t="str">
        <f>IF('Marks Entry'!V102=4,GT102,"")</f>
        <v/>
      </c>
      <c r="GY102" s="94" t="str">
        <f>IF('Marks Entry'!V102=5,GT102,"")</f>
        <v/>
      </c>
      <c r="GZ102" s="94" t="str">
        <f t="shared" si="305"/>
        <v/>
      </c>
      <c r="HA102" s="105" t="str">
        <f t="shared" si="241"/>
        <v/>
      </c>
      <c r="HB102" s="94" t="str">
        <f t="shared" si="306"/>
        <v/>
      </c>
      <c r="HC102" s="94" t="str">
        <f t="shared" si="307"/>
        <v/>
      </c>
      <c r="HD102" s="105" t="str">
        <f t="shared" si="242"/>
        <v/>
      </c>
      <c r="HE102" s="94" t="str">
        <f t="shared" si="308"/>
        <v/>
      </c>
      <c r="HF102" s="94" t="str">
        <f t="shared" si="309"/>
        <v/>
      </c>
      <c r="HG102" s="105" t="str">
        <f t="shared" si="243"/>
        <v/>
      </c>
      <c r="HH102" s="94" t="str">
        <f t="shared" si="310"/>
        <v/>
      </c>
      <c r="HI102" s="94" t="str">
        <f t="shared" si="311"/>
        <v/>
      </c>
      <c r="HJ102" s="105" t="str">
        <f t="shared" si="244"/>
        <v/>
      </c>
      <c r="HK102" s="94" t="str">
        <f t="shared" si="312"/>
        <v/>
      </c>
      <c r="HL102" s="94" t="str">
        <f t="shared" si="313"/>
        <v/>
      </c>
      <c r="HM102" s="105" t="str">
        <f t="shared" si="245"/>
        <v/>
      </c>
      <c r="HN102" s="367" t="str">
        <f t="shared" si="314"/>
        <v xml:space="preserve">      </v>
      </c>
      <c r="HO102" s="418" t="str">
        <f t="shared" si="246"/>
        <v xml:space="preserve">      </v>
      </c>
      <c r="HP102" s="367" t="str">
        <f t="shared" si="315"/>
        <v xml:space="preserve">      </v>
      </c>
      <c r="HQ102" s="107" t="str">
        <f t="shared" si="316"/>
        <v xml:space="preserve">      </v>
      </c>
      <c r="HR102" s="366" t="str">
        <f t="shared" si="317"/>
        <v xml:space="preserve">      </v>
      </c>
      <c r="HS102" s="544" t="str">
        <f t="shared" si="247"/>
        <v/>
      </c>
      <c r="HT102" s="542" t="str">
        <f t="shared" si="318"/>
        <v/>
      </c>
      <c r="HU102" s="541" t="str">
        <f t="shared" si="319"/>
        <v/>
      </c>
      <c r="HV102" s="540" t="str">
        <f t="shared" si="320"/>
        <v/>
      </c>
      <c r="HW102" s="537" t="str">
        <f t="shared" si="321"/>
        <v/>
      </c>
      <c r="HX102" s="539" t="str">
        <f t="shared" si="322"/>
        <v/>
      </c>
      <c r="HY102" s="553" t="str">
        <f>IFERROR(IF(OR(HS102="SUPPLEMENTARY",HS102="RE-EXAM"),'Supp. Result Entry'!AQ100,""),"")</f>
        <v/>
      </c>
      <c r="HZ102" s="538" t="str">
        <f t="shared" si="323"/>
        <v/>
      </c>
      <c r="IA102" s="415" t="str">
        <f t="shared" si="324"/>
        <v/>
      </c>
      <c r="IB102" s="415" t="str">
        <f>IF(AND(HZ102="",IA102=""),"",IF(OR(HS102="SUPPLEMENTARY",HS102="RE-EXAM"),'Supp. Result Entry'!AQ100,HS102))</f>
        <v/>
      </c>
      <c r="IC102" s="87"/>
      <c r="IS102" s="109" t="str">
        <f>IF('Supp. Result Entry'!T100="","",'Supp. Result Entry'!$T$4)</f>
        <v/>
      </c>
      <c r="IT102" s="110" t="str">
        <f>IF('Supp. Result Entry'!W100="","",'Supp. Result Entry'!$W$4)</f>
        <v/>
      </c>
      <c r="IU102" s="110" t="str">
        <f>IF('Supp. Result Entry'!Z100="","",'Supp. Result Entry'!$Z$4)</f>
        <v/>
      </c>
      <c r="IV102" s="110" t="str">
        <f>IF('Supp. Result Entry'!AC100="","",'Supp. Result Entry'!$AC$4)</f>
        <v/>
      </c>
      <c r="IW102" s="110" t="str">
        <f>IF('Supp. Result Entry'!AF100="","",'Supp. Result Entry'!$AF$4)</f>
        <v/>
      </c>
      <c r="IX102" s="110" t="str">
        <f>IF('Supp. Result Entry'!AI100="","",'Supp. Result Entry'!$AI$4)</f>
        <v/>
      </c>
      <c r="IY102" s="110" t="str">
        <f>IF('Supp. Result Entry'!AI100="","",'Supp. Result Entry'!$AL$4)</f>
        <v/>
      </c>
      <c r="IZ102" s="110" t="str">
        <f>IF('Supp. Result Entry'!U100="","",'Supp. Result Entry'!U100)</f>
        <v/>
      </c>
      <c r="JA102" s="110" t="str">
        <f>IF('Supp. Result Entry'!X100="","",'Supp. Result Entry'!X100)</f>
        <v/>
      </c>
      <c r="JB102" s="110" t="str">
        <f>IF('Supp. Result Entry'!AA100="","",'Supp. Result Entry'!AA100)</f>
        <v/>
      </c>
      <c r="JC102" s="110" t="str">
        <f>IF('Supp. Result Entry'!AD100="","",'Supp. Result Entry'!AD100)</f>
        <v/>
      </c>
      <c r="JD102" s="110" t="str">
        <f>IF('Supp. Result Entry'!AG100="","",'Supp. Result Entry'!AG100)</f>
        <v/>
      </c>
      <c r="JE102" s="110" t="str">
        <f>IF('Supp. Result Entry'!AJ100="","",'Supp. Result Entry'!AJ100)</f>
        <v/>
      </c>
      <c r="JF102" s="110" t="str">
        <f>IF('Supp. Result Entry'!AM100="","",'Supp. Result Entry'!AM100)</f>
        <v/>
      </c>
      <c r="JG102" s="110" t="str">
        <f>IF('Supp. Result Entry'!V100="","",'Supp. Result Entry'!V100)</f>
        <v/>
      </c>
      <c r="JH102" s="110" t="str">
        <f>IF('Supp. Result Entry'!Y100="","",'Supp. Result Entry'!Y100)</f>
        <v/>
      </c>
      <c r="JI102" s="110" t="str">
        <f>IF('Supp. Result Entry'!AB100="","",'Supp. Result Entry'!AB100)</f>
        <v/>
      </c>
      <c r="JJ102" s="110" t="str">
        <f>IF('Supp. Result Entry'!AE100="","",'Supp. Result Entry'!AE100)</f>
        <v/>
      </c>
      <c r="JK102" s="110" t="str">
        <f>IF('Supp. Result Entry'!AH100="","",'Supp. Result Entry'!AH100)</f>
        <v/>
      </c>
      <c r="JL102" s="110" t="str">
        <f>IF('Supp. Result Entry'!AK100="","",'Supp. Result Entry'!AK100)</f>
        <v/>
      </c>
      <c r="JM102" s="110" t="str">
        <f>IF('Supp. Result Entry'!AN100="","",'Supp. Result Entry'!AN100)</f>
        <v/>
      </c>
      <c r="JN102" s="110">
        <f>COUNTIF('Supp. Result Entry'!K100:Q100,"S")</f>
        <v>0</v>
      </c>
      <c r="JO102" s="110">
        <f t="shared" si="248"/>
        <v>0</v>
      </c>
      <c r="JP102" s="110">
        <f t="shared" si="325"/>
        <v>0</v>
      </c>
      <c r="JQ102" s="110" t="str">
        <f t="shared" si="249"/>
        <v/>
      </c>
      <c r="JR102" s="110" t="str">
        <f t="shared" si="250"/>
        <v/>
      </c>
      <c r="JS102" s="110" t="str">
        <f t="shared" si="251"/>
        <v/>
      </c>
      <c r="JT102" s="110" t="str">
        <f t="shared" si="252"/>
        <v/>
      </c>
      <c r="JU102" s="110" t="str">
        <f t="shared" si="253"/>
        <v/>
      </c>
      <c r="JV102" s="110" t="str">
        <f t="shared" si="254"/>
        <v/>
      </c>
      <c r="JW102" s="110" t="str">
        <f t="shared" si="255"/>
        <v/>
      </c>
      <c r="JX102" s="110" t="str">
        <f t="shared" si="326"/>
        <v/>
      </c>
      <c r="JY102" s="110" t="str">
        <f t="shared" si="327"/>
        <v/>
      </c>
      <c r="JZ102" s="110" t="str">
        <f t="shared" si="256"/>
        <v/>
      </c>
      <c r="KA102" s="108" t="str">
        <f t="shared" si="328"/>
        <v/>
      </c>
    </row>
    <row r="103" spans="1:287" s="108" customFormat="1" ht="21.95" customHeight="1">
      <c r="A103" s="89">
        <v>97</v>
      </c>
      <c r="B103" s="90" t="str">
        <f>IF('Marks Entry'!B103="","",'Marks Entry'!B103)</f>
        <v/>
      </c>
      <c r="C103" s="94" t="str">
        <f>IF('Marks Entry'!D103="","",'Marks Entry'!D103)</f>
        <v/>
      </c>
      <c r="D103" s="91" t="str">
        <f>IF('Marks Entry'!E103="","",'Marks Entry'!E103)</f>
        <v/>
      </c>
      <c r="E103" s="92" t="str">
        <f>IF('Marks Entry'!F103="","",'Marks Entry'!F103)</f>
        <v/>
      </c>
      <c r="F103" s="93" t="str">
        <f>IF('Marks Entry'!G103="","",'Marks Entry'!G103)</f>
        <v/>
      </c>
      <c r="G103" s="93" t="str">
        <f>IF('Marks Entry'!H103="","",'Marks Entry'!H103)</f>
        <v/>
      </c>
      <c r="H103" s="93" t="str">
        <f>IF('Marks Entry'!I103="","",'Marks Entry'!I103)</f>
        <v/>
      </c>
      <c r="I103" s="94" t="str">
        <f>IF('Marks Entry'!J103="","",'Marks Entry'!J103)</f>
        <v/>
      </c>
      <c r="J103" s="95" t="str">
        <f>IF('Marks Entry'!K103="","",'Marks Entry'!K103)</f>
        <v/>
      </c>
      <c r="K103" s="68" t="str">
        <f>IF('Marks Entry'!L103="","",'Marks Entry'!L103)</f>
        <v/>
      </c>
      <c r="L103" s="68" t="str">
        <f>IF('Marks Entry'!M103="","",'Marks Entry'!M103)</f>
        <v/>
      </c>
      <c r="M103" s="68" t="str">
        <f>IF('Marks Entry'!N103="","",'Marks Entry'!N103)</f>
        <v/>
      </c>
      <c r="N103" s="514" t="str">
        <f t="shared" si="257"/>
        <v/>
      </c>
      <c r="O103" s="68" t="str">
        <f>IF('Marks Entry'!O103="","",'Marks Entry'!O103)</f>
        <v/>
      </c>
      <c r="P103" s="515" t="str">
        <f t="shared" si="258"/>
        <v/>
      </c>
      <c r="Q103" s="68" t="str">
        <f>IF('Marks Entry'!P103="","",'Marks Entry'!P103)</f>
        <v/>
      </c>
      <c r="R103" s="96" t="str">
        <f t="shared" si="259"/>
        <v/>
      </c>
      <c r="S103" s="65">
        <f t="shared" si="260"/>
        <v>0</v>
      </c>
      <c r="T103" s="65">
        <f t="shared" si="261"/>
        <v>0</v>
      </c>
      <c r="U103" s="66" t="str">
        <f t="shared" si="171"/>
        <v/>
      </c>
      <c r="V103" s="65" t="str">
        <f t="shared" si="172"/>
        <v/>
      </c>
      <c r="W103" s="65" t="str">
        <f t="shared" si="262"/>
        <v/>
      </c>
      <c r="X103" s="65" t="str">
        <f t="shared" si="173"/>
        <v/>
      </c>
      <c r="Y103" s="68" t="str">
        <f>IF('Marks Entry'!Q103="","",'Marks Entry'!Q103)</f>
        <v/>
      </c>
      <c r="Z103" s="68" t="str">
        <f>IF('Marks Entry'!R103="","",'Marks Entry'!R103)</f>
        <v/>
      </c>
      <c r="AA103" s="68" t="str">
        <f>IF('Marks Entry'!S103="","",'Marks Entry'!S103)</f>
        <v/>
      </c>
      <c r="AB103" s="514" t="str">
        <f t="shared" si="174"/>
        <v/>
      </c>
      <c r="AC103" s="68" t="str">
        <f>IF('Marks Entry'!T103="","",'Marks Entry'!T103)</f>
        <v/>
      </c>
      <c r="AD103" s="515" t="str">
        <f t="shared" si="175"/>
        <v/>
      </c>
      <c r="AE103" s="68" t="str">
        <f>IF('Marks Entry'!U103="","",'Marks Entry'!U103)</f>
        <v/>
      </c>
      <c r="AF103" s="96" t="str">
        <f t="shared" si="176"/>
        <v/>
      </c>
      <c r="AG103" s="65">
        <f t="shared" si="177"/>
        <v>0</v>
      </c>
      <c r="AH103" s="65">
        <f t="shared" si="178"/>
        <v>0</v>
      </c>
      <c r="AI103" s="66" t="str">
        <f t="shared" si="179"/>
        <v/>
      </c>
      <c r="AJ103" s="65" t="str">
        <f t="shared" si="180"/>
        <v/>
      </c>
      <c r="AK103" s="65" t="str">
        <f t="shared" si="181"/>
        <v/>
      </c>
      <c r="AL103" s="65" t="str">
        <f t="shared" si="182"/>
        <v/>
      </c>
      <c r="AM103" s="524" t="str">
        <f>IF('Marks Entry'!V103="","",IF('Marks Entry'!V103=1,'School Profile'!$I$9,IF('Marks Entry'!V103=2,'School Profile'!$I$10,IF('Marks Entry'!V103=3,'School Profile'!$I$11,IF('Marks Entry'!V103=4,'School Profile'!$I$12,IF('Marks Entry'!V103=5,'School Profile'!$I$13,IF('Marks Entry'!V103=6,'School Profile'!$I$14,"")))))))</f>
        <v/>
      </c>
      <c r="AN103" s="68" t="str">
        <f>IF('Marks Entry'!W103="","",'Marks Entry'!W103)</f>
        <v/>
      </c>
      <c r="AO103" s="68" t="str">
        <f>IF('Marks Entry'!X103="","",'Marks Entry'!X103)</f>
        <v/>
      </c>
      <c r="AP103" s="68" t="str">
        <f>IF('Marks Entry'!Y103="","",'Marks Entry'!Y103)</f>
        <v/>
      </c>
      <c r="AQ103" s="514" t="str">
        <f t="shared" si="183"/>
        <v/>
      </c>
      <c r="AR103" s="68" t="str">
        <f>IF('Marks Entry'!Z103="","",'Marks Entry'!Z103)</f>
        <v/>
      </c>
      <c r="AS103" s="515" t="str">
        <f t="shared" si="184"/>
        <v/>
      </c>
      <c r="AT103" s="68" t="str">
        <f>IF('Marks Entry'!AA103="","",'Marks Entry'!AA103)</f>
        <v/>
      </c>
      <c r="AU103" s="96" t="str">
        <f t="shared" si="185"/>
        <v/>
      </c>
      <c r="AV103" s="65">
        <f t="shared" si="186"/>
        <v>0</v>
      </c>
      <c r="AW103" s="65">
        <f t="shared" si="187"/>
        <v>0</v>
      </c>
      <c r="AX103" s="66" t="str">
        <f t="shared" si="188"/>
        <v/>
      </c>
      <c r="AY103" s="65" t="str">
        <f t="shared" si="189"/>
        <v/>
      </c>
      <c r="AZ103" s="65" t="str">
        <f t="shared" si="190"/>
        <v/>
      </c>
      <c r="BA103" s="65" t="str">
        <f t="shared" si="191"/>
        <v/>
      </c>
      <c r="BB103" s="68" t="str">
        <f>IF('Marks Entry'!AB103="","",'Marks Entry'!AB103)</f>
        <v/>
      </c>
      <c r="BC103" s="68" t="str">
        <f>IF('Marks Entry'!AC103="","",'Marks Entry'!AC103)</f>
        <v/>
      </c>
      <c r="BD103" s="68" t="str">
        <f>IF('Marks Entry'!AD103="","",'Marks Entry'!AD103)</f>
        <v/>
      </c>
      <c r="BE103" s="514" t="str">
        <f t="shared" si="192"/>
        <v/>
      </c>
      <c r="BF103" s="68" t="str">
        <f>IF('Marks Entry'!AE103="","",'Marks Entry'!AE103)</f>
        <v/>
      </c>
      <c r="BG103" s="515" t="str">
        <f t="shared" si="193"/>
        <v/>
      </c>
      <c r="BH103" s="68" t="str">
        <f>IF('Marks Entry'!AF103="","",'Marks Entry'!AF103)</f>
        <v/>
      </c>
      <c r="BI103" s="96" t="str">
        <f t="shared" si="194"/>
        <v/>
      </c>
      <c r="BJ103" s="65">
        <f t="shared" si="195"/>
        <v>0</v>
      </c>
      <c r="BK103" s="65">
        <f t="shared" si="263"/>
        <v>0</v>
      </c>
      <c r="BL103" s="66" t="str">
        <f t="shared" si="196"/>
        <v/>
      </c>
      <c r="BM103" s="65" t="str">
        <f t="shared" si="197"/>
        <v/>
      </c>
      <c r="BN103" s="65" t="str">
        <f t="shared" si="198"/>
        <v/>
      </c>
      <c r="BO103" s="65" t="str">
        <f t="shared" si="199"/>
        <v/>
      </c>
      <c r="BP103" s="68" t="str">
        <f>IF('Marks Entry'!AG103="","",'Marks Entry'!AG103)</f>
        <v/>
      </c>
      <c r="BQ103" s="68" t="str">
        <f>IF('Marks Entry'!AH103="","",'Marks Entry'!AH103)</f>
        <v/>
      </c>
      <c r="BR103" s="68" t="str">
        <f>IF('Marks Entry'!AI103="","",'Marks Entry'!AI103)</f>
        <v/>
      </c>
      <c r="BS103" s="514" t="str">
        <f t="shared" si="200"/>
        <v/>
      </c>
      <c r="BT103" s="68" t="str">
        <f>IF('Marks Entry'!AJ103="","",'Marks Entry'!AJ103)</f>
        <v/>
      </c>
      <c r="BU103" s="515" t="str">
        <f t="shared" si="201"/>
        <v/>
      </c>
      <c r="BV103" s="68" t="str">
        <f>IF('Marks Entry'!AK103="","",'Marks Entry'!AK103)</f>
        <v/>
      </c>
      <c r="BW103" s="96" t="str">
        <f t="shared" si="202"/>
        <v/>
      </c>
      <c r="BX103" s="65">
        <f t="shared" si="203"/>
        <v>0</v>
      </c>
      <c r="BY103" s="65">
        <f t="shared" si="204"/>
        <v>0</v>
      </c>
      <c r="BZ103" s="66" t="str">
        <f t="shared" si="205"/>
        <v/>
      </c>
      <c r="CA103" s="65" t="str">
        <f t="shared" si="206"/>
        <v/>
      </c>
      <c r="CB103" s="65" t="str">
        <f t="shared" si="207"/>
        <v/>
      </c>
      <c r="CC103" s="65" t="str">
        <f t="shared" si="208"/>
        <v/>
      </c>
      <c r="CD103" s="66">
        <f t="shared" ref="CD103:CD134" si="329">SUM(S103,T103,AG103,AH103,AV103,AW103,BJ103,BK103,BX103,BY103,CM103,CN103)</f>
        <v>0</v>
      </c>
      <c r="CE103" s="68" t="str">
        <f>IF('Marks Entry'!AL103="","",'Marks Entry'!AL103)</f>
        <v/>
      </c>
      <c r="CF103" s="68" t="str">
        <f>IF('Marks Entry'!AM103="","",'Marks Entry'!AM103)</f>
        <v/>
      </c>
      <c r="CG103" s="68" t="str">
        <f>IF('Marks Entry'!AN103="","",'Marks Entry'!AN103)</f>
        <v/>
      </c>
      <c r="CH103" s="514" t="str">
        <f t="shared" si="210"/>
        <v/>
      </c>
      <c r="CI103" s="68" t="str">
        <f>IF('Marks Entry'!AO103="","",'Marks Entry'!AO103)</f>
        <v/>
      </c>
      <c r="CJ103" s="515" t="str">
        <f t="shared" si="211"/>
        <v/>
      </c>
      <c r="CK103" s="68" t="str">
        <f>IF('Marks Entry'!AP103="","",'Marks Entry'!AP103)</f>
        <v/>
      </c>
      <c r="CL103" s="96" t="str">
        <f t="shared" si="212"/>
        <v/>
      </c>
      <c r="CM103" s="65">
        <f t="shared" si="213"/>
        <v>0</v>
      </c>
      <c r="CN103" s="65">
        <f t="shared" si="214"/>
        <v>0</v>
      </c>
      <c r="CO103" s="66" t="str">
        <f t="shared" si="215"/>
        <v/>
      </c>
      <c r="CP103" s="65" t="str">
        <f t="shared" si="216"/>
        <v/>
      </c>
      <c r="CQ103" s="65" t="str">
        <f t="shared" si="217"/>
        <v/>
      </c>
      <c r="CR103" s="65" t="str">
        <f t="shared" si="218"/>
        <v/>
      </c>
      <c r="CS103" s="616"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8" t="str">
        <f>IF('School Profile'!$D$20="NO","",IF('Marks Entry'!AR103="","",'Marks Entry'!AR103))</f>
        <v/>
      </c>
      <c r="CU103" s="68" t="str">
        <f>IF('School Profile'!$D$20="NO","",IF('Marks Entry'!AS103="","",'Marks Entry'!AS103))</f>
        <v/>
      </c>
      <c r="CV103" s="68" t="str">
        <f>IF('School Profile'!$D$20="NO","",IF('Marks Entry'!AT103="","",'Marks Entry'!AT103))</f>
        <v/>
      </c>
      <c r="CW103" s="514" t="str">
        <f>IF('School Profile'!$D$20="NO","",IF(AND(CT103="",CU103="",CV103=""),"",SUM(CT103:CV103)))</f>
        <v/>
      </c>
      <c r="CX103" s="68" t="str">
        <f>IF('School Profile'!$D$20="NO","",IF('Marks Entry'!AU103="","",'Marks Entry'!AU103))</f>
        <v/>
      </c>
      <c r="CY103" s="68" t="str">
        <f>IF('School Profile'!$D$20="NO","",IF('Marks Entry'!AV103="","",'Marks Entry'!AV103))</f>
        <v/>
      </c>
      <c r="CZ103" s="515" t="str">
        <f>IF('School Profile'!$D$20="NO","",IF(AND(CX103="",CY103=""),"",SUM(CX103,CY103)))</f>
        <v/>
      </c>
      <c r="DA103" s="69" t="str">
        <f>IF('School Profile'!$D$20="NO","",IF(AND(CW103="",CZ103=""),"",SUM(CW103+CZ103)))</f>
        <v/>
      </c>
      <c r="DB103" s="68" t="str">
        <f>IF('School Profile'!$D$20="NO","",IF('Marks Entry'!AW103="","",'Marks Entry'!AW103))</f>
        <v/>
      </c>
      <c r="DC103" s="68" t="str">
        <f>IF('School Profile'!$D$20="NO","",IF('Marks Entry'!AX103="","",'Marks Entry'!AX103))</f>
        <v/>
      </c>
      <c r="DD103" s="515" t="str">
        <f>IF('School Profile'!$D$20="NO","",IF(AND(DB103="",DC103=""),"",SUM(DB103,DC103)))</f>
        <v/>
      </c>
      <c r="DE103" s="96" t="str">
        <f>IF('School Profile'!$D$20="NO","",IF(AND(DA103="",DD103=""),"",SUM(DA103,DD103)))</f>
        <v/>
      </c>
      <c r="DF103" s="532">
        <f t="shared" si="219"/>
        <v>0</v>
      </c>
      <c r="DG103" s="65">
        <f t="shared" si="220"/>
        <v>0</v>
      </c>
      <c r="DH103" s="66" t="str">
        <f t="shared" si="221"/>
        <v/>
      </c>
      <c r="DI103" s="65" t="str">
        <f t="shared" si="222"/>
        <v/>
      </c>
      <c r="DJ103" s="65" t="str">
        <f t="shared" si="223"/>
        <v/>
      </c>
      <c r="DK103" s="65" t="str">
        <f t="shared" si="224"/>
        <v/>
      </c>
      <c r="DL103" s="97" t="str">
        <f t="shared" si="264"/>
        <v/>
      </c>
      <c r="DM103" s="97" t="str">
        <f t="shared" si="265"/>
        <v/>
      </c>
      <c r="DN103" s="97" t="str">
        <f t="shared" si="266"/>
        <v/>
      </c>
      <c r="DO103" s="97" t="str">
        <f t="shared" si="267"/>
        <v/>
      </c>
      <c r="DP103" s="97" t="str">
        <f t="shared" si="268"/>
        <v/>
      </c>
      <c r="DQ103" s="97" t="str">
        <f t="shared" si="269"/>
        <v/>
      </c>
      <c r="DR103" s="97" t="str">
        <f t="shared" si="270"/>
        <v/>
      </c>
      <c r="DS103" s="98">
        <f t="shared" si="271"/>
        <v>0</v>
      </c>
      <c r="DT103" s="98">
        <f t="shared" si="272"/>
        <v>0</v>
      </c>
      <c r="DU103" s="98">
        <f t="shared" si="273"/>
        <v>0</v>
      </c>
      <c r="DV103" s="98">
        <f t="shared" si="274"/>
        <v>0</v>
      </c>
      <c r="DW103" s="98">
        <f t="shared" si="275"/>
        <v>0</v>
      </c>
      <c r="DX103" s="98" t="str">
        <f t="shared" si="276"/>
        <v/>
      </c>
      <c r="DY103" s="99" t="str">
        <f t="shared" si="277"/>
        <v/>
      </c>
      <c r="DZ103" s="74" t="str">
        <f>IF('Marks Entry'!AY103="","",'Marks Entry'!AY103)</f>
        <v/>
      </c>
      <c r="EA103" s="74" t="str">
        <f>IF('Marks Entry'!AZ103="","",'Marks Entry'!AZ103)</f>
        <v/>
      </c>
      <c r="EB103" s="74" t="str">
        <f>IF('Marks Entry'!BA103="","",'Marks Entry'!BA103)</f>
        <v/>
      </c>
      <c r="EC103" s="527" t="str">
        <f t="shared" si="225"/>
        <v/>
      </c>
      <c r="ED103" s="74" t="str">
        <f>IF('Marks Entry'!BB103="","",'Marks Entry'!BB103)</f>
        <v/>
      </c>
      <c r="EE103" s="528" t="str">
        <f t="shared" si="226"/>
        <v/>
      </c>
      <c r="EF103" s="74" t="str">
        <f>IF('Marks Entry'!BC103="","",'Marks Entry'!BC103)</f>
        <v/>
      </c>
      <c r="EG103" s="530" t="str">
        <f t="shared" si="227"/>
        <v/>
      </c>
      <c r="EH103" s="368" t="str">
        <f t="shared" si="278"/>
        <v/>
      </c>
      <c r="EI103" s="65">
        <f t="shared" si="279"/>
        <v>0</v>
      </c>
      <c r="EJ103" s="65">
        <f t="shared" si="280"/>
        <v>0</v>
      </c>
      <c r="EK103" s="66" t="str">
        <f t="shared" si="281"/>
        <v/>
      </c>
      <c r="EL103" s="74" t="str">
        <f>IF('Marks Entry'!BD103="","",'Marks Entry'!BD103)</f>
        <v/>
      </c>
      <c r="EM103" s="74" t="str">
        <f>IF('Marks Entry'!BE103="","",'Marks Entry'!BE103)</f>
        <v/>
      </c>
      <c r="EN103" s="74" t="str">
        <f>IF('Marks Entry'!BF103="","",'Marks Entry'!BF103)</f>
        <v/>
      </c>
      <c r="EO103" s="527" t="str">
        <f t="shared" si="228"/>
        <v/>
      </c>
      <c r="EP103" s="74" t="str">
        <f>IF('Marks Entry'!BG103="","",'Marks Entry'!BG103)</f>
        <v/>
      </c>
      <c r="EQ103" s="74" t="str">
        <f>IF('Marks Entry'!BH103="","",'Marks Entry'!BH103)</f>
        <v/>
      </c>
      <c r="ER103" s="528" t="str">
        <f t="shared" si="229"/>
        <v/>
      </c>
      <c r="ES103" s="529" t="str">
        <f t="shared" si="230"/>
        <v/>
      </c>
      <c r="ET103" s="74" t="str">
        <f>IF('Marks Entry'!BI103="","",'Marks Entry'!BI103)</f>
        <v/>
      </c>
      <c r="EU103" s="74" t="str">
        <f>IF('Marks Entry'!BJ103="","",'Marks Entry'!BJ103)</f>
        <v/>
      </c>
      <c r="EV103" s="528" t="str">
        <f t="shared" si="231"/>
        <v/>
      </c>
      <c r="EW103" s="530" t="str">
        <f t="shared" si="232"/>
        <v/>
      </c>
      <c r="EX103" s="368" t="str">
        <f t="shared" si="282"/>
        <v/>
      </c>
      <c r="EY103" s="65">
        <f t="shared" si="283"/>
        <v>0</v>
      </c>
      <c r="EZ103" s="65">
        <f t="shared" si="284"/>
        <v>0</v>
      </c>
      <c r="FA103" s="66" t="str">
        <f t="shared" si="285"/>
        <v/>
      </c>
      <c r="FB103" s="74" t="str">
        <f>IF('Marks Entry'!BK103="","",'Marks Entry'!BK103)</f>
        <v/>
      </c>
      <c r="FC103" s="74" t="str">
        <f>IF('Marks Entry'!BL103="","",'Marks Entry'!BL103)</f>
        <v/>
      </c>
      <c r="FD103" s="74" t="str">
        <f>IF('Marks Entry'!BM103="","",'Marks Entry'!BM103)</f>
        <v/>
      </c>
      <c r="FE103" s="74" t="str">
        <f>IF('Marks Entry'!BN103="","",'Marks Entry'!BN103)</f>
        <v/>
      </c>
      <c r="FF103" s="74" t="str">
        <f>IF('Marks Entry'!BO103="","",'Marks Entry'!BO103)</f>
        <v/>
      </c>
      <c r="FG103" s="74" t="str">
        <f>IF('Marks Entry'!BP103="","",'Marks Entry'!BP103)</f>
        <v/>
      </c>
      <c r="FH103" s="527" t="str">
        <f t="shared" si="233"/>
        <v/>
      </c>
      <c r="FI103" s="74" t="str">
        <f>IF('Marks Entry'!BQ103="","",'Marks Entry'!BQ103)</f>
        <v/>
      </c>
      <c r="FJ103" s="74" t="str">
        <f>IF('Marks Entry'!BR103="","",'Marks Entry'!BR103)</f>
        <v/>
      </c>
      <c r="FK103" s="528" t="str">
        <f t="shared" si="234"/>
        <v/>
      </c>
      <c r="FL103" s="529" t="str">
        <f t="shared" si="235"/>
        <v/>
      </c>
      <c r="FM103" s="74" t="str">
        <f>IF('Marks Entry'!BS103="","",'Marks Entry'!BS103)</f>
        <v/>
      </c>
      <c r="FN103" s="74" t="str">
        <f>IF('Marks Entry'!BT103="","",'Marks Entry'!BT103)</f>
        <v/>
      </c>
      <c r="FO103" s="528" t="str">
        <f t="shared" si="236"/>
        <v/>
      </c>
      <c r="FP103" s="530" t="str">
        <f t="shared" si="237"/>
        <v/>
      </c>
      <c r="FQ103" s="368" t="str">
        <f t="shared" si="286"/>
        <v/>
      </c>
      <c r="FR103" s="65">
        <f t="shared" si="287"/>
        <v>0</v>
      </c>
      <c r="FS103" s="65">
        <f t="shared" si="288"/>
        <v>0</v>
      </c>
      <c r="FT103" s="66" t="str">
        <f t="shared" si="289"/>
        <v/>
      </c>
      <c r="FU103" s="74" t="str">
        <f>IF('Marks Entry'!BU103="","",'Marks Entry'!BU103)</f>
        <v/>
      </c>
      <c r="FV103" s="74" t="str">
        <f>IF('Marks Entry'!BV103="","",'Marks Entry'!BV103)</f>
        <v/>
      </c>
      <c r="FW103" s="74" t="str">
        <f>IF('Marks Entry'!BW103="","",'Marks Entry'!BW103)</f>
        <v/>
      </c>
      <c r="FX103" s="75" t="str">
        <f t="shared" si="238"/>
        <v/>
      </c>
      <c r="FY103" s="368" t="str">
        <f t="shared" si="290"/>
        <v/>
      </c>
      <c r="FZ103" s="65">
        <f t="shared" si="291"/>
        <v>0</v>
      </c>
      <c r="GA103" s="66">
        <f t="shared" si="292"/>
        <v>0</v>
      </c>
      <c r="GB103" s="66" t="str">
        <f t="shared" si="293"/>
        <v/>
      </c>
      <c r="GC103" s="74" t="str">
        <f>IF('Marks Entry'!BX103="","",'Marks Entry'!BX103)</f>
        <v/>
      </c>
      <c r="GD103" s="74" t="str">
        <f>IF('Marks Entry'!BY103="","",'Marks Entry'!BY103)</f>
        <v/>
      </c>
      <c r="GE103" s="74" t="str">
        <f>IF('Marks Entry'!BZ103="","",'Marks Entry'!BZ103)</f>
        <v/>
      </c>
      <c r="GF103" s="75" t="str">
        <f t="shared" si="294"/>
        <v/>
      </c>
      <c r="GG103" s="368" t="str">
        <f t="shared" si="295"/>
        <v/>
      </c>
      <c r="GH103" s="65">
        <f t="shared" si="296"/>
        <v>0</v>
      </c>
      <c r="GI103" s="66">
        <f t="shared" si="297"/>
        <v>0</v>
      </c>
      <c r="GJ103" s="66" t="str">
        <f t="shared" si="298"/>
        <v/>
      </c>
      <c r="GK103" s="100" t="str">
        <f>IF(AND(F103="",B103=""),"",IF('Student DATA Entry'!M100="","",'Student DATA Entry'!M100))</f>
        <v/>
      </c>
      <c r="GL103" s="101" t="str">
        <f>IF(AND(B103="",F103=""),"",IF('Student DATA Entry'!N100="","",'Student DATA Entry'!N100))</f>
        <v/>
      </c>
      <c r="GM103" s="581" t="str">
        <f t="shared" si="299"/>
        <v/>
      </c>
      <c r="GN103" s="94" t="str">
        <f t="shared" si="300"/>
        <v/>
      </c>
      <c r="GO103" s="94" t="str">
        <f t="shared" si="301"/>
        <v/>
      </c>
      <c r="GP103" s="102" t="str">
        <f t="shared" ref="GP103:GP134" si="330">IF(GN103="G",ROUNDUP(36%*U103-R103,0),"")</f>
        <v/>
      </c>
      <c r="GQ103" s="94" t="str">
        <f t="shared" si="302"/>
        <v/>
      </c>
      <c r="GR103" s="103" t="str">
        <f t="shared" si="303"/>
        <v/>
      </c>
      <c r="GS103" s="102" t="str">
        <f t="shared" ref="GS103:GS134" si="331">IF(GQ103="G",ROUNDUP(36%*AI103-AF103,0),"")</f>
        <v/>
      </c>
      <c r="GT103" s="104" t="str">
        <f t="shared" si="304"/>
        <v/>
      </c>
      <c r="GU103" s="94" t="str">
        <f>IF('Marks Entry'!V103=1,GT103,"")</f>
        <v/>
      </c>
      <c r="GV103" s="94" t="str">
        <f>IF('Marks Entry'!V103=2,GT103,"")</f>
        <v/>
      </c>
      <c r="GW103" s="94" t="str">
        <f>IF('Marks Entry'!V103=3,GT103,"")</f>
        <v/>
      </c>
      <c r="GX103" s="94" t="str">
        <f>IF('Marks Entry'!V103=4,GT103,"")</f>
        <v/>
      </c>
      <c r="GY103" s="94" t="str">
        <f>IF('Marks Entry'!V103=5,GT103,"")</f>
        <v/>
      </c>
      <c r="GZ103" s="94" t="str">
        <f t="shared" si="305"/>
        <v/>
      </c>
      <c r="HA103" s="105" t="str">
        <f t="shared" ref="HA103:HA134" si="332">IF(GT103="G",ROUNDUP(36%*AX103-AU103,0),"")</f>
        <v/>
      </c>
      <c r="HB103" s="94" t="str">
        <f t="shared" si="306"/>
        <v/>
      </c>
      <c r="HC103" s="94" t="str">
        <f t="shared" si="307"/>
        <v/>
      </c>
      <c r="HD103" s="105" t="str">
        <f t="shared" ref="HD103:HD134" si="333">IF(HB103="G",ROUNDUP(36%*BL103-BI103,0),"")</f>
        <v/>
      </c>
      <c r="HE103" s="94" t="str">
        <f t="shared" si="308"/>
        <v/>
      </c>
      <c r="HF103" s="94" t="str">
        <f t="shared" si="309"/>
        <v/>
      </c>
      <c r="HG103" s="105" t="str">
        <f t="shared" ref="HG103:HG134" si="334">IF(HE103="G",ROUNDUP(36%*BZ103-BW103,0),"")</f>
        <v/>
      </c>
      <c r="HH103" s="94" t="str">
        <f t="shared" si="310"/>
        <v/>
      </c>
      <c r="HI103" s="94" t="str">
        <f t="shared" si="311"/>
        <v/>
      </c>
      <c r="HJ103" s="105" t="str">
        <f t="shared" ref="HJ103:HJ134" si="335">IF(HH103="G",ROUNDUP(36%*CO103-CL103,0),"")</f>
        <v/>
      </c>
      <c r="HK103" s="94" t="str">
        <f t="shared" si="312"/>
        <v/>
      </c>
      <c r="HL103" s="94" t="str">
        <f t="shared" si="313"/>
        <v/>
      </c>
      <c r="HM103" s="105" t="str">
        <f t="shared" ref="HM103:HM134" si="336">IF(HK103="G",ROUNDUP(36%*DH103-DE103,0),"")</f>
        <v/>
      </c>
      <c r="HN103" s="367" t="str">
        <f t="shared" si="314"/>
        <v xml:space="preserve">      </v>
      </c>
      <c r="HO103" s="418" t="str">
        <f t="shared" ref="HO103:HO134" si="337">IF(COUNTIF(DL103:DR103,"F")&gt;0,"",CONCATENATE(IF(GN103="S",$GN$5,"")," ",IF(GQ103="S",$GQ$5,"")," ",IF(GU103="S",$GU$5,IF(GV103="S",$GV$5,IF(GW103="S",$GW$5,IF(GX103="S",$GX$5,IF(GY103="S",$GY$5,"")))))," ",IF(HB103="S",$HB$5,"")," ",IF(HE103="S",$HE$5,"")," ",IF(HH103="S",$HH$5,"")," ",IF(HK103="S",$HK$5,"")))</f>
        <v xml:space="preserve">      </v>
      </c>
      <c r="HP103" s="367" t="str">
        <f t="shared" si="315"/>
        <v xml:space="preserve">      </v>
      </c>
      <c r="HQ103" s="107" t="str">
        <f t="shared" si="316"/>
        <v xml:space="preserve">      </v>
      </c>
      <c r="HR103" s="366" t="str">
        <f t="shared" si="317"/>
        <v xml:space="preserve">      </v>
      </c>
      <c r="HS103" s="544" t="str">
        <f t="shared" ref="HS103:HS134" si="338">IF(B103="NSO","NSO",IF(AND(OR(DY103="PASS",DY103="BY GRACE PASS",DY103="RE-EXAM"),DX103="F"),"FAIL",IF(AND(OR(DY103="PASS",DY103="BY GRACE PASS"),DX103="RE"),"RE-EXAM",DY103)))</f>
        <v/>
      </c>
      <c r="HT103" s="542" t="str">
        <f t="shared" si="318"/>
        <v/>
      </c>
      <c r="HU103" s="541" t="str">
        <f t="shared" si="319"/>
        <v/>
      </c>
      <c r="HV103" s="540" t="str">
        <f t="shared" si="320"/>
        <v/>
      </c>
      <c r="HW103" s="537" t="str">
        <f t="shared" si="321"/>
        <v/>
      </c>
      <c r="HX103" s="539" t="str">
        <f t="shared" si="322"/>
        <v/>
      </c>
      <c r="HY103" s="553" t="str">
        <f>IFERROR(IF(OR(HS103="SUPPLEMENTARY",HS103="RE-EXAM"),'Supp. Result Entry'!AQ101,""),"")</f>
        <v/>
      </c>
      <c r="HZ103" s="538" t="str">
        <f t="shared" si="323"/>
        <v/>
      </c>
      <c r="IA103" s="415" t="str">
        <f t="shared" si="324"/>
        <v/>
      </c>
      <c r="IB103" s="415" t="str">
        <f>IF(AND(HZ103="",IA103=""),"",IF(OR(HS103="SUPPLEMENTARY",HS103="RE-EXAM"),'Supp. Result Entry'!AQ101,HS103))</f>
        <v/>
      </c>
      <c r="IC103" s="87"/>
      <c r="IS103" s="109" t="str">
        <f>IF('Supp. Result Entry'!T101="","",'Supp. Result Entry'!$T$4)</f>
        <v/>
      </c>
      <c r="IT103" s="110" t="str">
        <f>IF('Supp. Result Entry'!W101="","",'Supp. Result Entry'!$W$4)</f>
        <v/>
      </c>
      <c r="IU103" s="110" t="str">
        <f>IF('Supp. Result Entry'!Z101="","",'Supp. Result Entry'!$Z$4)</f>
        <v/>
      </c>
      <c r="IV103" s="110" t="str">
        <f>IF('Supp. Result Entry'!AC101="","",'Supp. Result Entry'!$AC$4)</f>
        <v/>
      </c>
      <c r="IW103" s="110" t="str">
        <f>IF('Supp. Result Entry'!AF101="","",'Supp. Result Entry'!$AF$4)</f>
        <v/>
      </c>
      <c r="IX103" s="110" t="str">
        <f>IF('Supp. Result Entry'!AI101="","",'Supp. Result Entry'!$AI$4)</f>
        <v/>
      </c>
      <c r="IY103" s="110" t="str">
        <f>IF('Supp. Result Entry'!AI101="","",'Supp. Result Entry'!$AL$4)</f>
        <v/>
      </c>
      <c r="IZ103" s="110" t="str">
        <f>IF('Supp. Result Entry'!U101="","",'Supp. Result Entry'!U101)</f>
        <v/>
      </c>
      <c r="JA103" s="110" t="str">
        <f>IF('Supp. Result Entry'!X101="","",'Supp. Result Entry'!X101)</f>
        <v/>
      </c>
      <c r="JB103" s="110" t="str">
        <f>IF('Supp. Result Entry'!AA101="","",'Supp. Result Entry'!AA101)</f>
        <v/>
      </c>
      <c r="JC103" s="110" t="str">
        <f>IF('Supp. Result Entry'!AD101="","",'Supp. Result Entry'!AD101)</f>
        <v/>
      </c>
      <c r="JD103" s="110" t="str">
        <f>IF('Supp. Result Entry'!AG101="","",'Supp. Result Entry'!AG101)</f>
        <v/>
      </c>
      <c r="JE103" s="110" t="str">
        <f>IF('Supp. Result Entry'!AJ101="","",'Supp. Result Entry'!AJ101)</f>
        <v/>
      </c>
      <c r="JF103" s="110" t="str">
        <f>IF('Supp. Result Entry'!AM101="","",'Supp. Result Entry'!AM101)</f>
        <v/>
      </c>
      <c r="JG103" s="110" t="str">
        <f>IF('Supp. Result Entry'!V101="","",'Supp. Result Entry'!V101)</f>
        <v/>
      </c>
      <c r="JH103" s="110" t="str">
        <f>IF('Supp. Result Entry'!Y101="","",'Supp. Result Entry'!Y101)</f>
        <v/>
      </c>
      <c r="JI103" s="110" t="str">
        <f>IF('Supp. Result Entry'!AB101="","",'Supp. Result Entry'!AB101)</f>
        <v/>
      </c>
      <c r="JJ103" s="110" t="str">
        <f>IF('Supp. Result Entry'!AE101="","",'Supp. Result Entry'!AE101)</f>
        <v/>
      </c>
      <c r="JK103" s="110" t="str">
        <f>IF('Supp. Result Entry'!AH101="","",'Supp. Result Entry'!AH101)</f>
        <v/>
      </c>
      <c r="JL103" s="110" t="str">
        <f>IF('Supp. Result Entry'!AK101="","",'Supp. Result Entry'!AK101)</f>
        <v/>
      </c>
      <c r="JM103" s="110" t="str">
        <f>IF('Supp. Result Entry'!AN101="","",'Supp. Result Entry'!AN101)</f>
        <v/>
      </c>
      <c r="JN103" s="110">
        <f>COUNTIF('Supp. Result Entry'!K101:Q101,"S")</f>
        <v>0</v>
      </c>
      <c r="JO103" s="110">
        <f t="shared" si="248"/>
        <v>0</v>
      </c>
      <c r="JP103" s="110">
        <f t="shared" si="325"/>
        <v>0</v>
      </c>
      <c r="JQ103" s="110" t="str">
        <f t="shared" si="249"/>
        <v/>
      </c>
      <c r="JR103" s="110" t="str">
        <f t="shared" si="250"/>
        <v/>
      </c>
      <c r="JS103" s="110" t="str">
        <f t="shared" si="251"/>
        <v/>
      </c>
      <c r="JT103" s="110" t="str">
        <f t="shared" si="252"/>
        <v/>
      </c>
      <c r="JU103" s="110" t="str">
        <f t="shared" si="253"/>
        <v/>
      </c>
      <c r="JV103" s="110" t="str">
        <f t="shared" si="254"/>
        <v/>
      </c>
      <c r="JW103" s="110" t="str">
        <f t="shared" si="255"/>
        <v/>
      </c>
      <c r="JX103" s="110" t="str">
        <f t="shared" si="326"/>
        <v/>
      </c>
      <c r="JY103" s="110" t="str">
        <f t="shared" si="327"/>
        <v/>
      </c>
      <c r="JZ103" s="110" t="str">
        <f t="shared" si="256"/>
        <v/>
      </c>
      <c r="KA103" s="108" t="str">
        <f t="shared" si="328"/>
        <v/>
      </c>
    </row>
    <row r="104" spans="1:287" s="108" customFormat="1" ht="21.95" customHeight="1">
      <c r="A104" s="89">
        <v>98</v>
      </c>
      <c r="B104" s="90" t="str">
        <f>IF('Marks Entry'!B104="","",'Marks Entry'!B104)</f>
        <v/>
      </c>
      <c r="C104" s="94" t="str">
        <f>IF('Marks Entry'!D104="","",'Marks Entry'!D104)</f>
        <v/>
      </c>
      <c r="D104" s="91" t="str">
        <f>IF('Marks Entry'!E104="","",'Marks Entry'!E104)</f>
        <v/>
      </c>
      <c r="E104" s="92" t="str">
        <f>IF('Marks Entry'!F104="","",'Marks Entry'!F104)</f>
        <v/>
      </c>
      <c r="F104" s="93" t="str">
        <f>IF('Marks Entry'!G104="","",'Marks Entry'!G104)</f>
        <v/>
      </c>
      <c r="G104" s="93" t="str">
        <f>IF('Marks Entry'!H104="","",'Marks Entry'!H104)</f>
        <v/>
      </c>
      <c r="H104" s="93" t="str">
        <f>IF('Marks Entry'!I104="","",'Marks Entry'!I104)</f>
        <v/>
      </c>
      <c r="I104" s="94" t="str">
        <f>IF('Marks Entry'!J104="","",'Marks Entry'!J104)</f>
        <v/>
      </c>
      <c r="J104" s="95" t="str">
        <f>IF('Marks Entry'!K104="","",'Marks Entry'!K104)</f>
        <v/>
      </c>
      <c r="K104" s="68" t="str">
        <f>IF('Marks Entry'!L104="","",'Marks Entry'!L104)</f>
        <v/>
      </c>
      <c r="L104" s="68" t="str">
        <f>IF('Marks Entry'!M104="","",'Marks Entry'!M104)</f>
        <v/>
      </c>
      <c r="M104" s="68" t="str">
        <f>IF('Marks Entry'!N104="","",'Marks Entry'!N104)</f>
        <v/>
      </c>
      <c r="N104" s="514" t="str">
        <f t="shared" si="257"/>
        <v/>
      </c>
      <c r="O104" s="68" t="str">
        <f>IF('Marks Entry'!O104="","",'Marks Entry'!O104)</f>
        <v/>
      </c>
      <c r="P104" s="515" t="str">
        <f t="shared" si="258"/>
        <v/>
      </c>
      <c r="Q104" s="68" t="str">
        <f>IF('Marks Entry'!P104="","",'Marks Entry'!P104)</f>
        <v/>
      </c>
      <c r="R104" s="96" t="str">
        <f t="shared" si="259"/>
        <v/>
      </c>
      <c r="S104" s="65">
        <f t="shared" si="260"/>
        <v>0</v>
      </c>
      <c r="T104" s="65">
        <f t="shared" si="261"/>
        <v>0</v>
      </c>
      <c r="U104" s="66" t="str">
        <f t="shared" si="171"/>
        <v/>
      </c>
      <c r="V104" s="65" t="str">
        <f t="shared" si="172"/>
        <v/>
      </c>
      <c r="W104" s="65" t="str">
        <f t="shared" si="262"/>
        <v/>
      </c>
      <c r="X104" s="65" t="str">
        <f t="shared" si="173"/>
        <v/>
      </c>
      <c r="Y104" s="68" t="str">
        <f>IF('Marks Entry'!Q104="","",'Marks Entry'!Q104)</f>
        <v/>
      </c>
      <c r="Z104" s="68" t="str">
        <f>IF('Marks Entry'!R104="","",'Marks Entry'!R104)</f>
        <v/>
      </c>
      <c r="AA104" s="68" t="str">
        <f>IF('Marks Entry'!S104="","",'Marks Entry'!S104)</f>
        <v/>
      </c>
      <c r="AB104" s="514" t="str">
        <f t="shared" si="174"/>
        <v/>
      </c>
      <c r="AC104" s="68" t="str">
        <f>IF('Marks Entry'!T104="","",'Marks Entry'!T104)</f>
        <v/>
      </c>
      <c r="AD104" s="515" t="str">
        <f t="shared" si="175"/>
        <v/>
      </c>
      <c r="AE104" s="68" t="str">
        <f>IF('Marks Entry'!U104="","",'Marks Entry'!U104)</f>
        <v/>
      </c>
      <c r="AF104" s="96" t="str">
        <f t="shared" si="176"/>
        <v/>
      </c>
      <c r="AG104" s="65">
        <f t="shared" si="177"/>
        <v>0</v>
      </c>
      <c r="AH104" s="65">
        <f t="shared" si="178"/>
        <v>0</v>
      </c>
      <c r="AI104" s="66" t="str">
        <f t="shared" si="179"/>
        <v/>
      </c>
      <c r="AJ104" s="65" t="str">
        <f t="shared" si="180"/>
        <v/>
      </c>
      <c r="AK104" s="65" t="str">
        <f t="shared" si="181"/>
        <v/>
      </c>
      <c r="AL104" s="65" t="str">
        <f t="shared" si="182"/>
        <v/>
      </c>
      <c r="AM104" s="524" t="str">
        <f>IF('Marks Entry'!V104="","",IF('Marks Entry'!V104=1,'School Profile'!$I$9,IF('Marks Entry'!V104=2,'School Profile'!$I$10,IF('Marks Entry'!V104=3,'School Profile'!$I$11,IF('Marks Entry'!V104=4,'School Profile'!$I$12,IF('Marks Entry'!V104=5,'School Profile'!$I$13,IF('Marks Entry'!V104=6,'School Profile'!$I$14,"")))))))</f>
        <v/>
      </c>
      <c r="AN104" s="68" t="str">
        <f>IF('Marks Entry'!W104="","",'Marks Entry'!W104)</f>
        <v/>
      </c>
      <c r="AO104" s="68" t="str">
        <f>IF('Marks Entry'!X104="","",'Marks Entry'!X104)</f>
        <v/>
      </c>
      <c r="AP104" s="68" t="str">
        <f>IF('Marks Entry'!Y104="","",'Marks Entry'!Y104)</f>
        <v/>
      </c>
      <c r="AQ104" s="514" t="str">
        <f t="shared" si="183"/>
        <v/>
      </c>
      <c r="AR104" s="68" t="str">
        <f>IF('Marks Entry'!Z104="","",'Marks Entry'!Z104)</f>
        <v/>
      </c>
      <c r="AS104" s="515" t="str">
        <f t="shared" si="184"/>
        <v/>
      </c>
      <c r="AT104" s="68" t="str">
        <f>IF('Marks Entry'!AA104="","",'Marks Entry'!AA104)</f>
        <v/>
      </c>
      <c r="AU104" s="96" t="str">
        <f t="shared" si="185"/>
        <v/>
      </c>
      <c r="AV104" s="65">
        <f t="shared" si="186"/>
        <v>0</v>
      </c>
      <c r="AW104" s="65">
        <f t="shared" si="187"/>
        <v>0</v>
      </c>
      <c r="AX104" s="66" t="str">
        <f t="shared" si="188"/>
        <v/>
      </c>
      <c r="AY104" s="65" t="str">
        <f t="shared" si="189"/>
        <v/>
      </c>
      <c r="AZ104" s="65" t="str">
        <f t="shared" si="190"/>
        <v/>
      </c>
      <c r="BA104" s="65" t="str">
        <f t="shared" si="191"/>
        <v/>
      </c>
      <c r="BB104" s="68" t="str">
        <f>IF('Marks Entry'!AB104="","",'Marks Entry'!AB104)</f>
        <v/>
      </c>
      <c r="BC104" s="68" t="str">
        <f>IF('Marks Entry'!AC104="","",'Marks Entry'!AC104)</f>
        <v/>
      </c>
      <c r="BD104" s="68" t="str">
        <f>IF('Marks Entry'!AD104="","",'Marks Entry'!AD104)</f>
        <v/>
      </c>
      <c r="BE104" s="514" t="str">
        <f t="shared" si="192"/>
        <v/>
      </c>
      <c r="BF104" s="68" t="str">
        <f>IF('Marks Entry'!AE104="","",'Marks Entry'!AE104)</f>
        <v/>
      </c>
      <c r="BG104" s="515" t="str">
        <f t="shared" si="193"/>
        <v/>
      </c>
      <c r="BH104" s="68" t="str">
        <f>IF('Marks Entry'!AF104="","",'Marks Entry'!AF104)</f>
        <v/>
      </c>
      <c r="BI104" s="96" t="str">
        <f t="shared" si="194"/>
        <v/>
      </c>
      <c r="BJ104" s="65">
        <f t="shared" si="195"/>
        <v>0</v>
      </c>
      <c r="BK104" s="65">
        <f t="shared" si="263"/>
        <v>0</v>
      </c>
      <c r="BL104" s="66" t="str">
        <f t="shared" si="196"/>
        <v/>
      </c>
      <c r="BM104" s="65" t="str">
        <f t="shared" si="197"/>
        <v/>
      </c>
      <c r="BN104" s="65" t="str">
        <f t="shared" si="198"/>
        <v/>
      </c>
      <c r="BO104" s="65" t="str">
        <f t="shared" si="199"/>
        <v/>
      </c>
      <c r="BP104" s="68" t="str">
        <f>IF('Marks Entry'!AG104="","",'Marks Entry'!AG104)</f>
        <v/>
      </c>
      <c r="BQ104" s="68" t="str">
        <f>IF('Marks Entry'!AH104="","",'Marks Entry'!AH104)</f>
        <v/>
      </c>
      <c r="BR104" s="68" t="str">
        <f>IF('Marks Entry'!AI104="","",'Marks Entry'!AI104)</f>
        <v/>
      </c>
      <c r="BS104" s="514" t="str">
        <f t="shared" si="200"/>
        <v/>
      </c>
      <c r="BT104" s="68" t="str">
        <f>IF('Marks Entry'!AJ104="","",'Marks Entry'!AJ104)</f>
        <v/>
      </c>
      <c r="BU104" s="515" t="str">
        <f t="shared" si="201"/>
        <v/>
      </c>
      <c r="BV104" s="68" t="str">
        <f>IF('Marks Entry'!AK104="","",'Marks Entry'!AK104)</f>
        <v/>
      </c>
      <c r="BW104" s="96" t="str">
        <f t="shared" si="202"/>
        <v/>
      </c>
      <c r="BX104" s="65">
        <f t="shared" si="203"/>
        <v>0</v>
      </c>
      <c r="BY104" s="65">
        <f t="shared" si="204"/>
        <v>0</v>
      </c>
      <c r="BZ104" s="66" t="str">
        <f t="shared" si="205"/>
        <v/>
      </c>
      <c r="CA104" s="65" t="str">
        <f t="shared" si="206"/>
        <v/>
      </c>
      <c r="CB104" s="65" t="str">
        <f t="shared" si="207"/>
        <v/>
      </c>
      <c r="CC104" s="65" t="str">
        <f t="shared" si="208"/>
        <v/>
      </c>
      <c r="CD104" s="66">
        <f t="shared" si="329"/>
        <v>0</v>
      </c>
      <c r="CE104" s="68" t="str">
        <f>IF('Marks Entry'!AL104="","",'Marks Entry'!AL104)</f>
        <v/>
      </c>
      <c r="CF104" s="68" t="str">
        <f>IF('Marks Entry'!AM104="","",'Marks Entry'!AM104)</f>
        <v/>
      </c>
      <c r="CG104" s="68" t="str">
        <f>IF('Marks Entry'!AN104="","",'Marks Entry'!AN104)</f>
        <v/>
      </c>
      <c r="CH104" s="514" t="str">
        <f t="shared" si="210"/>
        <v/>
      </c>
      <c r="CI104" s="68" t="str">
        <f>IF('Marks Entry'!AO104="","",'Marks Entry'!AO104)</f>
        <v/>
      </c>
      <c r="CJ104" s="515" t="str">
        <f t="shared" si="211"/>
        <v/>
      </c>
      <c r="CK104" s="68" t="str">
        <f>IF('Marks Entry'!AP104="","",'Marks Entry'!AP104)</f>
        <v/>
      </c>
      <c r="CL104" s="96" t="str">
        <f t="shared" si="212"/>
        <v/>
      </c>
      <c r="CM104" s="65">
        <f t="shared" si="213"/>
        <v>0</v>
      </c>
      <c r="CN104" s="65">
        <f t="shared" si="214"/>
        <v>0</v>
      </c>
      <c r="CO104" s="66" t="str">
        <f t="shared" si="215"/>
        <v/>
      </c>
      <c r="CP104" s="65" t="str">
        <f t="shared" si="216"/>
        <v/>
      </c>
      <c r="CQ104" s="65" t="str">
        <f t="shared" si="217"/>
        <v/>
      </c>
      <c r="CR104" s="65" t="str">
        <f t="shared" si="218"/>
        <v/>
      </c>
      <c r="CS104" s="616"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8" t="str">
        <f>IF('School Profile'!$D$20="NO","",IF('Marks Entry'!AR104="","",'Marks Entry'!AR104))</f>
        <v/>
      </c>
      <c r="CU104" s="68" t="str">
        <f>IF('School Profile'!$D$20="NO","",IF('Marks Entry'!AS104="","",'Marks Entry'!AS104))</f>
        <v/>
      </c>
      <c r="CV104" s="68" t="str">
        <f>IF('School Profile'!$D$20="NO","",IF('Marks Entry'!AT104="","",'Marks Entry'!AT104))</f>
        <v/>
      </c>
      <c r="CW104" s="514" t="str">
        <f>IF('School Profile'!$D$20="NO","",IF(AND(CT104="",CU104="",CV104=""),"",SUM(CT104:CV104)))</f>
        <v/>
      </c>
      <c r="CX104" s="68" t="str">
        <f>IF('School Profile'!$D$20="NO","",IF('Marks Entry'!AU104="","",'Marks Entry'!AU104))</f>
        <v/>
      </c>
      <c r="CY104" s="68" t="str">
        <f>IF('School Profile'!$D$20="NO","",IF('Marks Entry'!AV104="","",'Marks Entry'!AV104))</f>
        <v/>
      </c>
      <c r="CZ104" s="515" t="str">
        <f>IF('School Profile'!$D$20="NO","",IF(AND(CX104="",CY104=""),"",SUM(CX104,CY104)))</f>
        <v/>
      </c>
      <c r="DA104" s="69" t="str">
        <f>IF('School Profile'!$D$20="NO","",IF(AND(CW104="",CZ104=""),"",SUM(CW104+CZ104)))</f>
        <v/>
      </c>
      <c r="DB104" s="68" t="str">
        <f>IF('School Profile'!$D$20="NO","",IF('Marks Entry'!AW104="","",'Marks Entry'!AW104))</f>
        <v/>
      </c>
      <c r="DC104" s="68" t="str">
        <f>IF('School Profile'!$D$20="NO","",IF('Marks Entry'!AX104="","",'Marks Entry'!AX104))</f>
        <v/>
      </c>
      <c r="DD104" s="515" t="str">
        <f>IF('School Profile'!$D$20="NO","",IF(AND(DB104="",DC104=""),"",SUM(DB104,DC104)))</f>
        <v/>
      </c>
      <c r="DE104" s="96" t="str">
        <f>IF('School Profile'!$D$20="NO","",IF(AND(DA104="",DD104=""),"",SUM(DA104,DD104)))</f>
        <v/>
      </c>
      <c r="DF104" s="532">
        <f t="shared" si="219"/>
        <v>0</v>
      </c>
      <c r="DG104" s="65">
        <f t="shared" si="220"/>
        <v>0</v>
      </c>
      <c r="DH104" s="66" t="str">
        <f t="shared" si="221"/>
        <v/>
      </c>
      <c r="DI104" s="65" t="str">
        <f t="shared" si="222"/>
        <v/>
      </c>
      <c r="DJ104" s="65" t="str">
        <f t="shared" si="223"/>
        <v/>
      </c>
      <c r="DK104" s="65" t="str">
        <f t="shared" si="224"/>
        <v/>
      </c>
      <c r="DL104" s="97" t="str">
        <f t="shared" si="264"/>
        <v/>
      </c>
      <c r="DM104" s="97" t="str">
        <f t="shared" si="265"/>
        <v/>
      </c>
      <c r="DN104" s="97" t="str">
        <f t="shared" si="266"/>
        <v/>
      </c>
      <c r="DO104" s="97" t="str">
        <f t="shared" si="267"/>
        <v/>
      </c>
      <c r="DP104" s="97" t="str">
        <f t="shared" si="268"/>
        <v/>
      </c>
      <c r="DQ104" s="97" t="str">
        <f t="shared" si="269"/>
        <v/>
      </c>
      <c r="DR104" s="97" t="str">
        <f t="shared" si="270"/>
        <v/>
      </c>
      <c r="DS104" s="98">
        <f t="shared" si="271"/>
        <v>0</v>
      </c>
      <c r="DT104" s="98">
        <f t="shared" si="272"/>
        <v>0</v>
      </c>
      <c r="DU104" s="98">
        <f t="shared" si="273"/>
        <v>0</v>
      </c>
      <c r="DV104" s="98">
        <f t="shared" si="274"/>
        <v>0</v>
      </c>
      <c r="DW104" s="98">
        <f t="shared" si="275"/>
        <v>0</v>
      </c>
      <c r="DX104" s="98" t="str">
        <f t="shared" si="276"/>
        <v/>
      </c>
      <c r="DY104" s="99" t="str">
        <f t="shared" si="277"/>
        <v/>
      </c>
      <c r="DZ104" s="74" t="str">
        <f>IF('Marks Entry'!AY104="","",'Marks Entry'!AY104)</f>
        <v/>
      </c>
      <c r="EA104" s="74" t="str">
        <f>IF('Marks Entry'!AZ104="","",'Marks Entry'!AZ104)</f>
        <v/>
      </c>
      <c r="EB104" s="74" t="str">
        <f>IF('Marks Entry'!BA104="","",'Marks Entry'!BA104)</f>
        <v/>
      </c>
      <c r="EC104" s="527" t="str">
        <f t="shared" si="225"/>
        <v/>
      </c>
      <c r="ED104" s="74" t="str">
        <f>IF('Marks Entry'!BB104="","",'Marks Entry'!BB104)</f>
        <v/>
      </c>
      <c r="EE104" s="528" t="str">
        <f t="shared" si="226"/>
        <v/>
      </c>
      <c r="EF104" s="74" t="str">
        <f>IF('Marks Entry'!BC104="","",'Marks Entry'!BC104)</f>
        <v/>
      </c>
      <c r="EG104" s="530" t="str">
        <f t="shared" si="227"/>
        <v/>
      </c>
      <c r="EH104" s="368" t="str">
        <f t="shared" si="278"/>
        <v/>
      </c>
      <c r="EI104" s="65">
        <f t="shared" si="279"/>
        <v>0</v>
      </c>
      <c r="EJ104" s="65">
        <f t="shared" si="280"/>
        <v>0</v>
      </c>
      <c r="EK104" s="66" t="str">
        <f t="shared" si="281"/>
        <v/>
      </c>
      <c r="EL104" s="74" t="str">
        <f>IF('Marks Entry'!BD104="","",'Marks Entry'!BD104)</f>
        <v/>
      </c>
      <c r="EM104" s="74" t="str">
        <f>IF('Marks Entry'!BE104="","",'Marks Entry'!BE104)</f>
        <v/>
      </c>
      <c r="EN104" s="74" t="str">
        <f>IF('Marks Entry'!BF104="","",'Marks Entry'!BF104)</f>
        <v/>
      </c>
      <c r="EO104" s="527" t="str">
        <f t="shared" si="228"/>
        <v/>
      </c>
      <c r="EP104" s="74" t="str">
        <f>IF('Marks Entry'!BG104="","",'Marks Entry'!BG104)</f>
        <v/>
      </c>
      <c r="EQ104" s="74" t="str">
        <f>IF('Marks Entry'!BH104="","",'Marks Entry'!BH104)</f>
        <v/>
      </c>
      <c r="ER104" s="528" t="str">
        <f t="shared" si="229"/>
        <v/>
      </c>
      <c r="ES104" s="529" t="str">
        <f t="shared" si="230"/>
        <v/>
      </c>
      <c r="ET104" s="74" t="str">
        <f>IF('Marks Entry'!BI104="","",'Marks Entry'!BI104)</f>
        <v/>
      </c>
      <c r="EU104" s="74" t="str">
        <f>IF('Marks Entry'!BJ104="","",'Marks Entry'!BJ104)</f>
        <v/>
      </c>
      <c r="EV104" s="528" t="str">
        <f t="shared" si="231"/>
        <v/>
      </c>
      <c r="EW104" s="530" t="str">
        <f t="shared" si="232"/>
        <v/>
      </c>
      <c r="EX104" s="368" t="str">
        <f t="shared" si="282"/>
        <v/>
      </c>
      <c r="EY104" s="65">
        <f t="shared" si="283"/>
        <v>0</v>
      </c>
      <c r="EZ104" s="65">
        <f t="shared" si="284"/>
        <v>0</v>
      </c>
      <c r="FA104" s="66" t="str">
        <f t="shared" si="285"/>
        <v/>
      </c>
      <c r="FB104" s="74" t="str">
        <f>IF('Marks Entry'!BK104="","",'Marks Entry'!BK104)</f>
        <v/>
      </c>
      <c r="FC104" s="74" t="str">
        <f>IF('Marks Entry'!BL104="","",'Marks Entry'!BL104)</f>
        <v/>
      </c>
      <c r="FD104" s="74" t="str">
        <f>IF('Marks Entry'!BM104="","",'Marks Entry'!BM104)</f>
        <v/>
      </c>
      <c r="FE104" s="74" t="str">
        <f>IF('Marks Entry'!BN104="","",'Marks Entry'!BN104)</f>
        <v/>
      </c>
      <c r="FF104" s="74" t="str">
        <f>IF('Marks Entry'!BO104="","",'Marks Entry'!BO104)</f>
        <v/>
      </c>
      <c r="FG104" s="74" t="str">
        <f>IF('Marks Entry'!BP104="","",'Marks Entry'!BP104)</f>
        <v/>
      </c>
      <c r="FH104" s="527" t="str">
        <f t="shared" si="233"/>
        <v/>
      </c>
      <c r="FI104" s="74" t="str">
        <f>IF('Marks Entry'!BQ104="","",'Marks Entry'!BQ104)</f>
        <v/>
      </c>
      <c r="FJ104" s="74" t="str">
        <f>IF('Marks Entry'!BR104="","",'Marks Entry'!BR104)</f>
        <v/>
      </c>
      <c r="FK104" s="528" t="str">
        <f t="shared" si="234"/>
        <v/>
      </c>
      <c r="FL104" s="529" t="str">
        <f t="shared" si="235"/>
        <v/>
      </c>
      <c r="FM104" s="74" t="str">
        <f>IF('Marks Entry'!BS104="","",'Marks Entry'!BS104)</f>
        <v/>
      </c>
      <c r="FN104" s="74" t="str">
        <f>IF('Marks Entry'!BT104="","",'Marks Entry'!BT104)</f>
        <v/>
      </c>
      <c r="FO104" s="528" t="str">
        <f t="shared" si="236"/>
        <v/>
      </c>
      <c r="FP104" s="530" t="str">
        <f t="shared" si="237"/>
        <v/>
      </c>
      <c r="FQ104" s="368" t="str">
        <f t="shared" si="286"/>
        <v/>
      </c>
      <c r="FR104" s="65">
        <f t="shared" si="287"/>
        <v>0</v>
      </c>
      <c r="FS104" s="65">
        <f t="shared" si="288"/>
        <v>0</v>
      </c>
      <c r="FT104" s="66" t="str">
        <f t="shared" si="289"/>
        <v/>
      </c>
      <c r="FU104" s="74" t="str">
        <f>IF('Marks Entry'!BU104="","",'Marks Entry'!BU104)</f>
        <v/>
      </c>
      <c r="FV104" s="74" t="str">
        <f>IF('Marks Entry'!BV104="","",'Marks Entry'!BV104)</f>
        <v/>
      </c>
      <c r="FW104" s="74" t="str">
        <f>IF('Marks Entry'!BW104="","",'Marks Entry'!BW104)</f>
        <v/>
      </c>
      <c r="FX104" s="75" t="str">
        <f t="shared" si="238"/>
        <v/>
      </c>
      <c r="FY104" s="368" t="str">
        <f t="shared" si="290"/>
        <v/>
      </c>
      <c r="FZ104" s="65">
        <f t="shared" si="291"/>
        <v>0</v>
      </c>
      <c r="GA104" s="66">
        <f t="shared" si="292"/>
        <v>0</v>
      </c>
      <c r="GB104" s="66" t="str">
        <f t="shared" si="293"/>
        <v/>
      </c>
      <c r="GC104" s="74" t="str">
        <f>IF('Marks Entry'!BX104="","",'Marks Entry'!BX104)</f>
        <v/>
      </c>
      <c r="GD104" s="74" t="str">
        <f>IF('Marks Entry'!BY104="","",'Marks Entry'!BY104)</f>
        <v/>
      </c>
      <c r="GE104" s="74" t="str">
        <f>IF('Marks Entry'!BZ104="","",'Marks Entry'!BZ104)</f>
        <v/>
      </c>
      <c r="GF104" s="75" t="str">
        <f t="shared" si="294"/>
        <v/>
      </c>
      <c r="GG104" s="368" t="str">
        <f t="shared" si="295"/>
        <v/>
      </c>
      <c r="GH104" s="65">
        <f t="shared" si="296"/>
        <v>0</v>
      </c>
      <c r="GI104" s="66">
        <f t="shared" si="297"/>
        <v>0</v>
      </c>
      <c r="GJ104" s="66" t="str">
        <f t="shared" si="298"/>
        <v/>
      </c>
      <c r="GK104" s="100" t="str">
        <f>IF(AND(F104="",B104=""),"",IF('Student DATA Entry'!M101="","",'Student DATA Entry'!M101))</f>
        <v/>
      </c>
      <c r="GL104" s="101" t="str">
        <f>IF(AND(B104="",F104=""),"",IF('Student DATA Entry'!N101="","",'Student DATA Entry'!N101))</f>
        <v/>
      </c>
      <c r="GM104" s="581" t="str">
        <f t="shared" si="299"/>
        <v/>
      </c>
      <c r="GN104" s="94" t="str">
        <f t="shared" si="300"/>
        <v/>
      </c>
      <c r="GO104" s="94" t="str">
        <f t="shared" si="301"/>
        <v/>
      </c>
      <c r="GP104" s="102" t="str">
        <f t="shared" si="330"/>
        <v/>
      </c>
      <c r="GQ104" s="94" t="str">
        <f t="shared" si="302"/>
        <v/>
      </c>
      <c r="GR104" s="103" t="str">
        <f t="shared" si="303"/>
        <v/>
      </c>
      <c r="GS104" s="102" t="str">
        <f t="shared" si="331"/>
        <v/>
      </c>
      <c r="GT104" s="104" t="str">
        <f t="shared" si="304"/>
        <v/>
      </c>
      <c r="GU104" s="94" t="str">
        <f>IF('Marks Entry'!V104=1,GT104,"")</f>
        <v/>
      </c>
      <c r="GV104" s="94" t="str">
        <f>IF('Marks Entry'!V104=2,GT104,"")</f>
        <v/>
      </c>
      <c r="GW104" s="94" t="str">
        <f>IF('Marks Entry'!V104=3,GT104,"")</f>
        <v/>
      </c>
      <c r="GX104" s="94" t="str">
        <f>IF('Marks Entry'!V104=4,GT104,"")</f>
        <v/>
      </c>
      <c r="GY104" s="94" t="str">
        <f>IF('Marks Entry'!V104=5,GT104,"")</f>
        <v/>
      </c>
      <c r="GZ104" s="94" t="str">
        <f t="shared" si="305"/>
        <v/>
      </c>
      <c r="HA104" s="105" t="str">
        <f t="shared" si="332"/>
        <v/>
      </c>
      <c r="HB104" s="94" t="str">
        <f t="shared" si="306"/>
        <v/>
      </c>
      <c r="HC104" s="94" t="str">
        <f t="shared" si="307"/>
        <v/>
      </c>
      <c r="HD104" s="105" t="str">
        <f t="shared" si="333"/>
        <v/>
      </c>
      <c r="HE104" s="94" t="str">
        <f t="shared" si="308"/>
        <v/>
      </c>
      <c r="HF104" s="94" t="str">
        <f t="shared" si="309"/>
        <v/>
      </c>
      <c r="HG104" s="105" t="str">
        <f t="shared" si="334"/>
        <v/>
      </c>
      <c r="HH104" s="94" t="str">
        <f t="shared" si="310"/>
        <v/>
      </c>
      <c r="HI104" s="94" t="str">
        <f t="shared" si="311"/>
        <v/>
      </c>
      <c r="HJ104" s="105" t="str">
        <f t="shared" si="335"/>
        <v/>
      </c>
      <c r="HK104" s="94" t="str">
        <f t="shared" si="312"/>
        <v/>
      </c>
      <c r="HL104" s="94" t="str">
        <f t="shared" si="313"/>
        <v/>
      </c>
      <c r="HM104" s="105" t="str">
        <f t="shared" si="336"/>
        <v/>
      </c>
      <c r="HN104" s="367" t="str">
        <f t="shared" si="314"/>
        <v xml:space="preserve">      </v>
      </c>
      <c r="HO104" s="418" t="str">
        <f t="shared" si="337"/>
        <v xml:space="preserve">      </v>
      </c>
      <c r="HP104" s="367" t="str">
        <f t="shared" si="315"/>
        <v xml:space="preserve">      </v>
      </c>
      <c r="HQ104" s="107" t="str">
        <f t="shared" si="316"/>
        <v xml:space="preserve">      </v>
      </c>
      <c r="HR104" s="366" t="str">
        <f t="shared" si="317"/>
        <v xml:space="preserve">      </v>
      </c>
      <c r="HS104" s="544" t="str">
        <f t="shared" si="338"/>
        <v/>
      </c>
      <c r="HT104" s="542" t="str">
        <f t="shared" si="318"/>
        <v/>
      </c>
      <c r="HU104" s="541" t="str">
        <f t="shared" si="319"/>
        <v/>
      </c>
      <c r="HV104" s="540" t="str">
        <f t="shared" si="320"/>
        <v/>
      </c>
      <c r="HW104" s="537" t="str">
        <f t="shared" si="321"/>
        <v/>
      </c>
      <c r="HX104" s="539" t="str">
        <f t="shared" si="322"/>
        <v/>
      </c>
      <c r="HY104" s="553" t="str">
        <f>IFERROR(IF(OR(HS104="SUPPLEMENTARY",HS104="RE-EXAM"),'Supp. Result Entry'!AQ102,""),"")</f>
        <v/>
      </c>
      <c r="HZ104" s="538" t="str">
        <f t="shared" si="323"/>
        <v/>
      </c>
      <c r="IA104" s="415" t="str">
        <f t="shared" si="324"/>
        <v/>
      </c>
      <c r="IB104" s="415" t="str">
        <f>IF(AND(HZ104="",IA104=""),"",IF(OR(HS104="SUPPLEMENTARY",HS104="RE-EXAM"),'Supp. Result Entry'!AQ102,HS104))</f>
        <v/>
      </c>
      <c r="IC104" s="87"/>
      <c r="IS104" s="109" t="str">
        <f>IF('Supp. Result Entry'!T102="","",'Supp. Result Entry'!$T$4)</f>
        <v/>
      </c>
      <c r="IT104" s="110" t="str">
        <f>IF('Supp. Result Entry'!W102="","",'Supp. Result Entry'!$W$4)</f>
        <v/>
      </c>
      <c r="IU104" s="110" t="str">
        <f>IF('Supp. Result Entry'!Z102="","",'Supp. Result Entry'!$Z$4)</f>
        <v/>
      </c>
      <c r="IV104" s="110" t="str">
        <f>IF('Supp. Result Entry'!AC102="","",'Supp. Result Entry'!$AC$4)</f>
        <v/>
      </c>
      <c r="IW104" s="110" t="str">
        <f>IF('Supp. Result Entry'!AF102="","",'Supp. Result Entry'!$AF$4)</f>
        <v/>
      </c>
      <c r="IX104" s="110" t="str">
        <f>IF('Supp. Result Entry'!AI102="","",'Supp. Result Entry'!$AI$4)</f>
        <v/>
      </c>
      <c r="IY104" s="110" t="str">
        <f>IF('Supp. Result Entry'!AI102="","",'Supp. Result Entry'!$AL$4)</f>
        <v/>
      </c>
      <c r="IZ104" s="110" t="str">
        <f>IF('Supp. Result Entry'!U102="","",'Supp. Result Entry'!U102)</f>
        <v/>
      </c>
      <c r="JA104" s="110" t="str">
        <f>IF('Supp. Result Entry'!X102="","",'Supp. Result Entry'!X102)</f>
        <v/>
      </c>
      <c r="JB104" s="110" t="str">
        <f>IF('Supp. Result Entry'!AA102="","",'Supp. Result Entry'!AA102)</f>
        <v/>
      </c>
      <c r="JC104" s="110" t="str">
        <f>IF('Supp. Result Entry'!AD102="","",'Supp. Result Entry'!AD102)</f>
        <v/>
      </c>
      <c r="JD104" s="110" t="str">
        <f>IF('Supp. Result Entry'!AG102="","",'Supp. Result Entry'!AG102)</f>
        <v/>
      </c>
      <c r="JE104" s="110" t="str">
        <f>IF('Supp. Result Entry'!AJ102="","",'Supp. Result Entry'!AJ102)</f>
        <v/>
      </c>
      <c r="JF104" s="110" t="str">
        <f>IF('Supp. Result Entry'!AM102="","",'Supp. Result Entry'!AM102)</f>
        <v/>
      </c>
      <c r="JG104" s="110" t="str">
        <f>IF('Supp. Result Entry'!V102="","",'Supp. Result Entry'!V102)</f>
        <v/>
      </c>
      <c r="JH104" s="110" t="str">
        <f>IF('Supp. Result Entry'!Y102="","",'Supp. Result Entry'!Y102)</f>
        <v/>
      </c>
      <c r="JI104" s="110" t="str">
        <f>IF('Supp. Result Entry'!AB102="","",'Supp. Result Entry'!AB102)</f>
        <v/>
      </c>
      <c r="JJ104" s="110" t="str">
        <f>IF('Supp. Result Entry'!AE102="","",'Supp. Result Entry'!AE102)</f>
        <v/>
      </c>
      <c r="JK104" s="110" t="str">
        <f>IF('Supp. Result Entry'!AH102="","",'Supp. Result Entry'!AH102)</f>
        <v/>
      </c>
      <c r="JL104" s="110" t="str">
        <f>IF('Supp. Result Entry'!AK102="","",'Supp. Result Entry'!AK102)</f>
        <v/>
      </c>
      <c r="JM104" s="110" t="str">
        <f>IF('Supp. Result Entry'!AN102="","",'Supp. Result Entry'!AN102)</f>
        <v/>
      </c>
      <c r="JN104" s="110">
        <f>COUNTIF('Supp. Result Entry'!K102:Q102,"S")</f>
        <v>0</v>
      </c>
      <c r="JO104" s="110">
        <f t="shared" si="248"/>
        <v>0</v>
      </c>
      <c r="JP104" s="110">
        <f t="shared" si="325"/>
        <v>0</v>
      </c>
      <c r="JQ104" s="110" t="str">
        <f t="shared" si="249"/>
        <v/>
      </c>
      <c r="JR104" s="110" t="str">
        <f t="shared" si="250"/>
        <v/>
      </c>
      <c r="JS104" s="110" t="str">
        <f t="shared" si="251"/>
        <v/>
      </c>
      <c r="JT104" s="110" t="str">
        <f t="shared" si="252"/>
        <v/>
      </c>
      <c r="JU104" s="110" t="str">
        <f t="shared" si="253"/>
        <v/>
      </c>
      <c r="JV104" s="110" t="str">
        <f t="shared" si="254"/>
        <v/>
      </c>
      <c r="JW104" s="110" t="str">
        <f t="shared" si="255"/>
        <v/>
      </c>
      <c r="JX104" s="110" t="str">
        <f t="shared" si="326"/>
        <v/>
      </c>
      <c r="JY104" s="110" t="str">
        <f t="shared" si="327"/>
        <v/>
      </c>
      <c r="JZ104" s="110" t="str">
        <f t="shared" si="256"/>
        <v/>
      </c>
      <c r="KA104" s="108" t="str">
        <f t="shared" si="328"/>
        <v/>
      </c>
    </row>
    <row r="105" spans="1:287" s="108" customFormat="1" ht="21.95" customHeight="1">
      <c r="A105" s="89">
        <v>99</v>
      </c>
      <c r="B105" s="90" t="str">
        <f>IF('Marks Entry'!B105="","",'Marks Entry'!B105)</f>
        <v/>
      </c>
      <c r="C105" s="94" t="str">
        <f>IF('Marks Entry'!D105="","",'Marks Entry'!D105)</f>
        <v/>
      </c>
      <c r="D105" s="91" t="str">
        <f>IF('Marks Entry'!E105="","",'Marks Entry'!E105)</f>
        <v/>
      </c>
      <c r="E105" s="92" t="str">
        <f>IF('Marks Entry'!F105="","",'Marks Entry'!F105)</f>
        <v/>
      </c>
      <c r="F105" s="93" t="str">
        <f>IF('Marks Entry'!G105="","",'Marks Entry'!G105)</f>
        <v/>
      </c>
      <c r="G105" s="93" t="str">
        <f>IF('Marks Entry'!H105="","",'Marks Entry'!H105)</f>
        <v/>
      </c>
      <c r="H105" s="93" t="str">
        <f>IF('Marks Entry'!I105="","",'Marks Entry'!I105)</f>
        <v/>
      </c>
      <c r="I105" s="94" t="str">
        <f>IF('Marks Entry'!J105="","",'Marks Entry'!J105)</f>
        <v/>
      </c>
      <c r="J105" s="95" t="str">
        <f>IF('Marks Entry'!K105="","",'Marks Entry'!K105)</f>
        <v/>
      </c>
      <c r="K105" s="68" t="str">
        <f>IF('Marks Entry'!L105="","",'Marks Entry'!L105)</f>
        <v/>
      </c>
      <c r="L105" s="68" t="str">
        <f>IF('Marks Entry'!M105="","",'Marks Entry'!M105)</f>
        <v/>
      </c>
      <c r="M105" s="68" t="str">
        <f>IF('Marks Entry'!N105="","",'Marks Entry'!N105)</f>
        <v/>
      </c>
      <c r="N105" s="514" t="str">
        <f t="shared" si="257"/>
        <v/>
      </c>
      <c r="O105" s="68" t="str">
        <f>IF('Marks Entry'!O105="","",'Marks Entry'!O105)</f>
        <v/>
      </c>
      <c r="P105" s="515" t="str">
        <f t="shared" si="258"/>
        <v/>
      </c>
      <c r="Q105" s="68" t="str">
        <f>IF('Marks Entry'!P105="","",'Marks Entry'!P105)</f>
        <v/>
      </c>
      <c r="R105" s="96" t="str">
        <f t="shared" si="259"/>
        <v/>
      </c>
      <c r="S105" s="65">
        <f t="shared" si="260"/>
        <v>0</v>
      </c>
      <c r="T105" s="65">
        <f t="shared" si="261"/>
        <v>0</v>
      </c>
      <c r="U105" s="66" t="str">
        <f t="shared" si="171"/>
        <v/>
      </c>
      <c r="V105" s="65" t="str">
        <f t="shared" si="172"/>
        <v/>
      </c>
      <c r="W105" s="65" t="str">
        <f t="shared" si="262"/>
        <v/>
      </c>
      <c r="X105" s="65" t="str">
        <f t="shared" si="173"/>
        <v/>
      </c>
      <c r="Y105" s="68" t="str">
        <f>IF('Marks Entry'!Q105="","",'Marks Entry'!Q105)</f>
        <v/>
      </c>
      <c r="Z105" s="68" t="str">
        <f>IF('Marks Entry'!R105="","",'Marks Entry'!R105)</f>
        <v/>
      </c>
      <c r="AA105" s="68" t="str">
        <f>IF('Marks Entry'!S105="","",'Marks Entry'!S105)</f>
        <v/>
      </c>
      <c r="AB105" s="514" t="str">
        <f t="shared" si="174"/>
        <v/>
      </c>
      <c r="AC105" s="68" t="str">
        <f>IF('Marks Entry'!T105="","",'Marks Entry'!T105)</f>
        <v/>
      </c>
      <c r="AD105" s="515" t="str">
        <f t="shared" si="175"/>
        <v/>
      </c>
      <c r="AE105" s="68" t="str">
        <f>IF('Marks Entry'!U105="","",'Marks Entry'!U105)</f>
        <v/>
      </c>
      <c r="AF105" s="96" t="str">
        <f t="shared" si="176"/>
        <v/>
      </c>
      <c r="AG105" s="65">
        <f t="shared" si="177"/>
        <v>0</v>
      </c>
      <c r="AH105" s="65">
        <f t="shared" si="178"/>
        <v>0</v>
      </c>
      <c r="AI105" s="66" t="str">
        <f t="shared" si="179"/>
        <v/>
      </c>
      <c r="AJ105" s="65" t="str">
        <f t="shared" si="180"/>
        <v/>
      </c>
      <c r="AK105" s="65" t="str">
        <f t="shared" si="181"/>
        <v/>
      </c>
      <c r="AL105" s="65" t="str">
        <f t="shared" si="182"/>
        <v/>
      </c>
      <c r="AM105" s="524" t="str">
        <f>IF('Marks Entry'!V105="","",IF('Marks Entry'!V105=1,'School Profile'!$I$9,IF('Marks Entry'!V105=2,'School Profile'!$I$10,IF('Marks Entry'!V105=3,'School Profile'!$I$11,IF('Marks Entry'!V105=4,'School Profile'!$I$12,IF('Marks Entry'!V105=5,'School Profile'!$I$13,IF('Marks Entry'!V105=6,'School Profile'!$I$14,"")))))))</f>
        <v/>
      </c>
      <c r="AN105" s="68" t="str">
        <f>IF('Marks Entry'!W105="","",'Marks Entry'!W105)</f>
        <v/>
      </c>
      <c r="AO105" s="68" t="str">
        <f>IF('Marks Entry'!X105="","",'Marks Entry'!X105)</f>
        <v/>
      </c>
      <c r="AP105" s="68" t="str">
        <f>IF('Marks Entry'!Y105="","",'Marks Entry'!Y105)</f>
        <v/>
      </c>
      <c r="AQ105" s="514" t="str">
        <f t="shared" si="183"/>
        <v/>
      </c>
      <c r="AR105" s="68" t="str">
        <f>IF('Marks Entry'!Z105="","",'Marks Entry'!Z105)</f>
        <v/>
      </c>
      <c r="AS105" s="515" t="str">
        <f t="shared" si="184"/>
        <v/>
      </c>
      <c r="AT105" s="68" t="str">
        <f>IF('Marks Entry'!AA105="","",'Marks Entry'!AA105)</f>
        <v/>
      </c>
      <c r="AU105" s="96" t="str">
        <f t="shared" si="185"/>
        <v/>
      </c>
      <c r="AV105" s="65">
        <f t="shared" si="186"/>
        <v>0</v>
      </c>
      <c r="AW105" s="65">
        <f t="shared" si="187"/>
        <v>0</v>
      </c>
      <c r="AX105" s="66" t="str">
        <f t="shared" si="188"/>
        <v/>
      </c>
      <c r="AY105" s="65" t="str">
        <f t="shared" si="189"/>
        <v/>
      </c>
      <c r="AZ105" s="65" t="str">
        <f t="shared" si="190"/>
        <v/>
      </c>
      <c r="BA105" s="65" t="str">
        <f t="shared" si="191"/>
        <v/>
      </c>
      <c r="BB105" s="68" t="str">
        <f>IF('Marks Entry'!AB105="","",'Marks Entry'!AB105)</f>
        <v/>
      </c>
      <c r="BC105" s="68" t="str">
        <f>IF('Marks Entry'!AC105="","",'Marks Entry'!AC105)</f>
        <v/>
      </c>
      <c r="BD105" s="68" t="str">
        <f>IF('Marks Entry'!AD105="","",'Marks Entry'!AD105)</f>
        <v/>
      </c>
      <c r="BE105" s="514" t="str">
        <f t="shared" si="192"/>
        <v/>
      </c>
      <c r="BF105" s="68" t="str">
        <f>IF('Marks Entry'!AE105="","",'Marks Entry'!AE105)</f>
        <v/>
      </c>
      <c r="BG105" s="515" t="str">
        <f t="shared" si="193"/>
        <v/>
      </c>
      <c r="BH105" s="68" t="str">
        <f>IF('Marks Entry'!AF105="","",'Marks Entry'!AF105)</f>
        <v/>
      </c>
      <c r="BI105" s="96" t="str">
        <f t="shared" si="194"/>
        <v/>
      </c>
      <c r="BJ105" s="65">
        <f t="shared" si="195"/>
        <v>0</v>
      </c>
      <c r="BK105" s="65">
        <f t="shared" si="263"/>
        <v>0</v>
      </c>
      <c r="BL105" s="66" t="str">
        <f t="shared" si="196"/>
        <v/>
      </c>
      <c r="BM105" s="65" t="str">
        <f t="shared" si="197"/>
        <v/>
      </c>
      <c r="BN105" s="65" t="str">
        <f t="shared" si="198"/>
        <v/>
      </c>
      <c r="BO105" s="65" t="str">
        <f t="shared" si="199"/>
        <v/>
      </c>
      <c r="BP105" s="68" t="str">
        <f>IF('Marks Entry'!AG105="","",'Marks Entry'!AG105)</f>
        <v/>
      </c>
      <c r="BQ105" s="68" t="str">
        <f>IF('Marks Entry'!AH105="","",'Marks Entry'!AH105)</f>
        <v/>
      </c>
      <c r="BR105" s="68" t="str">
        <f>IF('Marks Entry'!AI105="","",'Marks Entry'!AI105)</f>
        <v/>
      </c>
      <c r="BS105" s="514" t="str">
        <f t="shared" si="200"/>
        <v/>
      </c>
      <c r="BT105" s="68" t="str">
        <f>IF('Marks Entry'!AJ105="","",'Marks Entry'!AJ105)</f>
        <v/>
      </c>
      <c r="BU105" s="515" t="str">
        <f t="shared" si="201"/>
        <v/>
      </c>
      <c r="BV105" s="68" t="str">
        <f>IF('Marks Entry'!AK105="","",'Marks Entry'!AK105)</f>
        <v/>
      </c>
      <c r="BW105" s="96" t="str">
        <f t="shared" si="202"/>
        <v/>
      </c>
      <c r="BX105" s="65">
        <f t="shared" si="203"/>
        <v>0</v>
      </c>
      <c r="BY105" s="65">
        <f t="shared" si="204"/>
        <v>0</v>
      </c>
      <c r="BZ105" s="66" t="str">
        <f t="shared" si="205"/>
        <v/>
      </c>
      <c r="CA105" s="65" t="str">
        <f t="shared" si="206"/>
        <v/>
      </c>
      <c r="CB105" s="65" t="str">
        <f t="shared" si="207"/>
        <v/>
      </c>
      <c r="CC105" s="65" t="str">
        <f t="shared" si="208"/>
        <v/>
      </c>
      <c r="CD105" s="66">
        <f t="shared" si="329"/>
        <v>0</v>
      </c>
      <c r="CE105" s="68" t="str">
        <f>IF('Marks Entry'!AL105="","",'Marks Entry'!AL105)</f>
        <v/>
      </c>
      <c r="CF105" s="68" t="str">
        <f>IF('Marks Entry'!AM105="","",'Marks Entry'!AM105)</f>
        <v/>
      </c>
      <c r="CG105" s="68" t="str">
        <f>IF('Marks Entry'!AN105="","",'Marks Entry'!AN105)</f>
        <v/>
      </c>
      <c r="CH105" s="514" t="str">
        <f t="shared" si="210"/>
        <v/>
      </c>
      <c r="CI105" s="68" t="str">
        <f>IF('Marks Entry'!AO105="","",'Marks Entry'!AO105)</f>
        <v/>
      </c>
      <c r="CJ105" s="515" t="str">
        <f t="shared" si="211"/>
        <v/>
      </c>
      <c r="CK105" s="68" t="str">
        <f>IF('Marks Entry'!AP105="","",'Marks Entry'!AP105)</f>
        <v/>
      </c>
      <c r="CL105" s="96" t="str">
        <f t="shared" si="212"/>
        <v/>
      </c>
      <c r="CM105" s="65">
        <f t="shared" si="213"/>
        <v>0</v>
      </c>
      <c r="CN105" s="65">
        <f t="shared" si="214"/>
        <v>0</v>
      </c>
      <c r="CO105" s="66" t="str">
        <f t="shared" si="215"/>
        <v/>
      </c>
      <c r="CP105" s="65" t="str">
        <f t="shared" si="216"/>
        <v/>
      </c>
      <c r="CQ105" s="65" t="str">
        <f t="shared" si="217"/>
        <v/>
      </c>
      <c r="CR105" s="65" t="str">
        <f t="shared" si="218"/>
        <v/>
      </c>
      <c r="CS105" s="616"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8" t="str">
        <f>IF('School Profile'!$D$20="NO","",IF('Marks Entry'!AR105="","",'Marks Entry'!AR105))</f>
        <v/>
      </c>
      <c r="CU105" s="68" t="str">
        <f>IF('School Profile'!$D$20="NO","",IF('Marks Entry'!AS105="","",'Marks Entry'!AS105))</f>
        <v/>
      </c>
      <c r="CV105" s="68" t="str">
        <f>IF('School Profile'!$D$20="NO","",IF('Marks Entry'!AT105="","",'Marks Entry'!AT105))</f>
        <v/>
      </c>
      <c r="CW105" s="514" t="str">
        <f>IF('School Profile'!$D$20="NO","",IF(AND(CT105="",CU105="",CV105=""),"",SUM(CT105:CV105)))</f>
        <v/>
      </c>
      <c r="CX105" s="68" t="str">
        <f>IF('School Profile'!$D$20="NO","",IF('Marks Entry'!AU105="","",'Marks Entry'!AU105))</f>
        <v/>
      </c>
      <c r="CY105" s="68" t="str">
        <f>IF('School Profile'!$D$20="NO","",IF('Marks Entry'!AV105="","",'Marks Entry'!AV105))</f>
        <v/>
      </c>
      <c r="CZ105" s="515" t="str">
        <f>IF('School Profile'!$D$20="NO","",IF(AND(CX105="",CY105=""),"",SUM(CX105,CY105)))</f>
        <v/>
      </c>
      <c r="DA105" s="69" t="str">
        <f>IF('School Profile'!$D$20="NO","",IF(AND(CW105="",CZ105=""),"",SUM(CW105+CZ105)))</f>
        <v/>
      </c>
      <c r="DB105" s="68" t="str">
        <f>IF('School Profile'!$D$20="NO","",IF('Marks Entry'!AW105="","",'Marks Entry'!AW105))</f>
        <v/>
      </c>
      <c r="DC105" s="68" t="str">
        <f>IF('School Profile'!$D$20="NO","",IF('Marks Entry'!AX105="","",'Marks Entry'!AX105))</f>
        <v/>
      </c>
      <c r="DD105" s="515" t="str">
        <f>IF('School Profile'!$D$20="NO","",IF(AND(DB105="",DC105=""),"",SUM(DB105,DC105)))</f>
        <v/>
      </c>
      <c r="DE105" s="96" t="str">
        <f>IF('School Profile'!$D$20="NO","",IF(AND(DA105="",DD105=""),"",SUM(DA105,DD105)))</f>
        <v/>
      </c>
      <c r="DF105" s="532">
        <f t="shared" si="219"/>
        <v>0</v>
      </c>
      <c r="DG105" s="65">
        <f t="shared" si="220"/>
        <v>0</v>
      </c>
      <c r="DH105" s="66" t="str">
        <f t="shared" si="221"/>
        <v/>
      </c>
      <c r="DI105" s="65" t="str">
        <f t="shared" si="222"/>
        <v/>
      </c>
      <c r="DJ105" s="65" t="str">
        <f t="shared" si="223"/>
        <v/>
      </c>
      <c r="DK105" s="65" t="str">
        <f t="shared" si="224"/>
        <v/>
      </c>
      <c r="DL105" s="97" t="str">
        <f t="shared" si="264"/>
        <v/>
      </c>
      <c r="DM105" s="97" t="str">
        <f t="shared" si="265"/>
        <v/>
      </c>
      <c r="DN105" s="97" t="str">
        <f t="shared" si="266"/>
        <v/>
      </c>
      <c r="DO105" s="97" t="str">
        <f t="shared" si="267"/>
        <v/>
      </c>
      <c r="DP105" s="97" t="str">
        <f t="shared" si="268"/>
        <v/>
      </c>
      <c r="DQ105" s="97" t="str">
        <f t="shared" si="269"/>
        <v/>
      </c>
      <c r="DR105" s="97" t="str">
        <f t="shared" si="270"/>
        <v/>
      </c>
      <c r="DS105" s="98">
        <f t="shared" si="271"/>
        <v>0</v>
      </c>
      <c r="DT105" s="98">
        <f t="shared" si="272"/>
        <v>0</v>
      </c>
      <c r="DU105" s="98">
        <f t="shared" si="273"/>
        <v>0</v>
      </c>
      <c r="DV105" s="98">
        <f t="shared" si="274"/>
        <v>0</v>
      </c>
      <c r="DW105" s="98">
        <f t="shared" si="275"/>
        <v>0</v>
      </c>
      <c r="DX105" s="98" t="str">
        <f t="shared" si="276"/>
        <v/>
      </c>
      <c r="DY105" s="99" t="str">
        <f t="shared" si="277"/>
        <v/>
      </c>
      <c r="DZ105" s="74" t="str">
        <f>IF('Marks Entry'!AY105="","",'Marks Entry'!AY105)</f>
        <v/>
      </c>
      <c r="EA105" s="74" t="str">
        <f>IF('Marks Entry'!AZ105="","",'Marks Entry'!AZ105)</f>
        <v/>
      </c>
      <c r="EB105" s="74" t="str">
        <f>IF('Marks Entry'!BA105="","",'Marks Entry'!BA105)</f>
        <v/>
      </c>
      <c r="EC105" s="527" t="str">
        <f t="shared" si="225"/>
        <v/>
      </c>
      <c r="ED105" s="74" t="str">
        <f>IF('Marks Entry'!BB105="","",'Marks Entry'!BB105)</f>
        <v/>
      </c>
      <c r="EE105" s="528" t="str">
        <f t="shared" si="226"/>
        <v/>
      </c>
      <c r="EF105" s="74" t="str">
        <f>IF('Marks Entry'!BC105="","",'Marks Entry'!BC105)</f>
        <v/>
      </c>
      <c r="EG105" s="530" t="str">
        <f t="shared" si="227"/>
        <v/>
      </c>
      <c r="EH105" s="368" t="str">
        <f t="shared" si="278"/>
        <v/>
      </c>
      <c r="EI105" s="65">
        <f t="shared" si="279"/>
        <v>0</v>
      </c>
      <c r="EJ105" s="65">
        <f t="shared" si="280"/>
        <v>0</v>
      </c>
      <c r="EK105" s="66" t="str">
        <f t="shared" si="281"/>
        <v/>
      </c>
      <c r="EL105" s="74" t="str">
        <f>IF('Marks Entry'!BD105="","",'Marks Entry'!BD105)</f>
        <v/>
      </c>
      <c r="EM105" s="74" t="str">
        <f>IF('Marks Entry'!BE105="","",'Marks Entry'!BE105)</f>
        <v/>
      </c>
      <c r="EN105" s="74" t="str">
        <f>IF('Marks Entry'!BF105="","",'Marks Entry'!BF105)</f>
        <v/>
      </c>
      <c r="EO105" s="527" t="str">
        <f t="shared" si="228"/>
        <v/>
      </c>
      <c r="EP105" s="74" t="str">
        <f>IF('Marks Entry'!BG105="","",'Marks Entry'!BG105)</f>
        <v/>
      </c>
      <c r="EQ105" s="74" t="str">
        <f>IF('Marks Entry'!BH105="","",'Marks Entry'!BH105)</f>
        <v/>
      </c>
      <c r="ER105" s="528" t="str">
        <f t="shared" si="229"/>
        <v/>
      </c>
      <c r="ES105" s="529" t="str">
        <f t="shared" si="230"/>
        <v/>
      </c>
      <c r="ET105" s="74" t="str">
        <f>IF('Marks Entry'!BI105="","",'Marks Entry'!BI105)</f>
        <v/>
      </c>
      <c r="EU105" s="74" t="str">
        <f>IF('Marks Entry'!BJ105="","",'Marks Entry'!BJ105)</f>
        <v/>
      </c>
      <c r="EV105" s="528" t="str">
        <f t="shared" si="231"/>
        <v/>
      </c>
      <c r="EW105" s="530" t="str">
        <f t="shared" si="232"/>
        <v/>
      </c>
      <c r="EX105" s="368" t="str">
        <f t="shared" si="282"/>
        <v/>
      </c>
      <c r="EY105" s="65">
        <f t="shared" si="283"/>
        <v>0</v>
      </c>
      <c r="EZ105" s="65">
        <f t="shared" si="284"/>
        <v>0</v>
      </c>
      <c r="FA105" s="66" t="str">
        <f t="shared" si="285"/>
        <v/>
      </c>
      <c r="FB105" s="74" t="str">
        <f>IF('Marks Entry'!BK105="","",'Marks Entry'!BK105)</f>
        <v/>
      </c>
      <c r="FC105" s="74" t="str">
        <f>IF('Marks Entry'!BL105="","",'Marks Entry'!BL105)</f>
        <v/>
      </c>
      <c r="FD105" s="74" t="str">
        <f>IF('Marks Entry'!BM105="","",'Marks Entry'!BM105)</f>
        <v/>
      </c>
      <c r="FE105" s="74" t="str">
        <f>IF('Marks Entry'!BN105="","",'Marks Entry'!BN105)</f>
        <v/>
      </c>
      <c r="FF105" s="74" t="str">
        <f>IF('Marks Entry'!BO105="","",'Marks Entry'!BO105)</f>
        <v/>
      </c>
      <c r="FG105" s="74" t="str">
        <f>IF('Marks Entry'!BP105="","",'Marks Entry'!BP105)</f>
        <v/>
      </c>
      <c r="FH105" s="527" t="str">
        <f t="shared" si="233"/>
        <v/>
      </c>
      <c r="FI105" s="74" t="str">
        <f>IF('Marks Entry'!BQ105="","",'Marks Entry'!BQ105)</f>
        <v/>
      </c>
      <c r="FJ105" s="74" t="str">
        <f>IF('Marks Entry'!BR105="","",'Marks Entry'!BR105)</f>
        <v/>
      </c>
      <c r="FK105" s="528" t="str">
        <f t="shared" si="234"/>
        <v/>
      </c>
      <c r="FL105" s="529" t="str">
        <f t="shared" si="235"/>
        <v/>
      </c>
      <c r="FM105" s="74" t="str">
        <f>IF('Marks Entry'!BS105="","",'Marks Entry'!BS105)</f>
        <v/>
      </c>
      <c r="FN105" s="74" t="str">
        <f>IF('Marks Entry'!BT105="","",'Marks Entry'!BT105)</f>
        <v/>
      </c>
      <c r="FO105" s="528" t="str">
        <f t="shared" si="236"/>
        <v/>
      </c>
      <c r="FP105" s="530" t="str">
        <f t="shared" si="237"/>
        <v/>
      </c>
      <c r="FQ105" s="368" t="str">
        <f t="shared" si="286"/>
        <v/>
      </c>
      <c r="FR105" s="65">
        <f t="shared" si="287"/>
        <v>0</v>
      </c>
      <c r="FS105" s="65">
        <f t="shared" si="288"/>
        <v>0</v>
      </c>
      <c r="FT105" s="66" t="str">
        <f t="shared" si="289"/>
        <v/>
      </c>
      <c r="FU105" s="74" t="str">
        <f>IF('Marks Entry'!BU105="","",'Marks Entry'!BU105)</f>
        <v/>
      </c>
      <c r="FV105" s="74" t="str">
        <f>IF('Marks Entry'!BV105="","",'Marks Entry'!BV105)</f>
        <v/>
      </c>
      <c r="FW105" s="74" t="str">
        <f>IF('Marks Entry'!BW105="","",'Marks Entry'!BW105)</f>
        <v/>
      </c>
      <c r="FX105" s="75" t="str">
        <f t="shared" si="238"/>
        <v/>
      </c>
      <c r="FY105" s="368" t="str">
        <f t="shared" si="290"/>
        <v/>
      </c>
      <c r="FZ105" s="65">
        <f t="shared" si="291"/>
        <v>0</v>
      </c>
      <c r="GA105" s="66">
        <f t="shared" si="292"/>
        <v>0</v>
      </c>
      <c r="GB105" s="66" t="str">
        <f t="shared" si="293"/>
        <v/>
      </c>
      <c r="GC105" s="74" t="str">
        <f>IF('Marks Entry'!BX105="","",'Marks Entry'!BX105)</f>
        <v/>
      </c>
      <c r="GD105" s="74" t="str">
        <f>IF('Marks Entry'!BY105="","",'Marks Entry'!BY105)</f>
        <v/>
      </c>
      <c r="GE105" s="74" t="str">
        <f>IF('Marks Entry'!BZ105="","",'Marks Entry'!BZ105)</f>
        <v/>
      </c>
      <c r="GF105" s="75" t="str">
        <f t="shared" si="294"/>
        <v/>
      </c>
      <c r="GG105" s="368" t="str">
        <f t="shared" si="295"/>
        <v/>
      </c>
      <c r="GH105" s="65">
        <f t="shared" si="296"/>
        <v>0</v>
      </c>
      <c r="GI105" s="66">
        <f t="shared" si="297"/>
        <v>0</v>
      </c>
      <c r="GJ105" s="66" t="str">
        <f t="shared" si="298"/>
        <v/>
      </c>
      <c r="GK105" s="100" t="str">
        <f>IF(AND(F105="",B105=""),"",IF('Student DATA Entry'!M102="","",'Student DATA Entry'!M102))</f>
        <v/>
      </c>
      <c r="GL105" s="101" t="str">
        <f>IF(AND(B105="",F105=""),"",IF('Student DATA Entry'!N102="","",'Student DATA Entry'!N102))</f>
        <v/>
      </c>
      <c r="GM105" s="581" t="str">
        <f t="shared" si="299"/>
        <v/>
      </c>
      <c r="GN105" s="94" t="str">
        <f t="shared" si="300"/>
        <v/>
      </c>
      <c r="GO105" s="94" t="str">
        <f t="shared" si="301"/>
        <v/>
      </c>
      <c r="GP105" s="102" t="str">
        <f t="shared" si="330"/>
        <v/>
      </c>
      <c r="GQ105" s="94" t="str">
        <f t="shared" si="302"/>
        <v/>
      </c>
      <c r="GR105" s="103" t="str">
        <f t="shared" si="303"/>
        <v/>
      </c>
      <c r="GS105" s="102" t="str">
        <f t="shared" si="331"/>
        <v/>
      </c>
      <c r="GT105" s="104" t="str">
        <f t="shared" si="304"/>
        <v/>
      </c>
      <c r="GU105" s="94" t="str">
        <f>IF('Marks Entry'!V105=1,GT105,"")</f>
        <v/>
      </c>
      <c r="GV105" s="94" t="str">
        <f>IF('Marks Entry'!V105=2,GT105,"")</f>
        <v/>
      </c>
      <c r="GW105" s="94" t="str">
        <f>IF('Marks Entry'!V105=3,GT105,"")</f>
        <v/>
      </c>
      <c r="GX105" s="94" t="str">
        <f>IF('Marks Entry'!V105=4,GT105,"")</f>
        <v/>
      </c>
      <c r="GY105" s="94" t="str">
        <f>IF('Marks Entry'!V105=5,GT105,"")</f>
        <v/>
      </c>
      <c r="GZ105" s="94" t="str">
        <f t="shared" si="305"/>
        <v/>
      </c>
      <c r="HA105" s="105" t="str">
        <f t="shared" si="332"/>
        <v/>
      </c>
      <c r="HB105" s="94" t="str">
        <f t="shared" si="306"/>
        <v/>
      </c>
      <c r="HC105" s="94" t="str">
        <f t="shared" si="307"/>
        <v/>
      </c>
      <c r="HD105" s="105" t="str">
        <f t="shared" si="333"/>
        <v/>
      </c>
      <c r="HE105" s="94" t="str">
        <f t="shared" si="308"/>
        <v/>
      </c>
      <c r="HF105" s="94" t="str">
        <f t="shared" si="309"/>
        <v/>
      </c>
      <c r="HG105" s="105" t="str">
        <f t="shared" si="334"/>
        <v/>
      </c>
      <c r="HH105" s="94" t="str">
        <f t="shared" si="310"/>
        <v/>
      </c>
      <c r="HI105" s="94" t="str">
        <f t="shared" si="311"/>
        <v/>
      </c>
      <c r="HJ105" s="105" t="str">
        <f t="shared" si="335"/>
        <v/>
      </c>
      <c r="HK105" s="94" t="str">
        <f t="shared" si="312"/>
        <v/>
      </c>
      <c r="HL105" s="94" t="str">
        <f t="shared" si="313"/>
        <v/>
      </c>
      <c r="HM105" s="105" t="str">
        <f t="shared" si="336"/>
        <v/>
      </c>
      <c r="HN105" s="367" t="str">
        <f t="shared" si="314"/>
        <v xml:space="preserve">      </v>
      </c>
      <c r="HO105" s="418" t="str">
        <f t="shared" si="337"/>
        <v xml:space="preserve">      </v>
      </c>
      <c r="HP105" s="367" t="str">
        <f t="shared" si="315"/>
        <v xml:space="preserve">      </v>
      </c>
      <c r="HQ105" s="107" t="str">
        <f t="shared" si="316"/>
        <v xml:space="preserve">      </v>
      </c>
      <c r="HR105" s="366" t="str">
        <f t="shared" si="317"/>
        <v xml:space="preserve">      </v>
      </c>
      <c r="HS105" s="544" t="str">
        <f t="shared" si="338"/>
        <v/>
      </c>
      <c r="HT105" s="542" t="str">
        <f t="shared" si="318"/>
        <v/>
      </c>
      <c r="HU105" s="541" t="str">
        <f t="shared" si="319"/>
        <v/>
      </c>
      <c r="HV105" s="540" t="str">
        <f t="shared" si="320"/>
        <v/>
      </c>
      <c r="HW105" s="537" t="str">
        <f t="shared" si="321"/>
        <v/>
      </c>
      <c r="HX105" s="539" t="str">
        <f t="shared" si="322"/>
        <v/>
      </c>
      <c r="HY105" s="553" t="str">
        <f>IFERROR(IF(OR(HS105="SUPPLEMENTARY",HS105="RE-EXAM"),'Supp. Result Entry'!AQ103,""),"")</f>
        <v/>
      </c>
      <c r="HZ105" s="538" t="str">
        <f t="shared" si="323"/>
        <v/>
      </c>
      <c r="IA105" s="415" t="str">
        <f t="shared" si="324"/>
        <v/>
      </c>
      <c r="IB105" s="415" t="str">
        <f>IF(AND(HZ105="",IA105=""),"",IF(OR(HS105="SUPPLEMENTARY",HS105="RE-EXAM"),'Supp. Result Entry'!AQ103,HS105))</f>
        <v/>
      </c>
      <c r="IC105" s="87"/>
      <c r="IS105" s="109" t="str">
        <f>IF('Supp. Result Entry'!T103="","",'Supp. Result Entry'!$T$4)</f>
        <v/>
      </c>
      <c r="IT105" s="110" t="str">
        <f>IF('Supp. Result Entry'!W103="","",'Supp. Result Entry'!$W$4)</f>
        <v/>
      </c>
      <c r="IU105" s="110" t="str">
        <f>IF('Supp. Result Entry'!Z103="","",'Supp. Result Entry'!$Z$4)</f>
        <v/>
      </c>
      <c r="IV105" s="110" t="str">
        <f>IF('Supp. Result Entry'!AC103="","",'Supp. Result Entry'!$AC$4)</f>
        <v/>
      </c>
      <c r="IW105" s="110" t="str">
        <f>IF('Supp. Result Entry'!AF103="","",'Supp. Result Entry'!$AF$4)</f>
        <v/>
      </c>
      <c r="IX105" s="110" t="str">
        <f>IF('Supp. Result Entry'!AI103="","",'Supp. Result Entry'!$AI$4)</f>
        <v/>
      </c>
      <c r="IY105" s="110" t="str">
        <f>IF('Supp. Result Entry'!AI103="","",'Supp. Result Entry'!$AL$4)</f>
        <v/>
      </c>
      <c r="IZ105" s="110" t="str">
        <f>IF('Supp. Result Entry'!U103="","",'Supp. Result Entry'!U103)</f>
        <v/>
      </c>
      <c r="JA105" s="110" t="str">
        <f>IF('Supp. Result Entry'!X103="","",'Supp. Result Entry'!X103)</f>
        <v/>
      </c>
      <c r="JB105" s="110" t="str">
        <f>IF('Supp. Result Entry'!AA103="","",'Supp. Result Entry'!AA103)</f>
        <v/>
      </c>
      <c r="JC105" s="110" t="str">
        <f>IF('Supp. Result Entry'!AD103="","",'Supp. Result Entry'!AD103)</f>
        <v/>
      </c>
      <c r="JD105" s="110" t="str">
        <f>IF('Supp. Result Entry'!AG103="","",'Supp. Result Entry'!AG103)</f>
        <v/>
      </c>
      <c r="JE105" s="110" t="str">
        <f>IF('Supp. Result Entry'!AJ103="","",'Supp. Result Entry'!AJ103)</f>
        <v/>
      </c>
      <c r="JF105" s="110" t="str">
        <f>IF('Supp. Result Entry'!AM103="","",'Supp. Result Entry'!AM103)</f>
        <v/>
      </c>
      <c r="JG105" s="110" t="str">
        <f>IF('Supp. Result Entry'!V103="","",'Supp. Result Entry'!V103)</f>
        <v/>
      </c>
      <c r="JH105" s="110" t="str">
        <f>IF('Supp. Result Entry'!Y103="","",'Supp. Result Entry'!Y103)</f>
        <v/>
      </c>
      <c r="JI105" s="110" t="str">
        <f>IF('Supp. Result Entry'!AB103="","",'Supp. Result Entry'!AB103)</f>
        <v/>
      </c>
      <c r="JJ105" s="110" t="str">
        <f>IF('Supp. Result Entry'!AE103="","",'Supp. Result Entry'!AE103)</f>
        <v/>
      </c>
      <c r="JK105" s="110" t="str">
        <f>IF('Supp. Result Entry'!AH103="","",'Supp. Result Entry'!AH103)</f>
        <v/>
      </c>
      <c r="JL105" s="110" t="str">
        <f>IF('Supp. Result Entry'!AK103="","",'Supp. Result Entry'!AK103)</f>
        <v/>
      </c>
      <c r="JM105" s="110" t="str">
        <f>IF('Supp. Result Entry'!AN103="","",'Supp. Result Entry'!AN103)</f>
        <v/>
      </c>
      <c r="JN105" s="110">
        <f>COUNTIF('Supp. Result Entry'!K103:Q103,"S")</f>
        <v>0</v>
      </c>
      <c r="JO105" s="110">
        <f t="shared" si="248"/>
        <v>0</v>
      </c>
      <c r="JP105" s="110">
        <f t="shared" si="325"/>
        <v>0</v>
      </c>
      <c r="JQ105" s="110" t="str">
        <f t="shared" si="249"/>
        <v/>
      </c>
      <c r="JR105" s="110" t="str">
        <f t="shared" si="250"/>
        <v/>
      </c>
      <c r="JS105" s="110" t="str">
        <f t="shared" si="251"/>
        <v/>
      </c>
      <c r="JT105" s="110" t="str">
        <f t="shared" si="252"/>
        <v/>
      </c>
      <c r="JU105" s="110" t="str">
        <f t="shared" si="253"/>
        <v/>
      </c>
      <c r="JV105" s="110" t="str">
        <f t="shared" si="254"/>
        <v/>
      </c>
      <c r="JW105" s="110" t="str">
        <f t="shared" si="255"/>
        <v/>
      </c>
      <c r="JX105" s="110" t="str">
        <f t="shared" si="326"/>
        <v/>
      </c>
      <c r="JY105" s="110" t="str">
        <f t="shared" si="327"/>
        <v/>
      </c>
      <c r="JZ105" s="110" t="str">
        <f t="shared" si="256"/>
        <v/>
      </c>
      <c r="KA105" s="108" t="str">
        <f t="shared" si="328"/>
        <v/>
      </c>
    </row>
    <row r="106" spans="1:287" s="108" customFormat="1" ht="21.95" customHeight="1">
      <c r="A106" s="89">
        <v>100</v>
      </c>
      <c r="B106" s="90" t="str">
        <f>IF('Marks Entry'!B106="","",'Marks Entry'!B106)</f>
        <v/>
      </c>
      <c r="C106" s="94" t="str">
        <f>IF('Marks Entry'!D106="","",'Marks Entry'!D106)</f>
        <v/>
      </c>
      <c r="D106" s="91" t="str">
        <f>IF('Marks Entry'!E106="","",'Marks Entry'!E106)</f>
        <v/>
      </c>
      <c r="E106" s="92" t="str">
        <f>IF('Marks Entry'!F106="","",'Marks Entry'!F106)</f>
        <v/>
      </c>
      <c r="F106" s="93" t="str">
        <f>IF('Marks Entry'!G106="","",'Marks Entry'!G106)</f>
        <v/>
      </c>
      <c r="G106" s="93" t="str">
        <f>IF('Marks Entry'!H106="","",'Marks Entry'!H106)</f>
        <v/>
      </c>
      <c r="H106" s="93" t="str">
        <f>IF('Marks Entry'!I106="","",'Marks Entry'!I106)</f>
        <v/>
      </c>
      <c r="I106" s="94" t="str">
        <f>IF('Marks Entry'!J106="","",'Marks Entry'!J106)</f>
        <v/>
      </c>
      <c r="J106" s="95" t="str">
        <f>IF('Marks Entry'!K106="","",'Marks Entry'!K106)</f>
        <v/>
      </c>
      <c r="K106" s="68" t="str">
        <f>IF('Marks Entry'!L106="","",'Marks Entry'!L106)</f>
        <v/>
      </c>
      <c r="L106" s="68" t="str">
        <f>IF('Marks Entry'!M106="","",'Marks Entry'!M106)</f>
        <v/>
      </c>
      <c r="M106" s="68" t="str">
        <f>IF('Marks Entry'!N106="","",'Marks Entry'!N106)</f>
        <v/>
      </c>
      <c r="N106" s="514" t="str">
        <f t="shared" si="257"/>
        <v/>
      </c>
      <c r="O106" s="68" t="str">
        <f>IF('Marks Entry'!O106="","",'Marks Entry'!O106)</f>
        <v/>
      </c>
      <c r="P106" s="515" t="str">
        <f t="shared" si="258"/>
        <v/>
      </c>
      <c r="Q106" s="68" t="str">
        <f>IF('Marks Entry'!P106="","",'Marks Entry'!P106)</f>
        <v/>
      </c>
      <c r="R106" s="96" t="str">
        <f t="shared" si="259"/>
        <v/>
      </c>
      <c r="S106" s="65">
        <f t="shared" si="260"/>
        <v>0</v>
      </c>
      <c r="T106" s="65">
        <f t="shared" si="261"/>
        <v>0</v>
      </c>
      <c r="U106" s="66" t="str">
        <f t="shared" si="171"/>
        <v/>
      </c>
      <c r="V106" s="65" t="str">
        <f t="shared" si="172"/>
        <v/>
      </c>
      <c r="W106" s="65" t="str">
        <f t="shared" si="262"/>
        <v/>
      </c>
      <c r="X106" s="65" t="str">
        <f t="shared" si="173"/>
        <v/>
      </c>
      <c r="Y106" s="68" t="str">
        <f>IF('Marks Entry'!Q106="","",'Marks Entry'!Q106)</f>
        <v/>
      </c>
      <c r="Z106" s="68" t="str">
        <f>IF('Marks Entry'!R106="","",'Marks Entry'!R106)</f>
        <v/>
      </c>
      <c r="AA106" s="68" t="str">
        <f>IF('Marks Entry'!S106="","",'Marks Entry'!S106)</f>
        <v/>
      </c>
      <c r="AB106" s="514" t="str">
        <f t="shared" si="174"/>
        <v/>
      </c>
      <c r="AC106" s="68" t="str">
        <f>IF('Marks Entry'!T106="","",'Marks Entry'!T106)</f>
        <v/>
      </c>
      <c r="AD106" s="515" t="str">
        <f t="shared" si="175"/>
        <v/>
      </c>
      <c r="AE106" s="68" t="str">
        <f>IF('Marks Entry'!U106="","",'Marks Entry'!U106)</f>
        <v/>
      </c>
      <c r="AF106" s="96" t="str">
        <f t="shared" si="176"/>
        <v/>
      </c>
      <c r="AG106" s="65">
        <f t="shared" si="177"/>
        <v>0</v>
      </c>
      <c r="AH106" s="65">
        <f t="shared" si="178"/>
        <v>0</v>
      </c>
      <c r="AI106" s="66" t="str">
        <f t="shared" si="179"/>
        <v/>
      </c>
      <c r="AJ106" s="65" t="str">
        <f t="shared" si="180"/>
        <v/>
      </c>
      <c r="AK106" s="65" t="str">
        <f t="shared" si="181"/>
        <v/>
      </c>
      <c r="AL106" s="65" t="str">
        <f t="shared" si="182"/>
        <v/>
      </c>
      <c r="AM106" s="524" t="str">
        <f>IF('Marks Entry'!V106="","",IF('Marks Entry'!V106=1,'School Profile'!$I$9,IF('Marks Entry'!V106=2,'School Profile'!$I$10,IF('Marks Entry'!V106=3,'School Profile'!$I$11,IF('Marks Entry'!V106=4,'School Profile'!$I$12,IF('Marks Entry'!V106=5,'School Profile'!$I$13,IF('Marks Entry'!V106=6,'School Profile'!$I$14,"")))))))</f>
        <v/>
      </c>
      <c r="AN106" s="68" t="str">
        <f>IF('Marks Entry'!W106="","",'Marks Entry'!W106)</f>
        <v/>
      </c>
      <c r="AO106" s="68" t="str">
        <f>IF('Marks Entry'!X106="","",'Marks Entry'!X106)</f>
        <v/>
      </c>
      <c r="AP106" s="68" t="str">
        <f>IF('Marks Entry'!Y106="","",'Marks Entry'!Y106)</f>
        <v/>
      </c>
      <c r="AQ106" s="514" t="str">
        <f t="shared" si="183"/>
        <v/>
      </c>
      <c r="AR106" s="68" t="str">
        <f>IF('Marks Entry'!Z106="","",'Marks Entry'!Z106)</f>
        <v/>
      </c>
      <c r="AS106" s="515" t="str">
        <f t="shared" si="184"/>
        <v/>
      </c>
      <c r="AT106" s="68" t="str">
        <f>IF('Marks Entry'!AA106="","",'Marks Entry'!AA106)</f>
        <v/>
      </c>
      <c r="AU106" s="96" t="str">
        <f t="shared" si="185"/>
        <v/>
      </c>
      <c r="AV106" s="65">
        <f t="shared" si="186"/>
        <v>0</v>
      </c>
      <c r="AW106" s="65">
        <f t="shared" si="187"/>
        <v>0</v>
      </c>
      <c r="AX106" s="66" t="str">
        <f t="shared" si="188"/>
        <v/>
      </c>
      <c r="AY106" s="65" t="str">
        <f t="shared" si="189"/>
        <v/>
      </c>
      <c r="AZ106" s="65" t="str">
        <f t="shared" si="190"/>
        <v/>
      </c>
      <c r="BA106" s="65" t="str">
        <f t="shared" si="191"/>
        <v/>
      </c>
      <c r="BB106" s="68" t="str">
        <f>IF('Marks Entry'!AB106="","",'Marks Entry'!AB106)</f>
        <v/>
      </c>
      <c r="BC106" s="68" t="str">
        <f>IF('Marks Entry'!AC106="","",'Marks Entry'!AC106)</f>
        <v/>
      </c>
      <c r="BD106" s="68" t="str">
        <f>IF('Marks Entry'!AD106="","",'Marks Entry'!AD106)</f>
        <v/>
      </c>
      <c r="BE106" s="514" t="str">
        <f t="shared" si="192"/>
        <v/>
      </c>
      <c r="BF106" s="68" t="str">
        <f>IF('Marks Entry'!AE106="","",'Marks Entry'!AE106)</f>
        <v/>
      </c>
      <c r="BG106" s="515" t="str">
        <f t="shared" si="193"/>
        <v/>
      </c>
      <c r="BH106" s="68" t="str">
        <f>IF('Marks Entry'!AF106="","",'Marks Entry'!AF106)</f>
        <v/>
      </c>
      <c r="BI106" s="96" t="str">
        <f t="shared" si="194"/>
        <v/>
      </c>
      <c r="BJ106" s="65">
        <f t="shared" si="195"/>
        <v>0</v>
      </c>
      <c r="BK106" s="65">
        <f t="shared" si="263"/>
        <v>0</v>
      </c>
      <c r="BL106" s="66" t="str">
        <f t="shared" si="196"/>
        <v/>
      </c>
      <c r="BM106" s="65" t="str">
        <f t="shared" si="197"/>
        <v/>
      </c>
      <c r="BN106" s="65" t="str">
        <f t="shared" si="198"/>
        <v/>
      </c>
      <c r="BO106" s="65" t="str">
        <f t="shared" si="199"/>
        <v/>
      </c>
      <c r="BP106" s="68" t="str">
        <f>IF('Marks Entry'!AG106="","",'Marks Entry'!AG106)</f>
        <v/>
      </c>
      <c r="BQ106" s="68" t="str">
        <f>IF('Marks Entry'!AH106="","",'Marks Entry'!AH106)</f>
        <v/>
      </c>
      <c r="BR106" s="68" t="str">
        <f>IF('Marks Entry'!AI106="","",'Marks Entry'!AI106)</f>
        <v/>
      </c>
      <c r="BS106" s="514" t="str">
        <f t="shared" si="200"/>
        <v/>
      </c>
      <c r="BT106" s="68" t="str">
        <f>IF('Marks Entry'!AJ106="","",'Marks Entry'!AJ106)</f>
        <v/>
      </c>
      <c r="BU106" s="515" t="str">
        <f t="shared" si="201"/>
        <v/>
      </c>
      <c r="BV106" s="68" t="str">
        <f>IF('Marks Entry'!AK106="","",'Marks Entry'!AK106)</f>
        <v/>
      </c>
      <c r="BW106" s="96" t="str">
        <f t="shared" si="202"/>
        <v/>
      </c>
      <c r="BX106" s="65">
        <f t="shared" si="203"/>
        <v>0</v>
      </c>
      <c r="BY106" s="65">
        <f t="shared" si="204"/>
        <v>0</v>
      </c>
      <c r="BZ106" s="66" t="str">
        <f t="shared" si="205"/>
        <v/>
      </c>
      <c r="CA106" s="65" t="str">
        <f t="shared" si="206"/>
        <v/>
      </c>
      <c r="CB106" s="65" t="str">
        <f t="shared" si="207"/>
        <v/>
      </c>
      <c r="CC106" s="65" t="str">
        <f t="shared" si="208"/>
        <v/>
      </c>
      <c r="CD106" s="66">
        <f t="shared" si="329"/>
        <v>0</v>
      </c>
      <c r="CE106" s="68" t="str">
        <f>IF('Marks Entry'!AL106="","",'Marks Entry'!AL106)</f>
        <v/>
      </c>
      <c r="CF106" s="68" t="str">
        <f>IF('Marks Entry'!AM106="","",'Marks Entry'!AM106)</f>
        <v/>
      </c>
      <c r="CG106" s="68" t="str">
        <f>IF('Marks Entry'!AN106="","",'Marks Entry'!AN106)</f>
        <v/>
      </c>
      <c r="CH106" s="514" t="str">
        <f t="shared" si="210"/>
        <v/>
      </c>
      <c r="CI106" s="68" t="str">
        <f>IF('Marks Entry'!AO106="","",'Marks Entry'!AO106)</f>
        <v/>
      </c>
      <c r="CJ106" s="515" t="str">
        <f t="shared" si="211"/>
        <v/>
      </c>
      <c r="CK106" s="68" t="str">
        <f>IF('Marks Entry'!AP106="","",'Marks Entry'!AP106)</f>
        <v/>
      </c>
      <c r="CL106" s="96" t="str">
        <f t="shared" si="212"/>
        <v/>
      </c>
      <c r="CM106" s="65">
        <f t="shared" si="213"/>
        <v>0</v>
      </c>
      <c r="CN106" s="65">
        <f t="shared" si="214"/>
        <v>0</v>
      </c>
      <c r="CO106" s="66" t="str">
        <f t="shared" si="215"/>
        <v/>
      </c>
      <c r="CP106" s="65" t="str">
        <f t="shared" si="216"/>
        <v/>
      </c>
      <c r="CQ106" s="65" t="str">
        <f t="shared" si="217"/>
        <v/>
      </c>
      <c r="CR106" s="65" t="str">
        <f t="shared" si="218"/>
        <v/>
      </c>
      <c r="CS106" s="616"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8" t="str">
        <f>IF('School Profile'!$D$20="NO","",IF('Marks Entry'!AR106="","",'Marks Entry'!AR106))</f>
        <v/>
      </c>
      <c r="CU106" s="68" t="str">
        <f>IF('School Profile'!$D$20="NO","",IF('Marks Entry'!AS106="","",'Marks Entry'!AS106))</f>
        <v/>
      </c>
      <c r="CV106" s="68" t="str">
        <f>IF('School Profile'!$D$20="NO","",IF('Marks Entry'!AT106="","",'Marks Entry'!AT106))</f>
        <v/>
      </c>
      <c r="CW106" s="514" t="str">
        <f>IF('School Profile'!$D$20="NO","",IF(AND(CT106="",CU106="",CV106=""),"",SUM(CT106:CV106)))</f>
        <v/>
      </c>
      <c r="CX106" s="68" t="str">
        <f>IF('School Profile'!$D$20="NO","",IF('Marks Entry'!AU106="","",'Marks Entry'!AU106))</f>
        <v/>
      </c>
      <c r="CY106" s="68" t="str">
        <f>IF('School Profile'!$D$20="NO","",IF('Marks Entry'!AV106="","",'Marks Entry'!AV106))</f>
        <v/>
      </c>
      <c r="CZ106" s="515" t="str">
        <f>IF('School Profile'!$D$20="NO","",IF(AND(CX106="",CY106=""),"",SUM(CX106,CY106)))</f>
        <v/>
      </c>
      <c r="DA106" s="69" t="str">
        <f>IF('School Profile'!$D$20="NO","",IF(AND(CW106="",CZ106=""),"",SUM(CW106+CZ106)))</f>
        <v/>
      </c>
      <c r="DB106" s="68" t="str">
        <f>IF('School Profile'!$D$20="NO","",IF('Marks Entry'!AW106="","",'Marks Entry'!AW106))</f>
        <v/>
      </c>
      <c r="DC106" s="68" t="str">
        <f>IF('School Profile'!$D$20="NO","",IF('Marks Entry'!AX106="","",'Marks Entry'!AX106))</f>
        <v/>
      </c>
      <c r="DD106" s="515" t="str">
        <f>IF('School Profile'!$D$20="NO","",IF(AND(DB106="",DC106=""),"",SUM(DB106,DC106)))</f>
        <v/>
      </c>
      <c r="DE106" s="96" t="str">
        <f>IF('School Profile'!$D$20="NO","",IF(AND(DA106="",DD106=""),"",SUM(DA106,DD106)))</f>
        <v/>
      </c>
      <c r="DF106" s="532">
        <f t="shared" si="219"/>
        <v>0</v>
      </c>
      <c r="DG106" s="65">
        <f t="shared" si="220"/>
        <v>0</v>
      </c>
      <c r="DH106" s="66" t="str">
        <f t="shared" si="221"/>
        <v/>
      </c>
      <c r="DI106" s="65" t="str">
        <f t="shared" si="222"/>
        <v/>
      </c>
      <c r="DJ106" s="65" t="str">
        <f t="shared" si="223"/>
        <v/>
      </c>
      <c r="DK106" s="65" t="str">
        <f t="shared" si="224"/>
        <v/>
      </c>
      <c r="DL106" s="97" t="str">
        <f t="shared" si="264"/>
        <v/>
      </c>
      <c r="DM106" s="97" t="str">
        <f t="shared" si="265"/>
        <v/>
      </c>
      <c r="DN106" s="97" t="str">
        <f t="shared" si="266"/>
        <v/>
      </c>
      <c r="DO106" s="97" t="str">
        <f t="shared" si="267"/>
        <v/>
      </c>
      <c r="DP106" s="97" t="str">
        <f t="shared" si="268"/>
        <v/>
      </c>
      <c r="DQ106" s="97" t="str">
        <f t="shared" si="269"/>
        <v/>
      </c>
      <c r="DR106" s="97" t="str">
        <f t="shared" si="270"/>
        <v/>
      </c>
      <c r="DS106" s="98">
        <f t="shared" si="271"/>
        <v>0</v>
      </c>
      <c r="DT106" s="98">
        <f t="shared" si="272"/>
        <v>0</v>
      </c>
      <c r="DU106" s="98">
        <f t="shared" si="273"/>
        <v>0</v>
      </c>
      <c r="DV106" s="98">
        <f t="shared" si="274"/>
        <v>0</v>
      </c>
      <c r="DW106" s="98">
        <f t="shared" si="275"/>
        <v>0</v>
      </c>
      <c r="DX106" s="98" t="str">
        <f t="shared" si="276"/>
        <v/>
      </c>
      <c r="DY106" s="99" t="str">
        <f t="shared" si="277"/>
        <v/>
      </c>
      <c r="DZ106" s="74" t="str">
        <f>IF('Marks Entry'!AY106="","",'Marks Entry'!AY106)</f>
        <v/>
      </c>
      <c r="EA106" s="74" t="str">
        <f>IF('Marks Entry'!AZ106="","",'Marks Entry'!AZ106)</f>
        <v/>
      </c>
      <c r="EB106" s="74" t="str">
        <f>IF('Marks Entry'!BA106="","",'Marks Entry'!BA106)</f>
        <v/>
      </c>
      <c r="EC106" s="527" t="str">
        <f t="shared" si="225"/>
        <v/>
      </c>
      <c r="ED106" s="74" t="str">
        <f>IF('Marks Entry'!BB106="","",'Marks Entry'!BB106)</f>
        <v/>
      </c>
      <c r="EE106" s="528" t="str">
        <f t="shared" si="226"/>
        <v/>
      </c>
      <c r="EF106" s="74" t="str">
        <f>IF('Marks Entry'!BC106="","",'Marks Entry'!BC106)</f>
        <v/>
      </c>
      <c r="EG106" s="530" t="str">
        <f t="shared" si="227"/>
        <v/>
      </c>
      <c r="EH106" s="368" t="str">
        <f t="shared" si="278"/>
        <v/>
      </c>
      <c r="EI106" s="65">
        <f t="shared" si="279"/>
        <v>0</v>
      </c>
      <c r="EJ106" s="65">
        <f t="shared" si="280"/>
        <v>0</v>
      </c>
      <c r="EK106" s="66" t="str">
        <f t="shared" si="281"/>
        <v/>
      </c>
      <c r="EL106" s="74" t="str">
        <f>IF('Marks Entry'!BD106="","",'Marks Entry'!BD106)</f>
        <v/>
      </c>
      <c r="EM106" s="74" t="str">
        <f>IF('Marks Entry'!BE106="","",'Marks Entry'!BE106)</f>
        <v/>
      </c>
      <c r="EN106" s="74" t="str">
        <f>IF('Marks Entry'!BF106="","",'Marks Entry'!BF106)</f>
        <v/>
      </c>
      <c r="EO106" s="527" t="str">
        <f t="shared" si="228"/>
        <v/>
      </c>
      <c r="EP106" s="74" t="str">
        <f>IF('Marks Entry'!BG106="","",'Marks Entry'!BG106)</f>
        <v/>
      </c>
      <c r="EQ106" s="74" t="str">
        <f>IF('Marks Entry'!BH106="","",'Marks Entry'!BH106)</f>
        <v/>
      </c>
      <c r="ER106" s="528" t="str">
        <f t="shared" si="229"/>
        <v/>
      </c>
      <c r="ES106" s="529" t="str">
        <f t="shared" si="230"/>
        <v/>
      </c>
      <c r="ET106" s="74" t="str">
        <f>IF('Marks Entry'!BI106="","",'Marks Entry'!BI106)</f>
        <v/>
      </c>
      <c r="EU106" s="74" t="str">
        <f>IF('Marks Entry'!BJ106="","",'Marks Entry'!BJ106)</f>
        <v/>
      </c>
      <c r="EV106" s="528" t="str">
        <f t="shared" si="231"/>
        <v/>
      </c>
      <c r="EW106" s="530" t="str">
        <f t="shared" si="232"/>
        <v/>
      </c>
      <c r="EX106" s="368" t="str">
        <f t="shared" si="282"/>
        <v/>
      </c>
      <c r="EY106" s="65">
        <f t="shared" si="283"/>
        <v>0</v>
      </c>
      <c r="EZ106" s="65">
        <f t="shared" si="284"/>
        <v>0</v>
      </c>
      <c r="FA106" s="66" t="str">
        <f t="shared" si="285"/>
        <v/>
      </c>
      <c r="FB106" s="74" t="str">
        <f>IF('Marks Entry'!BK106="","",'Marks Entry'!BK106)</f>
        <v/>
      </c>
      <c r="FC106" s="74" t="str">
        <f>IF('Marks Entry'!BL106="","",'Marks Entry'!BL106)</f>
        <v/>
      </c>
      <c r="FD106" s="74" t="str">
        <f>IF('Marks Entry'!BM106="","",'Marks Entry'!BM106)</f>
        <v/>
      </c>
      <c r="FE106" s="74" t="str">
        <f>IF('Marks Entry'!BN106="","",'Marks Entry'!BN106)</f>
        <v/>
      </c>
      <c r="FF106" s="74" t="str">
        <f>IF('Marks Entry'!BO106="","",'Marks Entry'!BO106)</f>
        <v/>
      </c>
      <c r="FG106" s="74" t="str">
        <f>IF('Marks Entry'!BP106="","",'Marks Entry'!BP106)</f>
        <v/>
      </c>
      <c r="FH106" s="527" t="str">
        <f t="shared" si="233"/>
        <v/>
      </c>
      <c r="FI106" s="74" t="str">
        <f>IF('Marks Entry'!BQ106="","",'Marks Entry'!BQ106)</f>
        <v/>
      </c>
      <c r="FJ106" s="74" t="str">
        <f>IF('Marks Entry'!BR106="","",'Marks Entry'!BR106)</f>
        <v/>
      </c>
      <c r="FK106" s="528" t="str">
        <f t="shared" si="234"/>
        <v/>
      </c>
      <c r="FL106" s="529" t="str">
        <f t="shared" si="235"/>
        <v/>
      </c>
      <c r="FM106" s="74" t="str">
        <f>IF('Marks Entry'!BS106="","",'Marks Entry'!BS106)</f>
        <v/>
      </c>
      <c r="FN106" s="74" t="str">
        <f>IF('Marks Entry'!BT106="","",'Marks Entry'!BT106)</f>
        <v/>
      </c>
      <c r="FO106" s="528" t="str">
        <f t="shared" si="236"/>
        <v/>
      </c>
      <c r="FP106" s="530" t="str">
        <f t="shared" si="237"/>
        <v/>
      </c>
      <c r="FQ106" s="368" t="str">
        <f t="shared" si="286"/>
        <v/>
      </c>
      <c r="FR106" s="65">
        <f t="shared" si="287"/>
        <v>0</v>
      </c>
      <c r="FS106" s="65">
        <f t="shared" si="288"/>
        <v>0</v>
      </c>
      <c r="FT106" s="66" t="str">
        <f t="shared" si="289"/>
        <v/>
      </c>
      <c r="FU106" s="74" t="str">
        <f>IF('Marks Entry'!BU106="","",'Marks Entry'!BU106)</f>
        <v/>
      </c>
      <c r="FV106" s="74" t="str">
        <f>IF('Marks Entry'!BV106="","",'Marks Entry'!BV106)</f>
        <v/>
      </c>
      <c r="FW106" s="74" t="str">
        <f>IF('Marks Entry'!BW106="","",'Marks Entry'!BW106)</f>
        <v/>
      </c>
      <c r="FX106" s="75" t="str">
        <f t="shared" si="238"/>
        <v/>
      </c>
      <c r="FY106" s="368" t="str">
        <f t="shared" si="290"/>
        <v/>
      </c>
      <c r="FZ106" s="65">
        <f t="shared" si="291"/>
        <v>0</v>
      </c>
      <c r="GA106" s="66">
        <f t="shared" si="292"/>
        <v>0</v>
      </c>
      <c r="GB106" s="66" t="str">
        <f t="shared" si="293"/>
        <v/>
      </c>
      <c r="GC106" s="74" t="str">
        <f>IF('Marks Entry'!BX106="","",'Marks Entry'!BX106)</f>
        <v/>
      </c>
      <c r="GD106" s="74" t="str">
        <f>IF('Marks Entry'!BY106="","",'Marks Entry'!BY106)</f>
        <v/>
      </c>
      <c r="GE106" s="74" t="str">
        <f>IF('Marks Entry'!BZ106="","",'Marks Entry'!BZ106)</f>
        <v/>
      </c>
      <c r="GF106" s="75" t="str">
        <f t="shared" si="294"/>
        <v/>
      </c>
      <c r="GG106" s="368" t="str">
        <f t="shared" si="295"/>
        <v/>
      </c>
      <c r="GH106" s="65">
        <f t="shared" si="296"/>
        <v>0</v>
      </c>
      <c r="GI106" s="66">
        <f t="shared" si="297"/>
        <v>0</v>
      </c>
      <c r="GJ106" s="66" t="str">
        <f t="shared" si="298"/>
        <v/>
      </c>
      <c r="GK106" s="100" t="str">
        <f>IF(AND(F106="",B106=""),"",IF('Student DATA Entry'!M103="","",'Student DATA Entry'!M103))</f>
        <v/>
      </c>
      <c r="GL106" s="101" t="str">
        <f>IF(AND(B106="",F106=""),"",IF('Student DATA Entry'!N103="","",'Student DATA Entry'!N103))</f>
        <v/>
      </c>
      <c r="GM106" s="581" t="str">
        <f t="shared" si="299"/>
        <v/>
      </c>
      <c r="GN106" s="94" t="str">
        <f t="shared" si="300"/>
        <v/>
      </c>
      <c r="GO106" s="94" t="str">
        <f t="shared" si="301"/>
        <v/>
      </c>
      <c r="GP106" s="102" t="str">
        <f t="shared" si="330"/>
        <v/>
      </c>
      <c r="GQ106" s="94" t="str">
        <f t="shared" si="302"/>
        <v/>
      </c>
      <c r="GR106" s="103" t="str">
        <f t="shared" si="303"/>
        <v/>
      </c>
      <c r="GS106" s="102" t="str">
        <f t="shared" si="331"/>
        <v/>
      </c>
      <c r="GT106" s="104" t="str">
        <f t="shared" si="304"/>
        <v/>
      </c>
      <c r="GU106" s="94" t="str">
        <f>IF('Marks Entry'!V106=1,GT106,"")</f>
        <v/>
      </c>
      <c r="GV106" s="94" t="str">
        <f>IF('Marks Entry'!V106=2,GT106,"")</f>
        <v/>
      </c>
      <c r="GW106" s="94" t="str">
        <f>IF('Marks Entry'!V106=3,GT106,"")</f>
        <v/>
      </c>
      <c r="GX106" s="94" t="str">
        <f>IF('Marks Entry'!V106=4,GT106,"")</f>
        <v/>
      </c>
      <c r="GY106" s="94" t="str">
        <f>IF('Marks Entry'!V106=5,GT106,"")</f>
        <v/>
      </c>
      <c r="GZ106" s="94" t="str">
        <f t="shared" si="305"/>
        <v/>
      </c>
      <c r="HA106" s="105" t="str">
        <f t="shared" si="332"/>
        <v/>
      </c>
      <c r="HB106" s="94" t="str">
        <f t="shared" si="306"/>
        <v/>
      </c>
      <c r="HC106" s="94" t="str">
        <f t="shared" si="307"/>
        <v/>
      </c>
      <c r="HD106" s="105" t="str">
        <f t="shared" si="333"/>
        <v/>
      </c>
      <c r="HE106" s="94" t="str">
        <f t="shared" si="308"/>
        <v/>
      </c>
      <c r="HF106" s="94" t="str">
        <f t="shared" si="309"/>
        <v/>
      </c>
      <c r="HG106" s="105" t="str">
        <f t="shared" si="334"/>
        <v/>
      </c>
      <c r="HH106" s="94" t="str">
        <f t="shared" si="310"/>
        <v/>
      </c>
      <c r="HI106" s="94" t="str">
        <f t="shared" si="311"/>
        <v/>
      </c>
      <c r="HJ106" s="105" t="str">
        <f t="shared" si="335"/>
        <v/>
      </c>
      <c r="HK106" s="94" t="str">
        <f t="shared" si="312"/>
        <v/>
      </c>
      <c r="HL106" s="94" t="str">
        <f t="shared" si="313"/>
        <v/>
      </c>
      <c r="HM106" s="105" t="str">
        <f t="shared" si="336"/>
        <v/>
      </c>
      <c r="HN106" s="367" t="str">
        <f t="shared" si="314"/>
        <v xml:space="preserve">      </v>
      </c>
      <c r="HO106" s="418" t="str">
        <f t="shared" si="337"/>
        <v xml:space="preserve">      </v>
      </c>
      <c r="HP106" s="367" t="str">
        <f t="shared" si="315"/>
        <v xml:space="preserve">      </v>
      </c>
      <c r="HQ106" s="107" t="str">
        <f t="shared" si="316"/>
        <v xml:space="preserve">      </v>
      </c>
      <c r="HR106" s="366" t="str">
        <f t="shared" si="317"/>
        <v xml:space="preserve">      </v>
      </c>
      <c r="HS106" s="544" t="str">
        <f t="shared" si="338"/>
        <v/>
      </c>
      <c r="HT106" s="542" t="str">
        <f t="shared" si="318"/>
        <v/>
      </c>
      <c r="HU106" s="541" t="str">
        <f t="shared" si="319"/>
        <v/>
      </c>
      <c r="HV106" s="540" t="str">
        <f t="shared" si="320"/>
        <v/>
      </c>
      <c r="HW106" s="537" t="str">
        <f t="shared" si="321"/>
        <v/>
      </c>
      <c r="HX106" s="539" t="str">
        <f t="shared" si="322"/>
        <v/>
      </c>
      <c r="HY106" s="553" t="str">
        <f>IFERROR(IF(OR(HS106="SUPPLEMENTARY",HS106="RE-EXAM"),'Supp. Result Entry'!AQ104,""),"")</f>
        <v/>
      </c>
      <c r="HZ106" s="538" t="str">
        <f t="shared" si="323"/>
        <v/>
      </c>
      <c r="IA106" s="415" t="str">
        <f t="shared" si="324"/>
        <v/>
      </c>
      <c r="IB106" s="415" t="str">
        <f>IF(AND(HZ106="",IA106=""),"",IF(OR(HS106="SUPPLEMENTARY",HS106="RE-EXAM"),'Supp. Result Entry'!AQ104,HS106))</f>
        <v/>
      </c>
      <c r="IC106" s="87"/>
      <c r="IS106" s="109" t="str">
        <f>IF('Supp. Result Entry'!T104="","",'Supp. Result Entry'!$T$4)</f>
        <v/>
      </c>
      <c r="IT106" s="110" t="str">
        <f>IF('Supp. Result Entry'!W104="","",'Supp. Result Entry'!$W$4)</f>
        <v/>
      </c>
      <c r="IU106" s="110" t="str">
        <f>IF('Supp. Result Entry'!Z104="","",'Supp. Result Entry'!$Z$4)</f>
        <v/>
      </c>
      <c r="IV106" s="110" t="str">
        <f>IF('Supp. Result Entry'!AC104="","",'Supp. Result Entry'!$AC$4)</f>
        <v/>
      </c>
      <c r="IW106" s="110" t="str">
        <f>IF('Supp. Result Entry'!AF104="","",'Supp. Result Entry'!$AF$4)</f>
        <v/>
      </c>
      <c r="IX106" s="110" t="str">
        <f>IF('Supp. Result Entry'!AI104="","",'Supp. Result Entry'!$AI$4)</f>
        <v/>
      </c>
      <c r="IY106" s="110" t="str">
        <f>IF('Supp. Result Entry'!AI104="","",'Supp. Result Entry'!$AL$4)</f>
        <v/>
      </c>
      <c r="IZ106" s="110" t="str">
        <f>IF('Supp. Result Entry'!U104="","",'Supp. Result Entry'!U104)</f>
        <v/>
      </c>
      <c r="JA106" s="110" t="str">
        <f>IF('Supp. Result Entry'!X104="","",'Supp. Result Entry'!X104)</f>
        <v/>
      </c>
      <c r="JB106" s="110" t="str">
        <f>IF('Supp. Result Entry'!AA104="","",'Supp. Result Entry'!AA104)</f>
        <v/>
      </c>
      <c r="JC106" s="110" t="str">
        <f>IF('Supp. Result Entry'!AD104="","",'Supp. Result Entry'!AD104)</f>
        <v/>
      </c>
      <c r="JD106" s="110" t="str">
        <f>IF('Supp. Result Entry'!AG104="","",'Supp. Result Entry'!AG104)</f>
        <v/>
      </c>
      <c r="JE106" s="110" t="str">
        <f>IF('Supp. Result Entry'!AJ104="","",'Supp. Result Entry'!AJ104)</f>
        <v/>
      </c>
      <c r="JF106" s="110" t="str">
        <f>IF('Supp. Result Entry'!AM104="","",'Supp. Result Entry'!AM104)</f>
        <v/>
      </c>
      <c r="JG106" s="110" t="str">
        <f>IF('Supp. Result Entry'!V104="","",'Supp. Result Entry'!V104)</f>
        <v/>
      </c>
      <c r="JH106" s="110" t="str">
        <f>IF('Supp. Result Entry'!Y104="","",'Supp. Result Entry'!Y104)</f>
        <v/>
      </c>
      <c r="JI106" s="110" t="str">
        <f>IF('Supp. Result Entry'!AB104="","",'Supp. Result Entry'!AB104)</f>
        <v/>
      </c>
      <c r="JJ106" s="110" t="str">
        <f>IF('Supp. Result Entry'!AE104="","",'Supp. Result Entry'!AE104)</f>
        <v/>
      </c>
      <c r="JK106" s="110" t="str">
        <f>IF('Supp. Result Entry'!AH104="","",'Supp. Result Entry'!AH104)</f>
        <v/>
      </c>
      <c r="JL106" s="110" t="str">
        <f>IF('Supp. Result Entry'!AK104="","",'Supp. Result Entry'!AK104)</f>
        <v/>
      </c>
      <c r="JM106" s="110" t="str">
        <f>IF('Supp. Result Entry'!AN104="","",'Supp. Result Entry'!AN104)</f>
        <v/>
      </c>
      <c r="JN106" s="110">
        <f>COUNTIF('Supp. Result Entry'!K104:Q104,"S")</f>
        <v>0</v>
      </c>
      <c r="JO106" s="110">
        <f t="shared" si="248"/>
        <v>0</v>
      </c>
      <c r="JP106" s="110">
        <f t="shared" si="325"/>
        <v>0</v>
      </c>
      <c r="JQ106" s="110" t="str">
        <f t="shared" si="249"/>
        <v/>
      </c>
      <c r="JR106" s="110" t="str">
        <f t="shared" si="250"/>
        <v/>
      </c>
      <c r="JS106" s="110" t="str">
        <f t="shared" si="251"/>
        <v/>
      </c>
      <c r="JT106" s="110" t="str">
        <f t="shared" si="252"/>
        <v/>
      </c>
      <c r="JU106" s="110" t="str">
        <f t="shared" si="253"/>
        <v/>
      </c>
      <c r="JV106" s="110" t="str">
        <f t="shared" si="254"/>
        <v/>
      </c>
      <c r="JW106" s="110" t="str">
        <f t="shared" si="255"/>
        <v/>
      </c>
      <c r="JX106" s="110" t="str">
        <f t="shared" si="326"/>
        <v/>
      </c>
      <c r="JY106" s="110" t="str">
        <f t="shared" si="327"/>
        <v/>
      </c>
      <c r="JZ106" s="110" t="str">
        <f t="shared" si="256"/>
        <v/>
      </c>
      <c r="KA106" s="108" t="str">
        <f t="shared" si="328"/>
        <v/>
      </c>
    </row>
    <row r="107" spans="1:287" s="108" customFormat="1" ht="21.95" customHeight="1">
      <c r="A107" s="89">
        <v>101</v>
      </c>
      <c r="B107" s="90" t="str">
        <f>IF('Marks Entry'!B107="","",'Marks Entry'!B107)</f>
        <v/>
      </c>
      <c r="C107" s="94" t="str">
        <f>IF('Marks Entry'!D107="","",'Marks Entry'!D107)</f>
        <v/>
      </c>
      <c r="D107" s="91" t="str">
        <f>IF('Marks Entry'!E107="","",'Marks Entry'!E107)</f>
        <v/>
      </c>
      <c r="E107" s="92" t="str">
        <f>IF('Marks Entry'!F107="","",'Marks Entry'!F107)</f>
        <v/>
      </c>
      <c r="F107" s="93" t="str">
        <f>IF('Marks Entry'!G107="","",'Marks Entry'!G107)</f>
        <v/>
      </c>
      <c r="G107" s="93" t="str">
        <f>IF('Marks Entry'!H107="","",'Marks Entry'!H107)</f>
        <v/>
      </c>
      <c r="H107" s="93" t="str">
        <f>IF('Marks Entry'!I107="","",'Marks Entry'!I107)</f>
        <v/>
      </c>
      <c r="I107" s="94" t="str">
        <f>IF('Marks Entry'!J107="","",'Marks Entry'!J107)</f>
        <v/>
      </c>
      <c r="J107" s="95" t="str">
        <f>IF('Marks Entry'!K107="","",'Marks Entry'!K107)</f>
        <v/>
      </c>
      <c r="K107" s="68" t="str">
        <f>IF('Marks Entry'!L107="","",'Marks Entry'!L107)</f>
        <v/>
      </c>
      <c r="L107" s="68" t="str">
        <f>IF('Marks Entry'!M107="","",'Marks Entry'!M107)</f>
        <v/>
      </c>
      <c r="M107" s="68" t="str">
        <f>IF('Marks Entry'!N107="","",'Marks Entry'!N107)</f>
        <v/>
      </c>
      <c r="N107" s="514" t="str">
        <f t="shared" si="257"/>
        <v/>
      </c>
      <c r="O107" s="68" t="str">
        <f>IF('Marks Entry'!O107="","",'Marks Entry'!O107)</f>
        <v/>
      </c>
      <c r="P107" s="515" t="str">
        <f t="shared" si="258"/>
        <v/>
      </c>
      <c r="Q107" s="68" t="str">
        <f>IF('Marks Entry'!P107="","",'Marks Entry'!P107)</f>
        <v/>
      </c>
      <c r="R107" s="96" t="str">
        <f t="shared" si="259"/>
        <v/>
      </c>
      <c r="S107" s="65">
        <f t="shared" si="260"/>
        <v>0</v>
      </c>
      <c r="T107" s="65">
        <f t="shared" si="261"/>
        <v>0</v>
      </c>
      <c r="U107" s="66" t="str">
        <f t="shared" si="171"/>
        <v/>
      </c>
      <c r="V107" s="65" t="str">
        <f t="shared" si="172"/>
        <v/>
      </c>
      <c r="W107" s="65" t="str">
        <f t="shared" si="262"/>
        <v/>
      </c>
      <c r="X107" s="65" t="str">
        <f t="shared" si="173"/>
        <v/>
      </c>
      <c r="Y107" s="68" t="str">
        <f>IF('Marks Entry'!Q107="","",'Marks Entry'!Q107)</f>
        <v/>
      </c>
      <c r="Z107" s="68" t="str">
        <f>IF('Marks Entry'!R107="","",'Marks Entry'!R107)</f>
        <v/>
      </c>
      <c r="AA107" s="68" t="str">
        <f>IF('Marks Entry'!S107="","",'Marks Entry'!S107)</f>
        <v/>
      </c>
      <c r="AB107" s="514" t="str">
        <f t="shared" si="174"/>
        <v/>
      </c>
      <c r="AC107" s="68" t="str">
        <f>IF('Marks Entry'!T107="","",'Marks Entry'!T107)</f>
        <v/>
      </c>
      <c r="AD107" s="515" t="str">
        <f t="shared" si="175"/>
        <v/>
      </c>
      <c r="AE107" s="68" t="str">
        <f>IF('Marks Entry'!U107="","",'Marks Entry'!U107)</f>
        <v/>
      </c>
      <c r="AF107" s="96" t="str">
        <f t="shared" si="176"/>
        <v/>
      </c>
      <c r="AG107" s="65">
        <f t="shared" si="177"/>
        <v>0</v>
      </c>
      <c r="AH107" s="65">
        <f t="shared" si="178"/>
        <v>0</v>
      </c>
      <c r="AI107" s="66" t="str">
        <f t="shared" si="179"/>
        <v/>
      </c>
      <c r="AJ107" s="65" t="str">
        <f t="shared" si="180"/>
        <v/>
      </c>
      <c r="AK107" s="65" t="str">
        <f t="shared" si="181"/>
        <v/>
      </c>
      <c r="AL107" s="65" t="str">
        <f t="shared" si="182"/>
        <v/>
      </c>
      <c r="AM107" s="524" t="str">
        <f>IF('Marks Entry'!V107="","",IF('Marks Entry'!V107=1,'School Profile'!$I$9,IF('Marks Entry'!V107=2,'School Profile'!$I$10,IF('Marks Entry'!V107=3,'School Profile'!$I$11,IF('Marks Entry'!V107=4,'School Profile'!$I$12,IF('Marks Entry'!V107=5,'School Profile'!$I$13,IF('Marks Entry'!V107=6,'School Profile'!$I$14,"")))))))</f>
        <v/>
      </c>
      <c r="AN107" s="68" t="str">
        <f>IF('Marks Entry'!W107="","",'Marks Entry'!W107)</f>
        <v/>
      </c>
      <c r="AO107" s="68" t="str">
        <f>IF('Marks Entry'!X107="","",'Marks Entry'!X107)</f>
        <v/>
      </c>
      <c r="AP107" s="68" t="str">
        <f>IF('Marks Entry'!Y107="","",'Marks Entry'!Y107)</f>
        <v/>
      </c>
      <c r="AQ107" s="514" t="str">
        <f t="shared" si="183"/>
        <v/>
      </c>
      <c r="AR107" s="68" t="str">
        <f>IF('Marks Entry'!Z107="","",'Marks Entry'!Z107)</f>
        <v/>
      </c>
      <c r="AS107" s="515" t="str">
        <f t="shared" si="184"/>
        <v/>
      </c>
      <c r="AT107" s="68" t="str">
        <f>IF('Marks Entry'!AA107="","",'Marks Entry'!AA107)</f>
        <v/>
      </c>
      <c r="AU107" s="96" t="str">
        <f t="shared" si="185"/>
        <v/>
      </c>
      <c r="AV107" s="65">
        <f t="shared" si="186"/>
        <v>0</v>
      </c>
      <c r="AW107" s="65">
        <f t="shared" si="187"/>
        <v>0</v>
      </c>
      <c r="AX107" s="66" t="str">
        <f t="shared" si="188"/>
        <v/>
      </c>
      <c r="AY107" s="65" t="str">
        <f t="shared" si="189"/>
        <v/>
      </c>
      <c r="AZ107" s="65" t="str">
        <f t="shared" si="190"/>
        <v/>
      </c>
      <c r="BA107" s="65" t="str">
        <f t="shared" si="191"/>
        <v/>
      </c>
      <c r="BB107" s="68" t="str">
        <f>IF('Marks Entry'!AB107="","",'Marks Entry'!AB107)</f>
        <v/>
      </c>
      <c r="BC107" s="68" t="str">
        <f>IF('Marks Entry'!AC107="","",'Marks Entry'!AC107)</f>
        <v/>
      </c>
      <c r="BD107" s="68" t="str">
        <f>IF('Marks Entry'!AD107="","",'Marks Entry'!AD107)</f>
        <v/>
      </c>
      <c r="BE107" s="514" t="str">
        <f t="shared" si="192"/>
        <v/>
      </c>
      <c r="BF107" s="68" t="str">
        <f>IF('Marks Entry'!AE107="","",'Marks Entry'!AE107)</f>
        <v/>
      </c>
      <c r="BG107" s="515" t="str">
        <f t="shared" si="193"/>
        <v/>
      </c>
      <c r="BH107" s="68" t="str">
        <f>IF('Marks Entry'!AF107="","",'Marks Entry'!AF107)</f>
        <v/>
      </c>
      <c r="BI107" s="96" t="str">
        <f t="shared" si="194"/>
        <v/>
      </c>
      <c r="BJ107" s="65">
        <f t="shared" si="195"/>
        <v>0</v>
      </c>
      <c r="BK107" s="65">
        <f t="shared" si="263"/>
        <v>0</v>
      </c>
      <c r="BL107" s="66" t="str">
        <f t="shared" si="196"/>
        <v/>
      </c>
      <c r="BM107" s="65" t="str">
        <f t="shared" si="197"/>
        <v/>
      </c>
      <c r="BN107" s="65" t="str">
        <f t="shared" si="198"/>
        <v/>
      </c>
      <c r="BO107" s="65" t="str">
        <f t="shared" si="199"/>
        <v/>
      </c>
      <c r="BP107" s="68" t="str">
        <f>IF('Marks Entry'!AG107="","",'Marks Entry'!AG107)</f>
        <v/>
      </c>
      <c r="BQ107" s="68" t="str">
        <f>IF('Marks Entry'!AH107="","",'Marks Entry'!AH107)</f>
        <v/>
      </c>
      <c r="BR107" s="68" t="str">
        <f>IF('Marks Entry'!AI107="","",'Marks Entry'!AI107)</f>
        <v/>
      </c>
      <c r="BS107" s="514" t="str">
        <f t="shared" si="200"/>
        <v/>
      </c>
      <c r="BT107" s="68" t="str">
        <f>IF('Marks Entry'!AJ107="","",'Marks Entry'!AJ107)</f>
        <v/>
      </c>
      <c r="BU107" s="515" t="str">
        <f t="shared" si="201"/>
        <v/>
      </c>
      <c r="BV107" s="68" t="str">
        <f>IF('Marks Entry'!AK107="","",'Marks Entry'!AK107)</f>
        <v/>
      </c>
      <c r="BW107" s="96" t="str">
        <f t="shared" si="202"/>
        <v/>
      </c>
      <c r="BX107" s="65">
        <f t="shared" si="203"/>
        <v>0</v>
      </c>
      <c r="BY107" s="65">
        <f t="shared" si="204"/>
        <v>0</v>
      </c>
      <c r="BZ107" s="66" t="str">
        <f t="shared" si="205"/>
        <v/>
      </c>
      <c r="CA107" s="65" t="str">
        <f t="shared" si="206"/>
        <v/>
      </c>
      <c r="CB107" s="65" t="str">
        <f t="shared" si="207"/>
        <v/>
      </c>
      <c r="CC107" s="65" t="str">
        <f t="shared" si="208"/>
        <v/>
      </c>
      <c r="CD107" s="66">
        <f t="shared" si="329"/>
        <v>0</v>
      </c>
      <c r="CE107" s="68" t="str">
        <f>IF('Marks Entry'!AL107="","",'Marks Entry'!AL107)</f>
        <v/>
      </c>
      <c r="CF107" s="68" t="str">
        <f>IF('Marks Entry'!AM107="","",'Marks Entry'!AM107)</f>
        <v/>
      </c>
      <c r="CG107" s="68" t="str">
        <f>IF('Marks Entry'!AN107="","",'Marks Entry'!AN107)</f>
        <v/>
      </c>
      <c r="CH107" s="514" t="str">
        <f t="shared" si="210"/>
        <v/>
      </c>
      <c r="CI107" s="68" t="str">
        <f>IF('Marks Entry'!AO107="","",'Marks Entry'!AO107)</f>
        <v/>
      </c>
      <c r="CJ107" s="515" t="str">
        <f t="shared" si="211"/>
        <v/>
      </c>
      <c r="CK107" s="68" t="str">
        <f>IF('Marks Entry'!AP107="","",'Marks Entry'!AP107)</f>
        <v/>
      </c>
      <c r="CL107" s="96" t="str">
        <f t="shared" si="212"/>
        <v/>
      </c>
      <c r="CM107" s="65">
        <f t="shared" si="213"/>
        <v>0</v>
      </c>
      <c r="CN107" s="65">
        <f t="shared" si="214"/>
        <v>0</v>
      </c>
      <c r="CO107" s="66" t="str">
        <f t="shared" si="215"/>
        <v/>
      </c>
      <c r="CP107" s="65" t="str">
        <f t="shared" si="216"/>
        <v/>
      </c>
      <c r="CQ107" s="65" t="str">
        <f t="shared" si="217"/>
        <v/>
      </c>
      <c r="CR107" s="65" t="str">
        <f t="shared" si="218"/>
        <v/>
      </c>
      <c r="CS107" s="616"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8" t="str">
        <f>IF('School Profile'!$D$20="NO","",IF('Marks Entry'!AR107="","",'Marks Entry'!AR107))</f>
        <v/>
      </c>
      <c r="CU107" s="68" t="str">
        <f>IF('School Profile'!$D$20="NO","",IF('Marks Entry'!AS107="","",'Marks Entry'!AS107))</f>
        <v/>
      </c>
      <c r="CV107" s="68" t="str">
        <f>IF('School Profile'!$D$20="NO","",IF('Marks Entry'!AT107="","",'Marks Entry'!AT107))</f>
        <v/>
      </c>
      <c r="CW107" s="514" t="str">
        <f>IF('School Profile'!$D$20="NO","",IF(AND(CT107="",CU107="",CV107=""),"",SUM(CT107:CV107)))</f>
        <v/>
      </c>
      <c r="CX107" s="68" t="str">
        <f>IF('School Profile'!$D$20="NO","",IF('Marks Entry'!AU107="","",'Marks Entry'!AU107))</f>
        <v/>
      </c>
      <c r="CY107" s="68" t="str">
        <f>IF('School Profile'!$D$20="NO","",IF('Marks Entry'!AV107="","",'Marks Entry'!AV107))</f>
        <v/>
      </c>
      <c r="CZ107" s="515" t="str">
        <f>IF('School Profile'!$D$20="NO","",IF(AND(CX107="",CY107=""),"",SUM(CX107,CY107)))</f>
        <v/>
      </c>
      <c r="DA107" s="69" t="str">
        <f>IF('School Profile'!$D$20="NO","",IF(AND(CW107="",CZ107=""),"",SUM(CW107+CZ107)))</f>
        <v/>
      </c>
      <c r="DB107" s="68" t="str">
        <f>IF('School Profile'!$D$20="NO","",IF('Marks Entry'!AW107="","",'Marks Entry'!AW107))</f>
        <v/>
      </c>
      <c r="DC107" s="68" t="str">
        <f>IF('School Profile'!$D$20="NO","",IF('Marks Entry'!AX107="","",'Marks Entry'!AX107))</f>
        <v/>
      </c>
      <c r="DD107" s="515" t="str">
        <f>IF('School Profile'!$D$20="NO","",IF(AND(DB107="",DC107=""),"",SUM(DB107,DC107)))</f>
        <v/>
      </c>
      <c r="DE107" s="96" t="str">
        <f>IF('School Profile'!$D$20="NO","",IF(AND(DA107="",DD107=""),"",SUM(DA107,DD107)))</f>
        <v/>
      </c>
      <c r="DF107" s="532">
        <f t="shared" si="219"/>
        <v>0</v>
      </c>
      <c r="DG107" s="65">
        <f t="shared" si="220"/>
        <v>0</v>
      </c>
      <c r="DH107" s="66" t="str">
        <f t="shared" si="221"/>
        <v/>
      </c>
      <c r="DI107" s="65" t="str">
        <f t="shared" si="222"/>
        <v/>
      </c>
      <c r="DJ107" s="65" t="str">
        <f t="shared" si="223"/>
        <v/>
      </c>
      <c r="DK107" s="65" t="str">
        <f t="shared" si="224"/>
        <v/>
      </c>
      <c r="DL107" s="97" t="str">
        <f t="shared" si="264"/>
        <v/>
      </c>
      <c r="DM107" s="97" t="str">
        <f t="shared" si="265"/>
        <v/>
      </c>
      <c r="DN107" s="97" t="str">
        <f t="shared" si="266"/>
        <v/>
      </c>
      <c r="DO107" s="97" t="str">
        <f t="shared" si="267"/>
        <v/>
      </c>
      <c r="DP107" s="97" t="str">
        <f t="shared" si="268"/>
        <v/>
      </c>
      <c r="DQ107" s="97" t="str">
        <f t="shared" si="269"/>
        <v/>
      </c>
      <c r="DR107" s="97" t="str">
        <f t="shared" si="270"/>
        <v/>
      </c>
      <c r="DS107" s="98">
        <f t="shared" si="271"/>
        <v>0</v>
      </c>
      <c r="DT107" s="98">
        <f t="shared" si="272"/>
        <v>0</v>
      </c>
      <c r="DU107" s="98">
        <f t="shared" si="273"/>
        <v>0</v>
      </c>
      <c r="DV107" s="98">
        <f t="shared" si="274"/>
        <v>0</v>
      </c>
      <c r="DW107" s="98">
        <f t="shared" si="275"/>
        <v>0</v>
      </c>
      <c r="DX107" s="98" t="str">
        <f t="shared" si="276"/>
        <v/>
      </c>
      <c r="DY107" s="99" t="str">
        <f t="shared" si="277"/>
        <v/>
      </c>
      <c r="DZ107" s="74" t="str">
        <f>IF('Marks Entry'!AY107="","",'Marks Entry'!AY107)</f>
        <v/>
      </c>
      <c r="EA107" s="74" t="str">
        <f>IF('Marks Entry'!AZ107="","",'Marks Entry'!AZ107)</f>
        <v/>
      </c>
      <c r="EB107" s="74" t="str">
        <f>IF('Marks Entry'!BA107="","",'Marks Entry'!BA107)</f>
        <v/>
      </c>
      <c r="EC107" s="527" t="str">
        <f t="shared" si="225"/>
        <v/>
      </c>
      <c r="ED107" s="74" t="str">
        <f>IF('Marks Entry'!BB107="","",'Marks Entry'!BB107)</f>
        <v/>
      </c>
      <c r="EE107" s="528" t="str">
        <f t="shared" si="226"/>
        <v/>
      </c>
      <c r="EF107" s="74" t="str">
        <f>IF('Marks Entry'!BC107="","",'Marks Entry'!BC107)</f>
        <v/>
      </c>
      <c r="EG107" s="530" t="str">
        <f t="shared" si="227"/>
        <v/>
      </c>
      <c r="EH107" s="368" t="str">
        <f t="shared" si="278"/>
        <v/>
      </c>
      <c r="EI107" s="65">
        <f t="shared" si="279"/>
        <v>0</v>
      </c>
      <c r="EJ107" s="65">
        <f t="shared" si="280"/>
        <v>0</v>
      </c>
      <c r="EK107" s="66" t="str">
        <f t="shared" si="281"/>
        <v/>
      </c>
      <c r="EL107" s="74" t="str">
        <f>IF('Marks Entry'!BD107="","",'Marks Entry'!BD107)</f>
        <v/>
      </c>
      <c r="EM107" s="74" t="str">
        <f>IF('Marks Entry'!BE107="","",'Marks Entry'!BE107)</f>
        <v/>
      </c>
      <c r="EN107" s="74" t="str">
        <f>IF('Marks Entry'!BF107="","",'Marks Entry'!BF107)</f>
        <v/>
      </c>
      <c r="EO107" s="527" t="str">
        <f t="shared" si="228"/>
        <v/>
      </c>
      <c r="EP107" s="74" t="str">
        <f>IF('Marks Entry'!BG107="","",'Marks Entry'!BG107)</f>
        <v/>
      </c>
      <c r="EQ107" s="74" t="str">
        <f>IF('Marks Entry'!BH107="","",'Marks Entry'!BH107)</f>
        <v/>
      </c>
      <c r="ER107" s="528" t="str">
        <f t="shared" si="229"/>
        <v/>
      </c>
      <c r="ES107" s="529" t="str">
        <f t="shared" si="230"/>
        <v/>
      </c>
      <c r="ET107" s="74" t="str">
        <f>IF('Marks Entry'!BI107="","",'Marks Entry'!BI107)</f>
        <v/>
      </c>
      <c r="EU107" s="74" t="str">
        <f>IF('Marks Entry'!BJ107="","",'Marks Entry'!BJ107)</f>
        <v/>
      </c>
      <c r="EV107" s="528" t="str">
        <f t="shared" si="231"/>
        <v/>
      </c>
      <c r="EW107" s="530" t="str">
        <f t="shared" si="232"/>
        <v/>
      </c>
      <c r="EX107" s="368" t="str">
        <f t="shared" si="282"/>
        <v/>
      </c>
      <c r="EY107" s="65">
        <f t="shared" si="283"/>
        <v>0</v>
      </c>
      <c r="EZ107" s="65">
        <f t="shared" si="284"/>
        <v>0</v>
      </c>
      <c r="FA107" s="66" t="str">
        <f t="shared" si="285"/>
        <v/>
      </c>
      <c r="FB107" s="74" t="str">
        <f>IF('Marks Entry'!BK107="","",'Marks Entry'!BK107)</f>
        <v/>
      </c>
      <c r="FC107" s="74" t="str">
        <f>IF('Marks Entry'!BL107="","",'Marks Entry'!BL107)</f>
        <v/>
      </c>
      <c r="FD107" s="74" t="str">
        <f>IF('Marks Entry'!BM107="","",'Marks Entry'!BM107)</f>
        <v/>
      </c>
      <c r="FE107" s="74" t="str">
        <f>IF('Marks Entry'!BN107="","",'Marks Entry'!BN107)</f>
        <v/>
      </c>
      <c r="FF107" s="74" t="str">
        <f>IF('Marks Entry'!BO107="","",'Marks Entry'!BO107)</f>
        <v/>
      </c>
      <c r="FG107" s="74" t="str">
        <f>IF('Marks Entry'!BP107="","",'Marks Entry'!BP107)</f>
        <v/>
      </c>
      <c r="FH107" s="527" t="str">
        <f t="shared" si="233"/>
        <v/>
      </c>
      <c r="FI107" s="74" t="str">
        <f>IF('Marks Entry'!BQ107="","",'Marks Entry'!BQ107)</f>
        <v/>
      </c>
      <c r="FJ107" s="74" t="str">
        <f>IF('Marks Entry'!BR107="","",'Marks Entry'!BR107)</f>
        <v/>
      </c>
      <c r="FK107" s="528" t="str">
        <f t="shared" si="234"/>
        <v/>
      </c>
      <c r="FL107" s="529" t="str">
        <f t="shared" si="235"/>
        <v/>
      </c>
      <c r="FM107" s="74" t="str">
        <f>IF('Marks Entry'!BS107="","",'Marks Entry'!BS107)</f>
        <v/>
      </c>
      <c r="FN107" s="74" t="str">
        <f>IF('Marks Entry'!BT107="","",'Marks Entry'!BT107)</f>
        <v/>
      </c>
      <c r="FO107" s="528" t="str">
        <f t="shared" si="236"/>
        <v/>
      </c>
      <c r="FP107" s="530" t="str">
        <f t="shared" si="237"/>
        <v/>
      </c>
      <c r="FQ107" s="368" t="str">
        <f t="shared" si="286"/>
        <v/>
      </c>
      <c r="FR107" s="65">
        <f t="shared" si="287"/>
        <v>0</v>
      </c>
      <c r="FS107" s="65">
        <f t="shared" si="288"/>
        <v>0</v>
      </c>
      <c r="FT107" s="66" t="str">
        <f t="shared" si="289"/>
        <v/>
      </c>
      <c r="FU107" s="74" t="str">
        <f>IF('Marks Entry'!BU107="","",'Marks Entry'!BU107)</f>
        <v/>
      </c>
      <c r="FV107" s="74" t="str">
        <f>IF('Marks Entry'!BV107="","",'Marks Entry'!BV107)</f>
        <v/>
      </c>
      <c r="FW107" s="74" t="str">
        <f>IF('Marks Entry'!BW107="","",'Marks Entry'!BW107)</f>
        <v/>
      </c>
      <c r="FX107" s="75" t="str">
        <f t="shared" si="238"/>
        <v/>
      </c>
      <c r="FY107" s="368" t="str">
        <f t="shared" si="290"/>
        <v/>
      </c>
      <c r="FZ107" s="65">
        <f t="shared" si="291"/>
        <v>0</v>
      </c>
      <c r="GA107" s="66">
        <f t="shared" si="292"/>
        <v>0</v>
      </c>
      <c r="GB107" s="66" t="str">
        <f t="shared" si="293"/>
        <v/>
      </c>
      <c r="GC107" s="74" t="str">
        <f>IF('Marks Entry'!BX107="","",'Marks Entry'!BX107)</f>
        <v/>
      </c>
      <c r="GD107" s="74" t="str">
        <f>IF('Marks Entry'!BY107="","",'Marks Entry'!BY107)</f>
        <v/>
      </c>
      <c r="GE107" s="74" t="str">
        <f>IF('Marks Entry'!BZ107="","",'Marks Entry'!BZ107)</f>
        <v/>
      </c>
      <c r="GF107" s="75" t="str">
        <f t="shared" si="294"/>
        <v/>
      </c>
      <c r="GG107" s="368" t="str">
        <f t="shared" si="295"/>
        <v/>
      </c>
      <c r="GH107" s="65">
        <f t="shared" si="296"/>
        <v>0</v>
      </c>
      <c r="GI107" s="66">
        <f t="shared" si="297"/>
        <v>0</v>
      </c>
      <c r="GJ107" s="66" t="str">
        <f t="shared" si="298"/>
        <v/>
      </c>
      <c r="GK107" s="100" t="str">
        <f>IF(AND(F107="",B107=""),"",IF('Student DATA Entry'!M104="","",'Student DATA Entry'!M104))</f>
        <v/>
      </c>
      <c r="GL107" s="101" t="str">
        <f>IF(AND(B107="",F107=""),"",IF('Student DATA Entry'!N104="","",'Student DATA Entry'!N104))</f>
        <v/>
      </c>
      <c r="GM107" s="581" t="str">
        <f t="shared" si="299"/>
        <v/>
      </c>
      <c r="GN107" s="94" t="str">
        <f t="shared" si="300"/>
        <v/>
      </c>
      <c r="GO107" s="94" t="str">
        <f t="shared" si="301"/>
        <v/>
      </c>
      <c r="GP107" s="102" t="str">
        <f t="shared" si="330"/>
        <v/>
      </c>
      <c r="GQ107" s="94" t="str">
        <f t="shared" si="302"/>
        <v/>
      </c>
      <c r="GR107" s="103" t="str">
        <f t="shared" si="303"/>
        <v/>
      </c>
      <c r="GS107" s="102" t="str">
        <f t="shared" si="331"/>
        <v/>
      </c>
      <c r="GT107" s="104" t="str">
        <f t="shared" si="304"/>
        <v/>
      </c>
      <c r="GU107" s="94" t="str">
        <f>IF('Marks Entry'!V107=1,GT107,"")</f>
        <v/>
      </c>
      <c r="GV107" s="94" t="str">
        <f>IF('Marks Entry'!V107=2,GT107,"")</f>
        <v/>
      </c>
      <c r="GW107" s="94" t="str">
        <f>IF('Marks Entry'!V107=3,GT107,"")</f>
        <v/>
      </c>
      <c r="GX107" s="94" t="str">
        <f>IF('Marks Entry'!V107=4,GT107,"")</f>
        <v/>
      </c>
      <c r="GY107" s="94" t="str">
        <f>IF('Marks Entry'!V107=5,GT107,"")</f>
        <v/>
      </c>
      <c r="GZ107" s="94" t="str">
        <f t="shared" si="305"/>
        <v/>
      </c>
      <c r="HA107" s="105" t="str">
        <f t="shared" si="332"/>
        <v/>
      </c>
      <c r="HB107" s="94" t="str">
        <f t="shared" si="306"/>
        <v/>
      </c>
      <c r="HC107" s="94" t="str">
        <f t="shared" si="307"/>
        <v/>
      </c>
      <c r="HD107" s="105" t="str">
        <f t="shared" si="333"/>
        <v/>
      </c>
      <c r="HE107" s="94" t="str">
        <f t="shared" si="308"/>
        <v/>
      </c>
      <c r="HF107" s="94" t="str">
        <f t="shared" si="309"/>
        <v/>
      </c>
      <c r="HG107" s="105" t="str">
        <f t="shared" si="334"/>
        <v/>
      </c>
      <c r="HH107" s="94" t="str">
        <f t="shared" si="310"/>
        <v/>
      </c>
      <c r="HI107" s="94" t="str">
        <f t="shared" si="311"/>
        <v/>
      </c>
      <c r="HJ107" s="105" t="str">
        <f t="shared" si="335"/>
        <v/>
      </c>
      <c r="HK107" s="94" t="str">
        <f t="shared" si="312"/>
        <v/>
      </c>
      <c r="HL107" s="94" t="str">
        <f t="shared" si="313"/>
        <v/>
      </c>
      <c r="HM107" s="105" t="str">
        <f t="shared" si="336"/>
        <v/>
      </c>
      <c r="HN107" s="367" t="str">
        <f t="shared" si="314"/>
        <v xml:space="preserve">      </v>
      </c>
      <c r="HO107" s="418" t="str">
        <f t="shared" si="337"/>
        <v xml:space="preserve">      </v>
      </c>
      <c r="HP107" s="367" t="str">
        <f t="shared" si="315"/>
        <v xml:space="preserve">      </v>
      </c>
      <c r="HQ107" s="107" t="str">
        <f t="shared" si="316"/>
        <v xml:space="preserve">      </v>
      </c>
      <c r="HR107" s="366" t="str">
        <f t="shared" si="317"/>
        <v xml:space="preserve">      </v>
      </c>
      <c r="HS107" s="544" t="str">
        <f t="shared" si="338"/>
        <v/>
      </c>
      <c r="HT107" s="542" t="str">
        <f t="shared" si="318"/>
        <v/>
      </c>
      <c r="HU107" s="541" t="str">
        <f t="shared" si="319"/>
        <v/>
      </c>
      <c r="HV107" s="540" t="str">
        <f t="shared" si="320"/>
        <v/>
      </c>
      <c r="HW107" s="537" t="str">
        <f t="shared" si="321"/>
        <v/>
      </c>
      <c r="HX107" s="539" t="str">
        <f t="shared" si="322"/>
        <v/>
      </c>
      <c r="HY107" s="553" t="str">
        <f>IFERROR(IF(OR(HS107="SUPPLEMENTARY",HS107="RE-EXAM"),'Supp. Result Entry'!AQ105,""),"")</f>
        <v/>
      </c>
      <c r="HZ107" s="538" t="str">
        <f t="shared" si="323"/>
        <v/>
      </c>
      <c r="IA107" s="415" t="str">
        <f t="shared" si="324"/>
        <v/>
      </c>
      <c r="IB107" s="415" t="str">
        <f>IF(AND(HZ107="",IA107=""),"",IF(OR(HS107="SUPPLEMENTARY",HS107="RE-EXAM"),'Supp. Result Entry'!AQ105,HS107))</f>
        <v/>
      </c>
      <c r="IC107" s="87"/>
      <c r="IS107" s="109" t="str">
        <f>IF('Supp. Result Entry'!T105="","",'Supp. Result Entry'!$T$4)</f>
        <v/>
      </c>
      <c r="IT107" s="110" t="str">
        <f>IF('Supp. Result Entry'!W105="","",'Supp. Result Entry'!$W$4)</f>
        <v/>
      </c>
      <c r="IU107" s="110" t="str">
        <f>IF('Supp. Result Entry'!Z105="","",'Supp. Result Entry'!$Z$4)</f>
        <v/>
      </c>
      <c r="IV107" s="110" t="str">
        <f>IF('Supp. Result Entry'!AC105="","",'Supp. Result Entry'!$AC$4)</f>
        <v/>
      </c>
      <c r="IW107" s="110" t="str">
        <f>IF('Supp. Result Entry'!AF105="","",'Supp. Result Entry'!$AF$4)</f>
        <v/>
      </c>
      <c r="IX107" s="110" t="str">
        <f>IF('Supp. Result Entry'!AI105="","",'Supp. Result Entry'!$AI$4)</f>
        <v/>
      </c>
      <c r="IY107" s="110" t="str">
        <f>IF('Supp. Result Entry'!AI105="","",'Supp. Result Entry'!$AL$4)</f>
        <v/>
      </c>
      <c r="IZ107" s="110" t="str">
        <f>IF('Supp. Result Entry'!U105="","",'Supp. Result Entry'!U105)</f>
        <v/>
      </c>
      <c r="JA107" s="110" t="str">
        <f>IF('Supp. Result Entry'!X105="","",'Supp. Result Entry'!X105)</f>
        <v/>
      </c>
      <c r="JB107" s="110" t="str">
        <f>IF('Supp. Result Entry'!AA105="","",'Supp. Result Entry'!AA105)</f>
        <v/>
      </c>
      <c r="JC107" s="110" t="str">
        <f>IF('Supp. Result Entry'!AD105="","",'Supp. Result Entry'!AD105)</f>
        <v/>
      </c>
      <c r="JD107" s="110" t="str">
        <f>IF('Supp. Result Entry'!AG105="","",'Supp. Result Entry'!AG105)</f>
        <v/>
      </c>
      <c r="JE107" s="110" t="str">
        <f>IF('Supp. Result Entry'!AJ105="","",'Supp. Result Entry'!AJ105)</f>
        <v/>
      </c>
      <c r="JF107" s="110" t="str">
        <f>IF('Supp. Result Entry'!AM105="","",'Supp. Result Entry'!AM105)</f>
        <v/>
      </c>
      <c r="JG107" s="110" t="str">
        <f>IF('Supp. Result Entry'!V105="","",'Supp. Result Entry'!V105)</f>
        <v/>
      </c>
      <c r="JH107" s="110" t="str">
        <f>IF('Supp. Result Entry'!Y105="","",'Supp. Result Entry'!Y105)</f>
        <v/>
      </c>
      <c r="JI107" s="110" t="str">
        <f>IF('Supp. Result Entry'!AB105="","",'Supp. Result Entry'!AB105)</f>
        <v/>
      </c>
      <c r="JJ107" s="110" t="str">
        <f>IF('Supp. Result Entry'!AE105="","",'Supp. Result Entry'!AE105)</f>
        <v/>
      </c>
      <c r="JK107" s="110" t="str">
        <f>IF('Supp. Result Entry'!AH105="","",'Supp. Result Entry'!AH105)</f>
        <v/>
      </c>
      <c r="JL107" s="110" t="str">
        <f>IF('Supp. Result Entry'!AK105="","",'Supp. Result Entry'!AK105)</f>
        <v/>
      </c>
      <c r="JM107" s="110" t="str">
        <f>IF('Supp. Result Entry'!AN105="","",'Supp. Result Entry'!AN105)</f>
        <v/>
      </c>
      <c r="JN107" s="110">
        <f>COUNTIF('Supp. Result Entry'!K105:Q105,"S")</f>
        <v>0</v>
      </c>
      <c r="JO107" s="110">
        <f t="shared" si="248"/>
        <v>0</v>
      </c>
      <c r="JP107" s="110">
        <f t="shared" si="325"/>
        <v>0</v>
      </c>
      <c r="JQ107" s="110" t="str">
        <f t="shared" si="249"/>
        <v/>
      </c>
      <c r="JR107" s="110" t="str">
        <f t="shared" si="250"/>
        <v/>
      </c>
      <c r="JS107" s="110" t="str">
        <f t="shared" si="251"/>
        <v/>
      </c>
      <c r="JT107" s="110" t="str">
        <f t="shared" si="252"/>
        <v/>
      </c>
      <c r="JU107" s="110" t="str">
        <f t="shared" si="253"/>
        <v/>
      </c>
      <c r="JV107" s="110" t="str">
        <f t="shared" si="254"/>
        <v/>
      </c>
      <c r="JW107" s="110" t="str">
        <f t="shared" si="255"/>
        <v/>
      </c>
      <c r="JX107" s="110" t="str">
        <f t="shared" si="326"/>
        <v/>
      </c>
      <c r="JY107" s="110" t="str">
        <f t="shared" si="327"/>
        <v/>
      </c>
      <c r="JZ107" s="110" t="str">
        <f t="shared" si="256"/>
        <v/>
      </c>
      <c r="KA107" s="108" t="str">
        <f t="shared" si="328"/>
        <v/>
      </c>
    </row>
    <row r="108" spans="1:287" s="108" customFormat="1" ht="21.95" customHeight="1">
      <c r="A108" s="89">
        <v>102</v>
      </c>
      <c r="B108" s="90" t="str">
        <f>IF('Marks Entry'!B108="","",'Marks Entry'!B108)</f>
        <v/>
      </c>
      <c r="C108" s="94" t="str">
        <f>IF('Marks Entry'!D108="","",'Marks Entry'!D108)</f>
        <v/>
      </c>
      <c r="D108" s="91" t="str">
        <f>IF('Marks Entry'!E108="","",'Marks Entry'!E108)</f>
        <v/>
      </c>
      <c r="E108" s="92" t="str">
        <f>IF('Marks Entry'!F108="","",'Marks Entry'!F108)</f>
        <v/>
      </c>
      <c r="F108" s="93" t="str">
        <f>IF('Marks Entry'!G108="","",'Marks Entry'!G108)</f>
        <v/>
      </c>
      <c r="G108" s="93" t="str">
        <f>IF('Marks Entry'!H108="","",'Marks Entry'!H108)</f>
        <v/>
      </c>
      <c r="H108" s="93" t="str">
        <f>IF('Marks Entry'!I108="","",'Marks Entry'!I108)</f>
        <v/>
      </c>
      <c r="I108" s="94" t="str">
        <f>IF('Marks Entry'!J108="","",'Marks Entry'!J108)</f>
        <v/>
      </c>
      <c r="J108" s="95" t="str">
        <f>IF('Marks Entry'!K108="","",'Marks Entry'!K108)</f>
        <v/>
      </c>
      <c r="K108" s="68" t="str">
        <f>IF('Marks Entry'!L108="","",'Marks Entry'!L108)</f>
        <v/>
      </c>
      <c r="L108" s="68" t="str">
        <f>IF('Marks Entry'!M108="","",'Marks Entry'!M108)</f>
        <v/>
      </c>
      <c r="M108" s="68" t="str">
        <f>IF('Marks Entry'!N108="","",'Marks Entry'!N108)</f>
        <v/>
      </c>
      <c r="N108" s="514" t="str">
        <f t="shared" si="257"/>
        <v/>
      </c>
      <c r="O108" s="68" t="str">
        <f>IF('Marks Entry'!O108="","",'Marks Entry'!O108)</f>
        <v/>
      </c>
      <c r="P108" s="515" t="str">
        <f t="shared" si="258"/>
        <v/>
      </c>
      <c r="Q108" s="68" t="str">
        <f>IF('Marks Entry'!P108="","",'Marks Entry'!P108)</f>
        <v/>
      </c>
      <c r="R108" s="96" t="str">
        <f t="shared" si="259"/>
        <v/>
      </c>
      <c r="S108" s="65">
        <f t="shared" si="260"/>
        <v>0</v>
      </c>
      <c r="T108" s="65">
        <f t="shared" si="261"/>
        <v>0</v>
      </c>
      <c r="U108" s="66" t="str">
        <f t="shared" si="171"/>
        <v/>
      </c>
      <c r="V108" s="65" t="str">
        <f t="shared" si="172"/>
        <v/>
      </c>
      <c r="W108" s="65" t="str">
        <f t="shared" si="262"/>
        <v/>
      </c>
      <c r="X108" s="65" t="str">
        <f t="shared" si="173"/>
        <v/>
      </c>
      <c r="Y108" s="68" t="str">
        <f>IF('Marks Entry'!Q108="","",'Marks Entry'!Q108)</f>
        <v/>
      </c>
      <c r="Z108" s="68" t="str">
        <f>IF('Marks Entry'!R108="","",'Marks Entry'!R108)</f>
        <v/>
      </c>
      <c r="AA108" s="68" t="str">
        <f>IF('Marks Entry'!S108="","",'Marks Entry'!S108)</f>
        <v/>
      </c>
      <c r="AB108" s="514" t="str">
        <f t="shared" si="174"/>
        <v/>
      </c>
      <c r="AC108" s="68" t="str">
        <f>IF('Marks Entry'!T108="","",'Marks Entry'!T108)</f>
        <v/>
      </c>
      <c r="AD108" s="515" t="str">
        <f t="shared" si="175"/>
        <v/>
      </c>
      <c r="AE108" s="68" t="str">
        <f>IF('Marks Entry'!U108="","",'Marks Entry'!U108)</f>
        <v/>
      </c>
      <c r="AF108" s="96" t="str">
        <f t="shared" si="176"/>
        <v/>
      </c>
      <c r="AG108" s="65">
        <f t="shared" si="177"/>
        <v>0</v>
      </c>
      <c r="AH108" s="65">
        <f t="shared" si="178"/>
        <v>0</v>
      </c>
      <c r="AI108" s="66" t="str">
        <f t="shared" si="179"/>
        <v/>
      </c>
      <c r="AJ108" s="65" t="str">
        <f t="shared" si="180"/>
        <v/>
      </c>
      <c r="AK108" s="65" t="str">
        <f t="shared" si="181"/>
        <v/>
      </c>
      <c r="AL108" s="65" t="str">
        <f t="shared" si="182"/>
        <v/>
      </c>
      <c r="AM108" s="524" t="str">
        <f>IF('Marks Entry'!V108="","",IF('Marks Entry'!V108=1,'School Profile'!$I$9,IF('Marks Entry'!V108=2,'School Profile'!$I$10,IF('Marks Entry'!V108=3,'School Profile'!$I$11,IF('Marks Entry'!V108=4,'School Profile'!$I$12,IF('Marks Entry'!V108=5,'School Profile'!$I$13,IF('Marks Entry'!V108=6,'School Profile'!$I$14,"")))))))</f>
        <v/>
      </c>
      <c r="AN108" s="68" t="str">
        <f>IF('Marks Entry'!W108="","",'Marks Entry'!W108)</f>
        <v/>
      </c>
      <c r="AO108" s="68" t="str">
        <f>IF('Marks Entry'!X108="","",'Marks Entry'!X108)</f>
        <v/>
      </c>
      <c r="AP108" s="68" t="str">
        <f>IF('Marks Entry'!Y108="","",'Marks Entry'!Y108)</f>
        <v/>
      </c>
      <c r="AQ108" s="514" t="str">
        <f t="shared" si="183"/>
        <v/>
      </c>
      <c r="AR108" s="68" t="str">
        <f>IF('Marks Entry'!Z108="","",'Marks Entry'!Z108)</f>
        <v/>
      </c>
      <c r="AS108" s="515" t="str">
        <f t="shared" si="184"/>
        <v/>
      </c>
      <c r="AT108" s="68" t="str">
        <f>IF('Marks Entry'!AA108="","",'Marks Entry'!AA108)</f>
        <v/>
      </c>
      <c r="AU108" s="96" t="str">
        <f t="shared" si="185"/>
        <v/>
      </c>
      <c r="AV108" s="65">
        <f t="shared" si="186"/>
        <v>0</v>
      </c>
      <c r="AW108" s="65">
        <f t="shared" si="187"/>
        <v>0</v>
      </c>
      <c r="AX108" s="66" t="str">
        <f t="shared" si="188"/>
        <v/>
      </c>
      <c r="AY108" s="65" t="str">
        <f t="shared" si="189"/>
        <v/>
      </c>
      <c r="AZ108" s="65" t="str">
        <f t="shared" si="190"/>
        <v/>
      </c>
      <c r="BA108" s="65" t="str">
        <f t="shared" si="191"/>
        <v/>
      </c>
      <c r="BB108" s="68" t="str">
        <f>IF('Marks Entry'!AB108="","",'Marks Entry'!AB108)</f>
        <v/>
      </c>
      <c r="BC108" s="68" t="str">
        <f>IF('Marks Entry'!AC108="","",'Marks Entry'!AC108)</f>
        <v/>
      </c>
      <c r="BD108" s="68" t="str">
        <f>IF('Marks Entry'!AD108="","",'Marks Entry'!AD108)</f>
        <v/>
      </c>
      <c r="BE108" s="514" t="str">
        <f t="shared" si="192"/>
        <v/>
      </c>
      <c r="BF108" s="68" t="str">
        <f>IF('Marks Entry'!AE108="","",'Marks Entry'!AE108)</f>
        <v/>
      </c>
      <c r="BG108" s="515" t="str">
        <f t="shared" si="193"/>
        <v/>
      </c>
      <c r="BH108" s="68" t="str">
        <f>IF('Marks Entry'!AF108="","",'Marks Entry'!AF108)</f>
        <v/>
      </c>
      <c r="BI108" s="96" t="str">
        <f t="shared" si="194"/>
        <v/>
      </c>
      <c r="BJ108" s="65">
        <f t="shared" si="195"/>
        <v>0</v>
      </c>
      <c r="BK108" s="65">
        <f t="shared" si="263"/>
        <v>0</v>
      </c>
      <c r="BL108" s="66" t="str">
        <f t="shared" si="196"/>
        <v/>
      </c>
      <c r="BM108" s="65" t="str">
        <f t="shared" si="197"/>
        <v/>
      </c>
      <c r="BN108" s="65" t="str">
        <f t="shared" si="198"/>
        <v/>
      </c>
      <c r="BO108" s="65" t="str">
        <f t="shared" si="199"/>
        <v/>
      </c>
      <c r="BP108" s="68" t="str">
        <f>IF('Marks Entry'!AG108="","",'Marks Entry'!AG108)</f>
        <v/>
      </c>
      <c r="BQ108" s="68" t="str">
        <f>IF('Marks Entry'!AH108="","",'Marks Entry'!AH108)</f>
        <v/>
      </c>
      <c r="BR108" s="68" t="str">
        <f>IF('Marks Entry'!AI108="","",'Marks Entry'!AI108)</f>
        <v/>
      </c>
      <c r="BS108" s="514" t="str">
        <f t="shared" si="200"/>
        <v/>
      </c>
      <c r="BT108" s="68" t="str">
        <f>IF('Marks Entry'!AJ108="","",'Marks Entry'!AJ108)</f>
        <v/>
      </c>
      <c r="BU108" s="515" t="str">
        <f t="shared" si="201"/>
        <v/>
      </c>
      <c r="BV108" s="68" t="str">
        <f>IF('Marks Entry'!AK108="","",'Marks Entry'!AK108)</f>
        <v/>
      </c>
      <c r="BW108" s="96" t="str">
        <f t="shared" si="202"/>
        <v/>
      </c>
      <c r="BX108" s="65">
        <f t="shared" si="203"/>
        <v>0</v>
      </c>
      <c r="BY108" s="65">
        <f t="shared" si="204"/>
        <v>0</v>
      </c>
      <c r="BZ108" s="66" t="str">
        <f t="shared" si="205"/>
        <v/>
      </c>
      <c r="CA108" s="65" t="str">
        <f t="shared" si="206"/>
        <v/>
      </c>
      <c r="CB108" s="65" t="str">
        <f t="shared" si="207"/>
        <v/>
      </c>
      <c r="CC108" s="65" t="str">
        <f t="shared" si="208"/>
        <v/>
      </c>
      <c r="CD108" s="66">
        <f t="shared" si="329"/>
        <v>0</v>
      </c>
      <c r="CE108" s="68" t="str">
        <f>IF('Marks Entry'!AL108="","",'Marks Entry'!AL108)</f>
        <v/>
      </c>
      <c r="CF108" s="68" t="str">
        <f>IF('Marks Entry'!AM108="","",'Marks Entry'!AM108)</f>
        <v/>
      </c>
      <c r="CG108" s="68" t="str">
        <f>IF('Marks Entry'!AN108="","",'Marks Entry'!AN108)</f>
        <v/>
      </c>
      <c r="CH108" s="514" t="str">
        <f t="shared" si="210"/>
        <v/>
      </c>
      <c r="CI108" s="68" t="str">
        <f>IF('Marks Entry'!AO108="","",'Marks Entry'!AO108)</f>
        <v/>
      </c>
      <c r="CJ108" s="515" t="str">
        <f t="shared" si="211"/>
        <v/>
      </c>
      <c r="CK108" s="68" t="str">
        <f>IF('Marks Entry'!AP108="","",'Marks Entry'!AP108)</f>
        <v/>
      </c>
      <c r="CL108" s="96" t="str">
        <f t="shared" si="212"/>
        <v/>
      </c>
      <c r="CM108" s="65">
        <f t="shared" si="213"/>
        <v>0</v>
      </c>
      <c r="CN108" s="65">
        <f t="shared" si="214"/>
        <v>0</v>
      </c>
      <c r="CO108" s="66" t="str">
        <f t="shared" si="215"/>
        <v/>
      </c>
      <c r="CP108" s="65" t="str">
        <f t="shared" si="216"/>
        <v/>
      </c>
      <c r="CQ108" s="65" t="str">
        <f t="shared" si="217"/>
        <v/>
      </c>
      <c r="CR108" s="65" t="str">
        <f t="shared" si="218"/>
        <v/>
      </c>
      <c r="CS108" s="616"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8" t="str">
        <f>IF('School Profile'!$D$20="NO","",IF('Marks Entry'!AR108="","",'Marks Entry'!AR108))</f>
        <v/>
      </c>
      <c r="CU108" s="68" t="str">
        <f>IF('School Profile'!$D$20="NO","",IF('Marks Entry'!AS108="","",'Marks Entry'!AS108))</f>
        <v/>
      </c>
      <c r="CV108" s="68" t="str">
        <f>IF('School Profile'!$D$20="NO","",IF('Marks Entry'!AT108="","",'Marks Entry'!AT108))</f>
        <v/>
      </c>
      <c r="CW108" s="514" t="str">
        <f>IF('School Profile'!$D$20="NO","",IF(AND(CT108="",CU108="",CV108=""),"",SUM(CT108:CV108)))</f>
        <v/>
      </c>
      <c r="CX108" s="68" t="str">
        <f>IF('School Profile'!$D$20="NO","",IF('Marks Entry'!AU108="","",'Marks Entry'!AU108))</f>
        <v/>
      </c>
      <c r="CY108" s="68" t="str">
        <f>IF('School Profile'!$D$20="NO","",IF('Marks Entry'!AV108="","",'Marks Entry'!AV108))</f>
        <v/>
      </c>
      <c r="CZ108" s="515" t="str">
        <f>IF('School Profile'!$D$20="NO","",IF(AND(CX108="",CY108=""),"",SUM(CX108,CY108)))</f>
        <v/>
      </c>
      <c r="DA108" s="69" t="str">
        <f>IF('School Profile'!$D$20="NO","",IF(AND(CW108="",CZ108=""),"",SUM(CW108+CZ108)))</f>
        <v/>
      </c>
      <c r="DB108" s="68" t="str">
        <f>IF('School Profile'!$D$20="NO","",IF('Marks Entry'!AW108="","",'Marks Entry'!AW108))</f>
        <v/>
      </c>
      <c r="DC108" s="68" t="str">
        <f>IF('School Profile'!$D$20="NO","",IF('Marks Entry'!AX108="","",'Marks Entry'!AX108))</f>
        <v/>
      </c>
      <c r="DD108" s="515" t="str">
        <f>IF('School Profile'!$D$20="NO","",IF(AND(DB108="",DC108=""),"",SUM(DB108,DC108)))</f>
        <v/>
      </c>
      <c r="DE108" s="96" t="str">
        <f>IF('School Profile'!$D$20="NO","",IF(AND(DA108="",DD108=""),"",SUM(DA108,DD108)))</f>
        <v/>
      </c>
      <c r="DF108" s="532">
        <f t="shared" si="219"/>
        <v>0</v>
      </c>
      <c r="DG108" s="65">
        <f t="shared" si="220"/>
        <v>0</v>
      </c>
      <c r="DH108" s="66" t="str">
        <f t="shared" si="221"/>
        <v/>
      </c>
      <c r="DI108" s="65" t="str">
        <f t="shared" si="222"/>
        <v/>
      </c>
      <c r="DJ108" s="65" t="str">
        <f t="shared" si="223"/>
        <v/>
      </c>
      <c r="DK108" s="65" t="str">
        <f t="shared" si="224"/>
        <v/>
      </c>
      <c r="DL108" s="97" t="str">
        <f t="shared" si="264"/>
        <v/>
      </c>
      <c r="DM108" s="97" t="str">
        <f t="shared" si="265"/>
        <v/>
      </c>
      <c r="DN108" s="97" t="str">
        <f t="shared" si="266"/>
        <v/>
      </c>
      <c r="DO108" s="97" t="str">
        <f t="shared" si="267"/>
        <v/>
      </c>
      <c r="DP108" s="97" t="str">
        <f t="shared" si="268"/>
        <v/>
      </c>
      <c r="DQ108" s="97" t="str">
        <f t="shared" si="269"/>
        <v/>
      </c>
      <c r="DR108" s="97" t="str">
        <f t="shared" si="270"/>
        <v/>
      </c>
      <c r="DS108" s="98">
        <f t="shared" si="271"/>
        <v>0</v>
      </c>
      <c r="DT108" s="98">
        <f t="shared" si="272"/>
        <v>0</v>
      </c>
      <c r="DU108" s="98">
        <f t="shared" si="273"/>
        <v>0</v>
      </c>
      <c r="DV108" s="98">
        <f t="shared" si="274"/>
        <v>0</v>
      </c>
      <c r="DW108" s="98">
        <f t="shared" si="275"/>
        <v>0</v>
      </c>
      <c r="DX108" s="98" t="str">
        <f t="shared" si="276"/>
        <v/>
      </c>
      <c r="DY108" s="99" t="str">
        <f t="shared" si="277"/>
        <v/>
      </c>
      <c r="DZ108" s="74" t="str">
        <f>IF('Marks Entry'!AY108="","",'Marks Entry'!AY108)</f>
        <v/>
      </c>
      <c r="EA108" s="74" t="str">
        <f>IF('Marks Entry'!AZ108="","",'Marks Entry'!AZ108)</f>
        <v/>
      </c>
      <c r="EB108" s="74" t="str">
        <f>IF('Marks Entry'!BA108="","",'Marks Entry'!BA108)</f>
        <v/>
      </c>
      <c r="EC108" s="527" t="str">
        <f t="shared" si="225"/>
        <v/>
      </c>
      <c r="ED108" s="74" t="str">
        <f>IF('Marks Entry'!BB108="","",'Marks Entry'!BB108)</f>
        <v/>
      </c>
      <c r="EE108" s="528" t="str">
        <f t="shared" si="226"/>
        <v/>
      </c>
      <c r="EF108" s="74" t="str">
        <f>IF('Marks Entry'!BC108="","",'Marks Entry'!BC108)</f>
        <v/>
      </c>
      <c r="EG108" s="530" t="str">
        <f t="shared" si="227"/>
        <v/>
      </c>
      <c r="EH108" s="368" t="str">
        <f t="shared" si="278"/>
        <v/>
      </c>
      <c r="EI108" s="65">
        <f t="shared" si="279"/>
        <v>0</v>
      </c>
      <c r="EJ108" s="65">
        <f t="shared" si="280"/>
        <v>0</v>
      </c>
      <c r="EK108" s="66" t="str">
        <f t="shared" si="281"/>
        <v/>
      </c>
      <c r="EL108" s="74" t="str">
        <f>IF('Marks Entry'!BD108="","",'Marks Entry'!BD108)</f>
        <v/>
      </c>
      <c r="EM108" s="74" t="str">
        <f>IF('Marks Entry'!BE108="","",'Marks Entry'!BE108)</f>
        <v/>
      </c>
      <c r="EN108" s="74" t="str">
        <f>IF('Marks Entry'!BF108="","",'Marks Entry'!BF108)</f>
        <v/>
      </c>
      <c r="EO108" s="527" t="str">
        <f t="shared" si="228"/>
        <v/>
      </c>
      <c r="EP108" s="74" t="str">
        <f>IF('Marks Entry'!BG108="","",'Marks Entry'!BG108)</f>
        <v/>
      </c>
      <c r="EQ108" s="74" t="str">
        <f>IF('Marks Entry'!BH108="","",'Marks Entry'!BH108)</f>
        <v/>
      </c>
      <c r="ER108" s="528" t="str">
        <f t="shared" si="229"/>
        <v/>
      </c>
      <c r="ES108" s="529" t="str">
        <f t="shared" si="230"/>
        <v/>
      </c>
      <c r="ET108" s="74" t="str">
        <f>IF('Marks Entry'!BI108="","",'Marks Entry'!BI108)</f>
        <v/>
      </c>
      <c r="EU108" s="74" t="str">
        <f>IF('Marks Entry'!BJ108="","",'Marks Entry'!BJ108)</f>
        <v/>
      </c>
      <c r="EV108" s="528" t="str">
        <f t="shared" si="231"/>
        <v/>
      </c>
      <c r="EW108" s="530" t="str">
        <f t="shared" si="232"/>
        <v/>
      </c>
      <c r="EX108" s="368" t="str">
        <f t="shared" si="282"/>
        <v/>
      </c>
      <c r="EY108" s="65">
        <f t="shared" si="283"/>
        <v>0</v>
      </c>
      <c r="EZ108" s="65">
        <f t="shared" si="284"/>
        <v>0</v>
      </c>
      <c r="FA108" s="66" t="str">
        <f t="shared" si="285"/>
        <v/>
      </c>
      <c r="FB108" s="74" t="str">
        <f>IF('Marks Entry'!BK108="","",'Marks Entry'!BK108)</f>
        <v/>
      </c>
      <c r="FC108" s="74" t="str">
        <f>IF('Marks Entry'!BL108="","",'Marks Entry'!BL108)</f>
        <v/>
      </c>
      <c r="FD108" s="74" t="str">
        <f>IF('Marks Entry'!BM108="","",'Marks Entry'!BM108)</f>
        <v/>
      </c>
      <c r="FE108" s="74" t="str">
        <f>IF('Marks Entry'!BN108="","",'Marks Entry'!BN108)</f>
        <v/>
      </c>
      <c r="FF108" s="74" t="str">
        <f>IF('Marks Entry'!BO108="","",'Marks Entry'!BO108)</f>
        <v/>
      </c>
      <c r="FG108" s="74" t="str">
        <f>IF('Marks Entry'!BP108="","",'Marks Entry'!BP108)</f>
        <v/>
      </c>
      <c r="FH108" s="527" t="str">
        <f t="shared" si="233"/>
        <v/>
      </c>
      <c r="FI108" s="74" t="str">
        <f>IF('Marks Entry'!BQ108="","",'Marks Entry'!BQ108)</f>
        <v/>
      </c>
      <c r="FJ108" s="74" t="str">
        <f>IF('Marks Entry'!BR108="","",'Marks Entry'!BR108)</f>
        <v/>
      </c>
      <c r="FK108" s="528" t="str">
        <f t="shared" si="234"/>
        <v/>
      </c>
      <c r="FL108" s="529" t="str">
        <f t="shared" si="235"/>
        <v/>
      </c>
      <c r="FM108" s="74" t="str">
        <f>IF('Marks Entry'!BS108="","",'Marks Entry'!BS108)</f>
        <v/>
      </c>
      <c r="FN108" s="74" t="str">
        <f>IF('Marks Entry'!BT108="","",'Marks Entry'!BT108)</f>
        <v/>
      </c>
      <c r="FO108" s="528" t="str">
        <f t="shared" si="236"/>
        <v/>
      </c>
      <c r="FP108" s="530" t="str">
        <f t="shared" si="237"/>
        <v/>
      </c>
      <c r="FQ108" s="368" t="str">
        <f t="shared" si="286"/>
        <v/>
      </c>
      <c r="FR108" s="65">
        <f t="shared" si="287"/>
        <v>0</v>
      </c>
      <c r="FS108" s="65">
        <f t="shared" si="288"/>
        <v>0</v>
      </c>
      <c r="FT108" s="66" t="str">
        <f t="shared" si="289"/>
        <v/>
      </c>
      <c r="FU108" s="74" t="str">
        <f>IF('Marks Entry'!BU108="","",'Marks Entry'!BU108)</f>
        <v/>
      </c>
      <c r="FV108" s="74" t="str">
        <f>IF('Marks Entry'!BV108="","",'Marks Entry'!BV108)</f>
        <v/>
      </c>
      <c r="FW108" s="74" t="str">
        <f>IF('Marks Entry'!BW108="","",'Marks Entry'!BW108)</f>
        <v/>
      </c>
      <c r="FX108" s="75" t="str">
        <f t="shared" si="238"/>
        <v/>
      </c>
      <c r="FY108" s="368" t="str">
        <f t="shared" si="290"/>
        <v/>
      </c>
      <c r="FZ108" s="65">
        <f t="shared" si="291"/>
        <v>0</v>
      </c>
      <c r="GA108" s="66">
        <f t="shared" si="292"/>
        <v>0</v>
      </c>
      <c r="GB108" s="66" t="str">
        <f t="shared" si="293"/>
        <v/>
      </c>
      <c r="GC108" s="74" t="str">
        <f>IF('Marks Entry'!BX108="","",'Marks Entry'!BX108)</f>
        <v/>
      </c>
      <c r="GD108" s="74" t="str">
        <f>IF('Marks Entry'!BY108="","",'Marks Entry'!BY108)</f>
        <v/>
      </c>
      <c r="GE108" s="74" t="str">
        <f>IF('Marks Entry'!BZ108="","",'Marks Entry'!BZ108)</f>
        <v/>
      </c>
      <c r="GF108" s="75" t="str">
        <f t="shared" si="294"/>
        <v/>
      </c>
      <c r="GG108" s="368" t="str">
        <f t="shared" si="295"/>
        <v/>
      </c>
      <c r="GH108" s="65">
        <f t="shared" si="296"/>
        <v>0</v>
      </c>
      <c r="GI108" s="66">
        <f t="shared" si="297"/>
        <v>0</v>
      </c>
      <c r="GJ108" s="66" t="str">
        <f t="shared" si="298"/>
        <v/>
      </c>
      <c r="GK108" s="100" t="str">
        <f>IF(AND(F108="",B108=""),"",IF('Student DATA Entry'!M105="","",'Student DATA Entry'!M105))</f>
        <v/>
      </c>
      <c r="GL108" s="101" t="str">
        <f>IF(AND(B108="",F108=""),"",IF('Student DATA Entry'!N105="","",'Student DATA Entry'!N105))</f>
        <v/>
      </c>
      <c r="GM108" s="581" t="str">
        <f t="shared" si="299"/>
        <v/>
      </c>
      <c r="GN108" s="94" t="str">
        <f t="shared" si="300"/>
        <v/>
      </c>
      <c r="GO108" s="94" t="str">
        <f t="shared" si="301"/>
        <v/>
      </c>
      <c r="GP108" s="102" t="str">
        <f t="shared" si="330"/>
        <v/>
      </c>
      <c r="GQ108" s="94" t="str">
        <f t="shared" si="302"/>
        <v/>
      </c>
      <c r="GR108" s="103" t="str">
        <f t="shared" si="303"/>
        <v/>
      </c>
      <c r="GS108" s="102" t="str">
        <f t="shared" si="331"/>
        <v/>
      </c>
      <c r="GT108" s="104" t="str">
        <f t="shared" si="304"/>
        <v/>
      </c>
      <c r="GU108" s="94" t="str">
        <f>IF('Marks Entry'!V108=1,GT108,"")</f>
        <v/>
      </c>
      <c r="GV108" s="94" t="str">
        <f>IF('Marks Entry'!V108=2,GT108,"")</f>
        <v/>
      </c>
      <c r="GW108" s="94" t="str">
        <f>IF('Marks Entry'!V108=3,GT108,"")</f>
        <v/>
      </c>
      <c r="GX108" s="94" t="str">
        <f>IF('Marks Entry'!V108=4,GT108,"")</f>
        <v/>
      </c>
      <c r="GY108" s="94" t="str">
        <f>IF('Marks Entry'!V108=5,GT108,"")</f>
        <v/>
      </c>
      <c r="GZ108" s="94" t="str">
        <f t="shared" si="305"/>
        <v/>
      </c>
      <c r="HA108" s="105" t="str">
        <f t="shared" si="332"/>
        <v/>
      </c>
      <c r="HB108" s="94" t="str">
        <f t="shared" si="306"/>
        <v/>
      </c>
      <c r="HC108" s="94" t="str">
        <f t="shared" si="307"/>
        <v/>
      </c>
      <c r="HD108" s="105" t="str">
        <f t="shared" si="333"/>
        <v/>
      </c>
      <c r="HE108" s="94" t="str">
        <f t="shared" si="308"/>
        <v/>
      </c>
      <c r="HF108" s="94" t="str">
        <f t="shared" si="309"/>
        <v/>
      </c>
      <c r="HG108" s="105" t="str">
        <f t="shared" si="334"/>
        <v/>
      </c>
      <c r="HH108" s="94" t="str">
        <f t="shared" si="310"/>
        <v/>
      </c>
      <c r="HI108" s="94" t="str">
        <f t="shared" si="311"/>
        <v/>
      </c>
      <c r="HJ108" s="105" t="str">
        <f t="shared" si="335"/>
        <v/>
      </c>
      <c r="HK108" s="94" t="str">
        <f t="shared" si="312"/>
        <v/>
      </c>
      <c r="HL108" s="94" t="str">
        <f t="shared" si="313"/>
        <v/>
      </c>
      <c r="HM108" s="105" t="str">
        <f t="shared" si="336"/>
        <v/>
      </c>
      <c r="HN108" s="367" t="str">
        <f t="shared" si="314"/>
        <v xml:space="preserve">      </v>
      </c>
      <c r="HO108" s="418" t="str">
        <f t="shared" si="337"/>
        <v xml:space="preserve">      </v>
      </c>
      <c r="HP108" s="367" t="str">
        <f t="shared" si="315"/>
        <v xml:space="preserve">      </v>
      </c>
      <c r="HQ108" s="107" t="str">
        <f t="shared" si="316"/>
        <v xml:space="preserve">      </v>
      </c>
      <c r="HR108" s="366" t="str">
        <f t="shared" si="317"/>
        <v xml:space="preserve">      </v>
      </c>
      <c r="HS108" s="544" t="str">
        <f t="shared" si="338"/>
        <v/>
      </c>
      <c r="HT108" s="542" t="str">
        <f t="shared" si="318"/>
        <v/>
      </c>
      <c r="HU108" s="541" t="str">
        <f t="shared" si="319"/>
        <v/>
      </c>
      <c r="HV108" s="540" t="str">
        <f t="shared" si="320"/>
        <v/>
      </c>
      <c r="HW108" s="537" t="str">
        <f t="shared" si="321"/>
        <v/>
      </c>
      <c r="HX108" s="539" t="str">
        <f t="shared" si="322"/>
        <v/>
      </c>
      <c r="HY108" s="553" t="str">
        <f>IFERROR(IF(OR(HS108="SUPPLEMENTARY",HS108="RE-EXAM"),'Supp. Result Entry'!AQ106,""),"")</f>
        <v/>
      </c>
      <c r="HZ108" s="538" t="str">
        <f t="shared" si="323"/>
        <v/>
      </c>
      <c r="IA108" s="415" t="str">
        <f t="shared" si="324"/>
        <v/>
      </c>
      <c r="IB108" s="415" t="str">
        <f>IF(AND(HZ108="",IA108=""),"",IF(OR(HS108="SUPPLEMENTARY",HS108="RE-EXAM"),'Supp. Result Entry'!AQ106,HS108))</f>
        <v/>
      </c>
      <c r="IC108" s="87"/>
      <c r="IS108" s="109" t="str">
        <f>IF('Supp. Result Entry'!T106="","",'Supp. Result Entry'!$T$4)</f>
        <v/>
      </c>
      <c r="IT108" s="110" t="str">
        <f>IF('Supp. Result Entry'!W106="","",'Supp. Result Entry'!$W$4)</f>
        <v/>
      </c>
      <c r="IU108" s="110" t="str">
        <f>IF('Supp. Result Entry'!Z106="","",'Supp. Result Entry'!$Z$4)</f>
        <v/>
      </c>
      <c r="IV108" s="110" t="str">
        <f>IF('Supp. Result Entry'!AC106="","",'Supp. Result Entry'!$AC$4)</f>
        <v/>
      </c>
      <c r="IW108" s="110" t="str">
        <f>IF('Supp. Result Entry'!AF106="","",'Supp. Result Entry'!$AF$4)</f>
        <v/>
      </c>
      <c r="IX108" s="110" t="str">
        <f>IF('Supp. Result Entry'!AI106="","",'Supp. Result Entry'!$AI$4)</f>
        <v/>
      </c>
      <c r="IY108" s="110" t="str">
        <f>IF('Supp. Result Entry'!AI106="","",'Supp. Result Entry'!$AL$4)</f>
        <v/>
      </c>
      <c r="IZ108" s="110" t="str">
        <f>IF('Supp. Result Entry'!U106="","",'Supp. Result Entry'!U106)</f>
        <v/>
      </c>
      <c r="JA108" s="110" t="str">
        <f>IF('Supp. Result Entry'!X106="","",'Supp. Result Entry'!X106)</f>
        <v/>
      </c>
      <c r="JB108" s="110" t="str">
        <f>IF('Supp. Result Entry'!AA106="","",'Supp. Result Entry'!AA106)</f>
        <v/>
      </c>
      <c r="JC108" s="110" t="str">
        <f>IF('Supp. Result Entry'!AD106="","",'Supp. Result Entry'!AD106)</f>
        <v/>
      </c>
      <c r="JD108" s="110" t="str">
        <f>IF('Supp. Result Entry'!AG106="","",'Supp. Result Entry'!AG106)</f>
        <v/>
      </c>
      <c r="JE108" s="110" t="str">
        <f>IF('Supp. Result Entry'!AJ106="","",'Supp. Result Entry'!AJ106)</f>
        <v/>
      </c>
      <c r="JF108" s="110" t="str">
        <f>IF('Supp. Result Entry'!AM106="","",'Supp. Result Entry'!AM106)</f>
        <v/>
      </c>
      <c r="JG108" s="110" t="str">
        <f>IF('Supp. Result Entry'!V106="","",'Supp. Result Entry'!V106)</f>
        <v/>
      </c>
      <c r="JH108" s="110" t="str">
        <f>IF('Supp. Result Entry'!Y106="","",'Supp. Result Entry'!Y106)</f>
        <v/>
      </c>
      <c r="JI108" s="110" t="str">
        <f>IF('Supp. Result Entry'!AB106="","",'Supp. Result Entry'!AB106)</f>
        <v/>
      </c>
      <c r="JJ108" s="110" t="str">
        <f>IF('Supp. Result Entry'!AE106="","",'Supp. Result Entry'!AE106)</f>
        <v/>
      </c>
      <c r="JK108" s="110" t="str">
        <f>IF('Supp. Result Entry'!AH106="","",'Supp. Result Entry'!AH106)</f>
        <v/>
      </c>
      <c r="JL108" s="110" t="str">
        <f>IF('Supp. Result Entry'!AK106="","",'Supp. Result Entry'!AK106)</f>
        <v/>
      </c>
      <c r="JM108" s="110" t="str">
        <f>IF('Supp. Result Entry'!AN106="","",'Supp. Result Entry'!AN106)</f>
        <v/>
      </c>
      <c r="JN108" s="110">
        <f>COUNTIF('Supp. Result Entry'!K106:Q106,"S")</f>
        <v>0</v>
      </c>
      <c r="JO108" s="110">
        <f t="shared" si="248"/>
        <v>0</v>
      </c>
      <c r="JP108" s="110">
        <f t="shared" si="325"/>
        <v>0</v>
      </c>
      <c r="JQ108" s="110" t="str">
        <f t="shared" si="249"/>
        <v/>
      </c>
      <c r="JR108" s="110" t="str">
        <f t="shared" si="250"/>
        <v/>
      </c>
      <c r="JS108" s="110" t="str">
        <f t="shared" si="251"/>
        <v/>
      </c>
      <c r="JT108" s="110" t="str">
        <f t="shared" si="252"/>
        <v/>
      </c>
      <c r="JU108" s="110" t="str">
        <f t="shared" si="253"/>
        <v/>
      </c>
      <c r="JV108" s="110" t="str">
        <f t="shared" si="254"/>
        <v/>
      </c>
      <c r="JW108" s="110" t="str">
        <f t="shared" si="255"/>
        <v/>
      </c>
      <c r="JX108" s="110" t="str">
        <f t="shared" si="326"/>
        <v/>
      </c>
      <c r="JY108" s="110" t="str">
        <f t="shared" si="327"/>
        <v/>
      </c>
      <c r="JZ108" s="110" t="str">
        <f t="shared" si="256"/>
        <v/>
      </c>
      <c r="KA108" s="108" t="str">
        <f t="shared" si="328"/>
        <v/>
      </c>
    </row>
    <row r="109" spans="1:287" s="108" customFormat="1" ht="21.95" customHeight="1">
      <c r="A109" s="89">
        <v>103</v>
      </c>
      <c r="B109" s="90" t="str">
        <f>IF('Marks Entry'!B109="","",'Marks Entry'!B109)</f>
        <v/>
      </c>
      <c r="C109" s="94" t="str">
        <f>IF('Marks Entry'!D109="","",'Marks Entry'!D109)</f>
        <v/>
      </c>
      <c r="D109" s="91" t="str">
        <f>IF('Marks Entry'!E109="","",'Marks Entry'!E109)</f>
        <v/>
      </c>
      <c r="E109" s="92" t="str">
        <f>IF('Marks Entry'!F109="","",'Marks Entry'!F109)</f>
        <v/>
      </c>
      <c r="F109" s="93" t="str">
        <f>IF('Marks Entry'!G109="","",'Marks Entry'!G109)</f>
        <v/>
      </c>
      <c r="G109" s="93" t="str">
        <f>IF('Marks Entry'!H109="","",'Marks Entry'!H109)</f>
        <v/>
      </c>
      <c r="H109" s="93" t="str">
        <f>IF('Marks Entry'!I109="","",'Marks Entry'!I109)</f>
        <v/>
      </c>
      <c r="I109" s="94" t="str">
        <f>IF('Marks Entry'!J109="","",'Marks Entry'!J109)</f>
        <v/>
      </c>
      <c r="J109" s="95" t="str">
        <f>IF('Marks Entry'!K109="","",'Marks Entry'!K109)</f>
        <v/>
      </c>
      <c r="K109" s="68" t="str">
        <f>IF('Marks Entry'!L109="","",'Marks Entry'!L109)</f>
        <v/>
      </c>
      <c r="L109" s="68" t="str">
        <f>IF('Marks Entry'!M109="","",'Marks Entry'!M109)</f>
        <v/>
      </c>
      <c r="M109" s="68" t="str">
        <f>IF('Marks Entry'!N109="","",'Marks Entry'!N109)</f>
        <v/>
      </c>
      <c r="N109" s="514" t="str">
        <f t="shared" si="257"/>
        <v/>
      </c>
      <c r="O109" s="68" t="str">
        <f>IF('Marks Entry'!O109="","",'Marks Entry'!O109)</f>
        <v/>
      </c>
      <c r="P109" s="515" t="str">
        <f t="shared" si="258"/>
        <v/>
      </c>
      <c r="Q109" s="68" t="str">
        <f>IF('Marks Entry'!P109="","",'Marks Entry'!P109)</f>
        <v/>
      </c>
      <c r="R109" s="96" t="str">
        <f t="shared" si="259"/>
        <v/>
      </c>
      <c r="S109" s="65">
        <f t="shared" si="260"/>
        <v>0</v>
      </c>
      <c r="T109" s="65">
        <f t="shared" si="261"/>
        <v>0</v>
      </c>
      <c r="U109" s="66" t="str">
        <f t="shared" si="171"/>
        <v/>
      </c>
      <c r="V109" s="65" t="str">
        <f t="shared" si="172"/>
        <v/>
      </c>
      <c r="W109" s="65" t="str">
        <f t="shared" si="262"/>
        <v/>
      </c>
      <c r="X109" s="65" t="str">
        <f t="shared" si="173"/>
        <v/>
      </c>
      <c r="Y109" s="68" t="str">
        <f>IF('Marks Entry'!Q109="","",'Marks Entry'!Q109)</f>
        <v/>
      </c>
      <c r="Z109" s="68" t="str">
        <f>IF('Marks Entry'!R109="","",'Marks Entry'!R109)</f>
        <v/>
      </c>
      <c r="AA109" s="68" t="str">
        <f>IF('Marks Entry'!S109="","",'Marks Entry'!S109)</f>
        <v/>
      </c>
      <c r="AB109" s="514" t="str">
        <f t="shared" si="174"/>
        <v/>
      </c>
      <c r="AC109" s="68" t="str">
        <f>IF('Marks Entry'!T109="","",'Marks Entry'!T109)</f>
        <v/>
      </c>
      <c r="AD109" s="515" t="str">
        <f t="shared" si="175"/>
        <v/>
      </c>
      <c r="AE109" s="68" t="str">
        <f>IF('Marks Entry'!U109="","",'Marks Entry'!U109)</f>
        <v/>
      </c>
      <c r="AF109" s="96" t="str">
        <f t="shared" si="176"/>
        <v/>
      </c>
      <c r="AG109" s="65">
        <f t="shared" si="177"/>
        <v>0</v>
      </c>
      <c r="AH109" s="65">
        <f t="shared" si="178"/>
        <v>0</v>
      </c>
      <c r="AI109" s="66" t="str">
        <f t="shared" si="179"/>
        <v/>
      </c>
      <c r="AJ109" s="65" t="str">
        <f t="shared" si="180"/>
        <v/>
      </c>
      <c r="AK109" s="65" t="str">
        <f t="shared" si="181"/>
        <v/>
      </c>
      <c r="AL109" s="65" t="str">
        <f t="shared" si="182"/>
        <v/>
      </c>
      <c r="AM109" s="524" t="str">
        <f>IF('Marks Entry'!V109="","",IF('Marks Entry'!V109=1,'School Profile'!$I$9,IF('Marks Entry'!V109=2,'School Profile'!$I$10,IF('Marks Entry'!V109=3,'School Profile'!$I$11,IF('Marks Entry'!V109=4,'School Profile'!$I$12,IF('Marks Entry'!V109=5,'School Profile'!$I$13,IF('Marks Entry'!V109=6,'School Profile'!$I$14,"")))))))</f>
        <v/>
      </c>
      <c r="AN109" s="68" t="str">
        <f>IF('Marks Entry'!W109="","",'Marks Entry'!W109)</f>
        <v/>
      </c>
      <c r="AO109" s="68" t="str">
        <f>IF('Marks Entry'!X109="","",'Marks Entry'!X109)</f>
        <v/>
      </c>
      <c r="AP109" s="68" t="str">
        <f>IF('Marks Entry'!Y109="","",'Marks Entry'!Y109)</f>
        <v/>
      </c>
      <c r="AQ109" s="514" t="str">
        <f t="shared" si="183"/>
        <v/>
      </c>
      <c r="AR109" s="68" t="str">
        <f>IF('Marks Entry'!Z109="","",'Marks Entry'!Z109)</f>
        <v/>
      </c>
      <c r="AS109" s="515" t="str">
        <f t="shared" si="184"/>
        <v/>
      </c>
      <c r="AT109" s="68" t="str">
        <f>IF('Marks Entry'!AA109="","",'Marks Entry'!AA109)</f>
        <v/>
      </c>
      <c r="AU109" s="96" t="str">
        <f t="shared" si="185"/>
        <v/>
      </c>
      <c r="AV109" s="65">
        <f t="shared" si="186"/>
        <v>0</v>
      </c>
      <c r="AW109" s="65">
        <f t="shared" si="187"/>
        <v>0</v>
      </c>
      <c r="AX109" s="66" t="str">
        <f t="shared" si="188"/>
        <v/>
      </c>
      <c r="AY109" s="65" t="str">
        <f t="shared" si="189"/>
        <v/>
      </c>
      <c r="AZ109" s="65" t="str">
        <f t="shared" si="190"/>
        <v/>
      </c>
      <c r="BA109" s="65" t="str">
        <f t="shared" si="191"/>
        <v/>
      </c>
      <c r="BB109" s="68" t="str">
        <f>IF('Marks Entry'!AB109="","",'Marks Entry'!AB109)</f>
        <v/>
      </c>
      <c r="BC109" s="68" t="str">
        <f>IF('Marks Entry'!AC109="","",'Marks Entry'!AC109)</f>
        <v/>
      </c>
      <c r="BD109" s="68" t="str">
        <f>IF('Marks Entry'!AD109="","",'Marks Entry'!AD109)</f>
        <v/>
      </c>
      <c r="BE109" s="514" t="str">
        <f t="shared" si="192"/>
        <v/>
      </c>
      <c r="BF109" s="68" t="str">
        <f>IF('Marks Entry'!AE109="","",'Marks Entry'!AE109)</f>
        <v/>
      </c>
      <c r="BG109" s="515" t="str">
        <f t="shared" si="193"/>
        <v/>
      </c>
      <c r="BH109" s="68" t="str">
        <f>IF('Marks Entry'!AF109="","",'Marks Entry'!AF109)</f>
        <v/>
      </c>
      <c r="BI109" s="96" t="str">
        <f t="shared" si="194"/>
        <v/>
      </c>
      <c r="BJ109" s="65">
        <f t="shared" si="195"/>
        <v>0</v>
      </c>
      <c r="BK109" s="65">
        <f t="shared" si="263"/>
        <v>0</v>
      </c>
      <c r="BL109" s="66" t="str">
        <f t="shared" si="196"/>
        <v/>
      </c>
      <c r="BM109" s="65" t="str">
        <f t="shared" si="197"/>
        <v/>
      </c>
      <c r="BN109" s="65" t="str">
        <f t="shared" si="198"/>
        <v/>
      </c>
      <c r="BO109" s="65" t="str">
        <f t="shared" si="199"/>
        <v/>
      </c>
      <c r="BP109" s="68" t="str">
        <f>IF('Marks Entry'!AG109="","",'Marks Entry'!AG109)</f>
        <v/>
      </c>
      <c r="BQ109" s="68" t="str">
        <f>IF('Marks Entry'!AH109="","",'Marks Entry'!AH109)</f>
        <v/>
      </c>
      <c r="BR109" s="68" t="str">
        <f>IF('Marks Entry'!AI109="","",'Marks Entry'!AI109)</f>
        <v/>
      </c>
      <c r="BS109" s="514" t="str">
        <f t="shared" si="200"/>
        <v/>
      </c>
      <c r="BT109" s="68" t="str">
        <f>IF('Marks Entry'!AJ109="","",'Marks Entry'!AJ109)</f>
        <v/>
      </c>
      <c r="BU109" s="515" t="str">
        <f t="shared" si="201"/>
        <v/>
      </c>
      <c r="BV109" s="68" t="str">
        <f>IF('Marks Entry'!AK109="","",'Marks Entry'!AK109)</f>
        <v/>
      </c>
      <c r="BW109" s="96" t="str">
        <f t="shared" si="202"/>
        <v/>
      </c>
      <c r="BX109" s="65">
        <f t="shared" si="203"/>
        <v>0</v>
      </c>
      <c r="BY109" s="65">
        <f t="shared" si="204"/>
        <v>0</v>
      </c>
      <c r="BZ109" s="66" t="str">
        <f t="shared" si="205"/>
        <v/>
      </c>
      <c r="CA109" s="65" t="str">
        <f t="shared" si="206"/>
        <v/>
      </c>
      <c r="CB109" s="65" t="str">
        <f t="shared" si="207"/>
        <v/>
      </c>
      <c r="CC109" s="65" t="str">
        <f t="shared" si="208"/>
        <v/>
      </c>
      <c r="CD109" s="66">
        <f t="shared" si="329"/>
        <v>0</v>
      </c>
      <c r="CE109" s="68" t="str">
        <f>IF('Marks Entry'!AL109="","",'Marks Entry'!AL109)</f>
        <v/>
      </c>
      <c r="CF109" s="68" t="str">
        <f>IF('Marks Entry'!AM109="","",'Marks Entry'!AM109)</f>
        <v/>
      </c>
      <c r="CG109" s="68" t="str">
        <f>IF('Marks Entry'!AN109="","",'Marks Entry'!AN109)</f>
        <v/>
      </c>
      <c r="CH109" s="514" t="str">
        <f t="shared" si="210"/>
        <v/>
      </c>
      <c r="CI109" s="68" t="str">
        <f>IF('Marks Entry'!AO109="","",'Marks Entry'!AO109)</f>
        <v/>
      </c>
      <c r="CJ109" s="515" t="str">
        <f t="shared" si="211"/>
        <v/>
      </c>
      <c r="CK109" s="68" t="str">
        <f>IF('Marks Entry'!AP109="","",'Marks Entry'!AP109)</f>
        <v/>
      </c>
      <c r="CL109" s="96" t="str">
        <f t="shared" si="212"/>
        <v/>
      </c>
      <c r="CM109" s="65">
        <f t="shared" si="213"/>
        <v>0</v>
      </c>
      <c r="CN109" s="65">
        <f t="shared" si="214"/>
        <v>0</v>
      </c>
      <c r="CO109" s="66" t="str">
        <f t="shared" si="215"/>
        <v/>
      </c>
      <c r="CP109" s="65" t="str">
        <f t="shared" si="216"/>
        <v/>
      </c>
      <c r="CQ109" s="65" t="str">
        <f t="shared" si="217"/>
        <v/>
      </c>
      <c r="CR109" s="65" t="str">
        <f t="shared" si="218"/>
        <v/>
      </c>
      <c r="CS109" s="616"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8" t="str">
        <f>IF('School Profile'!$D$20="NO","",IF('Marks Entry'!AR109="","",'Marks Entry'!AR109))</f>
        <v/>
      </c>
      <c r="CU109" s="68" t="str">
        <f>IF('School Profile'!$D$20="NO","",IF('Marks Entry'!AS109="","",'Marks Entry'!AS109))</f>
        <v/>
      </c>
      <c r="CV109" s="68" t="str">
        <f>IF('School Profile'!$D$20="NO","",IF('Marks Entry'!AT109="","",'Marks Entry'!AT109))</f>
        <v/>
      </c>
      <c r="CW109" s="514" t="str">
        <f>IF('School Profile'!$D$20="NO","",IF(AND(CT109="",CU109="",CV109=""),"",SUM(CT109:CV109)))</f>
        <v/>
      </c>
      <c r="CX109" s="68" t="str">
        <f>IF('School Profile'!$D$20="NO","",IF('Marks Entry'!AU109="","",'Marks Entry'!AU109))</f>
        <v/>
      </c>
      <c r="CY109" s="68" t="str">
        <f>IF('School Profile'!$D$20="NO","",IF('Marks Entry'!AV109="","",'Marks Entry'!AV109))</f>
        <v/>
      </c>
      <c r="CZ109" s="515" t="str">
        <f>IF('School Profile'!$D$20="NO","",IF(AND(CX109="",CY109=""),"",SUM(CX109,CY109)))</f>
        <v/>
      </c>
      <c r="DA109" s="69" t="str">
        <f>IF('School Profile'!$D$20="NO","",IF(AND(CW109="",CZ109=""),"",SUM(CW109+CZ109)))</f>
        <v/>
      </c>
      <c r="DB109" s="68" t="str">
        <f>IF('School Profile'!$D$20="NO","",IF('Marks Entry'!AW109="","",'Marks Entry'!AW109))</f>
        <v/>
      </c>
      <c r="DC109" s="68" t="str">
        <f>IF('School Profile'!$D$20="NO","",IF('Marks Entry'!AX109="","",'Marks Entry'!AX109))</f>
        <v/>
      </c>
      <c r="DD109" s="515" t="str">
        <f>IF('School Profile'!$D$20="NO","",IF(AND(DB109="",DC109=""),"",SUM(DB109,DC109)))</f>
        <v/>
      </c>
      <c r="DE109" s="96" t="str">
        <f>IF('School Profile'!$D$20="NO","",IF(AND(DA109="",DD109=""),"",SUM(DA109,DD109)))</f>
        <v/>
      </c>
      <c r="DF109" s="532">
        <f t="shared" si="219"/>
        <v>0</v>
      </c>
      <c r="DG109" s="65">
        <f t="shared" si="220"/>
        <v>0</v>
      </c>
      <c r="DH109" s="66" t="str">
        <f t="shared" si="221"/>
        <v/>
      </c>
      <c r="DI109" s="65" t="str">
        <f t="shared" si="222"/>
        <v/>
      </c>
      <c r="DJ109" s="65" t="str">
        <f t="shared" si="223"/>
        <v/>
      </c>
      <c r="DK109" s="65" t="str">
        <f t="shared" si="224"/>
        <v/>
      </c>
      <c r="DL109" s="97" t="str">
        <f t="shared" si="264"/>
        <v/>
      </c>
      <c r="DM109" s="97" t="str">
        <f t="shared" si="265"/>
        <v/>
      </c>
      <c r="DN109" s="97" t="str">
        <f t="shared" si="266"/>
        <v/>
      </c>
      <c r="DO109" s="97" t="str">
        <f t="shared" si="267"/>
        <v/>
      </c>
      <c r="DP109" s="97" t="str">
        <f t="shared" si="268"/>
        <v/>
      </c>
      <c r="DQ109" s="97" t="str">
        <f t="shared" si="269"/>
        <v/>
      </c>
      <c r="DR109" s="97" t="str">
        <f t="shared" si="270"/>
        <v/>
      </c>
      <c r="DS109" s="98">
        <f t="shared" si="271"/>
        <v>0</v>
      </c>
      <c r="DT109" s="98">
        <f t="shared" si="272"/>
        <v>0</v>
      </c>
      <c r="DU109" s="98">
        <f t="shared" si="273"/>
        <v>0</v>
      </c>
      <c r="DV109" s="98">
        <f t="shared" si="274"/>
        <v>0</v>
      </c>
      <c r="DW109" s="98">
        <f t="shared" si="275"/>
        <v>0</v>
      </c>
      <c r="DX109" s="98" t="str">
        <f t="shared" si="276"/>
        <v/>
      </c>
      <c r="DY109" s="99" t="str">
        <f t="shared" si="277"/>
        <v/>
      </c>
      <c r="DZ109" s="74" t="str">
        <f>IF('Marks Entry'!AY109="","",'Marks Entry'!AY109)</f>
        <v/>
      </c>
      <c r="EA109" s="74" t="str">
        <f>IF('Marks Entry'!AZ109="","",'Marks Entry'!AZ109)</f>
        <v/>
      </c>
      <c r="EB109" s="74" t="str">
        <f>IF('Marks Entry'!BA109="","",'Marks Entry'!BA109)</f>
        <v/>
      </c>
      <c r="EC109" s="527" t="str">
        <f t="shared" si="225"/>
        <v/>
      </c>
      <c r="ED109" s="74" t="str">
        <f>IF('Marks Entry'!BB109="","",'Marks Entry'!BB109)</f>
        <v/>
      </c>
      <c r="EE109" s="528" t="str">
        <f t="shared" si="226"/>
        <v/>
      </c>
      <c r="EF109" s="74" t="str">
        <f>IF('Marks Entry'!BC109="","",'Marks Entry'!BC109)</f>
        <v/>
      </c>
      <c r="EG109" s="530" t="str">
        <f t="shared" si="227"/>
        <v/>
      </c>
      <c r="EH109" s="368" t="str">
        <f t="shared" si="278"/>
        <v/>
      </c>
      <c r="EI109" s="65">
        <f t="shared" si="279"/>
        <v>0</v>
      </c>
      <c r="EJ109" s="65">
        <f t="shared" si="280"/>
        <v>0</v>
      </c>
      <c r="EK109" s="66" t="str">
        <f t="shared" si="281"/>
        <v/>
      </c>
      <c r="EL109" s="74" t="str">
        <f>IF('Marks Entry'!BD109="","",'Marks Entry'!BD109)</f>
        <v/>
      </c>
      <c r="EM109" s="74" t="str">
        <f>IF('Marks Entry'!BE109="","",'Marks Entry'!BE109)</f>
        <v/>
      </c>
      <c r="EN109" s="74" t="str">
        <f>IF('Marks Entry'!BF109="","",'Marks Entry'!BF109)</f>
        <v/>
      </c>
      <c r="EO109" s="527" t="str">
        <f t="shared" si="228"/>
        <v/>
      </c>
      <c r="EP109" s="74" t="str">
        <f>IF('Marks Entry'!BG109="","",'Marks Entry'!BG109)</f>
        <v/>
      </c>
      <c r="EQ109" s="74" t="str">
        <f>IF('Marks Entry'!BH109="","",'Marks Entry'!BH109)</f>
        <v/>
      </c>
      <c r="ER109" s="528" t="str">
        <f t="shared" si="229"/>
        <v/>
      </c>
      <c r="ES109" s="529" t="str">
        <f t="shared" si="230"/>
        <v/>
      </c>
      <c r="ET109" s="74" t="str">
        <f>IF('Marks Entry'!BI109="","",'Marks Entry'!BI109)</f>
        <v/>
      </c>
      <c r="EU109" s="74" t="str">
        <f>IF('Marks Entry'!BJ109="","",'Marks Entry'!BJ109)</f>
        <v/>
      </c>
      <c r="EV109" s="528" t="str">
        <f t="shared" si="231"/>
        <v/>
      </c>
      <c r="EW109" s="530" t="str">
        <f t="shared" si="232"/>
        <v/>
      </c>
      <c r="EX109" s="368" t="str">
        <f t="shared" si="282"/>
        <v/>
      </c>
      <c r="EY109" s="65">
        <f t="shared" si="283"/>
        <v>0</v>
      </c>
      <c r="EZ109" s="65">
        <f t="shared" si="284"/>
        <v>0</v>
      </c>
      <c r="FA109" s="66" t="str">
        <f t="shared" si="285"/>
        <v/>
      </c>
      <c r="FB109" s="74" t="str">
        <f>IF('Marks Entry'!BK109="","",'Marks Entry'!BK109)</f>
        <v/>
      </c>
      <c r="FC109" s="74" t="str">
        <f>IF('Marks Entry'!BL109="","",'Marks Entry'!BL109)</f>
        <v/>
      </c>
      <c r="FD109" s="74" t="str">
        <f>IF('Marks Entry'!BM109="","",'Marks Entry'!BM109)</f>
        <v/>
      </c>
      <c r="FE109" s="74" t="str">
        <f>IF('Marks Entry'!BN109="","",'Marks Entry'!BN109)</f>
        <v/>
      </c>
      <c r="FF109" s="74" t="str">
        <f>IF('Marks Entry'!BO109="","",'Marks Entry'!BO109)</f>
        <v/>
      </c>
      <c r="FG109" s="74" t="str">
        <f>IF('Marks Entry'!BP109="","",'Marks Entry'!BP109)</f>
        <v/>
      </c>
      <c r="FH109" s="527" t="str">
        <f t="shared" si="233"/>
        <v/>
      </c>
      <c r="FI109" s="74" t="str">
        <f>IF('Marks Entry'!BQ109="","",'Marks Entry'!BQ109)</f>
        <v/>
      </c>
      <c r="FJ109" s="74" t="str">
        <f>IF('Marks Entry'!BR109="","",'Marks Entry'!BR109)</f>
        <v/>
      </c>
      <c r="FK109" s="528" t="str">
        <f t="shared" si="234"/>
        <v/>
      </c>
      <c r="FL109" s="529" t="str">
        <f t="shared" si="235"/>
        <v/>
      </c>
      <c r="FM109" s="74" t="str">
        <f>IF('Marks Entry'!BS109="","",'Marks Entry'!BS109)</f>
        <v/>
      </c>
      <c r="FN109" s="74" t="str">
        <f>IF('Marks Entry'!BT109="","",'Marks Entry'!BT109)</f>
        <v/>
      </c>
      <c r="FO109" s="528" t="str">
        <f t="shared" si="236"/>
        <v/>
      </c>
      <c r="FP109" s="530" t="str">
        <f t="shared" si="237"/>
        <v/>
      </c>
      <c r="FQ109" s="368" t="str">
        <f t="shared" si="286"/>
        <v/>
      </c>
      <c r="FR109" s="65">
        <f t="shared" si="287"/>
        <v>0</v>
      </c>
      <c r="FS109" s="65">
        <f t="shared" si="288"/>
        <v>0</v>
      </c>
      <c r="FT109" s="66" t="str">
        <f t="shared" si="289"/>
        <v/>
      </c>
      <c r="FU109" s="74" t="str">
        <f>IF('Marks Entry'!BU109="","",'Marks Entry'!BU109)</f>
        <v/>
      </c>
      <c r="FV109" s="74" t="str">
        <f>IF('Marks Entry'!BV109="","",'Marks Entry'!BV109)</f>
        <v/>
      </c>
      <c r="FW109" s="74" t="str">
        <f>IF('Marks Entry'!BW109="","",'Marks Entry'!BW109)</f>
        <v/>
      </c>
      <c r="FX109" s="75" t="str">
        <f t="shared" si="238"/>
        <v/>
      </c>
      <c r="FY109" s="368" t="str">
        <f t="shared" si="290"/>
        <v/>
      </c>
      <c r="FZ109" s="65">
        <f t="shared" si="291"/>
        <v>0</v>
      </c>
      <c r="GA109" s="66">
        <f t="shared" si="292"/>
        <v>0</v>
      </c>
      <c r="GB109" s="66" t="str">
        <f t="shared" si="293"/>
        <v/>
      </c>
      <c r="GC109" s="74" t="str">
        <f>IF('Marks Entry'!BX109="","",'Marks Entry'!BX109)</f>
        <v/>
      </c>
      <c r="GD109" s="74" t="str">
        <f>IF('Marks Entry'!BY109="","",'Marks Entry'!BY109)</f>
        <v/>
      </c>
      <c r="GE109" s="74" t="str">
        <f>IF('Marks Entry'!BZ109="","",'Marks Entry'!BZ109)</f>
        <v/>
      </c>
      <c r="GF109" s="75" t="str">
        <f t="shared" si="294"/>
        <v/>
      </c>
      <c r="GG109" s="368" t="str">
        <f t="shared" si="295"/>
        <v/>
      </c>
      <c r="GH109" s="65">
        <f t="shared" si="296"/>
        <v>0</v>
      </c>
      <c r="GI109" s="66">
        <f t="shared" si="297"/>
        <v>0</v>
      </c>
      <c r="GJ109" s="66" t="str">
        <f t="shared" si="298"/>
        <v/>
      </c>
      <c r="GK109" s="100" t="str">
        <f>IF(AND(F109="",B109=""),"",IF('Student DATA Entry'!M106="","",'Student DATA Entry'!M106))</f>
        <v/>
      </c>
      <c r="GL109" s="101" t="str">
        <f>IF(AND(B109="",F109=""),"",IF('Student DATA Entry'!N106="","",'Student DATA Entry'!N106))</f>
        <v/>
      </c>
      <c r="GM109" s="581" t="str">
        <f t="shared" si="299"/>
        <v/>
      </c>
      <c r="GN109" s="94" t="str">
        <f t="shared" si="300"/>
        <v/>
      </c>
      <c r="GO109" s="94" t="str">
        <f t="shared" si="301"/>
        <v/>
      </c>
      <c r="GP109" s="102" t="str">
        <f t="shared" si="330"/>
        <v/>
      </c>
      <c r="GQ109" s="94" t="str">
        <f t="shared" si="302"/>
        <v/>
      </c>
      <c r="GR109" s="103" t="str">
        <f t="shared" si="303"/>
        <v/>
      </c>
      <c r="GS109" s="102" t="str">
        <f t="shared" si="331"/>
        <v/>
      </c>
      <c r="GT109" s="104" t="str">
        <f t="shared" si="304"/>
        <v/>
      </c>
      <c r="GU109" s="94" t="str">
        <f>IF('Marks Entry'!V109=1,GT109,"")</f>
        <v/>
      </c>
      <c r="GV109" s="94" t="str">
        <f>IF('Marks Entry'!V109=2,GT109,"")</f>
        <v/>
      </c>
      <c r="GW109" s="94" t="str">
        <f>IF('Marks Entry'!V109=3,GT109,"")</f>
        <v/>
      </c>
      <c r="GX109" s="94" t="str">
        <f>IF('Marks Entry'!V109=4,GT109,"")</f>
        <v/>
      </c>
      <c r="GY109" s="94" t="str">
        <f>IF('Marks Entry'!V109=5,GT109,"")</f>
        <v/>
      </c>
      <c r="GZ109" s="94" t="str">
        <f t="shared" si="305"/>
        <v/>
      </c>
      <c r="HA109" s="105" t="str">
        <f t="shared" si="332"/>
        <v/>
      </c>
      <c r="HB109" s="94" t="str">
        <f t="shared" si="306"/>
        <v/>
      </c>
      <c r="HC109" s="94" t="str">
        <f t="shared" si="307"/>
        <v/>
      </c>
      <c r="HD109" s="105" t="str">
        <f t="shared" si="333"/>
        <v/>
      </c>
      <c r="HE109" s="94" t="str">
        <f t="shared" si="308"/>
        <v/>
      </c>
      <c r="HF109" s="94" t="str">
        <f t="shared" si="309"/>
        <v/>
      </c>
      <c r="HG109" s="105" t="str">
        <f t="shared" si="334"/>
        <v/>
      </c>
      <c r="HH109" s="94" t="str">
        <f t="shared" si="310"/>
        <v/>
      </c>
      <c r="HI109" s="94" t="str">
        <f t="shared" si="311"/>
        <v/>
      </c>
      <c r="HJ109" s="105" t="str">
        <f t="shared" si="335"/>
        <v/>
      </c>
      <c r="HK109" s="94" t="str">
        <f t="shared" si="312"/>
        <v/>
      </c>
      <c r="HL109" s="94" t="str">
        <f t="shared" si="313"/>
        <v/>
      </c>
      <c r="HM109" s="105" t="str">
        <f t="shared" si="336"/>
        <v/>
      </c>
      <c r="HN109" s="367" t="str">
        <f t="shared" si="314"/>
        <v xml:space="preserve">      </v>
      </c>
      <c r="HO109" s="418" t="str">
        <f t="shared" si="337"/>
        <v xml:space="preserve">      </v>
      </c>
      <c r="HP109" s="367" t="str">
        <f t="shared" si="315"/>
        <v xml:space="preserve">      </v>
      </c>
      <c r="HQ109" s="107" t="str">
        <f t="shared" si="316"/>
        <v xml:space="preserve">      </v>
      </c>
      <c r="HR109" s="366" t="str">
        <f t="shared" si="317"/>
        <v xml:space="preserve">      </v>
      </c>
      <c r="HS109" s="544" t="str">
        <f t="shared" si="338"/>
        <v/>
      </c>
      <c r="HT109" s="542" t="str">
        <f t="shared" si="318"/>
        <v/>
      </c>
      <c r="HU109" s="541" t="str">
        <f t="shared" si="319"/>
        <v/>
      </c>
      <c r="HV109" s="540" t="str">
        <f t="shared" si="320"/>
        <v/>
      </c>
      <c r="HW109" s="537" t="str">
        <f t="shared" si="321"/>
        <v/>
      </c>
      <c r="HX109" s="539" t="str">
        <f t="shared" si="322"/>
        <v/>
      </c>
      <c r="HY109" s="553" t="str">
        <f>IFERROR(IF(OR(HS109="SUPPLEMENTARY",HS109="RE-EXAM"),'Supp. Result Entry'!AQ107,""),"")</f>
        <v/>
      </c>
      <c r="HZ109" s="538" t="str">
        <f t="shared" si="323"/>
        <v/>
      </c>
      <c r="IA109" s="415" t="str">
        <f t="shared" si="324"/>
        <v/>
      </c>
      <c r="IB109" s="415" t="str">
        <f>IF(AND(HZ109="",IA109=""),"",IF(OR(HS109="SUPPLEMENTARY",HS109="RE-EXAM"),'Supp. Result Entry'!AQ107,HS109))</f>
        <v/>
      </c>
      <c r="IC109" s="87"/>
      <c r="IS109" s="109" t="str">
        <f>IF('Supp. Result Entry'!T107="","",'Supp. Result Entry'!$T$4)</f>
        <v/>
      </c>
      <c r="IT109" s="110" t="str">
        <f>IF('Supp. Result Entry'!W107="","",'Supp. Result Entry'!$W$4)</f>
        <v/>
      </c>
      <c r="IU109" s="110" t="str">
        <f>IF('Supp. Result Entry'!Z107="","",'Supp. Result Entry'!$Z$4)</f>
        <v/>
      </c>
      <c r="IV109" s="110" t="str">
        <f>IF('Supp. Result Entry'!AC107="","",'Supp. Result Entry'!$AC$4)</f>
        <v/>
      </c>
      <c r="IW109" s="110" t="str">
        <f>IF('Supp. Result Entry'!AF107="","",'Supp. Result Entry'!$AF$4)</f>
        <v/>
      </c>
      <c r="IX109" s="110" t="str">
        <f>IF('Supp. Result Entry'!AI107="","",'Supp. Result Entry'!$AI$4)</f>
        <v/>
      </c>
      <c r="IY109" s="110" t="str">
        <f>IF('Supp. Result Entry'!AI107="","",'Supp. Result Entry'!$AL$4)</f>
        <v/>
      </c>
      <c r="IZ109" s="110" t="str">
        <f>IF('Supp. Result Entry'!U107="","",'Supp. Result Entry'!U107)</f>
        <v/>
      </c>
      <c r="JA109" s="110" t="str">
        <f>IF('Supp. Result Entry'!X107="","",'Supp. Result Entry'!X107)</f>
        <v/>
      </c>
      <c r="JB109" s="110" t="str">
        <f>IF('Supp. Result Entry'!AA107="","",'Supp. Result Entry'!AA107)</f>
        <v/>
      </c>
      <c r="JC109" s="110" t="str">
        <f>IF('Supp. Result Entry'!AD107="","",'Supp. Result Entry'!AD107)</f>
        <v/>
      </c>
      <c r="JD109" s="110" t="str">
        <f>IF('Supp. Result Entry'!AG107="","",'Supp. Result Entry'!AG107)</f>
        <v/>
      </c>
      <c r="JE109" s="110" t="str">
        <f>IF('Supp. Result Entry'!AJ107="","",'Supp. Result Entry'!AJ107)</f>
        <v/>
      </c>
      <c r="JF109" s="110" t="str">
        <f>IF('Supp. Result Entry'!AM107="","",'Supp. Result Entry'!AM107)</f>
        <v/>
      </c>
      <c r="JG109" s="110" t="str">
        <f>IF('Supp. Result Entry'!V107="","",'Supp. Result Entry'!V107)</f>
        <v/>
      </c>
      <c r="JH109" s="110" t="str">
        <f>IF('Supp. Result Entry'!Y107="","",'Supp. Result Entry'!Y107)</f>
        <v/>
      </c>
      <c r="JI109" s="110" t="str">
        <f>IF('Supp. Result Entry'!AB107="","",'Supp. Result Entry'!AB107)</f>
        <v/>
      </c>
      <c r="JJ109" s="110" t="str">
        <f>IF('Supp. Result Entry'!AE107="","",'Supp. Result Entry'!AE107)</f>
        <v/>
      </c>
      <c r="JK109" s="110" t="str">
        <f>IF('Supp. Result Entry'!AH107="","",'Supp. Result Entry'!AH107)</f>
        <v/>
      </c>
      <c r="JL109" s="110" t="str">
        <f>IF('Supp. Result Entry'!AK107="","",'Supp. Result Entry'!AK107)</f>
        <v/>
      </c>
      <c r="JM109" s="110" t="str">
        <f>IF('Supp. Result Entry'!AN107="","",'Supp. Result Entry'!AN107)</f>
        <v/>
      </c>
      <c r="JN109" s="110">
        <f>COUNTIF('Supp. Result Entry'!K107:Q107,"S")</f>
        <v>0</v>
      </c>
      <c r="JO109" s="110">
        <f t="shared" si="248"/>
        <v>0</v>
      </c>
      <c r="JP109" s="110">
        <f t="shared" si="325"/>
        <v>0</v>
      </c>
      <c r="JQ109" s="110" t="str">
        <f t="shared" si="249"/>
        <v/>
      </c>
      <c r="JR109" s="110" t="str">
        <f t="shared" si="250"/>
        <v/>
      </c>
      <c r="JS109" s="110" t="str">
        <f t="shared" si="251"/>
        <v/>
      </c>
      <c r="JT109" s="110" t="str">
        <f t="shared" si="252"/>
        <v/>
      </c>
      <c r="JU109" s="110" t="str">
        <f t="shared" si="253"/>
        <v/>
      </c>
      <c r="JV109" s="110" t="str">
        <f t="shared" si="254"/>
        <v/>
      </c>
      <c r="JW109" s="110" t="str">
        <f t="shared" si="255"/>
        <v/>
      </c>
      <c r="JX109" s="110" t="str">
        <f t="shared" si="326"/>
        <v/>
      </c>
      <c r="JY109" s="110" t="str">
        <f t="shared" si="327"/>
        <v/>
      </c>
      <c r="JZ109" s="110" t="str">
        <f t="shared" si="256"/>
        <v/>
      </c>
      <c r="KA109" s="108" t="str">
        <f t="shared" si="328"/>
        <v/>
      </c>
    </row>
    <row r="110" spans="1:287" s="108" customFormat="1" ht="21.95" customHeight="1">
      <c r="A110" s="89">
        <v>104</v>
      </c>
      <c r="B110" s="90" t="str">
        <f>IF('Marks Entry'!B110="","",'Marks Entry'!B110)</f>
        <v/>
      </c>
      <c r="C110" s="94" t="str">
        <f>IF('Marks Entry'!D110="","",'Marks Entry'!D110)</f>
        <v/>
      </c>
      <c r="D110" s="91" t="str">
        <f>IF('Marks Entry'!E110="","",'Marks Entry'!E110)</f>
        <v/>
      </c>
      <c r="E110" s="92" t="str">
        <f>IF('Marks Entry'!F110="","",'Marks Entry'!F110)</f>
        <v/>
      </c>
      <c r="F110" s="93" t="str">
        <f>IF('Marks Entry'!G110="","",'Marks Entry'!G110)</f>
        <v/>
      </c>
      <c r="G110" s="93" t="str">
        <f>IF('Marks Entry'!H110="","",'Marks Entry'!H110)</f>
        <v/>
      </c>
      <c r="H110" s="93" t="str">
        <f>IF('Marks Entry'!I110="","",'Marks Entry'!I110)</f>
        <v/>
      </c>
      <c r="I110" s="94" t="str">
        <f>IF('Marks Entry'!J110="","",'Marks Entry'!J110)</f>
        <v/>
      </c>
      <c r="J110" s="95" t="str">
        <f>IF('Marks Entry'!K110="","",'Marks Entry'!K110)</f>
        <v/>
      </c>
      <c r="K110" s="68" t="str">
        <f>IF('Marks Entry'!L110="","",'Marks Entry'!L110)</f>
        <v/>
      </c>
      <c r="L110" s="68" t="str">
        <f>IF('Marks Entry'!M110="","",'Marks Entry'!M110)</f>
        <v/>
      </c>
      <c r="M110" s="68" t="str">
        <f>IF('Marks Entry'!N110="","",'Marks Entry'!N110)</f>
        <v/>
      </c>
      <c r="N110" s="514" t="str">
        <f t="shared" si="257"/>
        <v/>
      </c>
      <c r="O110" s="68" t="str">
        <f>IF('Marks Entry'!O110="","",'Marks Entry'!O110)</f>
        <v/>
      </c>
      <c r="P110" s="515" t="str">
        <f t="shared" si="258"/>
        <v/>
      </c>
      <c r="Q110" s="68" t="str">
        <f>IF('Marks Entry'!P110="","",'Marks Entry'!P110)</f>
        <v/>
      </c>
      <c r="R110" s="96" t="str">
        <f t="shared" si="259"/>
        <v/>
      </c>
      <c r="S110" s="65">
        <f t="shared" si="260"/>
        <v>0</v>
      </c>
      <c r="T110" s="65">
        <f t="shared" si="261"/>
        <v>0</v>
      </c>
      <c r="U110" s="66" t="str">
        <f t="shared" si="171"/>
        <v/>
      </c>
      <c r="V110" s="65" t="str">
        <f t="shared" si="172"/>
        <v/>
      </c>
      <c r="W110" s="65" t="str">
        <f t="shared" si="262"/>
        <v/>
      </c>
      <c r="X110" s="65" t="str">
        <f t="shared" si="173"/>
        <v/>
      </c>
      <c r="Y110" s="68" t="str">
        <f>IF('Marks Entry'!Q110="","",'Marks Entry'!Q110)</f>
        <v/>
      </c>
      <c r="Z110" s="68" t="str">
        <f>IF('Marks Entry'!R110="","",'Marks Entry'!R110)</f>
        <v/>
      </c>
      <c r="AA110" s="68" t="str">
        <f>IF('Marks Entry'!S110="","",'Marks Entry'!S110)</f>
        <v/>
      </c>
      <c r="AB110" s="514" t="str">
        <f t="shared" si="174"/>
        <v/>
      </c>
      <c r="AC110" s="68" t="str">
        <f>IF('Marks Entry'!T110="","",'Marks Entry'!T110)</f>
        <v/>
      </c>
      <c r="AD110" s="515" t="str">
        <f t="shared" si="175"/>
        <v/>
      </c>
      <c r="AE110" s="68" t="str">
        <f>IF('Marks Entry'!U110="","",'Marks Entry'!U110)</f>
        <v/>
      </c>
      <c r="AF110" s="96" t="str">
        <f t="shared" si="176"/>
        <v/>
      </c>
      <c r="AG110" s="65">
        <f t="shared" si="177"/>
        <v>0</v>
      </c>
      <c r="AH110" s="65">
        <f t="shared" si="178"/>
        <v>0</v>
      </c>
      <c r="AI110" s="66" t="str">
        <f t="shared" si="179"/>
        <v/>
      </c>
      <c r="AJ110" s="65" t="str">
        <f t="shared" si="180"/>
        <v/>
      </c>
      <c r="AK110" s="65" t="str">
        <f t="shared" si="181"/>
        <v/>
      </c>
      <c r="AL110" s="65" t="str">
        <f t="shared" si="182"/>
        <v/>
      </c>
      <c r="AM110" s="524" t="str">
        <f>IF('Marks Entry'!V110="","",IF('Marks Entry'!V110=1,'School Profile'!$I$9,IF('Marks Entry'!V110=2,'School Profile'!$I$10,IF('Marks Entry'!V110=3,'School Profile'!$I$11,IF('Marks Entry'!V110=4,'School Profile'!$I$12,IF('Marks Entry'!V110=5,'School Profile'!$I$13,IF('Marks Entry'!V110=6,'School Profile'!$I$14,"")))))))</f>
        <v/>
      </c>
      <c r="AN110" s="68" t="str">
        <f>IF('Marks Entry'!W110="","",'Marks Entry'!W110)</f>
        <v/>
      </c>
      <c r="AO110" s="68" t="str">
        <f>IF('Marks Entry'!X110="","",'Marks Entry'!X110)</f>
        <v/>
      </c>
      <c r="AP110" s="68" t="str">
        <f>IF('Marks Entry'!Y110="","",'Marks Entry'!Y110)</f>
        <v/>
      </c>
      <c r="AQ110" s="514" t="str">
        <f t="shared" si="183"/>
        <v/>
      </c>
      <c r="AR110" s="68" t="str">
        <f>IF('Marks Entry'!Z110="","",'Marks Entry'!Z110)</f>
        <v/>
      </c>
      <c r="AS110" s="515" t="str">
        <f t="shared" si="184"/>
        <v/>
      </c>
      <c r="AT110" s="68" t="str">
        <f>IF('Marks Entry'!AA110="","",'Marks Entry'!AA110)</f>
        <v/>
      </c>
      <c r="AU110" s="96" t="str">
        <f t="shared" si="185"/>
        <v/>
      </c>
      <c r="AV110" s="65">
        <f t="shared" si="186"/>
        <v>0</v>
      </c>
      <c r="AW110" s="65">
        <f t="shared" si="187"/>
        <v>0</v>
      </c>
      <c r="AX110" s="66" t="str">
        <f t="shared" si="188"/>
        <v/>
      </c>
      <c r="AY110" s="65" t="str">
        <f t="shared" si="189"/>
        <v/>
      </c>
      <c r="AZ110" s="65" t="str">
        <f t="shared" si="190"/>
        <v/>
      </c>
      <c r="BA110" s="65" t="str">
        <f t="shared" si="191"/>
        <v/>
      </c>
      <c r="BB110" s="68" t="str">
        <f>IF('Marks Entry'!AB110="","",'Marks Entry'!AB110)</f>
        <v/>
      </c>
      <c r="BC110" s="68" t="str">
        <f>IF('Marks Entry'!AC110="","",'Marks Entry'!AC110)</f>
        <v/>
      </c>
      <c r="BD110" s="68" t="str">
        <f>IF('Marks Entry'!AD110="","",'Marks Entry'!AD110)</f>
        <v/>
      </c>
      <c r="BE110" s="514" t="str">
        <f t="shared" si="192"/>
        <v/>
      </c>
      <c r="BF110" s="68" t="str">
        <f>IF('Marks Entry'!AE110="","",'Marks Entry'!AE110)</f>
        <v/>
      </c>
      <c r="BG110" s="515" t="str">
        <f t="shared" si="193"/>
        <v/>
      </c>
      <c r="BH110" s="68" t="str">
        <f>IF('Marks Entry'!AF110="","",'Marks Entry'!AF110)</f>
        <v/>
      </c>
      <c r="BI110" s="96" t="str">
        <f t="shared" si="194"/>
        <v/>
      </c>
      <c r="BJ110" s="65">
        <f t="shared" si="195"/>
        <v>0</v>
      </c>
      <c r="BK110" s="65">
        <f t="shared" si="263"/>
        <v>0</v>
      </c>
      <c r="BL110" s="66" t="str">
        <f t="shared" si="196"/>
        <v/>
      </c>
      <c r="BM110" s="65" t="str">
        <f t="shared" si="197"/>
        <v/>
      </c>
      <c r="BN110" s="65" t="str">
        <f t="shared" si="198"/>
        <v/>
      </c>
      <c r="BO110" s="65" t="str">
        <f t="shared" si="199"/>
        <v/>
      </c>
      <c r="BP110" s="68" t="str">
        <f>IF('Marks Entry'!AG110="","",'Marks Entry'!AG110)</f>
        <v/>
      </c>
      <c r="BQ110" s="68" t="str">
        <f>IF('Marks Entry'!AH110="","",'Marks Entry'!AH110)</f>
        <v/>
      </c>
      <c r="BR110" s="68" t="str">
        <f>IF('Marks Entry'!AI110="","",'Marks Entry'!AI110)</f>
        <v/>
      </c>
      <c r="BS110" s="514" t="str">
        <f t="shared" si="200"/>
        <v/>
      </c>
      <c r="BT110" s="68" t="str">
        <f>IF('Marks Entry'!AJ110="","",'Marks Entry'!AJ110)</f>
        <v/>
      </c>
      <c r="BU110" s="515" t="str">
        <f t="shared" si="201"/>
        <v/>
      </c>
      <c r="BV110" s="68" t="str">
        <f>IF('Marks Entry'!AK110="","",'Marks Entry'!AK110)</f>
        <v/>
      </c>
      <c r="BW110" s="96" t="str">
        <f t="shared" si="202"/>
        <v/>
      </c>
      <c r="BX110" s="65">
        <f t="shared" si="203"/>
        <v>0</v>
      </c>
      <c r="BY110" s="65">
        <f t="shared" si="204"/>
        <v>0</v>
      </c>
      <c r="BZ110" s="66" t="str">
        <f t="shared" si="205"/>
        <v/>
      </c>
      <c r="CA110" s="65" t="str">
        <f t="shared" si="206"/>
        <v/>
      </c>
      <c r="CB110" s="65" t="str">
        <f t="shared" si="207"/>
        <v/>
      </c>
      <c r="CC110" s="65" t="str">
        <f t="shared" si="208"/>
        <v/>
      </c>
      <c r="CD110" s="66">
        <f t="shared" si="329"/>
        <v>0</v>
      </c>
      <c r="CE110" s="68" t="str">
        <f>IF('Marks Entry'!AL110="","",'Marks Entry'!AL110)</f>
        <v/>
      </c>
      <c r="CF110" s="68" t="str">
        <f>IF('Marks Entry'!AM110="","",'Marks Entry'!AM110)</f>
        <v/>
      </c>
      <c r="CG110" s="68" t="str">
        <f>IF('Marks Entry'!AN110="","",'Marks Entry'!AN110)</f>
        <v/>
      </c>
      <c r="CH110" s="514" t="str">
        <f t="shared" si="210"/>
        <v/>
      </c>
      <c r="CI110" s="68" t="str">
        <f>IF('Marks Entry'!AO110="","",'Marks Entry'!AO110)</f>
        <v/>
      </c>
      <c r="CJ110" s="515" t="str">
        <f t="shared" si="211"/>
        <v/>
      </c>
      <c r="CK110" s="68" t="str">
        <f>IF('Marks Entry'!AP110="","",'Marks Entry'!AP110)</f>
        <v/>
      </c>
      <c r="CL110" s="96" t="str">
        <f t="shared" si="212"/>
        <v/>
      </c>
      <c r="CM110" s="65">
        <f t="shared" si="213"/>
        <v>0</v>
      </c>
      <c r="CN110" s="65">
        <f t="shared" si="214"/>
        <v>0</v>
      </c>
      <c r="CO110" s="66" t="str">
        <f t="shared" si="215"/>
        <v/>
      </c>
      <c r="CP110" s="65" t="str">
        <f t="shared" si="216"/>
        <v/>
      </c>
      <c r="CQ110" s="65" t="str">
        <f t="shared" si="217"/>
        <v/>
      </c>
      <c r="CR110" s="65" t="str">
        <f t="shared" si="218"/>
        <v/>
      </c>
      <c r="CS110" s="616"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8" t="str">
        <f>IF('School Profile'!$D$20="NO","",IF('Marks Entry'!AR110="","",'Marks Entry'!AR110))</f>
        <v/>
      </c>
      <c r="CU110" s="68" t="str">
        <f>IF('School Profile'!$D$20="NO","",IF('Marks Entry'!AS110="","",'Marks Entry'!AS110))</f>
        <v/>
      </c>
      <c r="CV110" s="68" t="str">
        <f>IF('School Profile'!$D$20="NO","",IF('Marks Entry'!AT110="","",'Marks Entry'!AT110))</f>
        <v/>
      </c>
      <c r="CW110" s="514" t="str">
        <f>IF('School Profile'!$D$20="NO","",IF(AND(CT110="",CU110="",CV110=""),"",SUM(CT110:CV110)))</f>
        <v/>
      </c>
      <c r="CX110" s="68" t="str">
        <f>IF('School Profile'!$D$20="NO","",IF('Marks Entry'!AU110="","",'Marks Entry'!AU110))</f>
        <v/>
      </c>
      <c r="CY110" s="68" t="str">
        <f>IF('School Profile'!$D$20="NO","",IF('Marks Entry'!AV110="","",'Marks Entry'!AV110))</f>
        <v/>
      </c>
      <c r="CZ110" s="515" t="str">
        <f>IF('School Profile'!$D$20="NO","",IF(AND(CX110="",CY110=""),"",SUM(CX110,CY110)))</f>
        <v/>
      </c>
      <c r="DA110" s="69" t="str">
        <f>IF('School Profile'!$D$20="NO","",IF(AND(CW110="",CZ110=""),"",SUM(CW110+CZ110)))</f>
        <v/>
      </c>
      <c r="DB110" s="68" t="str">
        <f>IF('School Profile'!$D$20="NO","",IF('Marks Entry'!AW110="","",'Marks Entry'!AW110))</f>
        <v/>
      </c>
      <c r="DC110" s="68" t="str">
        <f>IF('School Profile'!$D$20="NO","",IF('Marks Entry'!AX110="","",'Marks Entry'!AX110))</f>
        <v/>
      </c>
      <c r="DD110" s="515" t="str">
        <f>IF('School Profile'!$D$20="NO","",IF(AND(DB110="",DC110=""),"",SUM(DB110,DC110)))</f>
        <v/>
      </c>
      <c r="DE110" s="96" t="str">
        <f>IF('School Profile'!$D$20="NO","",IF(AND(DA110="",DD110=""),"",SUM(DA110,DD110)))</f>
        <v/>
      </c>
      <c r="DF110" s="532">
        <f t="shared" si="219"/>
        <v>0</v>
      </c>
      <c r="DG110" s="65">
        <f t="shared" si="220"/>
        <v>0</v>
      </c>
      <c r="DH110" s="66" t="str">
        <f t="shared" si="221"/>
        <v/>
      </c>
      <c r="DI110" s="65" t="str">
        <f t="shared" si="222"/>
        <v/>
      </c>
      <c r="DJ110" s="65" t="str">
        <f t="shared" si="223"/>
        <v/>
      </c>
      <c r="DK110" s="65" t="str">
        <f t="shared" si="224"/>
        <v/>
      </c>
      <c r="DL110" s="97" t="str">
        <f t="shared" si="264"/>
        <v/>
      </c>
      <c r="DM110" s="97" t="str">
        <f t="shared" si="265"/>
        <v/>
      </c>
      <c r="DN110" s="97" t="str">
        <f t="shared" si="266"/>
        <v/>
      </c>
      <c r="DO110" s="97" t="str">
        <f t="shared" si="267"/>
        <v/>
      </c>
      <c r="DP110" s="97" t="str">
        <f t="shared" si="268"/>
        <v/>
      </c>
      <c r="DQ110" s="97" t="str">
        <f t="shared" si="269"/>
        <v/>
      </c>
      <c r="DR110" s="97" t="str">
        <f t="shared" si="270"/>
        <v/>
      </c>
      <c r="DS110" s="98">
        <f t="shared" si="271"/>
        <v>0</v>
      </c>
      <c r="DT110" s="98">
        <f t="shared" si="272"/>
        <v>0</v>
      </c>
      <c r="DU110" s="98">
        <f t="shared" si="273"/>
        <v>0</v>
      </c>
      <c r="DV110" s="98">
        <f t="shared" si="274"/>
        <v>0</v>
      </c>
      <c r="DW110" s="98">
        <f t="shared" si="275"/>
        <v>0</v>
      </c>
      <c r="DX110" s="98" t="str">
        <f t="shared" si="276"/>
        <v/>
      </c>
      <c r="DY110" s="99" t="str">
        <f t="shared" si="277"/>
        <v/>
      </c>
      <c r="DZ110" s="74" t="str">
        <f>IF('Marks Entry'!AY110="","",'Marks Entry'!AY110)</f>
        <v/>
      </c>
      <c r="EA110" s="74" t="str">
        <f>IF('Marks Entry'!AZ110="","",'Marks Entry'!AZ110)</f>
        <v/>
      </c>
      <c r="EB110" s="74" t="str">
        <f>IF('Marks Entry'!BA110="","",'Marks Entry'!BA110)</f>
        <v/>
      </c>
      <c r="EC110" s="527" t="str">
        <f t="shared" si="225"/>
        <v/>
      </c>
      <c r="ED110" s="74" t="str">
        <f>IF('Marks Entry'!BB110="","",'Marks Entry'!BB110)</f>
        <v/>
      </c>
      <c r="EE110" s="528" t="str">
        <f t="shared" si="226"/>
        <v/>
      </c>
      <c r="EF110" s="74" t="str">
        <f>IF('Marks Entry'!BC110="","",'Marks Entry'!BC110)</f>
        <v/>
      </c>
      <c r="EG110" s="530" t="str">
        <f t="shared" si="227"/>
        <v/>
      </c>
      <c r="EH110" s="368" t="str">
        <f t="shared" si="278"/>
        <v/>
      </c>
      <c r="EI110" s="65">
        <f t="shared" si="279"/>
        <v>0</v>
      </c>
      <c r="EJ110" s="65">
        <f t="shared" si="280"/>
        <v>0</v>
      </c>
      <c r="EK110" s="66" t="str">
        <f t="shared" si="281"/>
        <v/>
      </c>
      <c r="EL110" s="74" t="str">
        <f>IF('Marks Entry'!BD110="","",'Marks Entry'!BD110)</f>
        <v/>
      </c>
      <c r="EM110" s="74" t="str">
        <f>IF('Marks Entry'!BE110="","",'Marks Entry'!BE110)</f>
        <v/>
      </c>
      <c r="EN110" s="74" t="str">
        <f>IF('Marks Entry'!BF110="","",'Marks Entry'!BF110)</f>
        <v/>
      </c>
      <c r="EO110" s="527" t="str">
        <f t="shared" si="228"/>
        <v/>
      </c>
      <c r="EP110" s="74" t="str">
        <f>IF('Marks Entry'!BG110="","",'Marks Entry'!BG110)</f>
        <v/>
      </c>
      <c r="EQ110" s="74" t="str">
        <f>IF('Marks Entry'!BH110="","",'Marks Entry'!BH110)</f>
        <v/>
      </c>
      <c r="ER110" s="528" t="str">
        <f t="shared" si="229"/>
        <v/>
      </c>
      <c r="ES110" s="529" t="str">
        <f t="shared" si="230"/>
        <v/>
      </c>
      <c r="ET110" s="74" t="str">
        <f>IF('Marks Entry'!BI110="","",'Marks Entry'!BI110)</f>
        <v/>
      </c>
      <c r="EU110" s="74" t="str">
        <f>IF('Marks Entry'!BJ110="","",'Marks Entry'!BJ110)</f>
        <v/>
      </c>
      <c r="EV110" s="528" t="str">
        <f t="shared" si="231"/>
        <v/>
      </c>
      <c r="EW110" s="530" t="str">
        <f t="shared" si="232"/>
        <v/>
      </c>
      <c r="EX110" s="368" t="str">
        <f t="shared" si="282"/>
        <v/>
      </c>
      <c r="EY110" s="65">
        <f t="shared" si="283"/>
        <v>0</v>
      </c>
      <c r="EZ110" s="65">
        <f t="shared" si="284"/>
        <v>0</v>
      </c>
      <c r="FA110" s="66" t="str">
        <f t="shared" si="285"/>
        <v/>
      </c>
      <c r="FB110" s="74" t="str">
        <f>IF('Marks Entry'!BK110="","",'Marks Entry'!BK110)</f>
        <v/>
      </c>
      <c r="FC110" s="74" t="str">
        <f>IF('Marks Entry'!BL110="","",'Marks Entry'!BL110)</f>
        <v/>
      </c>
      <c r="FD110" s="74" t="str">
        <f>IF('Marks Entry'!BM110="","",'Marks Entry'!BM110)</f>
        <v/>
      </c>
      <c r="FE110" s="74" t="str">
        <f>IF('Marks Entry'!BN110="","",'Marks Entry'!BN110)</f>
        <v/>
      </c>
      <c r="FF110" s="74" t="str">
        <f>IF('Marks Entry'!BO110="","",'Marks Entry'!BO110)</f>
        <v/>
      </c>
      <c r="FG110" s="74" t="str">
        <f>IF('Marks Entry'!BP110="","",'Marks Entry'!BP110)</f>
        <v/>
      </c>
      <c r="FH110" s="527" t="str">
        <f t="shared" si="233"/>
        <v/>
      </c>
      <c r="FI110" s="74" t="str">
        <f>IF('Marks Entry'!BQ110="","",'Marks Entry'!BQ110)</f>
        <v/>
      </c>
      <c r="FJ110" s="74" t="str">
        <f>IF('Marks Entry'!BR110="","",'Marks Entry'!BR110)</f>
        <v/>
      </c>
      <c r="FK110" s="528" t="str">
        <f t="shared" si="234"/>
        <v/>
      </c>
      <c r="FL110" s="529" t="str">
        <f t="shared" si="235"/>
        <v/>
      </c>
      <c r="FM110" s="74" t="str">
        <f>IF('Marks Entry'!BS110="","",'Marks Entry'!BS110)</f>
        <v/>
      </c>
      <c r="FN110" s="74" t="str">
        <f>IF('Marks Entry'!BT110="","",'Marks Entry'!BT110)</f>
        <v/>
      </c>
      <c r="FO110" s="528" t="str">
        <f t="shared" si="236"/>
        <v/>
      </c>
      <c r="FP110" s="530" t="str">
        <f t="shared" si="237"/>
        <v/>
      </c>
      <c r="FQ110" s="368" t="str">
        <f t="shared" si="286"/>
        <v/>
      </c>
      <c r="FR110" s="65">
        <f t="shared" si="287"/>
        <v>0</v>
      </c>
      <c r="FS110" s="65">
        <f t="shared" si="288"/>
        <v>0</v>
      </c>
      <c r="FT110" s="66" t="str">
        <f t="shared" si="289"/>
        <v/>
      </c>
      <c r="FU110" s="74" t="str">
        <f>IF('Marks Entry'!BU110="","",'Marks Entry'!BU110)</f>
        <v/>
      </c>
      <c r="FV110" s="74" t="str">
        <f>IF('Marks Entry'!BV110="","",'Marks Entry'!BV110)</f>
        <v/>
      </c>
      <c r="FW110" s="74" t="str">
        <f>IF('Marks Entry'!BW110="","",'Marks Entry'!BW110)</f>
        <v/>
      </c>
      <c r="FX110" s="75" t="str">
        <f t="shared" si="238"/>
        <v/>
      </c>
      <c r="FY110" s="368" t="str">
        <f t="shared" si="290"/>
        <v/>
      </c>
      <c r="FZ110" s="65">
        <f t="shared" si="291"/>
        <v>0</v>
      </c>
      <c r="GA110" s="66">
        <f t="shared" si="292"/>
        <v>0</v>
      </c>
      <c r="GB110" s="66" t="str">
        <f t="shared" si="293"/>
        <v/>
      </c>
      <c r="GC110" s="74" t="str">
        <f>IF('Marks Entry'!BX110="","",'Marks Entry'!BX110)</f>
        <v/>
      </c>
      <c r="GD110" s="74" t="str">
        <f>IF('Marks Entry'!BY110="","",'Marks Entry'!BY110)</f>
        <v/>
      </c>
      <c r="GE110" s="74" t="str">
        <f>IF('Marks Entry'!BZ110="","",'Marks Entry'!BZ110)</f>
        <v/>
      </c>
      <c r="GF110" s="75" t="str">
        <f t="shared" si="294"/>
        <v/>
      </c>
      <c r="GG110" s="368" t="str">
        <f t="shared" si="295"/>
        <v/>
      </c>
      <c r="GH110" s="65">
        <f t="shared" si="296"/>
        <v>0</v>
      </c>
      <c r="GI110" s="66">
        <f t="shared" si="297"/>
        <v>0</v>
      </c>
      <c r="GJ110" s="66" t="str">
        <f t="shared" si="298"/>
        <v/>
      </c>
      <c r="GK110" s="100" t="str">
        <f>IF(AND(F110="",B110=""),"",IF('Student DATA Entry'!M107="","",'Student DATA Entry'!M107))</f>
        <v/>
      </c>
      <c r="GL110" s="101" t="str">
        <f>IF(AND(B110="",F110=""),"",IF('Student DATA Entry'!N107="","",'Student DATA Entry'!N107))</f>
        <v/>
      </c>
      <c r="GM110" s="581" t="str">
        <f t="shared" si="299"/>
        <v/>
      </c>
      <c r="GN110" s="94" t="str">
        <f t="shared" si="300"/>
        <v/>
      </c>
      <c r="GO110" s="94" t="str">
        <f t="shared" si="301"/>
        <v/>
      </c>
      <c r="GP110" s="102" t="str">
        <f t="shared" si="330"/>
        <v/>
      </c>
      <c r="GQ110" s="94" t="str">
        <f t="shared" si="302"/>
        <v/>
      </c>
      <c r="GR110" s="103" t="str">
        <f t="shared" si="303"/>
        <v/>
      </c>
      <c r="GS110" s="102" t="str">
        <f t="shared" si="331"/>
        <v/>
      </c>
      <c r="GT110" s="104" t="str">
        <f t="shared" si="304"/>
        <v/>
      </c>
      <c r="GU110" s="94" t="str">
        <f>IF('Marks Entry'!V110=1,GT110,"")</f>
        <v/>
      </c>
      <c r="GV110" s="94" t="str">
        <f>IF('Marks Entry'!V110=2,GT110,"")</f>
        <v/>
      </c>
      <c r="GW110" s="94" t="str">
        <f>IF('Marks Entry'!V110=3,GT110,"")</f>
        <v/>
      </c>
      <c r="GX110" s="94" t="str">
        <f>IF('Marks Entry'!V110=4,GT110,"")</f>
        <v/>
      </c>
      <c r="GY110" s="94" t="str">
        <f>IF('Marks Entry'!V110=5,GT110,"")</f>
        <v/>
      </c>
      <c r="GZ110" s="94" t="str">
        <f t="shared" si="305"/>
        <v/>
      </c>
      <c r="HA110" s="105" t="str">
        <f t="shared" si="332"/>
        <v/>
      </c>
      <c r="HB110" s="94" t="str">
        <f t="shared" si="306"/>
        <v/>
      </c>
      <c r="HC110" s="94" t="str">
        <f t="shared" si="307"/>
        <v/>
      </c>
      <c r="HD110" s="105" t="str">
        <f t="shared" si="333"/>
        <v/>
      </c>
      <c r="HE110" s="94" t="str">
        <f t="shared" si="308"/>
        <v/>
      </c>
      <c r="HF110" s="94" t="str">
        <f t="shared" si="309"/>
        <v/>
      </c>
      <c r="HG110" s="105" t="str">
        <f t="shared" si="334"/>
        <v/>
      </c>
      <c r="HH110" s="94" t="str">
        <f t="shared" si="310"/>
        <v/>
      </c>
      <c r="HI110" s="94" t="str">
        <f t="shared" si="311"/>
        <v/>
      </c>
      <c r="HJ110" s="105" t="str">
        <f t="shared" si="335"/>
        <v/>
      </c>
      <c r="HK110" s="94" t="str">
        <f t="shared" si="312"/>
        <v/>
      </c>
      <c r="HL110" s="94" t="str">
        <f t="shared" si="313"/>
        <v/>
      </c>
      <c r="HM110" s="105" t="str">
        <f t="shared" si="336"/>
        <v/>
      </c>
      <c r="HN110" s="367" t="str">
        <f t="shared" si="314"/>
        <v xml:space="preserve">      </v>
      </c>
      <c r="HO110" s="418" t="str">
        <f t="shared" si="337"/>
        <v xml:space="preserve">      </v>
      </c>
      <c r="HP110" s="367" t="str">
        <f t="shared" si="315"/>
        <v xml:space="preserve">      </v>
      </c>
      <c r="HQ110" s="107" t="str">
        <f t="shared" si="316"/>
        <v xml:space="preserve">      </v>
      </c>
      <c r="HR110" s="366" t="str">
        <f t="shared" si="317"/>
        <v xml:space="preserve">      </v>
      </c>
      <c r="HS110" s="544" t="str">
        <f t="shared" si="338"/>
        <v/>
      </c>
      <c r="HT110" s="542" t="str">
        <f t="shared" si="318"/>
        <v/>
      </c>
      <c r="HU110" s="541" t="str">
        <f t="shared" si="319"/>
        <v/>
      </c>
      <c r="HV110" s="540" t="str">
        <f t="shared" si="320"/>
        <v/>
      </c>
      <c r="HW110" s="537" t="str">
        <f t="shared" si="321"/>
        <v/>
      </c>
      <c r="HX110" s="539" t="str">
        <f t="shared" si="322"/>
        <v/>
      </c>
      <c r="HY110" s="553" t="str">
        <f>IFERROR(IF(OR(HS110="SUPPLEMENTARY",HS110="RE-EXAM"),'Supp. Result Entry'!AQ108,""),"")</f>
        <v/>
      </c>
      <c r="HZ110" s="538" t="str">
        <f t="shared" si="323"/>
        <v/>
      </c>
      <c r="IA110" s="415" t="str">
        <f t="shared" si="324"/>
        <v/>
      </c>
      <c r="IB110" s="415" t="str">
        <f>IF(AND(HZ110="",IA110=""),"",IF(OR(HS110="SUPPLEMENTARY",HS110="RE-EXAM"),'Supp. Result Entry'!AQ108,HS110))</f>
        <v/>
      </c>
      <c r="IC110" s="87"/>
      <c r="IS110" s="109" t="str">
        <f>IF('Supp. Result Entry'!T108="","",'Supp. Result Entry'!$T$4)</f>
        <v/>
      </c>
      <c r="IT110" s="110" t="str">
        <f>IF('Supp. Result Entry'!W108="","",'Supp. Result Entry'!$W$4)</f>
        <v/>
      </c>
      <c r="IU110" s="110" t="str">
        <f>IF('Supp. Result Entry'!Z108="","",'Supp. Result Entry'!$Z$4)</f>
        <v/>
      </c>
      <c r="IV110" s="110" t="str">
        <f>IF('Supp. Result Entry'!AC108="","",'Supp. Result Entry'!$AC$4)</f>
        <v/>
      </c>
      <c r="IW110" s="110" t="str">
        <f>IF('Supp. Result Entry'!AF108="","",'Supp. Result Entry'!$AF$4)</f>
        <v/>
      </c>
      <c r="IX110" s="110" t="str">
        <f>IF('Supp. Result Entry'!AI108="","",'Supp. Result Entry'!$AI$4)</f>
        <v/>
      </c>
      <c r="IY110" s="110" t="str">
        <f>IF('Supp. Result Entry'!AI108="","",'Supp. Result Entry'!$AL$4)</f>
        <v/>
      </c>
      <c r="IZ110" s="110" t="str">
        <f>IF('Supp. Result Entry'!U108="","",'Supp. Result Entry'!U108)</f>
        <v/>
      </c>
      <c r="JA110" s="110" t="str">
        <f>IF('Supp. Result Entry'!X108="","",'Supp. Result Entry'!X108)</f>
        <v/>
      </c>
      <c r="JB110" s="110" t="str">
        <f>IF('Supp. Result Entry'!AA108="","",'Supp. Result Entry'!AA108)</f>
        <v/>
      </c>
      <c r="JC110" s="110" t="str">
        <f>IF('Supp. Result Entry'!AD108="","",'Supp. Result Entry'!AD108)</f>
        <v/>
      </c>
      <c r="JD110" s="110" t="str">
        <f>IF('Supp. Result Entry'!AG108="","",'Supp. Result Entry'!AG108)</f>
        <v/>
      </c>
      <c r="JE110" s="110" t="str">
        <f>IF('Supp. Result Entry'!AJ108="","",'Supp. Result Entry'!AJ108)</f>
        <v/>
      </c>
      <c r="JF110" s="110" t="str">
        <f>IF('Supp. Result Entry'!AM108="","",'Supp. Result Entry'!AM108)</f>
        <v/>
      </c>
      <c r="JG110" s="110" t="str">
        <f>IF('Supp. Result Entry'!V108="","",'Supp. Result Entry'!V108)</f>
        <v/>
      </c>
      <c r="JH110" s="110" t="str">
        <f>IF('Supp. Result Entry'!Y108="","",'Supp. Result Entry'!Y108)</f>
        <v/>
      </c>
      <c r="JI110" s="110" t="str">
        <f>IF('Supp. Result Entry'!AB108="","",'Supp. Result Entry'!AB108)</f>
        <v/>
      </c>
      <c r="JJ110" s="110" t="str">
        <f>IF('Supp. Result Entry'!AE108="","",'Supp. Result Entry'!AE108)</f>
        <v/>
      </c>
      <c r="JK110" s="110" t="str">
        <f>IF('Supp. Result Entry'!AH108="","",'Supp. Result Entry'!AH108)</f>
        <v/>
      </c>
      <c r="JL110" s="110" t="str">
        <f>IF('Supp. Result Entry'!AK108="","",'Supp. Result Entry'!AK108)</f>
        <v/>
      </c>
      <c r="JM110" s="110" t="str">
        <f>IF('Supp. Result Entry'!AN108="","",'Supp. Result Entry'!AN108)</f>
        <v/>
      </c>
      <c r="JN110" s="110">
        <f>COUNTIF('Supp. Result Entry'!K108:Q108,"S")</f>
        <v>0</v>
      </c>
      <c r="JO110" s="110">
        <f t="shared" si="248"/>
        <v>0</v>
      </c>
      <c r="JP110" s="110">
        <f t="shared" si="325"/>
        <v>0</v>
      </c>
      <c r="JQ110" s="110" t="str">
        <f t="shared" si="249"/>
        <v/>
      </c>
      <c r="JR110" s="110" t="str">
        <f t="shared" si="250"/>
        <v/>
      </c>
      <c r="JS110" s="110" t="str">
        <f t="shared" si="251"/>
        <v/>
      </c>
      <c r="JT110" s="110" t="str">
        <f t="shared" si="252"/>
        <v/>
      </c>
      <c r="JU110" s="110" t="str">
        <f t="shared" si="253"/>
        <v/>
      </c>
      <c r="JV110" s="110" t="str">
        <f t="shared" si="254"/>
        <v/>
      </c>
      <c r="JW110" s="110" t="str">
        <f t="shared" si="255"/>
        <v/>
      </c>
      <c r="JX110" s="110" t="str">
        <f t="shared" si="326"/>
        <v/>
      </c>
      <c r="JY110" s="110" t="str">
        <f t="shared" si="327"/>
        <v/>
      </c>
      <c r="JZ110" s="110" t="str">
        <f t="shared" si="256"/>
        <v/>
      </c>
      <c r="KA110" s="108" t="str">
        <f t="shared" si="328"/>
        <v/>
      </c>
    </row>
    <row r="111" spans="1:287" s="108" customFormat="1" ht="21.95" customHeight="1">
      <c r="A111" s="89">
        <v>105</v>
      </c>
      <c r="B111" s="90" t="str">
        <f>IF('Marks Entry'!B111="","",'Marks Entry'!B111)</f>
        <v/>
      </c>
      <c r="C111" s="94" t="str">
        <f>IF('Marks Entry'!D111="","",'Marks Entry'!D111)</f>
        <v/>
      </c>
      <c r="D111" s="91" t="str">
        <f>IF('Marks Entry'!E111="","",'Marks Entry'!E111)</f>
        <v/>
      </c>
      <c r="E111" s="92" t="str">
        <f>IF('Marks Entry'!F111="","",'Marks Entry'!F111)</f>
        <v/>
      </c>
      <c r="F111" s="93" t="str">
        <f>IF('Marks Entry'!G111="","",'Marks Entry'!G111)</f>
        <v/>
      </c>
      <c r="G111" s="93" t="str">
        <f>IF('Marks Entry'!H111="","",'Marks Entry'!H111)</f>
        <v/>
      </c>
      <c r="H111" s="93" t="str">
        <f>IF('Marks Entry'!I111="","",'Marks Entry'!I111)</f>
        <v/>
      </c>
      <c r="I111" s="94" t="str">
        <f>IF('Marks Entry'!J111="","",'Marks Entry'!J111)</f>
        <v/>
      </c>
      <c r="J111" s="95" t="str">
        <f>IF('Marks Entry'!K111="","",'Marks Entry'!K111)</f>
        <v/>
      </c>
      <c r="K111" s="68" t="str">
        <f>IF('Marks Entry'!L111="","",'Marks Entry'!L111)</f>
        <v/>
      </c>
      <c r="L111" s="68" t="str">
        <f>IF('Marks Entry'!M111="","",'Marks Entry'!M111)</f>
        <v/>
      </c>
      <c r="M111" s="68" t="str">
        <f>IF('Marks Entry'!N111="","",'Marks Entry'!N111)</f>
        <v/>
      </c>
      <c r="N111" s="514" t="str">
        <f t="shared" si="257"/>
        <v/>
      </c>
      <c r="O111" s="68" t="str">
        <f>IF('Marks Entry'!O111="","",'Marks Entry'!O111)</f>
        <v/>
      </c>
      <c r="P111" s="515" t="str">
        <f t="shared" si="258"/>
        <v/>
      </c>
      <c r="Q111" s="68" t="str">
        <f>IF('Marks Entry'!P111="","",'Marks Entry'!P111)</f>
        <v/>
      </c>
      <c r="R111" s="96" t="str">
        <f t="shared" si="259"/>
        <v/>
      </c>
      <c r="S111" s="65">
        <f t="shared" si="260"/>
        <v>0</v>
      </c>
      <c r="T111" s="65">
        <f t="shared" si="261"/>
        <v>0</v>
      </c>
      <c r="U111" s="66" t="str">
        <f t="shared" si="171"/>
        <v/>
      </c>
      <c r="V111" s="65" t="str">
        <f t="shared" si="172"/>
        <v/>
      </c>
      <c r="W111" s="65" t="str">
        <f t="shared" si="262"/>
        <v/>
      </c>
      <c r="X111" s="65" t="str">
        <f t="shared" si="173"/>
        <v/>
      </c>
      <c r="Y111" s="68" t="str">
        <f>IF('Marks Entry'!Q111="","",'Marks Entry'!Q111)</f>
        <v/>
      </c>
      <c r="Z111" s="68" t="str">
        <f>IF('Marks Entry'!R111="","",'Marks Entry'!R111)</f>
        <v/>
      </c>
      <c r="AA111" s="68" t="str">
        <f>IF('Marks Entry'!S111="","",'Marks Entry'!S111)</f>
        <v/>
      </c>
      <c r="AB111" s="514" t="str">
        <f t="shared" si="174"/>
        <v/>
      </c>
      <c r="AC111" s="68" t="str">
        <f>IF('Marks Entry'!T111="","",'Marks Entry'!T111)</f>
        <v/>
      </c>
      <c r="AD111" s="515" t="str">
        <f t="shared" si="175"/>
        <v/>
      </c>
      <c r="AE111" s="68" t="str">
        <f>IF('Marks Entry'!U111="","",'Marks Entry'!U111)</f>
        <v/>
      </c>
      <c r="AF111" s="96" t="str">
        <f t="shared" si="176"/>
        <v/>
      </c>
      <c r="AG111" s="65">
        <f t="shared" si="177"/>
        <v>0</v>
      </c>
      <c r="AH111" s="65">
        <f t="shared" si="178"/>
        <v>0</v>
      </c>
      <c r="AI111" s="66" t="str">
        <f t="shared" si="179"/>
        <v/>
      </c>
      <c r="AJ111" s="65" t="str">
        <f t="shared" si="180"/>
        <v/>
      </c>
      <c r="AK111" s="65" t="str">
        <f t="shared" si="181"/>
        <v/>
      </c>
      <c r="AL111" s="65" t="str">
        <f t="shared" si="182"/>
        <v/>
      </c>
      <c r="AM111" s="524" t="str">
        <f>IF('Marks Entry'!V111="","",IF('Marks Entry'!V111=1,'School Profile'!$I$9,IF('Marks Entry'!V111=2,'School Profile'!$I$10,IF('Marks Entry'!V111=3,'School Profile'!$I$11,IF('Marks Entry'!V111=4,'School Profile'!$I$12,IF('Marks Entry'!V111=5,'School Profile'!$I$13,IF('Marks Entry'!V111=6,'School Profile'!$I$14,"")))))))</f>
        <v/>
      </c>
      <c r="AN111" s="68" t="str">
        <f>IF('Marks Entry'!W111="","",'Marks Entry'!W111)</f>
        <v/>
      </c>
      <c r="AO111" s="68" t="str">
        <f>IF('Marks Entry'!X111="","",'Marks Entry'!X111)</f>
        <v/>
      </c>
      <c r="AP111" s="68" t="str">
        <f>IF('Marks Entry'!Y111="","",'Marks Entry'!Y111)</f>
        <v/>
      </c>
      <c r="AQ111" s="514" t="str">
        <f t="shared" si="183"/>
        <v/>
      </c>
      <c r="AR111" s="68" t="str">
        <f>IF('Marks Entry'!Z111="","",'Marks Entry'!Z111)</f>
        <v/>
      </c>
      <c r="AS111" s="515" t="str">
        <f t="shared" si="184"/>
        <v/>
      </c>
      <c r="AT111" s="68" t="str">
        <f>IF('Marks Entry'!AA111="","",'Marks Entry'!AA111)</f>
        <v/>
      </c>
      <c r="AU111" s="96" t="str">
        <f t="shared" si="185"/>
        <v/>
      </c>
      <c r="AV111" s="65">
        <f t="shared" si="186"/>
        <v>0</v>
      </c>
      <c r="AW111" s="65">
        <f t="shared" si="187"/>
        <v>0</v>
      </c>
      <c r="AX111" s="66" t="str">
        <f t="shared" si="188"/>
        <v/>
      </c>
      <c r="AY111" s="65" t="str">
        <f t="shared" si="189"/>
        <v/>
      </c>
      <c r="AZ111" s="65" t="str">
        <f t="shared" si="190"/>
        <v/>
      </c>
      <c r="BA111" s="65" t="str">
        <f t="shared" si="191"/>
        <v/>
      </c>
      <c r="BB111" s="68" t="str">
        <f>IF('Marks Entry'!AB111="","",'Marks Entry'!AB111)</f>
        <v/>
      </c>
      <c r="BC111" s="68" t="str">
        <f>IF('Marks Entry'!AC111="","",'Marks Entry'!AC111)</f>
        <v/>
      </c>
      <c r="BD111" s="68" t="str">
        <f>IF('Marks Entry'!AD111="","",'Marks Entry'!AD111)</f>
        <v/>
      </c>
      <c r="BE111" s="514" t="str">
        <f t="shared" si="192"/>
        <v/>
      </c>
      <c r="BF111" s="68" t="str">
        <f>IF('Marks Entry'!AE111="","",'Marks Entry'!AE111)</f>
        <v/>
      </c>
      <c r="BG111" s="515" t="str">
        <f t="shared" si="193"/>
        <v/>
      </c>
      <c r="BH111" s="68" t="str">
        <f>IF('Marks Entry'!AF111="","",'Marks Entry'!AF111)</f>
        <v/>
      </c>
      <c r="BI111" s="96" t="str">
        <f t="shared" si="194"/>
        <v/>
      </c>
      <c r="BJ111" s="65">
        <f t="shared" si="195"/>
        <v>0</v>
      </c>
      <c r="BK111" s="65">
        <f t="shared" si="263"/>
        <v>0</v>
      </c>
      <c r="BL111" s="66" t="str">
        <f t="shared" si="196"/>
        <v/>
      </c>
      <c r="BM111" s="65" t="str">
        <f t="shared" si="197"/>
        <v/>
      </c>
      <c r="BN111" s="65" t="str">
        <f t="shared" si="198"/>
        <v/>
      </c>
      <c r="BO111" s="65" t="str">
        <f t="shared" si="199"/>
        <v/>
      </c>
      <c r="BP111" s="68" t="str">
        <f>IF('Marks Entry'!AG111="","",'Marks Entry'!AG111)</f>
        <v/>
      </c>
      <c r="BQ111" s="68" t="str">
        <f>IF('Marks Entry'!AH111="","",'Marks Entry'!AH111)</f>
        <v/>
      </c>
      <c r="BR111" s="68" t="str">
        <f>IF('Marks Entry'!AI111="","",'Marks Entry'!AI111)</f>
        <v/>
      </c>
      <c r="BS111" s="514" t="str">
        <f t="shared" si="200"/>
        <v/>
      </c>
      <c r="BT111" s="68" t="str">
        <f>IF('Marks Entry'!AJ111="","",'Marks Entry'!AJ111)</f>
        <v/>
      </c>
      <c r="BU111" s="515" t="str">
        <f t="shared" si="201"/>
        <v/>
      </c>
      <c r="BV111" s="68" t="str">
        <f>IF('Marks Entry'!AK111="","",'Marks Entry'!AK111)</f>
        <v/>
      </c>
      <c r="BW111" s="96" t="str">
        <f t="shared" si="202"/>
        <v/>
      </c>
      <c r="BX111" s="65">
        <f t="shared" si="203"/>
        <v>0</v>
      </c>
      <c r="BY111" s="65">
        <f t="shared" si="204"/>
        <v>0</v>
      </c>
      <c r="BZ111" s="66" t="str">
        <f t="shared" si="205"/>
        <v/>
      </c>
      <c r="CA111" s="65" t="str">
        <f t="shared" si="206"/>
        <v/>
      </c>
      <c r="CB111" s="65" t="str">
        <f t="shared" si="207"/>
        <v/>
      </c>
      <c r="CC111" s="65" t="str">
        <f t="shared" si="208"/>
        <v/>
      </c>
      <c r="CD111" s="66">
        <f t="shared" si="329"/>
        <v>0</v>
      </c>
      <c r="CE111" s="68" t="str">
        <f>IF('Marks Entry'!AL111="","",'Marks Entry'!AL111)</f>
        <v/>
      </c>
      <c r="CF111" s="68" t="str">
        <f>IF('Marks Entry'!AM111="","",'Marks Entry'!AM111)</f>
        <v/>
      </c>
      <c r="CG111" s="68" t="str">
        <f>IF('Marks Entry'!AN111="","",'Marks Entry'!AN111)</f>
        <v/>
      </c>
      <c r="CH111" s="514" t="str">
        <f t="shared" si="210"/>
        <v/>
      </c>
      <c r="CI111" s="68" t="str">
        <f>IF('Marks Entry'!AO111="","",'Marks Entry'!AO111)</f>
        <v/>
      </c>
      <c r="CJ111" s="515" t="str">
        <f t="shared" si="211"/>
        <v/>
      </c>
      <c r="CK111" s="68" t="str">
        <f>IF('Marks Entry'!AP111="","",'Marks Entry'!AP111)</f>
        <v/>
      </c>
      <c r="CL111" s="96" t="str">
        <f t="shared" si="212"/>
        <v/>
      </c>
      <c r="CM111" s="65">
        <f t="shared" si="213"/>
        <v>0</v>
      </c>
      <c r="CN111" s="65">
        <f t="shared" si="214"/>
        <v>0</v>
      </c>
      <c r="CO111" s="66" t="str">
        <f t="shared" si="215"/>
        <v/>
      </c>
      <c r="CP111" s="65" t="str">
        <f t="shared" si="216"/>
        <v/>
      </c>
      <c r="CQ111" s="65" t="str">
        <f t="shared" si="217"/>
        <v/>
      </c>
      <c r="CR111" s="65" t="str">
        <f t="shared" si="218"/>
        <v/>
      </c>
      <c r="CS111" s="616"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8" t="str">
        <f>IF('School Profile'!$D$20="NO","",IF('Marks Entry'!AR111="","",'Marks Entry'!AR111))</f>
        <v/>
      </c>
      <c r="CU111" s="68" t="str">
        <f>IF('School Profile'!$D$20="NO","",IF('Marks Entry'!AS111="","",'Marks Entry'!AS111))</f>
        <v/>
      </c>
      <c r="CV111" s="68" t="str">
        <f>IF('School Profile'!$D$20="NO","",IF('Marks Entry'!AT111="","",'Marks Entry'!AT111))</f>
        <v/>
      </c>
      <c r="CW111" s="514" t="str">
        <f>IF('School Profile'!$D$20="NO","",IF(AND(CT111="",CU111="",CV111=""),"",SUM(CT111:CV111)))</f>
        <v/>
      </c>
      <c r="CX111" s="68" t="str">
        <f>IF('School Profile'!$D$20="NO","",IF('Marks Entry'!AU111="","",'Marks Entry'!AU111))</f>
        <v/>
      </c>
      <c r="CY111" s="68" t="str">
        <f>IF('School Profile'!$D$20="NO","",IF('Marks Entry'!AV111="","",'Marks Entry'!AV111))</f>
        <v/>
      </c>
      <c r="CZ111" s="515" t="str">
        <f>IF('School Profile'!$D$20="NO","",IF(AND(CX111="",CY111=""),"",SUM(CX111,CY111)))</f>
        <v/>
      </c>
      <c r="DA111" s="69" t="str">
        <f>IF('School Profile'!$D$20="NO","",IF(AND(CW111="",CZ111=""),"",SUM(CW111+CZ111)))</f>
        <v/>
      </c>
      <c r="DB111" s="68" t="str">
        <f>IF('School Profile'!$D$20="NO","",IF('Marks Entry'!AW111="","",'Marks Entry'!AW111))</f>
        <v/>
      </c>
      <c r="DC111" s="68" t="str">
        <f>IF('School Profile'!$D$20="NO","",IF('Marks Entry'!AX111="","",'Marks Entry'!AX111))</f>
        <v/>
      </c>
      <c r="DD111" s="515" t="str">
        <f>IF('School Profile'!$D$20="NO","",IF(AND(DB111="",DC111=""),"",SUM(DB111,DC111)))</f>
        <v/>
      </c>
      <c r="DE111" s="96" t="str">
        <f>IF('School Profile'!$D$20="NO","",IF(AND(DA111="",DD111=""),"",SUM(DA111,DD111)))</f>
        <v/>
      </c>
      <c r="DF111" s="532">
        <f t="shared" si="219"/>
        <v>0</v>
      </c>
      <c r="DG111" s="65">
        <f t="shared" si="220"/>
        <v>0</v>
      </c>
      <c r="DH111" s="66" t="str">
        <f t="shared" si="221"/>
        <v/>
      </c>
      <c r="DI111" s="65" t="str">
        <f t="shared" si="222"/>
        <v/>
      </c>
      <c r="DJ111" s="65" t="str">
        <f t="shared" si="223"/>
        <v/>
      </c>
      <c r="DK111" s="65" t="str">
        <f t="shared" si="224"/>
        <v/>
      </c>
      <c r="DL111" s="97" t="str">
        <f t="shared" si="264"/>
        <v/>
      </c>
      <c r="DM111" s="97" t="str">
        <f t="shared" si="265"/>
        <v/>
      </c>
      <c r="DN111" s="97" t="str">
        <f t="shared" si="266"/>
        <v/>
      </c>
      <c r="DO111" s="97" t="str">
        <f t="shared" si="267"/>
        <v/>
      </c>
      <c r="DP111" s="97" t="str">
        <f t="shared" si="268"/>
        <v/>
      </c>
      <c r="DQ111" s="97" t="str">
        <f t="shared" si="269"/>
        <v/>
      </c>
      <c r="DR111" s="97" t="str">
        <f t="shared" si="270"/>
        <v/>
      </c>
      <c r="DS111" s="98">
        <f t="shared" si="271"/>
        <v>0</v>
      </c>
      <c r="DT111" s="98">
        <f t="shared" si="272"/>
        <v>0</v>
      </c>
      <c r="DU111" s="98">
        <f t="shared" si="273"/>
        <v>0</v>
      </c>
      <c r="DV111" s="98">
        <f t="shared" si="274"/>
        <v>0</v>
      </c>
      <c r="DW111" s="98">
        <f t="shared" si="275"/>
        <v>0</v>
      </c>
      <c r="DX111" s="98" t="str">
        <f t="shared" si="276"/>
        <v/>
      </c>
      <c r="DY111" s="99" t="str">
        <f t="shared" si="277"/>
        <v/>
      </c>
      <c r="DZ111" s="74" t="str">
        <f>IF('Marks Entry'!AY111="","",'Marks Entry'!AY111)</f>
        <v/>
      </c>
      <c r="EA111" s="74" t="str">
        <f>IF('Marks Entry'!AZ111="","",'Marks Entry'!AZ111)</f>
        <v/>
      </c>
      <c r="EB111" s="74" t="str">
        <f>IF('Marks Entry'!BA111="","",'Marks Entry'!BA111)</f>
        <v/>
      </c>
      <c r="EC111" s="527" t="str">
        <f t="shared" si="225"/>
        <v/>
      </c>
      <c r="ED111" s="74" t="str">
        <f>IF('Marks Entry'!BB111="","",'Marks Entry'!BB111)</f>
        <v/>
      </c>
      <c r="EE111" s="528" t="str">
        <f t="shared" si="226"/>
        <v/>
      </c>
      <c r="EF111" s="74" t="str">
        <f>IF('Marks Entry'!BC111="","",'Marks Entry'!BC111)</f>
        <v/>
      </c>
      <c r="EG111" s="530" t="str">
        <f t="shared" si="227"/>
        <v/>
      </c>
      <c r="EH111" s="368" t="str">
        <f t="shared" si="278"/>
        <v/>
      </c>
      <c r="EI111" s="65">
        <f t="shared" si="279"/>
        <v>0</v>
      </c>
      <c r="EJ111" s="65">
        <f t="shared" si="280"/>
        <v>0</v>
      </c>
      <c r="EK111" s="66" t="str">
        <f t="shared" si="281"/>
        <v/>
      </c>
      <c r="EL111" s="74" t="str">
        <f>IF('Marks Entry'!BD111="","",'Marks Entry'!BD111)</f>
        <v/>
      </c>
      <c r="EM111" s="74" t="str">
        <f>IF('Marks Entry'!BE111="","",'Marks Entry'!BE111)</f>
        <v/>
      </c>
      <c r="EN111" s="74" t="str">
        <f>IF('Marks Entry'!BF111="","",'Marks Entry'!BF111)</f>
        <v/>
      </c>
      <c r="EO111" s="527" t="str">
        <f t="shared" si="228"/>
        <v/>
      </c>
      <c r="EP111" s="74" t="str">
        <f>IF('Marks Entry'!BG111="","",'Marks Entry'!BG111)</f>
        <v/>
      </c>
      <c r="EQ111" s="74" t="str">
        <f>IF('Marks Entry'!BH111="","",'Marks Entry'!BH111)</f>
        <v/>
      </c>
      <c r="ER111" s="528" t="str">
        <f t="shared" si="229"/>
        <v/>
      </c>
      <c r="ES111" s="529" t="str">
        <f t="shared" si="230"/>
        <v/>
      </c>
      <c r="ET111" s="74" t="str">
        <f>IF('Marks Entry'!BI111="","",'Marks Entry'!BI111)</f>
        <v/>
      </c>
      <c r="EU111" s="74" t="str">
        <f>IF('Marks Entry'!BJ111="","",'Marks Entry'!BJ111)</f>
        <v/>
      </c>
      <c r="EV111" s="528" t="str">
        <f t="shared" si="231"/>
        <v/>
      </c>
      <c r="EW111" s="530" t="str">
        <f t="shared" si="232"/>
        <v/>
      </c>
      <c r="EX111" s="368" t="str">
        <f t="shared" si="282"/>
        <v/>
      </c>
      <c r="EY111" s="65">
        <f t="shared" si="283"/>
        <v>0</v>
      </c>
      <c r="EZ111" s="65">
        <f t="shared" si="284"/>
        <v>0</v>
      </c>
      <c r="FA111" s="66" t="str">
        <f t="shared" si="285"/>
        <v/>
      </c>
      <c r="FB111" s="74" t="str">
        <f>IF('Marks Entry'!BK111="","",'Marks Entry'!BK111)</f>
        <v/>
      </c>
      <c r="FC111" s="74" t="str">
        <f>IF('Marks Entry'!BL111="","",'Marks Entry'!BL111)</f>
        <v/>
      </c>
      <c r="FD111" s="74" t="str">
        <f>IF('Marks Entry'!BM111="","",'Marks Entry'!BM111)</f>
        <v/>
      </c>
      <c r="FE111" s="74" t="str">
        <f>IF('Marks Entry'!BN111="","",'Marks Entry'!BN111)</f>
        <v/>
      </c>
      <c r="FF111" s="74" t="str">
        <f>IF('Marks Entry'!BO111="","",'Marks Entry'!BO111)</f>
        <v/>
      </c>
      <c r="FG111" s="74" t="str">
        <f>IF('Marks Entry'!BP111="","",'Marks Entry'!BP111)</f>
        <v/>
      </c>
      <c r="FH111" s="527" t="str">
        <f t="shared" si="233"/>
        <v/>
      </c>
      <c r="FI111" s="74" t="str">
        <f>IF('Marks Entry'!BQ111="","",'Marks Entry'!BQ111)</f>
        <v/>
      </c>
      <c r="FJ111" s="74" t="str">
        <f>IF('Marks Entry'!BR111="","",'Marks Entry'!BR111)</f>
        <v/>
      </c>
      <c r="FK111" s="528" t="str">
        <f t="shared" si="234"/>
        <v/>
      </c>
      <c r="FL111" s="529" t="str">
        <f t="shared" si="235"/>
        <v/>
      </c>
      <c r="FM111" s="74" t="str">
        <f>IF('Marks Entry'!BS111="","",'Marks Entry'!BS111)</f>
        <v/>
      </c>
      <c r="FN111" s="74" t="str">
        <f>IF('Marks Entry'!BT111="","",'Marks Entry'!BT111)</f>
        <v/>
      </c>
      <c r="FO111" s="528" t="str">
        <f t="shared" si="236"/>
        <v/>
      </c>
      <c r="FP111" s="530" t="str">
        <f t="shared" si="237"/>
        <v/>
      </c>
      <c r="FQ111" s="368" t="str">
        <f t="shared" si="286"/>
        <v/>
      </c>
      <c r="FR111" s="65">
        <f t="shared" si="287"/>
        <v>0</v>
      </c>
      <c r="FS111" s="65">
        <f t="shared" si="288"/>
        <v>0</v>
      </c>
      <c r="FT111" s="66" t="str">
        <f t="shared" si="289"/>
        <v/>
      </c>
      <c r="FU111" s="74" t="str">
        <f>IF('Marks Entry'!BU111="","",'Marks Entry'!BU111)</f>
        <v/>
      </c>
      <c r="FV111" s="74" t="str">
        <f>IF('Marks Entry'!BV111="","",'Marks Entry'!BV111)</f>
        <v/>
      </c>
      <c r="FW111" s="74" t="str">
        <f>IF('Marks Entry'!BW111="","",'Marks Entry'!BW111)</f>
        <v/>
      </c>
      <c r="FX111" s="75" t="str">
        <f t="shared" si="238"/>
        <v/>
      </c>
      <c r="FY111" s="368" t="str">
        <f t="shared" si="290"/>
        <v/>
      </c>
      <c r="FZ111" s="65">
        <f t="shared" si="291"/>
        <v>0</v>
      </c>
      <c r="GA111" s="66">
        <f t="shared" si="292"/>
        <v>0</v>
      </c>
      <c r="GB111" s="66" t="str">
        <f t="shared" si="293"/>
        <v/>
      </c>
      <c r="GC111" s="74" t="str">
        <f>IF('Marks Entry'!BX111="","",'Marks Entry'!BX111)</f>
        <v/>
      </c>
      <c r="GD111" s="74" t="str">
        <f>IF('Marks Entry'!BY111="","",'Marks Entry'!BY111)</f>
        <v/>
      </c>
      <c r="GE111" s="74" t="str">
        <f>IF('Marks Entry'!BZ111="","",'Marks Entry'!BZ111)</f>
        <v/>
      </c>
      <c r="GF111" s="75" t="str">
        <f t="shared" si="294"/>
        <v/>
      </c>
      <c r="GG111" s="368" t="str">
        <f t="shared" si="295"/>
        <v/>
      </c>
      <c r="GH111" s="65">
        <f t="shared" si="296"/>
        <v>0</v>
      </c>
      <c r="GI111" s="66">
        <f t="shared" si="297"/>
        <v>0</v>
      </c>
      <c r="GJ111" s="66" t="str">
        <f t="shared" si="298"/>
        <v/>
      </c>
      <c r="GK111" s="100" t="str">
        <f>IF(AND(F111="",B111=""),"",IF('Student DATA Entry'!M108="","",'Student DATA Entry'!M108))</f>
        <v/>
      </c>
      <c r="GL111" s="101" t="str">
        <f>IF(AND(B111="",F111=""),"",IF('Student DATA Entry'!N108="","",'Student DATA Entry'!N108))</f>
        <v/>
      </c>
      <c r="GM111" s="581" t="str">
        <f t="shared" si="299"/>
        <v/>
      </c>
      <c r="GN111" s="94" t="str">
        <f t="shared" si="300"/>
        <v/>
      </c>
      <c r="GO111" s="94" t="str">
        <f t="shared" si="301"/>
        <v/>
      </c>
      <c r="GP111" s="102" t="str">
        <f t="shared" si="330"/>
        <v/>
      </c>
      <c r="GQ111" s="94" t="str">
        <f t="shared" si="302"/>
        <v/>
      </c>
      <c r="GR111" s="103" t="str">
        <f t="shared" si="303"/>
        <v/>
      </c>
      <c r="GS111" s="102" t="str">
        <f t="shared" si="331"/>
        <v/>
      </c>
      <c r="GT111" s="104" t="str">
        <f t="shared" si="304"/>
        <v/>
      </c>
      <c r="GU111" s="94" t="str">
        <f>IF('Marks Entry'!V111=1,GT111,"")</f>
        <v/>
      </c>
      <c r="GV111" s="94" t="str">
        <f>IF('Marks Entry'!V111=2,GT111,"")</f>
        <v/>
      </c>
      <c r="GW111" s="94" t="str">
        <f>IF('Marks Entry'!V111=3,GT111,"")</f>
        <v/>
      </c>
      <c r="GX111" s="94" t="str">
        <f>IF('Marks Entry'!V111=4,GT111,"")</f>
        <v/>
      </c>
      <c r="GY111" s="94" t="str">
        <f>IF('Marks Entry'!V111=5,GT111,"")</f>
        <v/>
      </c>
      <c r="GZ111" s="94" t="str">
        <f t="shared" si="305"/>
        <v/>
      </c>
      <c r="HA111" s="105" t="str">
        <f t="shared" si="332"/>
        <v/>
      </c>
      <c r="HB111" s="94" t="str">
        <f t="shared" si="306"/>
        <v/>
      </c>
      <c r="HC111" s="94" t="str">
        <f t="shared" si="307"/>
        <v/>
      </c>
      <c r="HD111" s="105" t="str">
        <f t="shared" si="333"/>
        <v/>
      </c>
      <c r="HE111" s="94" t="str">
        <f t="shared" si="308"/>
        <v/>
      </c>
      <c r="HF111" s="94" t="str">
        <f t="shared" si="309"/>
        <v/>
      </c>
      <c r="HG111" s="105" t="str">
        <f t="shared" si="334"/>
        <v/>
      </c>
      <c r="HH111" s="94" t="str">
        <f t="shared" si="310"/>
        <v/>
      </c>
      <c r="HI111" s="94" t="str">
        <f t="shared" si="311"/>
        <v/>
      </c>
      <c r="HJ111" s="105" t="str">
        <f t="shared" si="335"/>
        <v/>
      </c>
      <c r="HK111" s="94" t="str">
        <f t="shared" si="312"/>
        <v/>
      </c>
      <c r="HL111" s="94" t="str">
        <f t="shared" si="313"/>
        <v/>
      </c>
      <c r="HM111" s="105" t="str">
        <f t="shared" si="336"/>
        <v/>
      </c>
      <c r="HN111" s="367" t="str">
        <f t="shared" si="314"/>
        <v xml:space="preserve">      </v>
      </c>
      <c r="HO111" s="418" t="str">
        <f t="shared" si="337"/>
        <v xml:space="preserve">      </v>
      </c>
      <c r="HP111" s="367" t="str">
        <f t="shared" si="315"/>
        <v xml:space="preserve">      </v>
      </c>
      <c r="HQ111" s="107" t="str">
        <f t="shared" si="316"/>
        <v xml:space="preserve">      </v>
      </c>
      <c r="HR111" s="366" t="str">
        <f t="shared" si="317"/>
        <v xml:space="preserve">      </v>
      </c>
      <c r="HS111" s="544" t="str">
        <f t="shared" si="338"/>
        <v/>
      </c>
      <c r="HT111" s="542" t="str">
        <f t="shared" si="318"/>
        <v/>
      </c>
      <c r="HU111" s="541" t="str">
        <f t="shared" si="319"/>
        <v/>
      </c>
      <c r="HV111" s="540" t="str">
        <f t="shared" si="320"/>
        <v/>
      </c>
      <c r="HW111" s="537" t="str">
        <f t="shared" si="321"/>
        <v/>
      </c>
      <c r="HX111" s="539" t="str">
        <f t="shared" si="322"/>
        <v/>
      </c>
      <c r="HY111" s="553" t="str">
        <f>IFERROR(IF(OR(HS111="SUPPLEMENTARY",HS111="RE-EXAM"),'Supp. Result Entry'!AQ109,""),"")</f>
        <v/>
      </c>
      <c r="HZ111" s="538" t="str">
        <f t="shared" si="323"/>
        <v/>
      </c>
      <c r="IA111" s="415" t="str">
        <f t="shared" si="324"/>
        <v/>
      </c>
      <c r="IB111" s="415" t="str">
        <f>IF(AND(HZ111="",IA111=""),"",IF(OR(HS111="SUPPLEMENTARY",HS111="RE-EXAM"),'Supp. Result Entry'!AQ109,HS111))</f>
        <v/>
      </c>
      <c r="IC111" s="87"/>
      <c r="IS111" s="109" t="str">
        <f>IF('Supp. Result Entry'!T109="","",'Supp. Result Entry'!$T$4)</f>
        <v/>
      </c>
      <c r="IT111" s="110" t="str">
        <f>IF('Supp. Result Entry'!W109="","",'Supp. Result Entry'!$W$4)</f>
        <v/>
      </c>
      <c r="IU111" s="110" t="str">
        <f>IF('Supp. Result Entry'!Z109="","",'Supp. Result Entry'!$Z$4)</f>
        <v/>
      </c>
      <c r="IV111" s="110" t="str">
        <f>IF('Supp. Result Entry'!AC109="","",'Supp. Result Entry'!$AC$4)</f>
        <v/>
      </c>
      <c r="IW111" s="110" t="str">
        <f>IF('Supp. Result Entry'!AF109="","",'Supp. Result Entry'!$AF$4)</f>
        <v/>
      </c>
      <c r="IX111" s="110" t="str">
        <f>IF('Supp. Result Entry'!AI109="","",'Supp. Result Entry'!$AI$4)</f>
        <v/>
      </c>
      <c r="IY111" s="110" t="str">
        <f>IF('Supp. Result Entry'!AI109="","",'Supp. Result Entry'!$AL$4)</f>
        <v/>
      </c>
      <c r="IZ111" s="110" t="str">
        <f>IF('Supp. Result Entry'!U109="","",'Supp. Result Entry'!U109)</f>
        <v/>
      </c>
      <c r="JA111" s="110" t="str">
        <f>IF('Supp. Result Entry'!X109="","",'Supp. Result Entry'!X109)</f>
        <v/>
      </c>
      <c r="JB111" s="110" t="str">
        <f>IF('Supp. Result Entry'!AA109="","",'Supp. Result Entry'!AA109)</f>
        <v/>
      </c>
      <c r="JC111" s="110" t="str">
        <f>IF('Supp. Result Entry'!AD109="","",'Supp. Result Entry'!AD109)</f>
        <v/>
      </c>
      <c r="JD111" s="110" t="str">
        <f>IF('Supp. Result Entry'!AG109="","",'Supp. Result Entry'!AG109)</f>
        <v/>
      </c>
      <c r="JE111" s="110" t="str">
        <f>IF('Supp. Result Entry'!AJ109="","",'Supp. Result Entry'!AJ109)</f>
        <v/>
      </c>
      <c r="JF111" s="110" t="str">
        <f>IF('Supp. Result Entry'!AM109="","",'Supp. Result Entry'!AM109)</f>
        <v/>
      </c>
      <c r="JG111" s="110" t="str">
        <f>IF('Supp. Result Entry'!V109="","",'Supp. Result Entry'!V109)</f>
        <v/>
      </c>
      <c r="JH111" s="110" t="str">
        <f>IF('Supp. Result Entry'!Y109="","",'Supp. Result Entry'!Y109)</f>
        <v/>
      </c>
      <c r="JI111" s="110" t="str">
        <f>IF('Supp. Result Entry'!AB109="","",'Supp. Result Entry'!AB109)</f>
        <v/>
      </c>
      <c r="JJ111" s="110" t="str">
        <f>IF('Supp. Result Entry'!AE109="","",'Supp. Result Entry'!AE109)</f>
        <v/>
      </c>
      <c r="JK111" s="110" t="str">
        <f>IF('Supp. Result Entry'!AH109="","",'Supp. Result Entry'!AH109)</f>
        <v/>
      </c>
      <c r="JL111" s="110" t="str">
        <f>IF('Supp. Result Entry'!AK109="","",'Supp. Result Entry'!AK109)</f>
        <v/>
      </c>
      <c r="JM111" s="110" t="str">
        <f>IF('Supp. Result Entry'!AN109="","",'Supp. Result Entry'!AN109)</f>
        <v/>
      </c>
      <c r="JN111" s="110">
        <f>COUNTIF('Supp. Result Entry'!K109:Q109,"S")</f>
        <v>0</v>
      </c>
      <c r="JO111" s="110">
        <f t="shared" si="248"/>
        <v>0</v>
      </c>
      <c r="JP111" s="110">
        <f t="shared" si="325"/>
        <v>0</v>
      </c>
      <c r="JQ111" s="110" t="str">
        <f t="shared" si="249"/>
        <v/>
      </c>
      <c r="JR111" s="110" t="str">
        <f t="shared" si="250"/>
        <v/>
      </c>
      <c r="JS111" s="110" t="str">
        <f t="shared" si="251"/>
        <v/>
      </c>
      <c r="JT111" s="110" t="str">
        <f t="shared" si="252"/>
        <v/>
      </c>
      <c r="JU111" s="110" t="str">
        <f t="shared" si="253"/>
        <v/>
      </c>
      <c r="JV111" s="110" t="str">
        <f t="shared" si="254"/>
        <v/>
      </c>
      <c r="JW111" s="110" t="str">
        <f t="shared" si="255"/>
        <v/>
      </c>
      <c r="JX111" s="110" t="str">
        <f t="shared" si="326"/>
        <v/>
      </c>
      <c r="JY111" s="110" t="str">
        <f t="shared" si="327"/>
        <v/>
      </c>
      <c r="JZ111" s="110" t="str">
        <f t="shared" si="256"/>
        <v/>
      </c>
      <c r="KA111" s="108" t="str">
        <f t="shared" si="328"/>
        <v/>
      </c>
    </row>
    <row r="112" spans="1:287" s="108" customFormat="1" ht="21.95" customHeight="1">
      <c r="A112" s="89">
        <v>106</v>
      </c>
      <c r="B112" s="90" t="str">
        <f>IF('Marks Entry'!B112="","",'Marks Entry'!B112)</f>
        <v/>
      </c>
      <c r="C112" s="94" t="str">
        <f>IF('Marks Entry'!D112="","",'Marks Entry'!D112)</f>
        <v/>
      </c>
      <c r="D112" s="91" t="str">
        <f>IF('Marks Entry'!E112="","",'Marks Entry'!E112)</f>
        <v/>
      </c>
      <c r="E112" s="92" t="str">
        <f>IF('Marks Entry'!F112="","",'Marks Entry'!F112)</f>
        <v/>
      </c>
      <c r="F112" s="93" t="str">
        <f>IF('Marks Entry'!G112="","",'Marks Entry'!G112)</f>
        <v/>
      </c>
      <c r="G112" s="93" t="str">
        <f>IF('Marks Entry'!H112="","",'Marks Entry'!H112)</f>
        <v/>
      </c>
      <c r="H112" s="93" t="str">
        <f>IF('Marks Entry'!I112="","",'Marks Entry'!I112)</f>
        <v/>
      </c>
      <c r="I112" s="94" t="str">
        <f>IF('Marks Entry'!J112="","",'Marks Entry'!J112)</f>
        <v/>
      </c>
      <c r="J112" s="95" t="str">
        <f>IF('Marks Entry'!K112="","",'Marks Entry'!K112)</f>
        <v/>
      </c>
      <c r="K112" s="68" t="str">
        <f>IF('Marks Entry'!L112="","",'Marks Entry'!L112)</f>
        <v/>
      </c>
      <c r="L112" s="68" t="str">
        <f>IF('Marks Entry'!M112="","",'Marks Entry'!M112)</f>
        <v/>
      </c>
      <c r="M112" s="68" t="str">
        <f>IF('Marks Entry'!N112="","",'Marks Entry'!N112)</f>
        <v/>
      </c>
      <c r="N112" s="514" t="str">
        <f t="shared" si="257"/>
        <v/>
      </c>
      <c r="O112" s="68" t="str">
        <f>IF('Marks Entry'!O112="","",'Marks Entry'!O112)</f>
        <v/>
      </c>
      <c r="P112" s="515" t="str">
        <f t="shared" si="258"/>
        <v/>
      </c>
      <c r="Q112" s="68" t="str">
        <f>IF('Marks Entry'!P112="","",'Marks Entry'!P112)</f>
        <v/>
      </c>
      <c r="R112" s="96" t="str">
        <f t="shared" si="259"/>
        <v/>
      </c>
      <c r="S112" s="65">
        <f t="shared" si="260"/>
        <v>0</v>
      </c>
      <c r="T112" s="65">
        <f t="shared" si="261"/>
        <v>0</v>
      </c>
      <c r="U112" s="66" t="str">
        <f t="shared" si="171"/>
        <v/>
      </c>
      <c r="V112" s="65" t="str">
        <f t="shared" si="172"/>
        <v/>
      </c>
      <c r="W112" s="65" t="str">
        <f t="shared" si="262"/>
        <v/>
      </c>
      <c r="X112" s="65" t="str">
        <f t="shared" si="173"/>
        <v/>
      </c>
      <c r="Y112" s="68" t="str">
        <f>IF('Marks Entry'!Q112="","",'Marks Entry'!Q112)</f>
        <v/>
      </c>
      <c r="Z112" s="68" t="str">
        <f>IF('Marks Entry'!R112="","",'Marks Entry'!R112)</f>
        <v/>
      </c>
      <c r="AA112" s="68" t="str">
        <f>IF('Marks Entry'!S112="","",'Marks Entry'!S112)</f>
        <v/>
      </c>
      <c r="AB112" s="514" t="str">
        <f t="shared" si="174"/>
        <v/>
      </c>
      <c r="AC112" s="68" t="str">
        <f>IF('Marks Entry'!T112="","",'Marks Entry'!T112)</f>
        <v/>
      </c>
      <c r="AD112" s="515" t="str">
        <f t="shared" si="175"/>
        <v/>
      </c>
      <c r="AE112" s="68" t="str">
        <f>IF('Marks Entry'!U112="","",'Marks Entry'!U112)</f>
        <v/>
      </c>
      <c r="AF112" s="96" t="str">
        <f t="shared" si="176"/>
        <v/>
      </c>
      <c r="AG112" s="65">
        <f t="shared" si="177"/>
        <v>0</v>
      </c>
      <c r="AH112" s="65">
        <f t="shared" si="178"/>
        <v>0</v>
      </c>
      <c r="AI112" s="66" t="str">
        <f t="shared" si="179"/>
        <v/>
      </c>
      <c r="AJ112" s="65" t="str">
        <f t="shared" si="180"/>
        <v/>
      </c>
      <c r="AK112" s="65" t="str">
        <f t="shared" si="181"/>
        <v/>
      </c>
      <c r="AL112" s="65" t="str">
        <f t="shared" si="182"/>
        <v/>
      </c>
      <c r="AM112" s="524" t="str">
        <f>IF('Marks Entry'!V112="","",IF('Marks Entry'!V112=1,'School Profile'!$I$9,IF('Marks Entry'!V112=2,'School Profile'!$I$10,IF('Marks Entry'!V112=3,'School Profile'!$I$11,IF('Marks Entry'!V112=4,'School Profile'!$I$12,IF('Marks Entry'!V112=5,'School Profile'!$I$13,IF('Marks Entry'!V112=6,'School Profile'!$I$14,"")))))))</f>
        <v/>
      </c>
      <c r="AN112" s="68" t="str">
        <f>IF('Marks Entry'!W112="","",'Marks Entry'!W112)</f>
        <v/>
      </c>
      <c r="AO112" s="68" t="str">
        <f>IF('Marks Entry'!X112="","",'Marks Entry'!X112)</f>
        <v/>
      </c>
      <c r="AP112" s="68" t="str">
        <f>IF('Marks Entry'!Y112="","",'Marks Entry'!Y112)</f>
        <v/>
      </c>
      <c r="AQ112" s="514" t="str">
        <f t="shared" si="183"/>
        <v/>
      </c>
      <c r="AR112" s="68" t="str">
        <f>IF('Marks Entry'!Z112="","",'Marks Entry'!Z112)</f>
        <v/>
      </c>
      <c r="AS112" s="515" t="str">
        <f t="shared" si="184"/>
        <v/>
      </c>
      <c r="AT112" s="68" t="str">
        <f>IF('Marks Entry'!AA112="","",'Marks Entry'!AA112)</f>
        <v/>
      </c>
      <c r="AU112" s="96" t="str">
        <f t="shared" si="185"/>
        <v/>
      </c>
      <c r="AV112" s="65">
        <f t="shared" si="186"/>
        <v>0</v>
      </c>
      <c r="AW112" s="65">
        <f t="shared" si="187"/>
        <v>0</v>
      </c>
      <c r="AX112" s="66" t="str">
        <f t="shared" si="188"/>
        <v/>
      </c>
      <c r="AY112" s="65" t="str">
        <f t="shared" si="189"/>
        <v/>
      </c>
      <c r="AZ112" s="65" t="str">
        <f t="shared" si="190"/>
        <v/>
      </c>
      <c r="BA112" s="65" t="str">
        <f t="shared" si="191"/>
        <v/>
      </c>
      <c r="BB112" s="68" t="str">
        <f>IF('Marks Entry'!AB112="","",'Marks Entry'!AB112)</f>
        <v/>
      </c>
      <c r="BC112" s="68" t="str">
        <f>IF('Marks Entry'!AC112="","",'Marks Entry'!AC112)</f>
        <v/>
      </c>
      <c r="BD112" s="68" t="str">
        <f>IF('Marks Entry'!AD112="","",'Marks Entry'!AD112)</f>
        <v/>
      </c>
      <c r="BE112" s="514" t="str">
        <f t="shared" si="192"/>
        <v/>
      </c>
      <c r="BF112" s="68" t="str">
        <f>IF('Marks Entry'!AE112="","",'Marks Entry'!AE112)</f>
        <v/>
      </c>
      <c r="BG112" s="515" t="str">
        <f t="shared" si="193"/>
        <v/>
      </c>
      <c r="BH112" s="68" t="str">
        <f>IF('Marks Entry'!AF112="","",'Marks Entry'!AF112)</f>
        <v/>
      </c>
      <c r="BI112" s="96" t="str">
        <f t="shared" si="194"/>
        <v/>
      </c>
      <c r="BJ112" s="65">
        <f t="shared" si="195"/>
        <v>0</v>
      </c>
      <c r="BK112" s="65">
        <f t="shared" si="263"/>
        <v>0</v>
      </c>
      <c r="BL112" s="66" t="str">
        <f t="shared" si="196"/>
        <v/>
      </c>
      <c r="BM112" s="65" t="str">
        <f t="shared" si="197"/>
        <v/>
      </c>
      <c r="BN112" s="65" t="str">
        <f t="shared" si="198"/>
        <v/>
      </c>
      <c r="BO112" s="65" t="str">
        <f t="shared" si="199"/>
        <v/>
      </c>
      <c r="BP112" s="68" t="str">
        <f>IF('Marks Entry'!AG112="","",'Marks Entry'!AG112)</f>
        <v/>
      </c>
      <c r="BQ112" s="68" t="str">
        <f>IF('Marks Entry'!AH112="","",'Marks Entry'!AH112)</f>
        <v/>
      </c>
      <c r="BR112" s="68" t="str">
        <f>IF('Marks Entry'!AI112="","",'Marks Entry'!AI112)</f>
        <v/>
      </c>
      <c r="BS112" s="514" t="str">
        <f t="shared" si="200"/>
        <v/>
      </c>
      <c r="BT112" s="68" t="str">
        <f>IF('Marks Entry'!AJ112="","",'Marks Entry'!AJ112)</f>
        <v/>
      </c>
      <c r="BU112" s="515" t="str">
        <f t="shared" si="201"/>
        <v/>
      </c>
      <c r="BV112" s="68" t="str">
        <f>IF('Marks Entry'!AK112="","",'Marks Entry'!AK112)</f>
        <v/>
      </c>
      <c r="BW112" s="96" t="str">
        <f t="shared" si="202"/>
        <v/>
      </c>
      <c r="BX112" s="65">
        <f t="shared" si="203"/>
        <v>0</v>
      </c>
      <c r="BY112" s="65">
        <f t="shared" si="204"/>
        <v>0</v>
      </c>
      <c r="BZ112" s="66" t="str">
        <f t="shared" si="205"/>
        <v/>
      </c>
      <c r="CA112" s="65" t="str">
        <f t="shared" si="206"/>
        <v/>
      </c>
      <c r="CB112" s="65" t="str">
        <f t="shared" si="207"/>
        <v/>
      </c>
      <c r="CC112" s="65" t="str">
        <f t="shared" si="208"/>
        <v/>
      </c>
      <c r="CD112" s="66">
        <f t="shared" si="329"/>
        <v>0</v>
      </c>
      <c r="CE112" s="68" t="str">
        <f>IF('Marks Entry'!AL112="","",'Marks Entry'!AL112)</f>
        <v/>
      </c>
      <c r="CF112" s="68" t="str">
        <f>IF('Marks Entry'!AM112="","",'Marks Entry'!AM112)</f>
        <v/>
      </c>
      <c r="CG112" s="68" t="str">
        <f>IF('Marks Entry'!AN112="","",'Marks Entry'!AN112)</f>
        <v/>
      </c>
      <c r="CH112" s="514" t="str">
        <f t="shared" si="210"/>
        <v/>
      </c>
      <c r="CI112" s="68" t="str">
        <f>IF('Marks Entry'!AO112="","",'Marks Entry'!AO112)</f>
        <v/>
      </c>
      <c r="CJ112" s="515" t="str">
        <f t="shared" si="211"/>
        <v/>
      </c>
      <c r="CK112" s="68" t="str">
        <f>IF('Marks Entry'!AP112="","",'Marks Entry'!AP112)</f>
        <v/>
      </c>
      <c r="CL112" s="96" t="str">
        <f t="shared" si="212"/>
        <v/>
      </c>
      <c r="CM112" s="65">
        <f t="shared" si="213"/>
        <v>0</v>
      </c>
      <c r="CN112" s="65">
        <f t="shared" si="214"/>
        <v>0</v>
      </c>
      <c r="CO112" s="66" t="str">
        <f t="shared" si="215"/>
        <v/>
      </c>
      <c r="CP112" s="65" t="str">
        <f t="shared" si="216"/>
        <v/>
      </c>
      <c r="CQ112" s="65" t="str">
        <f t="shared" si="217"/>
        <v/>
      </c>
      <c r="CR112" s="65" t="str">
        <f t="shared" si="218"/>
        <v/>
      </c>
      <c r="CS112" s="616"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8" t="str">
        <f>IF('School Profile'!$D$20="NO","",IF('Marks Entry'!AR112="","",'Marks Entry'!AR112))</f>
        <v/>
      </c>
      <c r="CU112" s="68" t="str">
        <f>IF('School Profile'!$D$20="NO","",IF('Marks Entry'!AS112="","",'Marks Entry'!AS112))</f>
        <v/>
      </c>
      <c r="CV112" s="68" t="str">
        <f>IF('School Profile'!$D$20="NO","",IF('Marks Entry'!AT112="","",'Marks Entry'!AT112))</f>
        <v/>
      </c>
      <c r="CW112" s="514" t="str">
        <f>IF('School Profile'!$D$20="NO","",IF(AND(CT112="",CU112="",CV112=""),"",SUM(CT112:CV112)))</f>
        <v/>
      </c>
      <c r="CX112" s="68" t="str">
        <f>IF('School Profile'!$D$20="NO","",IF('Marks Entry'!AU112="","",'Marks Entry'!AU112))</f>
        <v/>
      </c>
      <c r="CY112" s="68" t="str">
        <f>IF('School Profile'!$D$20="NO","",IF('Marks Entry'!AV112="","",'Marks Entry'!AV112))</f>
        <v/>
      </c>
      <c r="CZ112" s="515" t="str">
        <f>IF('School Profile'!$D$20="NO","",IF(AND(CX112="",CY112=""),"",SUM(CX112,CY112)))</f>
        <v/>
      </c>
      <c r="DA112" s="69" t="str">
        <f>IF('School Profile'!$D$20="NO","",IF(AND(CW112="",CZ112=""),"",SUM(CW112+CZ112)))</f>
        <v/>
      </c>
      <c r="DB112" s="68" t="str">
        <f>IF('School Profile'!$D$20="NO","",IF('Marks Entry'!AW112="","",'Marks Entry'!AW112))</f>
        <v/>
      </c>
      <c r="DC112" s="68" t="str">
        <f>IF('School Profile'!$D$20="NO","",IF('Marks Entry'!AX112="","",'Marks Entry'!AX112))</f>
        <v/>
      </c>
      <c r="DD112" s="515" t="str">
        <f>IF('School Profile'!$D$20="NO","",IF(AND(DB112="",DC112=""),"",SUM(DB112,DC112)))</f>
        <v/>
      </c>
      <c r="DE112" s="96" t="str">
        <f>IF('School Profile'!$D$20="NO","",IF(AND(DA112="",DD112=""),"",SUM(DA112,DD112)))</f>
        <v/>
      </c>
      <c r="DF112" s="532">
        <f t="shared" si="219"/>
        <v>0</v>
      </c>
      <c r="DG112" s="65">
        <f t="shared" si="220"/>
        <v>0</v>
      </c>
      <c r="DH112" s="66" t="str">
        <f t="shared" si="221"/>
        <v/>
      </c>
      <c r="DI112" s="65" t="str">
        <f t="shared" si="222"/>
        <v/>
      </c>
      <c r="DJ112" s="65" t="str">
        <f t="shared" si="223"/>
        <v/>
      </c>
      <c r="DK112" s="65" t="str">
        <f t="shared" si="224"/>
        <v/>
      </c>
      <c r="DL112" s="97" t="str">
        <f t="shared" si="264"/>
        <v/>
      </c>
      <c r="DM112" s="97" t="str">
        <f t="shared" si="265"/>
        <v/>
      </c>
      <c r="DN112" s="97" t="str">
        <f t="shared" si="266"/>
        <v/>
      </c>
      <c r="DO112" s="97" t="str">
        <f t="shared" si="267"/>
        <v/>
      </c>
      <c r="DP112" s="97" t="str">
        <f t="shared" si="268"/>
        <v/>
      </c>
      <c r="DQ112" s="97" t="str">
        <f t="shared" si="269"/>
        <v/>
      </c>
      <c r="DR112" s="97" t="str">
        <f t="shared" si="270"/>
        <v/>
      </c>
      <c r="DS112" s="98">
        <f t="shared" si="271"/>
        <v>0</v>
      </c>
      <c r="DT112" s="98">
        <f t="shared" si="272"/>
        <v>0</v>
      </c>
      <c r="DU112" s="98">
        <f t="shared" si="273"/>
        <v>0</v>
      </c>
      <c r="DV112" s="98">
        <f t="shared" si="274"/>
        <v>0</v>
      </c>
      <c r="DW112" s="98">
        <f t="shared" si="275"/>
        <v>0</v>
      </c>
      <c r="DX112" s="98" t="str">
        <f t="shared" si="276"/>
        <v/>
      </c>
      <c r="DY112" s="99" t="str">
        <f t="shared" si="277"/>
        <v/>
      </c>
      <c r="DZ112" s="74" t="str">
        <f>IF('Marks Entry'!AY112="","",'Marks Entry'!AY112)</f>
        <v/>
      </c>
      <c r="EA112" s="74" t="str">
        <f>IF('Marks Entry'!AZ112="","",'Marks Entry'!AZ112)</f>
        <v/>
      </c>
      <c r="EB112" s="74" t="str">
        <f>IF('Marks Entry'!BA112="","",'Marks Entry'!BA112)</f>
        <v/>
      </c>
      <c r="EC112" s="527" t="str">
        <f t="shared" si="225"/>
        <v/>
      </c>
      <c r="ED112" s="74" t="str">
        <f>IF('Marks Entry'!BB112="","",'Marks Entry'!BB112)</f>
        <v/>
      </c>
      <c r="EE112" s="528" t="str">
        <f t="shared" si="226"/>
        <v/>
      </c>
      <c r="EF112" s="74" t="str">
        <f>IF('Marks Entry'!BC112="","",'Marks Entry'!BC112)</f>
        <v/>
      </c>
      <c r="EG112" s="530" t="str">
        <f t="shared" si="227"/>
        <v/>
      </c>
      <c r="EH112" s="368" t="str">
        <f t="shared" si="278"/>
        <v/>
      </c>
      <c r="EI112" s="65">
        <f t="shared" si="279"/>
        <v>0</v>
      </c>
      <c r="EJ112" s="65">
        <f t="shared" si="280"/>
        <v>0</v>
      </c>
      <c r="EK112" s="66" t="str">
        <f t="shared" si="281"/>
        <v/>
      </c>
      <c r="EL112" s="74" t="str">
        <f>IF('Marks Entry'!BD112="","",'Marks Entry'!BD112)</f>
        <v/>
      </c>
      <c r="EM112" s="74" t="str">
        <f>IF('Marks Entry'!BE112="","",'Marks Entry'!BE112)</f>
        <v/>
      </c>
      <c r="EN112" s="74" t="str">
        <f>IF('Marks Entry'!BF112="","",'Marks Entry'!BF112)</f>
        <v/>
      </c>
      <c r="EO112" s="527" t="str">
        <f t="shared" si="228"/>
        <v/>
      </c>
      <c r="EP112" s="74" t="str">
        <f>IF('Marks Entry'!BG112="","",'Marks Entry'!BG112)</f>
        <v/>
      </c>
      <c r="EQ112" s="74" t="str">
        <f>IF('Marks Entry'!BH112="","",'Marks Entry'!BH112)</f>
        <v/>
      </c>
      <c r="ER112" s="528" t="str">
        <f t="shared" si="229"/>
        <v/>
      </c>
      <c r="ES112" s="529" t="str">
        <f t="shared" si="230"/>
        <v/>
      </c>
      <c r="ET112" s="74" t="str">
        <f>IF('Marks Entry'!BI112="","",'Marks Entry'!BI112)</f>
        <v/>
      </c>
      <c r="EU112" s="74" t="str">
        <f>IF('Marks Entry'!BJ112="","",'Marks Entry'!BJ112)</f>
        <v/>
      </c>
      <c r="EV112" s="528" t="str">
        <f t="shared" si="231"/>
        <v/>
      </c>
      <c r="EW112" s="530" t="str">
        <f t="shared" si="232"/>
        <v/>
      </c>
      <c r="EX112" s="368" t="str">
        <f t="shared" si="282"/>
        <v/>
      </c>
      <c r="EY112" s="65">
        <f t="shared" si="283"/>
        <v>0</v>
      </c>
      <c r="EZ112" s="65">
        <f t="shared" si="284"/>
        <v>0</v>
      </c>
      <c r="FA112" s="66" t="str">
        <f t="shared" si="285"/>
        <v/>
      </c>
      <c r="FB112" s="74" t="str">
        <f>IF('Marks Entry'!BK112="","",'Marks Entry'!BK112)</f>
        <v/>
      </c>
      <c r="FC112" s="74" t="str">
        <f>IF('Marks Entry'!BL112="","",'Marks Entry'!BL112)</f>
        <v/>
      </c>
      <c r="FD112" s="74" t="str">
        <f>IF('Marks Entry'!BM112="","",'Marks Entry'!BM112)</f>
        <v/>
      </c>
      <c r="FE112" s="74" t="str">
        <f>IF('Marks Entry'!BN112="","",'Marks Entry'!BN112)</f>
        <v/>
      </c>
      <c r="FF112" s="74" t="str">
        <f>IF('Marks Entry'!BO112="","",'Marks Entry'!BO112)</f>
        <v/>
      </c>
      <c r="FG112" s="74" t="str">
        <f>IF('Marks Entry'!BP112="","",'Marks Entry'!BP112)</f>
        <v/>
      </c>
      <c r="FH112" s="527" t="str">
        <f t="shared" si="233"/>
        <v/>
      </c>
      <c r="FI112" s="74" t="str">
        <f>IF('Marks Entry'!BQ112="","",'Marks Entry'!BQ112)</f>
        <v/>
      </c>
      <c r="FJ112" s="74" t="str">
        <f>IF('Marks Entry'!BR112="","",'Marks Entry'!BR112)</f>
        <v/>
      </c>
      <c r="FK112" s="528" t="str">
        <f t="shared" si="234"/>
        <v/>
      </c>
      <c r="FL112" s="529" t="str">
        <f t="shared" si="235"/>
        <v/>
      </c>
      <c r="FM112" s="74" t="str">
        <f>IF('Marks Entry'!BS112="","",'Marks Entry'!BS112)</f>
        <v/>
      </c>
      <c r="FN112" s="74" t="str">
        <f>IF('Marks Entry'!BT112="","",'Marks Entry'!BT112)</f>
        <v/>
      </c>
      <c r="FO112" s="528" t="str">
        <f t="shared" si="236"/>
        <v/>
      </c>
      <c r="FP112" s="530" t="str">
        <f t="shared" si="237"/>
        <v/>
      </c>
      <c r="FQ112" s="368" t="str">
        <f t="shared" si="286"/>
        <v/>
      </c>
      <c r="FR112" s="65">
        <f t="shared" si="287"/>
        <v>0</v>
      </c>
      <c r="FS112" s="65">
        <f t="shared" si="288"/>
        <v>0</v>
      </c>
      <c r="FT112" s="66" t="str">
        <f t="shared" si="289"/>
        <v/>
      </c>
      <c r="FU112" s="74" t="str">
        <f>IF('Marks Entry'!BU112="","",'Marks Entry'!BU112)</f>
        <v/>
      </c>
      <c r="FV112" s="74" t="str">
        <f>IF('Marks Entry'!BV112="","",'Marks Entry'!BV112)</f>
        <v/>
      </c>
      <c r="FW112" s="74" t="str">
        <f>IF('Marks Entry'!BW112="","",'Marks Entry'!BW112)</f>
        <v/>
      </c>
      <c r="FX112" s="75" t="str">
        <f t="shared" si="238"/>
        <v/>
      </c>
      <c r="FY112" s="368" t="str">
        <f t="shared" si="290"/>
        <v/>
      </c>
      <c r="FZ112" s="65">
        <f t="shared" si="291"/>
        <v>0</v>
      </c>
      <c r="GA112" s="66">
        <f t="shared" si="292"/>
        <v>0</v>
      </c>
      <c r="GB112" s="66" t="str">
        <f t="shared" si="293"/>
        <v/>
      </c>
      <c r="GC112" s="74" t="str">
        <f>IF('Marks Entry'!BX112="","",'Marks Entry'!BX112)</f>
        <v/>
      </c>
      <c r="GD112" s="74" t="str">
        <f>IF('Marks Entry'!BY112="","",'Marks Entry'!BY112)</f>
        <v/>
      </c>
      <c r="GE112" s="74" t="str">
        <f>IF('Marks Entry'!BZ112="","",'Marks Entry'!BZ112)</f>
        <v/>
      </c>
      <c r="GF112" s="75" t="str">
        <f t="shared" si="294"/>
        <v/>
      </c>
      <c r="GG112" s="368" t="str">
        <f t="shared" si="295"/>
        <v/>
      </c>
      <c r="GH112" s="65">
        <f t="shared" si="296"/>
        <v>0</v>
      </c>
      <c r="GI112" s="66">
        <f t="shared" si="297"/>
        <v>0</v>
      </c>
      <c r="GJ112" s="66" t="str">
        <f t="shared" si="298"/>
        <v/>
      </c>
      <c r="GK112" s="100" t="str">
        <f>IF(AND(F112="",B112=""),"",IF('Student DATA Entry'!M109="","",'Student DATA Entry'!M109))</f>
        <v/>
      </c>
      <c r="GL112" s="101" t="str">
        <f>IF(AND(B112="",F112=""),"",IF('Student DATA Entry'!N109="","",'Student DATA Entry'!N109))</f>
        <v/>
      </c>
      <c r="GM112" s="581" t="str">
        <f t="shared" si="299"/>
        <v/>
      </c>
      <c r="GN112" s="94" t="str">
        <f t="shared" si="300"/>
        <v/>
      </c>
      <c r="GO112" s="94" t="str">
        <f t="shared" si="301"/>
        <v/>
      </c>
      <c r="GP112" s="102" t="str">
        <f t="shared" si="330"/>
        <v/>
      </c>
      <c r="GQ112" s="94" t="str">
        <f t="shared" si="302"/>
        <v/>
      </c>
      <c r="GR112" s="103" t="str">
        <f t="shared" si="303"/>
        <v/>
      </c>
      <c r="GS112" s="102" t="str">
        <f t="shared" si="331"/>
        <v/>
      </c>
      <c r="GT112" s="104" t="str">
        <f t="shared" si="304"/>
        <v/>
      </c>
      <c r="GU112" s="94" t="str">
        <f>IF('Marks Entry'!V112=1,GT112,"")</f>
        <v/>
      </c>
      <c r="GV112" s="94" t="str">
        <f>IF('Marks Entry'!V112=2,GT112,"")</f>
        <v/>
      </c>
      <c r="GW112" s="94" t="str">
        <f>IF('Marks Entry'!V112=3,GT112,"")</f>
        <v/>
      </c>
      <c r="GX112" s="94" t="str">
        <f>IF('Marks Entry'!V112=4,GT112,"")</f>
        <v/>
      </c>
      <c r="GY112" s="94" t="str">
        <f>IF('Marks Entry'!V112=5,GT112,"")</f>
        <v/>
      </c>
      <c r="GZ112" s="94" t="str">
        <f t="shared" si="305"/>
        <v/>
      </c>
      <c r="HA112" s="105" t="str">
        <f t="shared" si="332"/>
        <v/>
      </c>
      <c r="HB112" s="94" t="str">
        <f t="shared" si="306"/>
        <v/>
      </c>
      <c r="HC112" s="94" t="str">
        <f t="shared" si="307"/>
        <v/>
      </c>
      <c r="HD112" s="105" t="str">
        <f t="shared" si="333"/>
        <v/>
      </c>
      <c r="HE112" s="94" t="str">
        <f t="shared" si="308"/>
        <v/>
      </c>
      <c r="HF112" s="94" t="str">
        <f t="shared" si="309"/>
        <v/>
      </c>
      <c r="HG112" s="105" t="str">
        <f t="shared" si="334"/>
        <v/>
      </c>
      <c r="HH112" s="94" t="str">
        <f t="shared" si="310"/>
        <v/>
      </c>
      <c r="HI112" s="94" t="str">
        <f t="shared" si="311"/>
        <v/>
      </c>
      <c r="HJ112" s="105" t="str">
        <f t="shared" si="335"/>
        <v/>
      </c>
      <c r="HK112" s="94" t="str">
        <f t="shared" si="312"/>
        <v/>
      </c>
      <c r="HL112" s="94" t="str">
        <f t="shared" si="313"/>
        <v/>
      </c>
      <c r="HM112" s="105" t="str">
        <f t="shared" si="336"/>
        <v/>
      </c>
      <c r="HN112" s="367" t="str">
        <f t="shared" si="314"/>
        <v xml:space="preserve">      </v>
      </c>
      <c r="HO112" s="418" t="str">
        <f t="shared" si="337"/>
        <v xml:space="preserve">      </v>
      </c>
      <c r="HP112" s="367" t="str">
        <f t="shared" si="315"/>
        <v xml:space="preserve">      </v>
      </c>
      <c r="HQ112" s="107" t="str">
        <f t="shared" si="316"/>
        <v xml:space="preserve">      </v>
      </c>
      <c r="HR112" s="366" t="str">
        <f t="shared" si="317"/>
        <v xml:space="preserve">      </v>
      </c>
      <c r="HS112" s="544" t="str">
        <f t="shared" si="338"/>
        <v/>
      </c>
      <c r="HT112" s="542" t="str">
        <f t="shared" si="318"/>
        <v/>
      </c>
      <c r="HU112" s="541" t="str">
        <f t="shared" si="319"/>
        <v/>
      </c>
      <c r="HV112" s="540" t="str">
        <f t="shared" si="320"/>
        <v/>
      </c>
      <c r="HW112" s="537" t="str">
        <f t="shared" si="321"/>
        <v/>
      </c>
      <c r="HX112" s="539" t="str">
        <f t="shared" si="322"/>
        <v/>
      </c>
      <c r="HY112" s="553" t="str">
        <f>IFERROR(IF(OR(HS112="SUPPLEMENTARY",HS112="RE-EXAM"),'Supp. Result Entry'!AQ110,""),"")</f>
        <v/>
      </c>
      <c r="HZ112" s="538" t="str">
        <f t="shared" si="323"/>
        <v/>
      </c>
      <c r="IA112" s="415" t="str">
        <f t="shared" si="324"/>
        <v/>
      </c>
      <c r="IB112" s="415" t="str">
        <f>IF(AND(HZ112="",IA112=""),"",IF(OR(HS112="SUPPLEMENTARY",HS112="RE-EXAM"),'Supp. Result Entry'!AQ110,HS112))</f>
        <v/>
      </c>
      <c r="IC112" s="87"/>
      <c r="IS112" s="109" t="str">
        <f>IF('Supp. Result Entry'!T110="","",'Supp. Result Entry'!$T$4)</f>
        <v/>
      </c>
      <c r="IT112" s="110" t="str">
        <f>IF('Supp. Result Entry'!W110="","",'Supp. Result Entry'!$W$4)</f>
        <v/>
      </c>
      <c r="IU112" s="110" t="str">
        <f>IF('Supp. Result Entry'!Z110="","",'Supp. Result Entry'!$Z$4)</f>
        <v/>
      </c>
      <c r="IV112" s="110" t="str">
        <f>IF('Supp. Result Entry'!AC110="","",'Supp. Result Entry'!$AC$4)</f>
        <v/>
      </c>
      <c r="IW112" s="110" t="str">
        <f>IF('Supp. Result Entry'!AF110="","",'Supp. Result Entry'!$AF$4)</f>
        <v/>
      </c>
      <c r="IX112" s="110" t="str">
        <f>IF('Supp. Result Entry'!AI110="","",'Supp. Result Entry'!$AI$4)</f>
        <v/>
      </c>
      <c r="IY112" s="110" t="str">
        <f>IF('Supp. Result Entry'!AI110="","",'Supp. Result Entry'!$AL$4)</f>
        <v/>
      </c>
      <c r="IZ112" s="110" t="str">
        <f>IF('Supp. Result Entry'!U110="","",'Supp. Result Entry'!U110)</f>
        <v/>
      </c>
      <c r="JA112" s="110" t="str">
        <f>IF('Supp. Result Entry'!X110="","",'Supp. Result Entry'!X110)</f>
        <v/>
      </c>
      <c r="JB112" s="110" t="str">
        <f>IF('Supp. Result Entry'!AA110="","",'Supp. Result Entry'!AA110)</f>
        <v/>
      </c>
      <c r="JC112" s="110" t="str">
        <f>IF('Supp. Result Entry'!AD110="","",'Supp. Result Entry'!AD110)</f>
        <v/>
      </c>
      <c r="JD112" s="110" t="str">
        <f>IF('Supp. Result Entry'!AG110="","",'Supp. Result Entry'!AG110)</f>
        <v/>
      </c>
      <c r="JE112" s="110" t="str">
        <f>IF('Supp. Result Entry'!AJ110="","",'Supp. Result Entry'!AJ110)</f>
        <v/>
      </c>
      <c r="JF112" s="110" t="str">
        <f>IF('Supp. Result Entry'!AM110="","",'Supp. Result Entry'!AM110)</f>
        <v/>
      </c>
      <c r="JG112" s="110" t="str">
        <f>IF('Supp. Result Entry'!V110="","",'Supp. Result Entry'!V110)</f>
        <v/>
      </c>
      <c r="JH112" s="110" t="str">
        <f>IF('Supp. Result Entry'!Y110="","",'Supp. Result Entry'!Y110)</f>
        <v/>
      </c>
      <c r="JI112" s="110" t="str">
        <f>IF('Supp. Result Entry'!AB110="","",'Supp. Result Entry'!AB110)</f>
        <v/>
      </c>
      <c r="JJ112" s="110" t="str">
        <f>IF('Supp. Result Entry'!AE110="","",'Supp. Result Entry'!AE110)</f>
        <v/>
      </c>
      <c r="JK112" s="110" t="str">
        <f>IF('Supp. Result Entry'!AH110="","",'Supp. Result Entry'!AH110)</f>
        <v/>
      </c>
      <c r="JL112" s="110" t="str">
        <f>IF('Supp. Result Entry'!AK110="","",'Supp. Result Entry'!AK110)</f>
        <v/>
      </c>
      <c r="JM112" s="110" t="str">
        <f>IF('Supp. Result Entry'!AN110="","",'Supp. Result Entry'!AN110)</f>
        <v/>
      </c>
      <c r="JN112" s="110">
        <f>COUNTIF('Supp. Result Entry'!K110:Q110,"S")</f>
        <v>0</v>
      </c>
      <c r="JO112" s="110">
        <f t="shared" si="248"/>
        <v>0</v>
      </c>
      <c r="JP112" s="110">
        <f t="shared" si="325"/>
        <v>0</v>
      </c>
      <c r="JQ112" s="110" t="str">
        <f t="shared" si="249"/>
        <v/>
      </c>
      <c r="JR112" s="110" t="str">
        <f t="shared" si="250"/>
        <v/>
      </c>
      <c r="JS112" s="110" t="str">
        <f t="shared" si="251"/>
        <v/>
      </c>
      <c r="JT112" s="110" t="str">
        <f t="shared" si="252"/>
        <v/>
      </c>
      <c r="JU112" s="110" t="str">
        <f t="shared" si="253"/>
        <v/>
      </c>
      <c r="JV112" s="110" t="str">
        <f t="shared" si="254"/>
        <v/>
      </c>
      <c r="JW112" s="110" t="str">
        <f t="shared" si="255"/>
        <v/>
      </c>
      <c r="JX112" s="110" t="str">
        <f t="shared" si="326"/>
        <v/>
      </c>
      <c r="JY112" s="110" t="str">
        <f t="shared" si="327"/>
        <v/>
      </c>
      <c r="JZ112" s="110" t="str">
        <f t="shared" si="256"/>
        <v/>
      </c>
      <c r="KA112" s="108" t="str">
        <f t="shared" si="328"/>
        <v/>
      </c>
    </row>
    <row r="113" spans="1:287" s="108" customFormat="1" ht="21.95" customHeight="1">
      <c r="A113" s="89">
        <v>107</v>
      </c>
      <c r="B113" s="90" t="str">
        <f>IF('Marks Entry'!B113="","",'Marks Entry'!B113)</f>
        <v/>
      </c>
      <c r="C113" s="94" t="str">
        <f>IF('Marks Entry'!D113="","",'Marks Entry'!D113)</f>
        <v/>
      </c>
      <c r="D113" s="91" t="str">
        <f>IF('Marks Entry'!E113="","",'Marks Entry'!E113)</f>
        <v/>
      </c>
      <c r="E113" s="92" t="str">
        <f>IF('Marks Entry'!F113="","",'Marks Entry'!F113)</f>
        <v/>
      </c>
      <c r="F113" s="93" t="str">
        <f>IF('Marks Entry'!G113="","",'Marks Entry'!G113)</f>
        <v/>
      </c>
      <c r="G113" s="93" t="str">
        <f>IF('Marks Entry'!H113="","",'Marks Entry'!H113)</f>
        <v/>
      </c>
      <c r="H113" s="93" t="str">
        <f>IF('Marks Entry'!I113="","",'Marks Entry'!I113)</f>
        <v/>
      </c>
      <c r="I113" s="94" t="str">
        <f>IF('Marks Entry'!J113="","",'Marks Entry'!J113)</f>
        <v/>
      </c>
      <c r="J113" s="95" t="str">
        <f>IF('Marks Entry'!K113="","",'Marks Entry'!K113)</f>
        <v/>
      </c>
      <c r="K113" s="68" t="str">
        <f>IF('Marks Entry'!L113="","",'Marks Entry'!L113)</f>
        <v/>
      </c>
      <c r="L113" s="68" t="str">
        <f>IF('Marks Entry'!M113="","",'Marks Entry'!M113)</f>
        <v/>
      </c>
      <c r="M113" s="68" t="str">
        <f>IF('Marks Entry'!N113="","",'Marks Entry'!N113)</f>
        <v/>
      </c>
      <c r="N113" s="514" t="str">
        <f t="shared" si="257"/>
        <v/>
      </c>
      <c r="O113" s="68" t="str">
        <f>IF('Marks Entry'!O113="","",'Marks Entry'!O113)</f>
        <v/>
      </c>
      <c r="P113" s="515" t="str">
        <f t="shared" si="258"/>
        <v/>
      </c>
      <c r="Q113" s="68" t="str">
        <f>IF('Marks Entry'!P113="","",'Marks Entry'!P113)</f>
        <v/>
      </c>
      <c r="R113" s="96" t="str">
        <f t="shared" si="259"/>
        <v/>
      </c>
      <c r="S113" s="65">
        <f t="shared" si="260"/>
        <v>0</v>
      </c>
      <c r="T113" s="65">
        <f t="shared" si="261"/>
        <v>0</v>
      </c>
      <c r="U113" s="66" t="str">
        <f t="shared" si="171"/>
        <v/>
      </c>
      <c r="V113" s="65" t="str">
        <f t="shared" si="172"/>
        <v/>
      </c>
      <c r="W113" s="65" t="str">
        <f t="shared" si="262"/>
        <v/>
      </c>
      <c r="X113" s="65" t="str">
        <f t="shared" si="173"/>
        <v/>
      </c>
      <c r="Y113" s="68" t="str">
        <f>IF('Marks Entry'!Q113="","",'Marks Entry'!Q113)</f>
        <v/>
      </c>
      <c r="Z113" s="68" t="str">
        <f>IF('Marks Entry'!R113="","",'Marks Entry'!R113)</f>
        <v/>
      </c>
      <c r="AA113" s="68" t="str">
        <f>IF('Marks Entry'!S113="","",'Marks Entry'!S113)</f>
        <v/>
      </c>
      <c r="AB113" s="514" t="str">
        <f t="shared" si="174"/>
        <v/>
      </c>
      <c r="AC113" s="68" t="str">
        <f>IF('Marks Entry'!T113="","",'Marks Entry'!T113)</f>
        <v/>
      </c>
      <c r="AD113" s="515" t="str">
        <f t="shared" si="175"/>
        <v/>
      </c>
      <c r="AE113" s="68" t="str">
        <f>IF('Marks Entry'!U113="","",'Marks Entry'!U113)</f>
        <v/>
      </c>
      <c r="AF113" s="96" t="str">
        <f t="shared" si="176"/>
        <v/>
      </c>
      <c r="AG113" s="65">
        <f t="shared" si="177"/>
        <v>0</v>
      </c>
      <c r="AH113" s="65">
        <f t="shared" si="178"/>
        <v>0</v>
      </c>
      <c r="AI113" s="66" t="str">
        <f t="shared" si="179"/>
        <v/>
      </c>
      <c r="AJ113" s="65" t="str">
        <f t="shared" si="180"/>
        <v/>
      </c>
      <c r="AK113" s="65" t="str">
        <f t="shared" si="181"/>
        <v/>
      </c>
      <c r="AL113" s="65" t="str">
        <f t="shared" si="182"/>
        <v/>
      </c>
      <c r="AM113" s="524" t="str">
        <f>IF('Marks Entry'!V113="","",IF('Marks Entry'!V113=1,'School Profile'!$I$9,IF('Marks Entry'!V113=2,'School Profile'!$I$10,IF('Marks Entry'!V113=3,'School Profile'!$I$11,IF('Marks Entry'!V113=4,'School Profile'!$I$12,IF('Marks Entry'!V113=5,'School Profile'!$I$13,IF('Marks Entry'!V113=6,'School Profile'!$I$14,"")))))))</f>
        <v/>
      </c>
      <c r="AN113" s="68" t="str">
        <f>IF('Marks Entry'!W113="","",'Marks Entry'!W113)</f>
        <v/>
      </c>
      <c r="AO113" s="68" t="str">
        <f>IF('Marks Entry'!X113="","",'Marks Entry'!X113)</f>
        <v/>
      </c>
      <c r="AP113" s="68" t="str">
        <f>IF('Marks Entry'!Y113="","",'Marks Entry'!Y113)</f>
        <v/>
      </c>
      <c r="AQ113" s="514" t="str">
        <f t="shared" si="183"/>
        <v/>
      </c>
      <c r="AR113" s="68" t="str">
        <f>IF('Marks Entry'!Z113="","",'Marks Entry'!Z113)</f>
        <v/>
      </c>
      <c r="AS113" s="515" t="str">
        <f t="shared" si="184"/>
        <v/>
      </c>
      <c r="AT113" s="68" t="str">
        <f>IF('Marks Entry'!AA113="","",'Marks Entry'!AA113)</f>
        <v/>
      </c>
      <c r="AU113" s="96" t="str">
        <f t="shared" si="185"/>
        <v/>
      </c>
      <c r="AV113" s="65">
        <f t="shared" si="186"/>
        <v>0</v>
      </c>
      <c r="AW113" s="65">
        <f t="shared" si="187"/>
        <v>0</v>
      </c>
      <c r="AX113" s="66" t="str">
        <f t="shared" si="188"/>
        <v/>
      </c>
      <c r="AY113" s="65" t="str">
        <f t="shared" si="189"/>
        <v/>
      </c>
      <c r="AZ113" s="65" t="str">
        <f t="shared" si="190"/>
        <v/>
      </c>
      <c r="BA113" s="65" t="str">
        <f t="shared" si="191"/>
        <v/>
      </c>
      <c r="BB113" s="68" t="str">
        <f>IF('Marks Entry'!AB113="","",'Marks Entry'!AB113)</f>
        <v/>
      </c>
      <c r="BC113" s="68" t="str">
        <f>IF('Marks Entry'!AC113="","",'Marks Entry'!AC113)</f>
        <v/>
      </c>
      <c r="BD113" s="68" t="str">
        <f>IF('Marks Entry'!AD113="","",'Marks Entry'!AD113)</f>
        <v/>
      </c>
      <c r="BE113" s="514" t="str">
        <f t="shared" si="192"/>
        <v/>
      </c>
      <c r="BF113" s="68" t="str">
        <f>IF('Marks Entry'!AE113="","",'Marks Entry'!AE113)</f>
        <v/>
      </c>
      <c r="BG113" s="515" t="str">
        <f t="shared" si="193"/>
        <v/>
      </c>
      <c r="BH113" s="68" t="str">
        <f>IF('Marks Entry'!AF113="","",'Marks Entry'!AF113)</f>
        <v/>
      </c>
      <c r="BI113" s="96" t="str">
        <f t="shared" si="194"/>
        <v/>
      </c>
      <c r="BJ113" s="65">
        <f t="shared" si="195"/>
        <v>0</v>
      </c>
      <c r="BK113" s="65">
        <f t="shared" si="263"/>
        <v>0</v>
      </c>
      <c r="BL113" s="66" t="str">
        <f t="shared" si="196"/>
        <v/>
      </c>
      <c r="BM113" s="65" t="str">
        <f t="shared" si="197"/>
        <v/>
      </c>
      <c r="BN113" s="65" t="str">
        <f t="shared" si="198"/>
        <v/>
      </c>
      <c r="BO113" s="65" t="str">
        <f t="shared" si="199"/>
        <v/>
      </c>
      <c r="BP113" s="68" t="str">
        <f>IF('Marks Entry'!AG113="","",'Marks Entry'!AG113)</f>
        <v/>
      </c>
      <c r="BQ113" s="68" t="str">
        <f>IF('Marks Entry'!AH113="","",'Marks Entry'!AH113)</f>
        <v/>
      </c>
      <c r="BR113" s="68" t="str">
        <f>IF('Marks Entry'!AI113="","",'Marks Entry'!AI113)</f>
        <v/>
      </c>
      <c r="BS113" s="514" t="str">
        <f t="shared" si="200"/>
        <v/>
      </c>
      <c r="BT113" s="68" t="str">
        <f>IF('Marks Entry'!AJ113="","",'Marks Entry'!AJ113)</f>
        <v/>
      </c>
      <c r="BU113" s="515" t="str">
        <f t="shared" si="201"/>
        <v/>
      </c>
      <c r="BV113" s="68" t="str">
        <f>IF('Marks Entry'!AK113="","",'Marks Entry'!AK113)</f>
        <v/>
      </c>
      <c r="BW113" s="96" t="str">
        <f t="shared" si="202"/>
        <v/>
      </c>
      <c r="BX113" s="65">
        <f t="shared" si="203"/>
        <v>0</v>
      </c>
      <c r="BY113" s="65">
        <f t="shared" si="204"/>
        <v>0</v>
      </c>
      <c r="BZ113" s="66" t="str">
        <f t="shared" si="205"/>
        <v/>
      </c>
      <c r="CA113" s="65" t="str">
        <f t="shared" si="206"/>
        <v/>
      </c>
      <c r="CB113" s="65" t="str">
        <f t="shared" si="207"/>
        <v/>
      </c>
      <c r="CC113" s="65" t="str">
        <f t="shared" si="208"/>
        <v/>
      </c>
      <c r="CD113" s="66">
        <f t="shared" si="329"/>
        <v>0</v>
      </c>
      <c r="CE113" s="68" t="str">
        <f>IF('Marks Entry'!AL113="","",'Marks Entry'!AL113)</f>
        <v/>
      </c>
      <c r="CF113" s="68" t="str">
        <f>IF('Marks Entry'!AM113="","",'Marks Entry'!AM113)</f>
        <v/>
      </c>
      <c r="CG113" s="68" t="str">
        <f>IF('Marks Entry'!AN113="","",'Marks Entry'!AN113)</f>
        <v/>
      </c>
      <c r="CH113" s="514" t="str">
        <f t="shared" si="210"/>
        <v/>
      </c>
      <c r="CI113" s="68" t="str">
        <f>IF('Marks Entry'!AO113="","",'Marks Entry'!AO113)</f>
        <v/>
      </c>
      <c r="CJ113" s="515" t="str">
        <f t="shared" si="211"/>
        <v/>
      </c>
      <c r="CK113" s="68" t="str">
        <f>IF('Marks Entry'!AP113="","",'Marks Entry'!AP113)</f>
        <v/>
      </c>
      <c r="CL113" s="96" t="str">
        <f t="shared" si="212"/>
        <v/>
      </c>
      <c r="CM113" s="65">
        <f t="shared" si="213"/>
        <v>0</v>
      </c>
      <c r="CN113" s="65">
        <f t="shared" si="214"/>
        <v>0</v>
      </c>
      <c r="CO113" s="66" t="str">
        <f t="shared" si="215"/>
        <v/>
      </c>
      <c r="CP113" s="65" t="str">
        <f t="shared" si="216"/>
        <v/>
      </c>
      <c r="CQ113" s="65" t="str">
        <f t="shared" si="217"/>
        <v/>
      </c>
      <c r="CR113" s="65" t="str">
        <f t="shared" si="218"/>
        <v/>
      </c>
      <c r="CS113" s="616"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8" t="str">
        <f>IF('School Profile'!$D$20="NO","",IF('Marks Entry'!AR113="","",'Marks Entry'!AR113))</f>
        <v/>
      </c>
      <c r="CU113" s="68" t="str">
        <f>IF('School Profile'!$D$20="NO","",IF('Marks Entry'!AS113="","",'Marks Entry'!AS113))</f>
        <v/>
      </c>
      <c r="CV113" s="68" t="str">
        <f>IF('School Profile'!$D$20="NO","",IF('Marks Entry'!AT113="","",'Marks Entry'!AT113))</f>
        <v/>
      </c>
      <c r="CW113" s="514" t="str">
        <f>IF('School Profile'!$D$20="NO","",IF(AND(CT113="",CU113="",CV113=""),"",SUM(CT113:CV113)))</f>
        <v/>
      </c>
      <c r="CX113" s="68" t="str">
        <f>IF('School Profile'!$D$20="NO","",IF('Marks Entry'!AU113="","",'Marks Entry'!AU113))</f>
        <v/>
      </c>
      <c r="CY113" s="68" t="str">
        <f>IF('School Profile'!$D$20="NO","",IF('Marks Entry'!AV113="","",'Marks Entry'!AV113))</f>
        <v/>
      </c>
      <c r="CZ113" s="515" t="str">
        <f>IF('School Profile'!$D$20="NO","",IF(AND(CX113="",CY113=""),"",SUM(CX113,CY113)))</f>
        <v/>
      </c>
      <c r="DA113" s="69" t="str">
        <f>IF('School Profile'!$D$20="NO","",IF(AND(CW113="",CZ113=""),"",SUM(CW113+CZ113)))</f>
        <v/>
      </c>
      <c r="DB113" s="68" t="str">
        <f>IF('School Profile'!$D$20="NO","",IF('Marks Entry'!AW113="","",'Marks Entry'!AW113))</f>
        <v/>
      </c>
      <c r="DC113" s="68" t="str">
        <f>IF('School Profile'!$D$20="NO","",IF('Marks Entry'!AX113="","",'Marks Entry'!AX113))</f>
        <v/>
      </c>
      <c r="DD113" s="515" t="str">
        <f>IF('School Profile'!$D$20="NO","",IF(AND(DB113="",DC113=""),"",SUM(DB113,DC113)))</f>
        <v/>
      </c>
      <c r="DE113" s="96" t="str">
        <f>IF('School Profile'!$D$20="NO","",IF(AND(DA113="",DD113=""),"",SUM(DA113,DD113)))</f>
        <v/>
      </c>
      <c r="DF113" s="532">
        <f t="shared" si="219"/>
        <v>0</v>
      </c>
      <c r="DG113" s="65">
        <f t="shared" si="220"/>
        <v>0</v>
      </c>
      <c r="DH113" s="66" t="str">
        <f t="shared" si="221"/>
        <v/>
      </c>
      <c r="DI113" s="65" t="str">
        <f t="shared" si="222"/>
        <v/>
      </c>
      <c r="DJ113" s="65" t="str">
        <f t="shared" si="223"/>
        <v/>
      </c>
      <c r="DK113" s="65" t="str">
        <f t="shared" si="224"/>
        <v/>
      </c>
      <c r="DL113" s="97" t="str">
        <f t="shared" si="264"/>
        <v/>
      </c>
      <c r="DM113" s="97" t="str">
        <f t="shared" si="265"/>
        <v/>
      </c>
      <c r="DN113" s="97" t="str">
        <f t="shared" si="266"/>
        <v/>
      </c>
      <c r="DO113" s="97" t="str">
        <f t="shared" si="267"/>
        <v/>
      </c>
      <c r="DP113" s="97" t="str">
        <f t="shared" si="268"/>
        <v/>
      </c>
      <c r="DQ113" s="97" t="str">
        <f t="shared" si="269"/>
        <v/>
      </c>
      <c r="DR113" s="97" t="str">
        <f t="shared" si="270"/>
        <v/>
      </c>
      <c r="DS113" s="98">
        <f t="shared" si="271"/>
        <v>0</v>
      </c>
      <c r="DT113" s="98">
        <f t="shared" si="272"/>
        <v>0</v>
      </c>
      <c r="DU113" s="98">
        <f t="shared" si="273"/>
        <v>0</v>
      </c>
      <c r="DV113" s="98">
        <f t="shared" si="274"/>
        <v>0</v>
      </c>
      <c r="DW113" s="98">
        <f t="shared" si="275"/>
        <v>0</v>
      </c>
      <c r="DX113" s="98" t="str">
        <f t="shared" si="276"/>
        <v/>
      </c>
      <c r="DY113" s="99" t="str">
        <f t="shared" si="277"/>
        <v/>
      </c>
      <c r="DZ113" s="74" t="str">
        <f>IF('Marks Entry'!AY113="","",'Marks Entry'!AY113)</f>
        <v/>
      </c>
      <c r="EA113" s="74" t="str">
        <f>IF('Marks Entry'!AZ113="","",'Marks Entry'!AZ113)</f>
        <v/>
      </c>
      <c r="EB113" s="74" t="str">
        <f>IF('Marks Entry'!BA113="","",'Marks Entry'!BA113)</f>
        <v/>
      </c>
      <c r="EC113" s="527" t="str">
        <f t="shared" si="225"/>
        <v/>
      </c>
      <c r="ED113" s="74" t="str">
        <f>IF('Marks Entry'!BB113="","",'Marks Entry'!BB113)</f>
        <v/>
      </c>
      <c r="EE113" s="528" t="str">
        <f t="shared" si="226"/>
        <v/>
      </c>
      <c r="EF113" s="74" t="str">
        <f>IF('Marks Entry'!BC113="","",'Marks Entry'!BC113)</f>
        <v/>
      </c>
      <c r="EG113" s="530" t="str">
        <f t="shared" si="227"/>
        <v/>
      </c>
      <c r="EH113" s="368" t="str">
        <f t="shared" si="278"/>
        <v/>
      </c>
      <c r="EI113" s="65">
        <f t="shared" si="279"/>
        <v>0</v>
      </c>
      <c r="EJ113" s="65">
        <f t="shared" si="280"/>
        <v>0</v>
      </c>
      <c r="EK113" s="66" t="str">
        <f t="shared" si="281"/>
        <v/>
      </c>
      <c r="EL113" s="74" t="str">
        <f>IF('Marks Entry'!BD113="","",'Marks Entry'!BD113)</f>
        <v/>
      </c>
      <c r="EM113" s="74" t="str">
        <f>IF('Marks Entry'!BE113="","",'Marks Entry'!BE113)</f>
        <v/>
      </c>
      <c r="EN113" s="74" t="str">
        <f>IF('Marks Entry'!BF113="","",'Marks Entry'!BF113)</f>
        <v/>
      </c>
      <c r="EO113" s="527" t="str">
        <f t="shared" si="228"/>
        <v/>
      </c>
      <c r="EP113" s="74" t="str">
        <f>IF('Marks Entry'!BG113="","",'Marks Entry'!BG113)</f>
        <v/>
      </c>
      <c r="EQ113" s="74" t="str">
        <f>IF('Marks Entry'!BH113="","",'Marks Entry'!BH113)</f>
        <v/>
      </c>
      <c r="ER113" s="528" t="str">
        <f t="shared" si="229"/>
        <v/>
      </c>
      <c r="ES113" s="529" t="str">
        <f t="shared" si="230"/>
        <v/>
      </c>
      <c r="ET113" s="74" t="str">
        <f>IF('Marks Entry'!BI113="","",'Marks Entry'!BI113)</f>
        <v/>
      </c>
      <c r="EU113" s="74" t="str">
        <f>IF('Marks Entry'!BJ113="","",'Marks Entry'!BJ113)</f>
        <v/>
      </c>
      <c r="EV113" s="528" t="str">
        <f t="shared" si="231"/>
        <v/>
      </c>
      <c r="EW113" s="530" t="str">
        <f t="shared" si="232"/>
        <v/>
      </c>
      <c r="EX113" s="368" t="str">
        <f t="shared" si="282"/>
        <v/>
      </c>
      <c r="EY113" s="65">
        <f t="shared" si="283"/>
        <v>0</v>
      </c>
      <c r="EZ113" s="65">
        <f t="shared" si="284"/>
        <v>0</v>
      </c>
      <c r="FA113" s="66" t="str">
        <f t="shared" si="285"/>
        <v/>
      </c>
      <c r="FB113" s="74" t="str">
        <f>IF('Marks Entry'!BK113="","",'Marks Entry'!BK113)</f>
        <v/>
      </c>
      <c r="FC113" s="74" t="str">
        <f>IF('Marks Entry'!BL113="","",'Marks Entry'!BL113)</f>
        <v/>
      </c>
      <c r="FD113" s="74" t="str">
        <f>IF('Marks Entry'!BM113="","",'Marks Entry'!BM113)</f>
        <v/>
      </c>
      <c r="FE113" s="74" t="str">
        <f>IF('Marks Entry'!BN113="","",'Marks Entry'!BN113)</f>
        <v/>
      </c>
      <c r="FF113" s="74" t="str">
        <f>IF('Marks Entry'!BO113="","",'Marks Entry'!BO113)</f>
        <v/>
      </c>
      <c r="FG113" s="74" t="str">
        <f>IF('Marks Entry'!BP113="","",'Marks Entry'!BP113)</f>
        <v/>
      </c>
      <c r="FH113" s="527" t="str">
        <f t="shared" si="233"/>
        <v/>
      </c>
      <c r="FI113" s="74" t="str">
        <f>IF('Marks Entry'!BQ113="","",'Marks Entry'!BQ113)</f>
        <v/>
      </c>
      <c r="FJ113" s="74" t="str">
        <f>IF('Marks Entry'!BR113="","",'Marks Entry'!BR113)</f>
        <v/>
      </c>
      <c r="FK113" s="528" t="str">
        <f t="shared" si="234"/>
        <v/>
      </c>
      <c r="FL113" s="529" t="str">
        <f t="shared" si="235"/>
        <v/>
      </c>
      <c r="FM113" s="74" t="str">
        <f>IF('Marks Entry'!BS113="","",'Marks Entry'!BS113)</f>
        <v/>
      </c>
      <c r="FN113" s="74" t="str">
        <f>IF('Marks Entry'!BT113="","",'Marks Entry'!BT113)</f>
        <v/>
      </c>
      <c r="FO113" s="528" t="str">
        <f t="shared" si="236"/>
        <v/>
      </c>
      <c r="FP113" s="530" t="str">
        <f t="shared" si="237"/>
        <v/>
      </c>
      <c r="FQ113" s="368" t="str">
        <f t="shared" si="286"/>
        <v/>
      </c>
      <c r="FR113" s="65">
        <f t="shared" si="287"/>
        <v>0</v>
      </c>
      <c r="FS113" s="65">
        <f t="shared" si="288"/>
        <v>0</v>
      </c>
      <c r="FT113" s="66" t="str">
        <f t="shared" si="289"/>
        <v/>
      </c>
      <c r="FU113" s="74" t="str">
        <f>IF('Marks Entry'!BU113="","",'Marks Entry'!BU113)</f>
        <v/>
      </c>
      <c r="FV113" s="74" t="str">
        <f>IF('Marks Entry'!BV113="","",'Marks Entry'!BV113)</f>
        <v/>
      </c>
      <c r="FW113" s="74" t="str">
        <f>IF('Marks Entry'!BW113="","",'Marks Entry'!BW113)</f>
        <v/>
      </c>
      <c r="FX113" s="75" t="str">
        <f t="shared" si="238"/>
        <v/>
      </c>
      <c r="FY113" s="368" t="str">
        <f t="shared" si="290"/>
        <v/>
      </c>
      <c r="FZ113" s="65">
        <f t="shared" si="291"/>
        <v>0</v>
      </c>
      <c r="GA113" s="66">
        <f t="shared" si="292"/>
        <v>0</v>
      </c>
      <c r="GB113" s="66" t="str">
        <f t="shared" si="293"/>
        <v/>
      </c>
      <c r="GC113" s="74" t="str">
        <f>IF('Marks Entry'!BX113="","",'Marks Entry'!BX113)</f>
        <v/>
      </c>
      <c r="GD113" s="74" t="str">
        <f>IF('Marks Entry'!BY113="","",'Marks Entry'!BY113)</f>
        <v/>
      </c>
      <c r="GE113" s="74" t="str">
        <f>IF('Marks Entry'!BZ113="","",'Marks Entry'!BZ113)</f>
        <v/>
      </c>
      <c r="GF113" s="75" t="str">
        <f t="shared" si="294"/>
        <v/>
      </c>
      <c r="GG113" s="368" t="str">
        <f t="shared" si="295"/>
        <v/>
      </c>
      <c r="GH113" s="65">
        <f t="shared" si="296"/>
        <v>0</v>
      </c>
      <c r="GI113" s="66">
        <f t="shared" si="297"/>
        <v>0</v>
      </c>
      <c r="GJ113" s="66" t="str">
        <f t="shared" si="298"/>
        <v/>
      </c>
      <c r="GK113" s="100" t="str">
        <f>IF(AND(F113="",B113=""),"",IF('Student DATA Entry'!M110="","",'Student DATA Entry'!M110))</f>
        <v/>
      </c>
      <c r="GL113" s="101" t="str">
        <f>IF(AND(B113="",F113=""),"",IF('Student DATA Entry'!N110="","",'Student DATA Entry'!N110))</f>
        <v/>
      </c>
      <c r="GM113" s="581" t="str">
        <f t="shared" si="299"/>
        <v/>
      </c>
      <c r="GN113" s="94" t="str">
        <f t="shared" si="300"/>
        <v/>
      </c>
      <c r="GO113" s="94" t="str">
        <f t="shared" si="301"/>
        <v/>
      </c>
      <c r="GP113" s="102" t="str">
        <f t="shared" si="330"/>
        <v/>
      </c>
      <c r="GQ113" s="94" t="str">
        <f t="shared" si="302"/>
        <v/>
      </c>
      <c r="GR113" s="103" t="str">
        <f t="shared" si="303"/>
        <v/>
      </c>
      <c r="GS113" s="102" t="str">
        <f t="shared" si="331"/>
        <v/>
      </c>
      <c r="GT113" s="104" t="str">
        <f t="shared" si="304"/>
        <v/>
      </c>
      <c r="GU113" s="94" t="str">
        <f>IF('Marks Entry'!V113=1,GT113,"")</f>
        <v/>
      </c>
      <c r="GV113" s="94" t="str">
        <f>IF('Marks Entry'!V113=2,GT113,"")</f>
        <v/>
      </c>
      <c r="GW113" s="94" t="str">
        <f>IF('Marks Entry'!V113=3,GT113,"")</f>
        <v/>
      </c>
      <c r="GX113" s="94" t="str">
        <f>IF('Marks Entry'!V113=4,GT113,"")</f>
        <v/>
      </c>
      <c r="GY113" s="94" t="str">
        <f>IF('Marks Entry'!V113=5,GT113,"")</f>
        <v/>
      </c>
      <c r="GZ113" s="94" t="str">
        <f t="shared" si="305"/>
        <v/>
      </c>
      <c r="HA113" s="105" t="str">
        <f t="shared" si="332"/>
        <v/>
      </c>
      <c r="HB113" s="94" t="str">
        <f t="shared" si="306"/>
        <v/>
      </c>
      <c r="HC113" s="94" t="str">
        <f t="shared" si="307"/>
        <v/>
      </c>
      <c r="HD113" s="105" t="str">
        <f t="shared" si="333"/>
        <v/>
      </c>
      <c r="HE113" s="94" t="str">
        <f t="shared" si="308"/>
        <v/>
      </c>
      <c r="HF113" s="94" t="str">
        <f t="shared" si="309"/>
        <v/>
      </c>
      <c r="HG113" s="105" t="str">
        <f t="shared" si="334"/>
        <v/>
      </c>
      <c r="HH113" s="94" t="str">
        <f t="shared" si="310"/>
        <v/>
      </c>
      <c r="HI113" s="94" t="str">
        <f t="shared" si="311"/>
        <v/>
      </c>
      <c r="HJ113" s="105" t="str">
        <f t="shared" si="335"/>
        <v/>
      </c>
      <c r="HK113" s="94" t="str">
        <f t="shared" si="312"/>
        <v/>
      </c>
      <c r="HL113" s="94" t="str">
        <f t="shared" si="313"/>
        <v/>
      </c>
      <c r="HM113" s="105" t="str">
        <f t="shared" si="336"/>
        <v/>
      </c>
      <c r="HN113" s="367" t="str">
        <f t="shared" si="314"/>
        <v xml:space="preserve">      </v>
      </c>
      <c r="HO113" s="418" t="str">
        <f t="shared" si="337"/>
        <v xml:space="preserve">      </v>
      </c>
      <c r="HP113" s="367" t="str">
        <f t="shared" si="315"/>
        <v xml:space="preserve">      </v>
      </c>
      <c r="HQ113" s="107" t="str">
        <f t="shared" si="316"/>
        <v xml:space="preserve">      </v>
      </c>
      <c r="HR113" s="366" t="str">
        <f t="shared" si="317"/>
        <v xml:space="preserve">      </v>
      </c>
      <c r="HS113" s="544" t="str">
        <f t="shared" si="338"/>
        <v/>
      </c>
      <c r="HT113" s="542" t="str">
        <f t="shared" si="318"/>
        <v/>
      </c>
      <c r="HU113" s="541" t="str">
        <f t="shared" si="319"/>
        <v/>
      </c>
      <c r="HV113" s="540" t="str">
        <f t="shared" si="320"/>
        <v/>
      </c>
      <c r="HW113" s="537" t="str">
        <f t="shared" si="321"/>
        <v/>
      </c>
      <c r="HX113" s="539" t="str">
        <f t="shared" si="322"/>
        <v/>
      </c>
      <c r="HY113" s="553" t="str">
        <f>IFERROR(IF(OR(HS113="SUPPLEMENTARY",HS113="RE-EXAM"),'Supp. Result Entry'!AQ111,""),"")</f>
        <v/>
      </c>
      <c r="HZ113" s="538" t="str">
        <f t="shared" si="323"/>
        <v/>
      </c>
      <c r="IA113" s="415" t="str">
        <f t="shared" si="324"/>
        <v/>
      </c>
      <c r="IB113" s="415" t="str">
        <f>IF(AND(HZ113="",IA113=""),"",IF(OR(HS113="SUPPLEMENTARY",HS113="RE-EXAM"),'Supp. Result Entry'!AQ111,HS113))</f>
        <v/>
      </c>
      <c r="IC113" s="87"/>
      <c r="IS113" s="109" t="str">
        <f>IF('Supp. Result Entry'!T111="","",'Supp. Result Entry'!$T$4)</f>
        <v/>
      </c>
      <c r="IT113" s="110" t="str">
        <f>IF('Supp. Result Entry'!W111="","",'Supp. Result Entry'!$W$4)</f>
        <v/>
      </c>
      <c r="IU113" s="110" t="str">
        <f>IF('Supp. Result Entry'!Z111="","",'Supp. Result Entry'!$Z$4)</f>
        <v/>
      </c>
      <c r="IV113" s="110" t="str">
        <f>IF('Supp. Result Entry'!AC111="","",'Supp. Result Entry'!$AC$4)</f>
        <v/>
      </c>
      <c r="IW113" s="110" t="str">
        <f>IF('Supp. Result Entry'!AF111="","",'Supp. Result Entry'!$AF$4)</f>
        <v/>
      </c>
      <c r="IX113" s="110" t="str">
        <f>IF('Supp. Result Entry'!AI111="","",'Supp. Result Entry'!$AI$4)</f>
        <v/>
      </c>
      <c r="IY113" s="110" t="str">
        <f>IF('Supp. Result Entry'!AI111="","",'Supp. Result Entry'!$AL$4)</f>
        <v/>
      </c>
      <c r="IZ113" s="110" t="str">
        <f>IF('Supp. Result Entry'!U111="","",'Supp. Result Entry'!U111)</f>
        <v/>
      </c>
      <c r="JA113" s="110" t="str">
        <f>IF('Supp. Result Entry'!X111="","",'Supp. Result Entry'!X111)</f>
        <v/>
      </c>
      <c r="JB113" s="110" t="str">
        <f>IF('Supp. Result Entry'!AA111="","",'Supp. Result Entry'!AA111)</f>
        <v/>
      </c>
      <c r="JC113" s="110" t="str">
        <f>IF('Supp. Result Entry'!AD111="","",'Supp. Result Entry'!AD111)</f>
        <v/>
      </c>
      <c r="JD113" s="110" t="str">
        <f>IF('Supp. Result Entry'!AG111="","",'Supp. Result Entry'!AG111)</f>
        <v/>
      </c>
      <c r="JE113" s="110" t="str">
        <f>IF('Supp. Result Entry'!AJ111="","",'Supp. Result Entry'!AJ111)</f>
        <v/>
      </c>
      <c r="JF113" s="110" t="str">
        <f>IF('Supp. Result Entry'!AM111="","",'Supp. Result Entry'!AM111)</f>
        <v/>
      </c>
      <c r="JG113" s="110" t="str">
        <f>IF('Supp. Result Entry'!V111="","",'Supp. Result Entry'!V111)</f>
        <v/>
      </c>
      <c r="JH113" s="110" t="str">
        <f>IF('Supp. Result Entry'!Y111="","",'Supp. Result Entry'!Y111)</f>
        <v/>
      </c>
      <c r="JI113" s="110" t="str">
        <f>IF('Supp. Result Entry'!AB111="","",'Supp. Result Entry'!AB111)</f>
        <v/>
      </c>
      <c r="JJ113" s="110" t="str">
        <f>IF('Supp. Result Entry'!AE111="","",'Supp. Result Entry'!AE111)</f>
        <v/>
      </c>
      <c r="JK113" s="110" t="str">
        <f>IF('Supp. Result Entry'!AH111="","",'Supp. Result Entry'!AH111)</f>
        <v/>
      </c>
      <c r="JL113" s="110" t="str">
        <f>IF('Supp. Result Entry'!AK111="","",'Supp. Result Entry'!AK111)</f>
        <v/>
      </c>
      <c r="JM113" s="110" t="str">
        <f>IF('Supp. Result Entry'!AN111="","",'Supp. Result Entry'!AN111)</f>
        <v/>
      </c>
      <c r="JN113" s="110">
        <f>COUNTIF('Supp. Result Entry'!K111:Q111,"S")</f>
        <v>0</v>
      </c>
      <c r="JO113" s="110">
        <f t="shared" si="248"/>
        <v>0</v>
      </c>
      <c r="JP113" s="110">
        <f t="shared" si="325"/>
        <v>0</v>
      </c>
      <c r="JQ113" s="110" t="str">
        <f t="shared" si="249"/>
        <v/>
      </c>
      <c r="JR113" s="110" t="str">
        <f t="shared" si="250"/>
        <v/>
      </c>
      <c r="JS113" s="110" t="str">
        <f t="shared" si="251"/>
        <v/>
      </c>
      <c r="JT113" s="110" t="str">
        <f t="shared" si="252"/>
        <v/>
      </c>
      <c r="JU113" s="110" t="str">
        <f t="shared" si="253"/>
        <v/>
      </c>
      <c r="JV113" s="110" t="str">
        <f t="shared" si="254"/>
        <v/>
      </c>
      <c r="JW113" s="110" t="str">
        <f t="shared" si="255"/>
        <v/>
      </c>
      <c r="JX113" s="110" t="str">
        <f t="shared" si="326"/>
        <v/>
      </c>
      <c r="JY113" s="110" t="str">
        <f t="shared" si="327"/>
        <v/>
      </c>
      <c r="JZ113" s="110" t="str">
        <f t="shared" si="256"/>
        <v/>
      </c>
      <c r="KA113" s="108" t="str">
        <f t="shared" si="328"/>
        <v/>
      </c>
    </row>
    <row r="114" spans="1:287" s="108" customFormat="1" ht="21.95" customHeight="1">
      <c r="A114" s="89">
        <v>108</v>
      </c>
      <c r="B114" s="90" t="str">
        <f>IF('Marks Entry'!B114="","",'Marks Entry'!B114)</f>
        <v/>
      </c>
      <c r="C114" s="94" t="str">
        <f>IF('Marks Entry'!D114="","",'Marks Entry'!D114)</f>
        <v/>
      </c>
      <c r="D114" s="91" t="str">
        <f>IF('Marks Entry'!E114="","",'Marks Entry'!E114)</f>
        <v/>
      </c>
      <c r="E114" s="92" t="str">
        <f>IF('Marks Entry'!F114="","",'Marks Entry'!F114)</f>
        <v/>
      </c>
      <c r="F114" s="93" t="str">
        <f>IF('Marks Entry'!G114="","",'Marks Entry'!G114)</f>
        <v/>
      </c>
      <c r="G114" s="93" t="str">
        <f>IF('Marks Entry'!H114="","",'Marks Entry'!H114)</f>
        <v/>
      </c>
      <c r="H114" s="93" t="str">
        <f>IF('Marks Entry'!I114="","",'Marks Entry'!I114)</f>
        <v/>
      </c>
      <c r="I114" s="94" t="str">
        <f>IF('Marks Entry'!J114="","",'Marks Entry'!J114)</f>
        <v/>
      </c>
      <c r="J114" s="95" t="str">
        <f>IF('Marks Entry'!K114="","",'Marks Entry'!K114)</f>
        <v/>
      </c>
      <c r="K114" s="68" t="str">
        <f>IF('Marks Entry'!L114="","",'Marks Entry'!L114)</f>
        <v/>
      </c>
      <c r="L114" s="68" t="str">
        <f>IF('Marks Entry'!M114="","",'Marks Entry'!M114)</f>
        <v/>
      </c>
      <c r="M114" s="68" t="str">
        <f>IF('Marks Entry'!N114="","",'Marks Entry'!N114)</f>
        <v/>
      </c>
      <c r="N114" s="514" t="str">
        <f t="shared" si="257"/>
        <v/>
      </c>
      <c r="O114" s="68" t="str">
        <f>IF('Marks Entry'!O114="","",'Marks Entry'!O114)</f>
        <v/>
      </c>
      <c r="P114" s="515" t="str">
        <f t="shared" si="258"/>
        <v/>
      </c>
      <c r="Q114" s="68" t="str">
        <f>IF('Marks Entry'!P114="","",'Marks Entry'!P114)</f>
        <v/>
      </c>
      <c r="R114" s="96" t="str">
        <f t="shared" si="259"/>
        <v/>
      </c>
      <c r="S114" s="65">
        <f t="shared" si="260"/>
        <v>0</v>
      </c>
      <c r="T114" s="65">
        <f t="shared" si="261"/>
        <v>0</v>
      </c>
      <c r="U114" s="66" t="str">
        <f t="shared" si="171"/>
        <v/>
      </c>
      <c r="V114" s="65" t="str">
        <f t="shared" si="172"/>
        <v/>
      </c>
      <c r="W114" s="65" t="str">
        <f t="shared" si="262"/>
        <v/>
      </c>
      <c r="X114" s="65" t="str">
        <f t="shared" si="173"/>
        <v/>
      </c>
      <c r="Y114" s="68" t="str">
        <f>IF('Marks Entry'!Q114="","",'Marks Entry'!Q114)</f>
        <v/>
      </c>
      <c r="Z114" s="68" t="str">
        <f>IF('Marks Entry'!R114="","",'Marks Entry'!R114)</f>
        <v/>
      </c>
      <c r="AA114" s="68" t="str">
        <f>IF('Marks Entry'!S114="","",'Marks Entry'!S114)</f>
        <v/>
      </c>
      <c r="AB114" s="514" t="str">
        <f t="shared" si="174"/>
        <v/>
      </c>
      <c r="AC114" s="68" t="str">
        <f>IF('Marks Entry'!T114="","",'Marks Entry'!T114)</f>
        <v/>
      </c>
      <c r="AD114" s="515" t="str">
        <f t="shared" si="175"/>
        <v/>
      </c>
      <c r="AE114" s="68" t="str">
        <f>IF('Marks Entry'!U114="","",'Marks Entry'!U114)</f>
        <v/>
      </c>
      <c r="AF114" s="96" t="str">
        <f t="shared" si="176"/>
        <v/>
      </c>
      <c r="AG114" s="65">
        <f t="shared" si="177"/>
        <v>0</v>
      </c>
      <c r="AH114" s="65">
        <f t="shared" si="178"/>
        <v>0</v>
      </c>
      <c r="AI114" s="66" t="str">
        <f t="shared" si="179"/>
        <v/>
      </c>
      <c r="AJ114" s="65" t="str">
        <f t="shared" si="180"/>
        <v/>
      </c>
      <c r="AK114" s="65" t="str">
        <f t="shared" si="181"/>
        <v/>
      </c>
      <c r="AL114" s="65" t="str">
        <f t="shared" si="182"/>
        <v/>
      </c>
      <c r="AM114" s="524" t="str">
        <f>IF('Marks Entry'!V114="","",IF('Marks Entry'!V114=1,'School Profile'!$I$9,IF('Marks Entry'!V114=2,'School Profile'!$I$10,IF('Marks Entry'!V114=3,'School Profile'!$I$11,IF('Marks Entry'!V114=4,'School Profile'!$I$12,IF('Marks Entry'!V114=5,'School Profile'!$I$13,IF('Marks Entry'!V114=6,'School Profile'!$I$14,"")))))))</f>
        <v/>
      </c>
      <c r="AN114" s="68" t="str">
        <f>IF('Marks Entry'!W114="","",'Marks Entry'!W114)</f>
        <v/>
      </c>
      <c r="AO114" s="68" t="str">
        <f>IF('Marks Entry'!X114="","",'Marks Entry'!X114)</f>
        <v/>
      </c>
      <c r="AP114" s="68" t="str">
        <f>IF('Marks Entry'!Y114="","",'Marks Entry'!Y114)</f>
        <v/>
      </c>
      <c r="AQ114" s="514" t="str">
        <f t="shared" si="183"/>
        <v/>
      </c>
      <c r="AR114" s="68" t="str">
        <f>IF('Marks Entry'!Z114="","",'Marks Entry'!Z114)</f>
        <v/>
      </c>
      <c r="AS114" s="515" t="str">
        <f t="shared" si="184"/>
        <v/>
      </c>
      <c r="AT114" s="68" t="str">
        <f>IF('Marks Entry'!AA114="","",'Marks Entry'!AA114)</f>
        <v/>
      </c>
      <c r="AU114" s="96" t="str">
        <f t="shared" si="185"/>
        <v/>
      </c>
      <c r="AV114" s="65">
        <f t="shared" si="186"/>
        <v>0</v>
      </c>
      <c r="AW114" s="65">
        <f t="shared" si="187"/>
        <v>0</v>
      </c>
      <c r="AX114" s="66" t="str">
        <f t="shared" si="188"/>
        <v/>
      </c>
      <c r="AY114" s="65" t="str">
        <f t="shared" si="189"/>
        <v/>
      </c>
      <c r="AZ114" s="65" t="str">
        <f t="shared" si="190"/>
        <v/>
      </c>
      <c r="BA114" s="65" t="str">
        <f t="shared" si="191"/>
        <v/>
      </c>
      <c r="BB114" s="68" t="str">
        <f>IF('Marks Entry'!AB114="","",'Marks Entry'!AB114)</f>
        <v/>
      </c>
      <c r="BC114" s="68" t="str">
        <f>IF('Marks Entry'!AC114="","",'Marks Entry'!AC114)</f>
        <v/>
      </c>
      <c r="BD114" s="68" t="str">
        <f>IF('Marks Entry'!AD114="","",'Marks Entry'!AD114)</f>
        <v/>
      </c>
      <c r="BE114" s="514" t="str">
        <f t="shared" si="192"/>
        <v/>
      </c>
      <c r="BF114" s="68" t="str">
        <f>IF('Marks Entry'!AE114="","",'Marks Entry'!AE114)</f>
        <v/>
      </c>
      <c r="BG114" s="515" t="str">
        <f t="shared" si="193"/>
        <v/>
      </c>
      <c r="BH114" s="68" t="str">
        <f>IF('Marks Entry'!AF114="","",'Marks Entry'!AF114)</f>
        <v/>
      </c>
      <c r="BI114" s="96" t="str">
        <f t="shared" si="194"/>
        <v/>
      </c>
      <c r="BJ114" s="65">
        <f t="shared" si="195"/>
        <v>0</v>
      </c>
      <c r="BK114" s="65">
        <f t="shared" si="263"/>
        <v>0</v>
      </c>
      <c r="BL114" s="66" t="str">
        <f t="shared" si="196"/>
        <v/>
      </c>
      <c r="BM114" s="65" t="str">
        <f t="shared" si="197"/>
        <v/>
      </c>
      <c r="BN114" s="65" t="str">
        <f t="shared" si="198"/>
        <v/>
      </c>
      <c r="BO114" s="65" t="str">
        <f t="shared" si="199"/>
        <v/>
      </c>
      <c r="BP114" s="68" t="str">
        <f>IF('Marks Entry'!AG114="","",'Marks Entry'!AG114)</f>
        <v/>
      </c>
      <c r="BQ114" s="68" t="str">
        <f>IF('Marks Entry'!AH114="","",'Marks Entry'!AH114)</f>
        <v/>
      </c>
      <c r="BR114" s="68" t="str">
        <f>IF('Marks Entry'!AI114="","",'Marks Entry'!AI114)</f>
        <v/>
      </c>
      <c r="BS114" s="514" t="str">
        <f t="shared" si="200"/>
        <v/>
      </c>
      <c r="BT114" s="68" t="str">
        <f>IF('Marks Entry'!AJ114="","",'Marks Entry'!AJ114)</f>
        <v/>
      </c>
      <c r="BU114" s="515" t="str">
        <f t="shared" si="201"/>
        <v/>
      </c>
      <c r="BV114" s="68" t="str">
        <f>IF('Marks Entry'!AK114="","",'Marks Entry'!AK114)</f>
        <v/>
      </c>
      <c r="BW114" s="96" t="str">
        <f t="shared" si="202"/>
        <v/>
      </c>
      <c r="BX114" s="65">
        <f t="shared" si="203"/>
        <v>0</v>
      </c>
      <c r="BY114" s="65">
        <f t="shared" si="204"/>
        <v>0</v>
      </c>
      <c r="BZ114" s="66" t="str">
        <f t="shared" si="205"/>
        <v/>
      </c>
      <c r="CA114" s="65" t="str">
        <f t="shared" si="206"/>
        <v/>
      </c>
      <c r="CB114" s="65" t="str">
        <f t="shared" si="207"/>
        <v/>
      </c>
      <c r="CC114" s="65" t="str">
        <f t="shared" si="208"/>
        <v/>
      </c>
      <c r="CD114" s="66">
        <f t="shared" si="329"/>
        <v>0</v>
      </c>
      <c r="CE114" s="68" t="str">
        <f>IF('Marks Entry'!AL114="","",'Marks Entry'!AL114)</f>
        <v/>
      </c>
      <c r="CF114" s="68" t="str">
        <f>IF('Marks Entry'!AM114="","",'Marks Entry'!AM114)</f>
        <v/>
      </c>
      <c r="CG114" s="68" t="str">
        <f>IF('Marks Entry'!AN114="","",'Marks Entry'!AN114)</f>
        <v/>
      </c>
      <c r="CH114" s="514" t="str">
        <f t="shared" si="210"/>
        <v/>
      </c>
      <c r="CI114" s="68" t="str">
        <f>IF('Marks Entry'!AO114="","",'Marks Entry'!AO114)</f>
        <v/>
      </c>
      <c r="CJ114" s="515" t="str">
        <f t="shared" si="211"/>
        <v/>
      </c>
      <c r="CK114" s="68" t="str">
        <f>IF('Marks Entry'!AP114="","",'Marks Entry'!AP114)</f>
        <v/>
      </c>
      <c r="CL114" s="96" t="str">
        <f t="shared" si="212"/>
        <v/>
      </c>
      <c r="CM114" s="65">
        <f t="shared" si="213"/>
        <v>0</v>
      </c>
      <c r="CN114" s="65">
        <f t="shared" si="214"/>
        <v>0</v>
      </c>
      <c r="CO114" s="66" t="str">
        <f t="shared" si="215"/>
        <v/>
      </c>
      <c r="CP114" s="65" t="str">
        <f t="shared" si="216"/>
        <v/>
      </c>
      <c r="CQ114" s="65" t="str">
        <f t="shared" si="217"/>
        <v/>
      </c>
      <c r="CR114" s="65" t="str">
        <f t="shared" si="218"/>
        <v/>
      </c>
      <c r="CS114" s="616"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8" t="str">
        <f>IF('School Profile'!$D$20="NO","",IF('Marks Entry'!AR114="","",'Marks Entry'!AR114))</f>
        <v/>
      </c>
      <c r="CU114" s="68" t="str">
        <f>IF('School Profile'!$D$20="NO","",IF('Marks Entry'!AS114="","",'Marks Entry'!AS114))</f>
        <v/>
      </c>
      <c r="CV114" s="68" t="str">
        <f>IF('School Profile'!$D$20="NO","",IF('Marks Entry'!AT114="","",'Marks Entry'!AT114))</f>
        <v/>
      </c>
      <c r="CW114" s="514" t="str">
        <f>IF('School Profile'!$D$20="NO","",IF(AND(CT114="",CU114="",CV114=""),"",SUM(CT114:CV114)))</f>
        <v/>
      </c>
      <c r="CX114" s="68" t="str">
        <f>IF('School Profile'!$D$20="NO","",IF('Marks Entry'!AU114="","",'Marks Entry'!AU114))</f>
        <v/>
      </c>
      <c r="CY114" s="68" t="str">
        <f>IF('School Profile'!$D$20="NO","",IF('Marks Entry'!AV114="","",'Marks Entry'!AV114))</f>
        <v/>
      </c>
      <c r="CZ114" s="515" t="str">
        <f>IF('School Profile'!$D$20="NO","",IF(AND(CX114="",CY114=""),"",SUM(CX114,CY114)))</f>
        <v/>
      </c>
      <c r="DA114" s="69" t="str">
        <f>IF('School Profile'!$D$20="NO","",IF(AND(CW114="",CZ114=""),"",SUM(CW114+CZ114)))</f>
        <v/>
      </c>
      <c r="DB114" s="68" t="str">
        <f>IF('School Profile'!$D$20="NO","",IF('Marks Entry'!AW114="","",'Marks Entry'!AW114))</f>
        <v/>
      </c>
      <c r="DC114" s="68" t="str">
        <f>IF('School Profile'!$D$20="NO","",IF('Marks Entry'!AX114="","",'Marks Entry'!AX114))</f>
        <v/>
      </c>
      <c r="DD114" s="515" t="str">
        <f>IF('School Profile'!$D$20="NO","",IF(AND(DB114="",DC114=""),"",SUM(DB114,DC114)))</f>
        <v/>
      </c>
      <c r="DE114" s="96" t="str">
        <f>IF('School Profile'!$D$20="NO","",IF(AND(DA114="",DD114=""),"",SUM(DA114,DD114)))</f>
        <v/>
      </c>
      <c r="DF114" s="532">
        <f t="shared" si="219"/>
        <v>0</v>
      </c>
      <c r="DG114" s="65">
        <f t="shared" si="220"/>
        <v>0</v>
      </c>
      <c r="DH114" s="66" t="str">
        <f t="shared" si="221"/>
        <v/>
      </c>
      <c r="DI114" s="65" t="str">
        <f t="shared" si="222"/>
        <v/>
      </c>
      <c r="DJ114" s="65" t="str">
        <f t="shared" si="223"/>
        <v/>
      </c>
      <c r="DK114" s="65" t="str">
        <f t="shared" si="224"/>
        <v/>
      </c>
      <c r="DL114" s="97" t="str">
        <f t="shared" si="264"/>
        <v/>
      </c>
      <c r="DM114" s="97" t="str">
        <f t="shared" si="265"/>
        <v/>
      </c>
      <c r="DN114" s="97" t="str">
        <f t="shared" si="266"/>
        <v/>
      </c>
      <c r="DO114" s="97" t="str">
        <f t="shared" si="267"/>
        <v/>
      </c>
      <c r="DP114" s="97" t="str">
        <f t="shared" si="268"/>
        <v/>
      </c>
      <c r="DQ114" s="97" t="str">
        <f t="shared" si="269"/>
        <v/>
      </c>
      <c r="DR114" s="97" t="str">
        <f t="shared" si="270"/>
        <v/>
      </c>
      <c r="DS114" s="98">
        <f t="shared" si="271"/>
        <v>0</v>
      </c>
      <c r="DT114" s="98">
        <f t="shared" si="272"/>
        <v>0</v>
      </c>
      <c r="DU114" s="98">
        <f t="shared" si="273"/>
        <v>0</v>
      </c>
      <c r="DV114" s="98">
        <f t="shared" si="274"/>
        <v>0</v>
      </c>
      <c r="DW114" s="98">
        <f t="shared" si="275"/>
        <v>0</v>
      </c>
      <c r="DX114" s="98" t="str">
        <f t="shared" si="276"/>
        <v/>
      </c>
      <c r="DY114" s="99" t="str">
        <f t="shared" si="277"/>
        <v/>
      </c>
      <c r="DZ114" s="74" t="str">
        <f>IF('Marks Entry'!AY114="","",'Marks Entry'!AY114)</f>
        <v/>
      </c>
      <c r="EA114" s="74" t="str">
        <f>IF('Marks Entry'!AZ114="","",'Marks Entry'!AZ114)</f>
        <v/>
      </c>
      <c r="EB114" s="74" t="str">
        <f>IF('Marks Entry'!BA114="","",'Marks Entry'!BA114)</f>
        <v/>
      </c>
      <c r="EC114" s="527" t="str">
        <f t="shared" si="225"/>
        <v/>
      </c>
      <c r="ED114" s="74" t="str">
        <f>IF('Marks Entry'!BB114="","",'Marks Entry'!BB114)</f>
        <v/>
      </c>
      <c r="EE114" s="528" t="str">
        <f t="shared" si="226"/>
        <v/>
      </c>
      <c r="EF114" s="74" t="str">
        <f>IF('Marks Entry'!BC114="","",'Marks Entry'!BC114)</f>
        <v/>
      </c>
      <c r="EG114" s="530" t="str">
        <f t="shared" si="227"/>
        <v/>
      </c>
      <c r="EH114" s="368" t="str">
        <f t="shared" si="278"/>
        <v/>
      </c>
      <c r="EI114" s="65">
        <f t="shared" si="279"/>
        <v>0</v>
      </c>
      <c r="EJ114" s="65">
        <f t="shared" si="280"/>
        <v>0</v>
      </c>
      <c r="EK114" s="66" t="str">
        <f t="shared" si="281"/>
        <v/>
      </c>
      <c r="EL114" s="74" t="str">
        <f>IF('Marks Entry'!BD114="","",'Marks Entry'!BD114)</f>
        <v/>
      </c>
      <c r="EM114" s="74" t="str">
        <f>IF('Marks Entry'!BE114="","",'Marks Entry'!BE114)</f>
        <v/>
      </c>
      <c r="EN114" s="74" t="str">
        <f>IF('Marks Entry'!BF114="","",'Marks Entry'!BF114)</f>
        <v/>
      </c>
      <c r="EO114" s="527" t="str">
        <f t="shared" si="228"/>
        <v/>
      </c>
      <c r="EP114" s="74" t="str">
        <f>IF('Marks Entry'!BG114="","",'Marks Entry'!BG114)</f>
        <v/>
      </c>
      <c r="EQ114" s="74" t="str">
        <f>IF('Marks Entry'!BH114="","",'Marks Entry'!BH114)</f>
        <v/>
      </c>
      <c r="ER114" s="528" t="str">
        <f t="shared" si="229"/>
        <v/>
      </c>
      <c r="ES114" s="529" t="str">
        <f t="shared" si="230"/>
        <v/>
      </c>
      <c r="ET114" s="74" t="str">
        <f>IF('Marks Entry'!BI114="","",'Marks Entry'!BI114)</f>
        <v/>
      </c>
      <c r="EU114" s="74" t="str">
        <f>IF('Marks Entry'!BJ114="","",'Marks Entry'!BJ114)</f>
        <v/>
      </c>
      <c r="EV114" s="528" t="str">
        <f t="shared" si="231"/>
        <v/>
      </c>
      <c r="EW114" s="530" t="str">
        <f t="shared" si="232"/>
        <v/>
      </c>
      <c r="EX114" s="368" t="str">
        <f t="shared" si="282"/>
        <v/>
      </c>
      <c r="EY114" s="65">
        <f t="shared" si="283"/>
        <v>0</v>
      </c>
      <c r="EZ114" s="65">
        <f t="shared" si="284"/>
        <v>0</v>
      </c>
      <c r="FA114" s="66" t="str">
        <f t="shared" si="285"/>
        <v/>
      </c>
      <c r="FB114" s="74" t="str">
        <f>IF('Marks Entry'!BK114="","",'Marks Entry'!BK114)</f>
        <v/>
      </c>
      <c r="FC114" s="74" t="str">
        <f>IF('Marks Entry'!BL114="","",'Marks Entry'!BL114)</f>
        <v/>
      </c>
      <c r="FD114" s="74" t="str">
        <f>IF('Marks Entry'!BM114="","",'Marks Entry'!BM114)</f>
        <v/>
      </c>
      <c r="FE114" s="74" t="str">
        <f>IF('Marks Entry'!BN114="","",'Marks Entry'!BN114)</f>
        <v/>
      </c>
      <c r="FF114" s="74" t="str">
        <f>IF('Marks Entry'!BO114="","",'Marks Entry'!BO114)</f>
        <v/>
      </c>
      <c r="FG114" s="74" t="str">
        <f>IF('Marks Entry'!BP114="","",'Marks Entry'!BP114)</f>
        <v/>
      </c>
      <c r="FH114" s="527" t="str">
        <f t="shared" si="233"/>
        <v/>
      </c>
      <c r="FI114" s="74" t="str">
        <f>IF('Marks Entry'!BQ114="","",'Marks Entry'!BQ114)</f>
        <v/>
      </c>
      <c r="FJ114" s="74" t="str">
        <f>IF('Marks Entry'!BR114="","",'Marks Entry'!BR114)</f>
        <v/>
      </c>
      <c r="FK114" s="528" t="str">
        <f t="shared" si="234"/>
        <v/>
      </c>
      <c r="FL114" s="529" t="str">
        <f t="shared" si="235"/>
        <v/>
      </c>
      <c r="FM114" s="74" t="str">
        <f>IF('Marks Entry'!BS114="","",'Marks Entry'!BS114)</f>
        <v/>
      </c>
      <c r="FN114" s="74" t="str">
        <f>IF('Marks Entry'!BT114="","",'Marks Entry'!BT114)</f>
        <v/>
      </c>
      <c r="FO114" s="528" t="str">
        <f t="shared" si="236"/>
        <v/>
      </c>
      <c r="FP114" s="530" t="str">
        <f t="shared" si="237"/>
        <v/>
      </c>
      <c r="FQ114" s="368" t="str">
        <f t="shared" si="286"/>
        <v/>
      </c>
      <c r="FR114" s="65">
        <f t="shared" si="287"/>
        <v>0</v>
      </c>
      <c r="FS114" s="65">
        <f t="shared" si="288"/>
        <v>0</v>
      </c>
      <c r="FT114" s="66" t="str">
        <f t="shared" si="289"/>
        <v/>
      </c>
      <c r="FU114" s="74" t="str">
        <f>IF('Marks Entry'!BU114="","",'Marks Entry'!BU114)</f>
        <v/>
      </c>
      <c r="FV114" s="74" t="str">
        <f>IF('Marks Entry'!BV114="","",'Marks Entry'!BV114)</f>
        <v/>
      </c>
      <c r="FW114" s="74" t="str">
        <f>IF('Marks Entry'!BW114="","",'Marks Entry'!BW114)</f>
        <v/>
      </c>
      <c r="FX114" s="75" t="str">
        <f t="shared" si="238"/>
        <v/>
      </c>
      <c r="FY114" s="368" t="str">
        <f t="shared" si="290"/>
        <v/>
      </c>
      <c r="FZ114" s="65">
        <f t="shared" si="291"/>
        <v>0</v>
      </c>
      <c r="GA114" s="66">
        <f t="shared" si="292"/>
        <v>0</v>
      </c>
      <c r="GB114" s="66" t="str">
        <f t="shared" si="293"/>
        <v/>
      </c>
      <c r="GC114" s="74" t="str">
        <f>IF('Marks Entry'!BX114="","",'Marks Entry'!BX114)</f>
        <v/>
      </c>
      <c r="GD114" s="74" t="str">
        <f>IF('Marks Entry'!BY114="","",'Marks Entry'!BY114)</f>
        <v/>
      </c>
      <c r="GE114" s="74" t="str">
        <f>IF('Marks Entry'!BZ114="","",'Marks Entry'!BZ114)</f>
        <v/>
      </c>
      <c r="GF114" s="75" t="str">
        <f t="shared" si="294"/>
        <v/>
      </c>
      <c r="GG114" s="368" t="str">
        <f t="shared" si="295"/>
        <v/>
      </c>
      <c r="GH114" s="65">
        <f t="shared" si="296"/>
        <v>0</v>
      </c>
      <c r="GI114" s="66">
        <f t="shared" si="297"/>
        <v>0</v>
      </c>
      <c r="GJ114" s="66" t="str">
        <f t="shared" si="298"/>
        <v/>
      </c>
      <c r="GK114" s="100" t="str">
        <f>IF(AND(F114="",B114=""),"",IF('Student DATA Entry'!M111="","",'Student DATA Entry'!M111))</f>
        <v/>
      </c>
      <c r="GL114" s="101" t="str">
        <f>IF(AND(B114="",F114=""),"",IF('Student DATA Entry'!N111="","",'Student DATA Entry'!N111))</f>
        <v/>
      </c>
      <c r="GM114" s="581" t="str">
        <f t="shared" si="299"/>
        <v/>
      </c>
      <c r="GN114" s="94" t="str">
        <f t="shared" si="300"/>
        <v/>
      </c>
      <c r="GO114" s="94" t="str">
        <f t="shared" si="301"/>
        <v/>
      </c>
      <c r="GP114" s="102" t="str">
        <f t="shared" si="330"/>
        <v/>
      </c>
      <c r="GQ114" s="94" t="str">
        <f t="shared" si="302"/>
        <v/>
      </c>
      <c r="GR114" s="103" t="str">
        <f t="shared" si="303"/>
        <v/>
      </c>
      <c r="GS114" s="102" t="str">
        <f t="shared" si="331"/>
        <v/>
      </c>
      <c r="GT114" s="104" t="str">
        <f t="shared" si="304"/>
        <v/>
      </c>
      <c r="GU114" s="94" t="str">
        <f>IF('Marks Entry'!V114=1,GT114,"")</f>
        <v/>
      </c>
      <c r="GV114" s="94" t="str">
        <f>IF('Marks Entry'!V114=2,GT114,"")</f>
        <v/>
      </c>
      <c r="GW114" s="94" t="str">
        <f>IF('Marks Entry'!V114=3,GT114,"")</f>
        <v/>
      </c>
      <c r="GX114" s="94" t="str">
        <f>IF('Marks Entry'!V114=4,GT114,"")</f>
        <v/>
      </c>
      <c r="GY114" s="94" t="str">
        <f>IF('Marks Entry'!V114=5,GT114,"")</f>
        <v/>
      </c>
      <c r="GZ114" s="94" t="str">
        <f t="shared" si="305"/>
        <v/>
      </c>
      <c r="HA114" s="105" t="str">
        <f t="shared" si="332"/>
        <v/>
      </c>
      <c r="HB114" s="94" t="str">
        <f t="shared" si="306"/>
        <v/>
      </c>
      <c r="HC114" s="94" t="str">
        <f t="shared" si="307"/>
        <v/>
      </c>
      <c r="HD114" s="105" t="str">
        <f t="shared" si="333"/>
        <v/>
      </c>
      <c r="HE114" s="94" t="str">
        <f t="shared" si="308"/>
        <v/>
      </c>
      <c r="HF114" s="94" t="str">
        <f t="shared" si="309"/>
        <v/>
      </c>
      <c r="HG114" s="105" t="str">
        <f t="shared" si="334"/>
        <v/>
      </c>
      <c r="HH114" s="94" t="str">
        <f t="shared" si="310"/>
        <v/>
      </c>
      <c r="HI114" s="94" t="str">
        <f t="shared" si="311"/>
        <v/>
      </c>
      <c r="HJ114" s="105" t="str">
        <f t="shared" si="335"/>
        <v/>
      </c>
      <c r="HK114" s="94" t="str">
        <f t="shared" si="312"/>
        <v/>
      </c>
      <c r="HL114" s="94" t="str">
        <f t="shared" si="313"/>
        <v/>
      </c>
      <c r="HM114" s="105" t="str">
        <f t="shared" si="336"/>
        <v/>
      </c>
      <c r="HN114" s="367" t="str">
        <f t="shared" si="314"/>
        <v xml:space="preserve">      </v>
      </c>
      <c r="HO114" s="418" t="str">
        <f t="shared" si="337"/>
        <v xml:space="preserve">      </v>
      </c>
      <c r="HP114" s="367" t="str">
        <f t="shared" si="315"/>
        <v xml:space="preserve">      </v>
      </c>
      <c r="HQ114" s="107" t="str">
        <f t="shared" si="316"/>
        <v xml:space="preserve">      </v>
      </c>
      <c r="HR114" s="366" t="str">
        <f t="shared" si="317"/>
        <v xml:space="preserve">      </v>
      </c>
      <c r="HS114" s="544" t="str">
        <f t="shared" si="338"/>
        <v/>
      </c>
      <c r="HT114" s="542" t="str">
        <f t="shared" si="318"/>
        <v/>
      </c>
      <c r="HU114" s="541" t="str">
        <f t="shared" si="319"/>
        <v/>
      </c>
      <c r="HV114" s="540" t="str">
        <f t="shared" si="320"/>
        <v/>
      </c>
      <c r="HW114" s="537" t="str">
        <f t="shared" si="321"/>
        <v/>
      </c>
      <c r="HX114" s="539" t="str">
        <f t="shared" si="322"/>
        <v/>
      </c>
      <c r="HY114" s="553" t="str">
        <f>IFERROR(IF(OR(HS114="SUPPLEMENTARY",HS114="RE-EXAM"),'Supp. Result Entry'!AQ112,""),"")</f>
        <v/>
      </c>
      <c r="HZ114" s="538" t="str">
        <f t="shared" si="323"/>
        <v/>
      </c>
      <c r="IA114" s="415" t="str">
        <f t="shared" si="324"/>
        <v/>
      </c>
      <c r="IB114" s="415" t="str">
        <f>IF(AND(HZ114="",IA114=""),"",IF(OR(HS114="SUPPLEMENTARY",HS114="RE-EXAM"),'Supp. Result Entry'!AQ112,HS114))</f>
        <v/>
      </c>
      <c r="IC114" s="87"/>
      <c r="IS114" s="109" t="str">
        <f>IF('Supp. Result Entry'!T112="","",'Supp. Result Entry'!$T$4)</f>
        <v/>
      </c>
      <c r="IT114" s="110" t="str">
        <f>IF('Supp. Result Entry'!W112="","",'Supp. Result Entry'!$W$4)</f>
        <v/>
      </c>
      <c r="IU114" s="110" t="str">
        <f>IF('Supp. Result Entry'!Z112="","",'Supp. Result Entry'!$Z$4)</f>
        <v/>
      </c>
      <c r="IV114" s="110" t="str">
        <f>IF('Supp. Result Entry'!AC112="","",'Supp. Result Entry'!$AC$4)</f>
        <v/>
      </c>
      <c r="IW114" s="110" t="str">
        <f>IF('Supp. Result Entry'!AF112="","",'Supp. Result Entry'!$AF$4)</f>
        <v/>
      </c>
      <c r="IX114" s="110" t="str">
        <f>IF('Supp. Result Entry'!AI112="","",'Supp. Result Entry'!$AI$4)</f>
        <v/>
      </c>
      <c r="IY114" s="110" t="str">
        <f>IF('Supp. Result Entry'!AI112="","",'Supp. Result Entry'!$AL$4)</f>
        <v/>
      </c>
      <c r="IZ114" s="110" t="str">
        <f>IF('Supp. Result Entry'!U112="","",'Supp. Result Entry'!U112)</f>
        <v/>
      </c>
      <c r="JA114" s="110" t="str">
        <f>IF('Supp. Result Entry'!X112="","",'Supp. Result Entry'!X112)</f>
        <v/>
      </c>
      <c r="JB114" s="110" t="str">
        <f>IF('Supp. Result Entry'!AA112="","",'Supp. Result Entry'!AA112)</f>
        <v/>
      </c>
      <c r="JC114" s="110" t="str">
        <f>IF('Supp. Result Entry'!AD112="","",'Supp. Result Entry'!AD112)</f>
        <v/>
      </c>
      <c r="JD114" s="110" t="str">
        <f>IF('Supp. Result Entry'!AG112="","",'Supp. Result Entry'!AG112)</f>
        <v/>
      </c>
      <c r="JE114" s="110" t="str">
        <f>IF('Supp. Result Entry'!AJ112="","",'Supp. Result Entry'!AJ112)</f>
        <v/>
      </c>
      <c r="JF114" s="110" t="str">
        <f>IF('Supp. Result Entry'!AM112="","",'Supp. Result Entry'!AM112)</f>
        <v/>
      </c>
      <c r="JG114" s="110" t="str">
        <f>IF('Supp. Result Entry'!V112="","",'Supp. Result Entry'!V112)</f>
        <v/>
      </c>
      <c r="JH114" s="110" t="str">
        <f>IF('Supp. Result Entry'!Y112="","",'Supp. Result Entry'!Y112)</f>
        <v/>
      </c>
      <c r="JI114" s="110" t="str">
        <f>IF('Supp. Result Entry'!AB112="","",'Supp. Result Entry'!AB112)</f>
        <v/>
      </c>
      <c r="JJ114" s="110" t="str">
        <f>IF('Supp. Result Entry'!AE112="","",'Supp. Result Entry'!AE112)</f>
        <v/>
      </c>
      <c r="JK114" s="110" t="str">
        <f>IF('Supp. Result Entry'!AH112="","",'Supp. Result Entry'!AH112)</f>
        <v/>
      </c>
      <c r="JL114" s="110" t="str">
        <f>IF('Supp. Result Entry'!AK112="","",'Supp. Result Entry'!AK112)</f>
        <v/>
      </c>
      <c r="JM114" s="110" t="str">
        <f>IF('Supp. Result Entry'!AN112="","",'Supp. Result Entry'!AN112)</f>
        <v/>
      </c>
      <c r="JN114" s="110">
        <f>COUNTIF('Supp. Result Entry'!K112:Q112,"S")</f>
        <v>0</v>
      </c>
      <c r="JO114" s="110">
        <f t="shared" si="248"/>
        <v>0</v>
      </c>
      <c r="JP114" s="110">
        <f t="shared" si="325"/>
        <v>0</v>
      </c>
      <c r="JQ114" s="110" t="str">
        <f t="shared" si="249"/>
        <v/>
      </c>
      <c r="JR114" s="110" t="str">
        <f t="shared" si="250"/>
        <v/>
      </c>
      <c r="JS114" s="110" t="str">
        <f t="shared" si="251"/>
        <v/>
      </c>
      <c r="JT114" s="110" t="str">
        <f t="shared" si="252"/>
        <v/>
      </c>
      <c r="JU114" s="110" t="str">
        <f t="shared" si="253"/>
        <v/>
      </c>
      <c r="JV114" s="110" t="str">
        <f t="shared" si="254"/>
        <v/>
      </c>
      <c r="JW114" s="110" t="str">
        <f t="shared" si="255"/>
        <v/>
      </c>
      <c r="JX114" s="110" t="str">
        <f t="shared" si="326"/>
        <v/>
      </c>
      <c r="JY114" s="110" t="str">
        <f t="shared" si="327"/>
        <v/>
      </c>
      <c r="JZ114" s="110" t="str">
        <f t="shared" si="256"/>
        <v/>
      </c>
      <c r="KA114" s="108" t="str">
        <f t="shared" si="328"/>
        <v/>
      </c>
    </row>
    <row r="115" spans="1:287" s="108" customFormat="1" ht="21.95" customHeight="1">
      <c r="A115" s="89">
        <v>109</v>
      </c>
      <c r="B115" s="90" t="str">
        <f>IF('Marks Entry'!B115="","",'Marks Entry'!B115)</f>
        <v/>
      </c>
      <c r="C115" s="94" t="str">
        <f>IF('Marks Entry'!D115="","",'Marks Entry'!D115)</f>
        <v/>
      </c>
      <c r="D115" s="91" t="str">
        <f>IF('Marks Entry'!E115="","",'Marks Entry'!E115)</f>
        <v/>
      </c>
      <c r="E115" s="92" t="str">
        <f>IF('Marks Entry'!F115="","",'Marks Entry'!F115)</f>
        <v/>
      </c>
      <c r="F115" s="93" t="str">
        <f>IF('Marks Entry'!G115="","",'Marks Entry'!G115)</f>
        <v/>
      </c>
      <c r="G115" s="93" t="str">
        <f>IF('Marks Entry'!H115="","",'Marks Entry'!H115)</f>
        <v/>
      </c>
      <c r="H115" s="93" t="str">
        <f>IF('Marks Entry'!I115="","",'Marks Entry'!I115)</f>
        <v/>
      </c>
      <c r="I115" s="94" t="str">
        <f>IF('Marks Entry'!J115="","",'Marks Entry'!J115)</f>
        <v/>
      </c>
      <c r="J115" s="95" t="str">
        <f>IF('Marks Entry'!K115="","",'Marks Entry'!K115)</f>
        <v/>
      </c>
      <c r="K115" s="68" t="str">
        <f>IF('Marks Entry'!L115="","",'Marks Entry'!L115)</f>
        <v/>
      </c>
      <c r="L115" s="68" t="str">
        <f>IF('Marks Entry'!M115="","",'Marks Entry'!M115)</f>
        <v/>
      </c>
      <c r="M115" s="68" t="str">
        <f>IF('Marks Entry'!N115="","",'Marks Entry'!N115)</f>
        <v/>
      </c>
      <c r="N115" s="514" t="str">
        <f t="shared" si="257"/>
        <v/>
      </c>
      <c r="O115" s="68" t="str">
        <f>IF('Marks Entry'!O115="","",'Marks Entry'!O115)</f>
        <v/>
      </c>
      <c r="P115" s="515" t="str">
        <f t="shared" si="258"/>
        <v/>
      </c>
      <c r="Q115" s="68" t="str">
        <f>IF('Marks Entry'!P115="","",'Marks Entry'!P115)</f>
        <v/>
      </c>
      <c r="R115" s="96" t="str">
        <f t="shared" si="259"/>
        <v/>
      </c>
      <c r="S115" s="65">
        <f t="shared" si="260"/>
        <v>0</v>
      </c>
      <c r="T115" s="65">
        <f t="shared" si="261"/>
        <v>0</v>
      </c>
      <c r="U115" s="66" t="str">
        <f t="shared" si="171"/>
        <v/>
      </c>
      <c r="V115" s="65" t="str">
        <f t="shared" si="172"/>
        <v/>
      </c>
      <c r="W115" s="65" t="str">
        <f t="shared" si="262"/>
        <v/>
      </c>
      <c r="X115" s="65" t="str">
        <f t="shared" si="173"/>
        <v/>
      </c>
      <c r="Y115" s="68" t="str">
        <f>IF('Marks Entry'!Q115="","",'Marks Entry'!Q115)</f>
        <v/>
      </c>
      <c r="Z115" s="68" t="str">
        <f>IF('Marks Entry'!R115="","",'Marks Entry'!R115)</f>
        <v/>
      </c>
      <c r="AA115" s="68" t="str">
        <f>IF('Marks Entry'!S115="","",'Marks Entry'!S115)</f>
        <v/>
      </c>
      <c r="AB115" s="514" t="str">
        <f t="shared" si="174"/>
        <v/>
      </c>
      <c r="AC115" s="68" t="str">
        <f>IF('Marks Entry'!T115="","",'Marks Entry'!T115)</f>
        <v/>
      </c>
      <c r="AD115" s="515" t="str">
        <f t="shared" si="175"/>
        <v/>
      </c>
      <c r="AE115" s="68" t="str">
        <f>IF('Marks Entry'!U115="","",'Marks Entry'!U115)</f>
        <v/>
      </c>
      <c r="AF115" s="96" t="str">
        <f t="shared" si="176"/>
        <v/>
      </c>
      <c r="AG115" s="65">
        <f t="shared" si="177"/>
        <v>0</v>
      </c>
      <c r="AH115" s="65">
        <f t="shared" si="178"/>
        <v>0</v>
      </c>
      <c r="AI115" s="66" t="str">
        <f t="shared" si="179"/>
        <v/>
      </c>
      <c r="AJ115" s="65" t="str">
        <f t="shared" si="180"/>
        <v/>
      </c>
      <c r="AK115" s="65" t="str">
        <f t="shared" si="181"/>
        <v/>
      </c>
      <c r="AL115" s="65" t="str">
        <f t="shared" si="182"/>
        <v/>
      </c>
      <c r="AM115" s="524" t="str">
        <f>IF('Marks Entry'!V115="","",IF('Marks Entry'!V115=1,'School Profile'!$I$9,IF('Marks Entry'!V115=2,'School Profile'!$I$10,IF('Marks Entry'!V115=3,'School Profile'!$I$11,IF('Marks Entry'!V115=4,'School Profile'!$I$12,IF('Marks Entry'!V115=5,'School Profile'!$I$13,IF('Marks Entry'!V115=6,'School Profile'!$I$14,"")))))))</f>
        <v/>
      </c>
      <c r="AN115" s="68" t="str">
        <f>IF('Marks Entry'!W115="","",'Marks Entry'!W115)</f>
        <v/>
      </c>
      <c r="AO115" s="68" t="str">
        <f>IF('Marks Entry'!X115="","",'Marks Entry'!X115)</f>
        <v/>
      </c>
      <c r="AP115" s="68" t="str">
        <f>IF('Marks Entry'!Y115="","",'Marks Entry'!Y115)</f>
        <v/>
      </c>
      <c r="AQ115" s="514" t="str">
        <f t="shared" si="183"/>
        <v/>
      </c>
      <c r="AR115" s="68" t="str">
        <f>IF('Marks Entry'!Z115="","",'Marks Entry'!Z115)</f>
        <v/>
      </c>
      <c r="AS115" s="515" t="str">
        <f t="shared" si="184"/>
        <v/>
      </c>
      <c r="AT115" s="68" t="str">
        <f>IF('Marks Entry'!AA115="","",'Marks Entry'!AA115)</f>
        <v/>
      </c>
      <c r="AU115" s="96" t="str">
        <f t="shared" si="185"/>
        <v/>
      </c>
      <c r="AV115" s="65">
        <f t="shared" si="186"/>
        <v>0</v>
      </c>
      <c r="AW115" s="65">
        <f t="shared" si="187"/>
        <v>0</v>
      </c>
      <c r="AX115" s="66" t="str">
        <f t="shared" si="188"/>
        <v/>
      </c>
      <c r="AY115" s="65" t="str">
        <f t="shared" si="189"/>
        <v/>
      </c>
      <c r="AZ115" s="65" t="str">
        <f t="shared" si="190"/>
        <v/>
      </c>
      <c r="BA115" s="65" t="str">
        <f t="shared" si="191"/>
        <v/>
      </c>
      <c r="BB115" s="68" t="str">
        <f>IF('Marks Entry'!AB115="","",'Marks Entry'!AB115)</f>
        <v/>
      </c>
      <c r="BC115" s="68" t="str">
        <f>IF('Marks Entry'!AC115="","",'Marks Entry'!AC115)</f>
        <v/>
      </c>
      <c r="BD115" s="68" t="str">
        <f>IF('Marks Entry'!AD115="","",'Marks Entry'!AD115)</f>
        <v/>
      </c>
      <c r="BE115" s="514" t="str">
        <f t="shared" si="192"/>
        <v/>
      </c>
      <c r="BF115" s="68" t="str">
        <f>IF('Marks Entry'!AE115="","",'Marks Entry'!AE115)</f>
        <v/>
      </c>
      <c r="BG115" s="515" t="str">
        <f t="shared" si="193"/>
        <v/>
      </c>
      <c r="BH115" s="68" t="str">
        <f>IF('Marks Entry'!AF115="","",'Marks Entry'!AF115)</f>
        <v/>
      </c>
      <c r="BI115" s="96" t="str">
        <f t="shared" si="194"/>
        <v/>
      </c>
      <c r="BJ115" s="65">
        <f t="shared" si="195"/>
        <v>0</v>
      </c>
      <c r="BK115" s="65">
        <f t="shared" si="263"/>
        <v>0</v>
      </c>
      <c r="BL115" s="66" t="str">
        <f t="shared" si="196"/>
        <v/>
      </c>
      <c r="BM115" s="65" t="str">
        <f t="shared" si="197"/>
        <v/>
      </c>
      <c r="BN115" s="65" t="str">
        <f t="shared" si="198"/>
        <v/>
      </c>
      <c r="BO115" s="65" t="str">
        <f t="shared" si="199"/>
        <v/>
      </c>
      <c r="BP115" s="68" t="str">
        <f>IF('Marks Entry'!AG115="","",'Marks Entry'!AG115)</f>
        <v/>
      </c>
      <c r="BQ115" s="68" t="str">
        <f>IF('Marks Entry'!AH115="","",'Marks Entry'!AH115)</f>
        <v/>
      </c>
      <c r="BR115" s="68" t="str">
        <f>IF('Marks Entry'!AI115="","",'Marks Entry'!AI115)</f>
        <v/>
      </c>
      <c r="BS115" s="514" t="str">
        <f t="shared" si="200"/>
        <v/>
      </c>
      <c r="BT115" s="68" t="str">
        <f>IF('Marks Entry'!AJ115="","",'Marks Entry'!AJ115)</f>
        <v/>
      </c>
      <c r="BU115" s="515" t="str">
        <f t="shared" si="201"/>
        <v/>
      </c>
      <c r="BV115" s="68" t="str">
        <f>IF('Marks Entry'!AK115="","",'Marks Entry'!AK115)</f>
        <v/>
      </c>
      <c r="BW115" s="96" t="str">
        <f t="shared" si="202"/>
        <v/>
      </c>
      <c r="BX115" s="65">
        <f t="shared" si="203"/>
        <v>0</v>
      </c>
      <c r="BY115" s="65">
        <f t="shared" si="204"/>
        <v>0</v>
      </c>
      <c r="BZ115" s="66" t="str">
        <f t="shared" si="205"/>
        <v/>
      </c>
      <c r="CA115" s="65" t="str">
        <f t="shared" si="206"/>
        <v/>
      </c>
      <c r="CB115" s="65" t="str">
        <f t="shared" si="207"/>
        <v/>
      </c>
      <c r="CC115" s="65" t="str">
        <f t="shared" si="208"/>
        <v/>
      </c>
      <c r="CD115" s="66">
        <f t="shared" si="329"/>
        <v>0</v>
      </c>
      <c r="CE115" s="68" t="str">
        <f>IF('Marks Entry'!AL115="","",'Marks Entry'!AL115)</f>
        <v/>
      </c>
      <c r="CF115" s="68" t="str">
        <f>IF('Marks Entry'!AM115="","",'Marks Entry'!AM115)</f>
        <v/>
      </c>
      <c r="CG115" s="68" t="str">
        <f>IF('Marks Entry'!AN115="","",'Marks Entry'!AN115)</f>
        <v/>
      </c>
      <c r="CH115" s="514" t="str">
        <f t="shared" si="210"/>
        <v/>
      </c>
      <c r="CI115" s="68" t="str">
        <f>IF('Marks Entry'!AO115="","",'Marks Entry'!AO115)</f>
        <v/>
      </c>
      <c r="CJ115" s="515" t="str">
        <f t="shared" si="211"/>
        <v/>
      </c>
      <c r="CK115" s="68" t="str">
        <f>IF('Marks Entry'!AP115="","",'Marks Entry'!AP115)</f>
        <v/>
      </c>
      <c r="CL115" s="96" t="str">
        <f t="shared" si="212"/>
        <v/>
      </c>
      <c r="CM115" s="65">
        <f t="shared" si="213"/>
        <v>0</v>
      </c>
      <c r="CN115" s="65">
        <f t="shared" si="214"/>
        <v>0</v>
      </c>
      <c r="CO115" s="66" t="str">
        <f t="shared" si="215"/>
        <v/>
      </c>
      <c r="CP115" s="65" t="str">
        <f t="shared" si="216"/>
        <v/>
      </c>
      <c r="CQ115" s="65" t="str">
        <f t="shared" si="217"/>
        <v/>
      </c>
      <c r="CR115" s="65" t="str">
        <f t="shared" si="218"/>
        <v/>
      </c>
      <c r="CS115" s="616"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8" t="str">
        <f>IF('School Profile'!$D$20="NO","",IF('Marks Entry'!AR115="","",'Marks Entry'!AR115))</f>
        <v/>
      </c>
      <c r="CU115" s="68" t="str">
        <f>IF('School Profile'!$D$20="NO","",IF('Marks Entry'!AS115="","",'Marks Entry'!AS115))</f>
        <v/>
      </c>
      <c r="CV115" s="68" t="str">
        <f>IF('School Profile'!$D$20="NO","",IF('Marks Entry'!AT115="","",'Marks Entry'!AT115))</f>
        <v/>
      </c>
      <c r="CW115" s="514" t="str">
        <f>IF('School Profile'!$D$20="NO","",IF(AND(CT115="",CU115="",CV115=""),"",SUM(CT115:CV115)))</f>
        <v/>
      </c>
      <c r="CX115" s="68" t="str">
        <f>IF('School Profile'!$D$20="NO","",IF('Marks Entry'!AU115="","",'Marks Entry'!AU115))</f>
        <v/>
      </c>
      <c r="CY115" s="68" t="str">
        <f>IF('School Profile'!$D$20="NO","",IF('Marks Entry'!AV115="","",'Marks Entry'!AV115))</f>
        <v/>
      </c>
      <c r="CZ115" s="515" t="str">
        <f>IF('School Profile'!$D$20="NO","",IF(AND(CX115="",CY115=""),"",SUM(CX115,CY115)))</f>
        <v/>
      </c>
      <c r="DA115" s="69" t="str">
        <f>IF('School Profile'!$D$20="NO","",IF(AND(CW115="",CZ115=""),"",SUM(CW115+CZ115)))</f>
        <v/>
      </c>
      <c r="DB115" s="68" t="str">
        <f>IF('School Profile'!$D$20="NO","",IF('Marks Entry'!AW115="","",'Marks Entry'!AW115))</f>
        <v/>
      </c>
      <c r="DC115" s="68" t="str">
        <f>IF('School Profile'!$D$20="NO","",IF('Marks Entry'!AX115="","",'Marks Entry'!AX115))</f>
        <v/>
      </c>
      <c r="DD115" s="515" t="str">
        <f>IF('School Profile'!$D$20="NO","",IF(AND(DB115="",DC115=""),"",SUM(DB115,DC115)))</f>
        <v/>
      </c>
      <c r="DE115" s="96" t="str">
        <f>IF('School Profile'!$D$20="NO","",IF(AND(DA115="",DD115=""),"",SUM(DA115,DD115)))</f>
        <v/>
      </c>
      <c r="DF115" s="532">
        <f t="shared" si="219"/>
        <v>0</v>
      </c>
      <c r="DG115" s="65">
        <f t="shared" si="220"/>
        <v>0</v>
      </c>
      <c r="DH115" s="66" t="str">
        <f t="shared" si="221"/>
        <v/>
      </c>
      <c r="DI115" s="65" t="str">
        <f t="shared" si="222"/>
        <v/>
      </c>
      <c r="DJ115" s="65" t="str">
        <f t="shared" si="223"/>
        <v/>
      </c>
      <c r="DK115" s="65" t="str">
        <f t="shared" si="224"/>
        <v/>
      </c>
      <c r="DL115" s="97" t="str">
        <f t="shared" si="264"/>
        <v/>
      </c>
      <c r="DM115" s="97" t="str">
        <f t="shared" si="265"/>
        <v/>
      </c>
      <c r="DN115" s="97" t="str">
        <f t="shared" si="266"/>
        <v/>
      </c>
      <c r="DO115" s="97" t="str">
        <f t="shared" si="267"/>
        <v/>
      </c>
      <c r="DP115" s="97" t="str">
        <f t="shared" si="268"/>
        <v/>
      </c>
      <c r="DQ115" s="97" t="str">
        <f t="shared" si="269"/>
        <v/>
      </c>
      <c r="DR115" s="97" t="str">
        <f t="shared" si="270"/>
        <v/>
      </c>
      <c r="DS115" s="98">
        <f t="shared" si="271"/>
        <v>0</v>
      </c>
      <c r="DT115" s="98">
        <f t="shared" si="272"/>
        <v>0</v>
      </c>
      <c r="DU115" s="98">
        <f t="shared" si="273"/>
        <v>0</v>
      </c>
      <c r="DV115" s="98">
        <f t="shared" si="274"/>
        <v>0</v>
      </c>
      <c r="DW115" s="98">
        <f t="shared" si="275"/>
        <v>0</v>
      </c>
      <c r="DX115" s="98" t="str">
        <f t="shared" si="276"/>
        <v/>
      </c>
      <c r="DY115" s="99" t="str">
        <f t="shared" si="277"/>
        <v/>
      </c>
      <c r="DZ115" s="74" t="str">
        <f>IF('Marks Entry'!AY115="","",'Marks Entry'!AY115)</f>
        <v/>
      </c>
      <c r="EA115" s="74" t="str">
        <f>IF('Marks Entry'!AZ115="","",'Marks Entry'!AZ115)</f>
        <v/>
      </c>
      <c r="EB115" s="74" t="str">
        <f>IF('Marks Entry'!BA115="","",'Marks Entry'!BA115)</f>
        <v/>
      </c>
      <c r="EC115" s="527" t="str">
        <f t="shared" si="225"/>
        <v/>
      </c>
      <c r="ED115" s="74" t="str">
        <f>IF('Marks Entry'!BB115="","",'Marks Entry'!BB115)</f>
        <v/>
      </c>
      <c r="EE115" s="528" t="str">
        <f t="shared" si="226"/>
        <v/>
      </c>
      <c r="EF115" s="74" t="str">
        <f>IF('Marks Entry'!BC115="","",'Marks Entry'!BC115)</f>
        <v/>
      </c>
      <c r="EG115" s="530" t="str">
        <f t="shared" si="227"/>
        <v/>
      </c>
      <c r="EH115" s="368" t="str">
        <f t="shared" si="278"/>
        <v/>
      </c>
      <c r="EI115" s="65">
        <f t="shared" si="279"/>
        <v>0</v>
      </c>
      <c r="EJ115" s="65">
        <f t="shared" si="280"/>
        <v>0</v>
      </c>
      <c r="EK115" s="66" t="str">
        <f t="shared" si="281"/>
        <v/>
      </c>
      <c r="EL115" s="74" t="str">
        <f>IF('Marks Entry'!BD115="","",'Marks Entry'!BD115)</f>
        <v/>
      </c>
      <c r="EM115" s="74" t="str">
        <f>IF('Marks Entry'!BE115="","",'Marks Entry'!BE115)</f>
        <v/>
      </c>
      <c r="EN115" s="74" t="str">
        <f>IF('Marks Entry'!BF115="","",'Marks Entry'!BF115)</f>
        <v/>
      </c>
      <c r="EO115" s="527" t="str">
        <f t="shared" si="228"/>
        <v/>
      </c>
      <c r="EP115" s="74" t="str">
        <f>IF('Marks Entry'!BG115="","",'Marks Entry'!BG115)</f>
        <v/>
      </c>
      <c r="EQ115" s="74" t="str">
        <f>IF('Marks Entry'!BH115="","",'Marks Entry'!BH115)</f>
        <v/>
      </c>
      <c r="ER115" s="528" t="str">
        <f t="shared" si="229"/>
        <v/>
      </c>
      <c r="ES115" s="529" t="str">
        <f t="shared" si="230"/>
        <v/>
      </c>
      <c r="ET115" s="74" t="str">
        <f>IF('Marks Entry'!BI115="","",'Marks Entry'!BI115)</f>
        <v/>
      </c>
      <c r="EU115" s="74" t="str">
        <f>IF('Marks Entry'!BJ115="","",'Marks Entry'!BJ115)</f>
        <v/>
      </c>
      <c r="EV115" s="528" t="str">
        <f t="shared" si="231"/>
        <v/>
      </c>
      <c r="EW115" s="530" t="str">
        <f t="shared" si="232"/>
        <v/>
      </c>
      <c r="EX115" s="368" t="str">
        <f t="shared" si="282"/>
        <v/>
      </c>
      <c r="EY115" s="65">
        <f t="shared" si="283"/>
        <v>0</v>
      </c>
      <c r="EZ115" s="65">
        <f t="shared" si="284"/>
        <v>0</v>
      </c>
      <c r="FA115" s="66" t="str">
        <f t="shared" si="285"/>
        <v/>
      </c>
      <c r="FB115" s="74" t="str">
        <f>IF('Marks Entry'!BK115="","",'Marks Entry'!BK115)</f>
        <v/>
      </c>
      <c r="FC115" s="74" t="str">
        <f>IF('Marks Entry'!BL115="","",'Marks Entry'!BL115)</f>
        <v/>
      </c>
      <c r="FD115" s="74" t="str">
        <f>IF('Marks Entry'!BM115="","",'Marks Entry'!BM115)</f>
        <v/>
      </c>
      <c r="FE115" s="74" t="str">
        <f>IF('Marks Entry'!BN115="","",'Marks Entry'!BN115)</f>
        <v/>
      </c>
      <c r="FF115" s="74" t="str">
        <f>IF('Marks Entry'!BO115="","",'Marks Entry'!BO115)</f>
        <v/>
      </c>
      <c r="FG115" s="74" t="str">
        <f>IF('Marks Entry'!BP115="","",'Marks Entry'!BP115)</f>
        <v/>
      </c>
      <c r="FH115" s="527" t="str">
        <f t="shared" si="233"/>
        <v/>
      </c>
      <c r="FI115" s="74" t="str">
        <f>IF('Marks Entry'!BQ115="","",'Marks Entry'!BQ115)</f>
        <v/>
      </c>
      <c r="FJ115" s="74" t="str">
        <f>IF('Marks Entry'!BR115="","",'Marks Entry'!BR115)</f>
        <v/>
      </c>
      <c r="FK115" s="528" t="str">
        <f t="shared" si="234"/>
        <v/>
      </c>
      <c r="FL115" s="529" t="str">
        <f t="shared" si="235"/>
        <v/>
      </c>
      <c r="FM115" s="74" t="str">
        <f>IF('Marks Entry'!BS115="","",'Marks Entry'!BS115)</f>
        <v/>
      </c>
      <c r="FN115" s="74" t="str">
        <f>IF('Marks Entry'!BT115="","",'Marks Entry'!BT115)</f>
        <v/>
      </c>
      <c r="FO115" s="528" t="str">
        <f t="shared" si="236"/>
        <v/>
      </c>
      <c r="FP115" s="530" t="str">
        <f t="shared" si="237"/>
        <v/>
      </c>
      <c r="FQ115" s="368" t="str">
        <f t="shared" si="286"/>
        <v/>
      </c>
      <c r="FR115" s="65">
        <f t="shared" si="287"/>
        <v>0</v>
      </c>
      <c r="FS115" s="65">
        <f t="shared" si="288"/>
        <v>0</v>
      </c>
      <c r="FT115" s="66" t="str">
        <f t="shared" si="289"/>
        <v/>
      </c>
      <c r="FU115" s="74" t="str">
        <f>IF('Marks Entry'!BU115="","",'Marks Entry'!BU115)</f>
        <v/>
      </c>
      <c r="FV115" s="74" t="str">
        <f>IF('Marks Entry'!BV115="","",'Marks Entry'!BV115)</f>
        <v/>
      </c>
      <c r="FW115" s="74" t="str">
        <f>IF('Marks Entry'!BW115="","",'Marks Entry'!BW115)</f>
        <v/>
      </c>
      <c r="FX115" s="75" t="str">
        <f t="shared" si="238"/>
        <v/>
      </c>
      <c r="FY115" s="368" t="str">
        <f t="shared" si="290"/>
        <v/>
      </c>
      <c r="FZ115" s="65">
        <f t="shared" si="291"/>
        <v>0</v>
      </c>
      <c r="GA115" s="66">
        <f t="shared" si="292"/>
        <v>0</v>
      </c>
      <c r="GB115" s="66" t="str">
        <f t="shared" si="293"/>
        <v/>
      </c>
      <c r="GC115" s="74" t="str">
        <f>IF('Marks Entry'!BX115="","",'Marks Entry'!BX115)</f>
        <v/>
      </c>
      <c r="GD115" s="74" t="str">
        <f>IF('Marks Entry'!BY115="","",'Marks Entry'!BY115)</f>
        <v/>
      </c>
      <c r="GE115" s="74" t="str">
        <f>IF('Marks Entry'!BZ115="","",'Marks Entry'!BZ115)</f>
        <v/>
      </c>
      <c r="GF115" s="75" t="str">
        <f t="shared" si="294"/>
        <v/>
      </c>
      <c r="GG115" s="368" t="str">
        <f t="shared" si="295"/>
        <v/>
      </c>
      <c r="GH115" s="65">
        <f t="shared" si="296"/>
        <v>0</v>
      </c>
      <c r="GI115" s="66">
        <f t="shared" si="297"/>
        <v>0</v>
      </c>
      <c r="GJ115" s="66" t="str">
        <f t="shared" si="298"/>
        <v/>
      </c>
      <c r="GK115" s="100" t="str">
        <f>IF(AND(F115="",B115=""),"",IF('Student DATA Entry'!M112="","",'Student DATA Entry'!M112))</f>
        <v/>
      </c>
      <c r="GL115" s="101" t="str">
        <f>IF(AND(B115="",F115=""),"",IF('Student DATA Entry'!N112="","",'Student DATA Entry'!N112))</f>
        <v/>
      </c>
      <c r="GM115" s="581" t="str">
        <f t="shared" si="299"/>
        <v/>
      </c>
      <c r="GN115" s="94" t="str">
        <f t="shared" si="300"/>
        <v/>
      </c>
      <c r="GO115" s="94" t="str">
        <f t="shared" si="301"/>
        <v/>
      </c>
      <c r="GP115" s="102" t="str">
        <f t="shared" si="330"/>
        <v/>
      </c>
      <c r="GQ115" s="94" t="str">
        <f t="shared" si="302"/>
        <v/>
      </c>
      <c r="GR115" s="103" t="str">
        <f t="shared" si="303"/>
        <v/>
      </c>
      <c r="GS115" s="102" t="str">
        <f t="shared" si="331"/>
        <v/>
      </c>
      <c r="GT115" s="104" t="str">
        <f t="shared" si="304"/>
        <v/>
      </c>
      <c r="GU115" s="94" t="str">
        <f>IF('Marks Entry'!V115=1,GT115,"")</f>
        <v/>
      </c>
      <c r="GV115" s="94" t="str">
        <f>IF('Marks Entry'!V115=2,GT115,"")</f>
        <v/>
      </c>
      <c r="GW115" s="94" t="str">
        <f>IF('Marks Entry'!V115=3,GT115,"")</f>
        <v/>
      </c>
      <c r="GX115" s="94" t="str">
        <f>IF('Marks Entry'!V115=4,GT115,"")</f>
        <v/>
      </c>
      <c r="GY115" s="94" t="str">
        <f>IF('Marks Entry'!V115=5,GT115,"")</f>
        <v/>
      </c>
      <c r="GZ115" s="94" t="str">
        <f t="shared" si="305"/>
        <v/>
      </c>
      <c r="HA115" s="105" t="str">
        <f t="shared" si="332"/>
        <v/>
      </c>
      <c r="HB115" s="94" t="str">
        <f t="shared" si="306"/>
        <v/>
      </c>
      <c r="HC115" s="94" t="str">
        <f t="shared" si="307"/>
        <v/>
      </c>
      <c r="HD115" s="105" t="str">
        <f t="shared" si="333"/>
        <v/>
      </c>
      <c r="HE115" s="94" t="str">
        <f t="shared" si="308"/>
        <v/>
      </c>
      <c r="HF115" s="94" t="str">
        <f t="shared" si="309"/>
        <v/>
      </c>
      <c r="HG115" s="105" t="str">
        <f t="shared" si="334"/>
        <v/>
      </c>
      <c r="HH115" s="94" t="str">
        <f t="shared" si="310"/>
        <v/>
      </c>
      <c r="HI115" s="94" t="str">
        <f t="shared" si="311"/>
        <v/>
      </c>
      <c r="HJ115" s="105" t="str">
        <f t="shared" si="335"/>
        <v/>
      </c>
      <c r="HK115" s="94" t="str">
        <f t="shared" si="312"/>
        <v/>
      </c>
      <c r="HL115" s="94" t="str">
        <f t="shared" si="313"/>
        <v/>
      </c>
      <c r="HM115" s="105" t="str">
        <f t="shared" si="336"/>
        <v/>
      </c>
      <c r="HN115" s="367" t="str">
        <f t="shared" si="314"/>
        <v xml:space="preserve">      </v>
      </c>
      <c r="HO115" s="418" t="str">
        <f t="shared" si="337"/>
        <v xml:space="preserve">      </v>
      </c>
      <c r="HP115" s="367" t="str">
        <f t="shared" si="315"/>
        <v xml:space="preserve">      </v>
      </c>
      <c r="HQ115" s="107" t="str">
        <f t="shared" si="316"/>
        <v xml:space="preserve">      </v>
      </c>
      <c r="HR115" s="366" t="str">
        <f t="shared" si="317"/>
        <v xml:space="preserve">      </v>
      </c>
      <c r="HS115" s="544" t="str">
        <f t="shared" si="338"/>
        <v/>
      </c>
      <c r="HT115" s="542" t="str">
        <f t="shared" si="318"/>
        <v/>
      </c>
      <c r="HU115" s="541" t="str">
        <f t="shared" si="319"/>
        <v/>
      </c>
      <c r="HV115" s="540" t="str">
        <f t="shared" si="320"/>
        <v/>
      </c>
      <c r="HW115" s="537" t="str">
        <f t="shared" si="321"/>
        <v/>
      </c>
      <c r="HX115" s="539" t="str">
        <f t="shared" si="322"/>
        <v/>
      </c>
      <c r="HY115" s="553" t="str">
        <f>IFERROR(IF(OR(HS115="SUPPLEMENTARY",HS115="RE-EXAM"),'Supp. Result Entry'!AQ113,""),"")</f>
        <v/>
      </c>
      <c r="HZ115" s="538" t="str">
        <f t="shared" si="323"/>
        <v/>
      </c>
      <c r="IA115" s="415" t="str">
        <f t="shared" si="324"/>
        <v/>
      </c>
      <c r="IB115" s="415" t="str">
        <f>IF(AND(HZ115="",IA115=""),"",IF(OR(HS115="SUPPLEMENTARY",HS115="RE-EXAM"),'Supp. Result Entry'!AQ113,HS115))</f>
        <v/>
      </c>
      <c r="IC115" s="87"/>
      <c r="IS115" s="109" t="str">
        <f>IF('Supp. Result Entry'!T113="","",'Supp. Result Entry'!$T$4)</f>
        <v/>
      </c>
      <c r="IT115" s="110" t="str">
        <f>IF('Supp. Result Entry'!W113="","",'Supp. Result Entry'!$W$4)</f>
        <v/>
      </c>
      <c r="IU115" s="110" t="str">
        <f>IF('Supp. Result Entry'!Z113="","",'Supp. Result Entry'!$Z$4)</f>
        <v/>
      </c>
      <c r="IV115" s="110" t="str">
        <f>IF('Supp. Result Entry'!AC113="","",'Supp. Result Entry'!$AC$4)</f>
        <v/>
      </c>
      <c r="IW115" s="110" t="str">
        <f>IF('Supp. Result Entry'!AF113="","",'Supp. Result Entry'!$AF$4)</f>
        <v/>
      </c>
      <c r="IX115" s="110" t="str">
        <f>IF('Supp. Result Entry'!AI113="","",'Supp. Result Entry'!$AI$4)</f>
        <v/>
      </c>
      <c r="IY115" s="110" t="str">
        <f>IF('Supp. Result Entry'!AI113="","",'Supp. Result Entry'!$AL$4)</f>
        <v/>
      </c>
      <c r="IZ115" s="110" t="str">
        <f>IF('Supp. Result Entry'!U113="","",'Supp. Result Entry'!U113)</f>
        <v/>
      </c>
      <c r="JA115" s="110" t="str">
        <f>IF('Supp. Result Entry'!X113="","",'Supp. Result Entry'!X113)</f>
        <v/>
      </c>
      <c r="JB115" s="110" t="str">
        <f>IF('Supp. Result Entry'!AA113="","",'Supp. Result Entry'!AA113)</f>
        <v/>
      </c>
      <c r="JC115" s="110" t="str">
        <f>IF('Supp. Result Entry'!AD113="","",'Supp. Result Entry'!AD113)</f>
        <v/>
      </c>
      <c r="JD115" s="110" t="str">
        <f>IF('Supp. Result Entry'!AG113="","",'Supp. Result Entry'!AG113)</f>
        <v/>
      </c>
      <c r="JE115" s="110" t="str">
        <f>IF('Supp. Result Entry'!AJ113="","",'Supp. Result Entry'!AJ113)</f>
        <v/>
      </c>
      <c r="JF115" s="110" t="str">
        <f>IF('Supp. Result Entry'!AM113="","",'Supp. Result Entry'!AM113)</f>
        <v/>
      </c>
      <c r="JG115" s="110" t="str">
        <f>IF('Supp. Result Entry'!V113="","",'Supp. Result Entry'!V113)</f>
        <v/>
      </c>
      <c r="JH115" s="110" t="str">
        <f>IF('Supp. Result Entry'!Y113="","",'Supp. Result Entry'!Y113)</f>
        <v/>
      </c>
      <c r="JI115" s="110" t="str">
        <f>IF('Supp. Result Entry'!AB113="","",'Supp. Result Entry'!AB113)</f>
        <v/>
      </c>
      <c r="JJ115" s="110" t="str">
        <f>IF('Supp. Result Entry'!AE113="","",'Supp. Result Entry'!AE113)</f>
        <v/>
      </c>
      <c r="JK115" s="110" t="str">
        <f>IF('Supp. Result Entry'!AH113="","",'Supp. Result Entry'!AH113)</f>
        <v/>
      </c>
      <c r="JL115" s="110" t="str">
        <f>IF('Supp. Result Entry'!AK113="","",'Supp. Result Entry'!AK113)</f>
        <v/>
      </c>
      <c r="JM115" s="110" t="str">
        <f>IF('Supp. Result Entry'!AN113="","",'Supp. Result Entry'!AN113)</f>
        <v/>
      </c>
      <c r="JN115" s="110">
        <f>COUNTIF('Supp. Result Entry'!K113:Q113,"S")</f>
        <v>0</v>
      </c>
      <c r="JO115" s="110">
        <f t="shared" si="248"/>
        <v>0</v>
      </c>
      <c r="JP115" s="110">
        <f t="shared" si="325"/>
        <v>0</v>
      </c>
      <c r="JQ115" s="110" t="str">
        <f t="shared" si="249"/>
        <v/>
      </c>
      <c r="JR115" s="110" t="str">
        <f t="shared" si="250"/>
        <v/>
      </c>
      <c r="JS115" s="110" t="str">
        <f t="shared" si="251"/>
        <v/>
      </c>
      <c r="JT115" s="110" t="str">
        <f t="shared" si="252"/>
        <v/>
      </c>
      <c r="JU115" s="110" t="str">
        <f t="shared" si="253"/>
        <v/>
      </c>
      <c r="JV115" s="110" t="str">
        <f t="shared" si="254"/>
        <v/>
      </c>
      <c r="JW115" s="110" t="str">
        <f t="shared" si="255"/>
        <v/>
      </c>
      <c r="JX115" s="110" t="str">
        <f t="shared" si="326"/>
        <v/>
      </c>
      <c r="JY115" s="110" t="str">
        <f t="shared" si="327"/>
        <v/>
      </c>
      <c r="JZ115" s="110" t="str">
        <f t="shared" si="256"/>
        <v/>
      </c>
      <c r="KA115" s="108" t="str">
        <f t="shared" si="328"/>
        <v/>
      </c>
    </row>
    <row r="116" spans="1:287" s="108" customFormat="1" ht="21.95" customHeight="1">
      <c r="A116" s="89">
        <v>110</v>
      </c>
      <c r="B116" s="90" t="str">
        <f>IF('Marks Entry'!B116="","",'Marks Entry'!B116)</f>
        <v/>
      </c>
      <c r="C116" s="94" t="str">
        <f>IF('Marks Entry'!D116="","",'Marks Entry'!D116)</f>
        <v/>
      </c>
      <c r="D116" s="91" t="str">
        <f>IF('Marks Entry'!E116="","",'Marks Entry'!E116)</f>
        <v/>
      </c>
      <c r="E116" s="92" t="str">
        <f>IF('Marks Entry'!F116="","",'Marks Entry'!F116)</f>
        <v/>
      </c>
      <c r="F116" s="93" t="str">
        <f>IF('Marks Entry'!G116="","",'Marks Entry'!G116)</f>
        <v/>
      </c>
      <c r="G116" s="93" t="str">
        <f>IF('Marks Entry'!H116="","",'Marks Entry'!H116)</f>
        <v/>
      </c>
      <c r="H116" s="93" t="str">
        <f>IF('Marks Entry'!I116="","",'Marks Entry'!I116)</f>
        <v/>
      </c>
      <c r="I116" s="94" t="str">
        <f>IF('Marks Entry'!J116="","",'Marks Entry'!J116)</f>
        <v/>
      </c>
      <c r="J116" s="95" t="str">
        <f>IF('Marks Entry'!K116="","",'Marks Entry'!K116)</f>
        <v/>
      </c>
      <c r="K116" s="68" t="str">
        <f>IF('Marks Entry'!L116="","",'Marks Entry'!L116)</f>
        <v/>
      </c>
      <c r="L116" s="68" t="str">
        <f>IF('Marks Entry'!M116="","",'Marks Entry'!M116)</f>
        <v/>
      </c>
      <c r="M116" s="68" t="str">
        <f>IF('Marks Entry'!N116="","",'Marks Entry'!N116)</f>
        <v/>
      </c>
      <c r="N116" s="514" t="str">
        <f t="shared" si="257"/>
        <v/>
      </c>
      <c r="O116" s="68" t="str">
        <f>IF('Marks Entry'!O116="","",'Marks Entry'!O116)</f>
        <v/>
      </c>
      <c r="P116" s="515" t="str">
        <f t="shared" si="258"/>
        <v/>
      </c>
      <c r="Q116" s="68" t="str">
        <f>IF('Marks Entry'!P116="","",'Marks Entry'!P116)</f>
        <v/>
      </c>
      <c r="R116" s="96" t="str">
        <f t="shared" si="259"/>
        <v/>
      </c>
      <c r="S116" s="65">
        <f t="shared" si="260"/>
        <v>0</v>
      </c>
      <c r="T116" s="65">
        <f t="shared" si="261"/>
        <v>0</v>
      </c>
      <c r="U116" s="66" t="str">
        <f t="shared" si="171"/>
        <v/>
      </c>
      <c r="V116" s="65" t="str">
        <f t="shared" si="172"/>
        <v/>
      </c>
      <c r="W116" s="65" t="str">
        <f t="shared" si="262"/>
        <v/>
      </c>
      <c r="X116" s="65" t="str">
        <f t="shared" si="173"/>
        <v/>
      </c>
      <c r="Y116" s="68" t="str">
        <f>IF('Marks Entry'!Q116="","",'Marks Entry'!Q116)</f>
        <v/>
      </c>
      <c r="Z116" s="68" t="str">
        <f>IF('Marks Entry'!R116="","",'Marks Entry'!R116)</f>
        <v/>
      </c>
      <c r="AA116" s="68" t="str">
        <f>IF('Marks Entry'!S116="","",'Marks Entry'!S116)</f>
        <v/>
      </c>
      <c r="AB116" s="514" t="str">
        <f t="shared" si="174"/>
        <v/>
      </c>
      <c r="AC116" s="68" t="str">
        <f>IF('Marks Entry'!T116="","",'Marks Entry'!T116)</f>
        <v/>
      </c>
      <c r="AD116" s="515" t="str">
        <f t="shared" si="175"/>
        <v/>
      </c>
      <c r="AE116" s="68" t="str">
        <f>IF('Marks Entry'!U116="","",'Marks Entry'!U116)</f>
        <v/>
      </c>
      <c r="AF116" s="96" t="str">
        <f t="shared" si="176"/>
        <v/>
      </c>
      <c r="AG116" s="65">
        <f t="shared" si="177"/>
        <v>0</v>
      </c>
      <c r="AH116" s="65">
        <f t="shared" si="178"/>
        <v>0</v>
      </c>
      <c r="AI116" s="66" t="str">
        <f t="shared" si="179"/>
        <v/>
      </c>
      <c r="AJ116" s="65" t="str">
        <f t="shared" si="180"/>
        <v/>
      </c>
      <c r="AK116" s="65" t="str">
        <f t="shared" si="181"/>
        <v/>
      </c>
      <c r="AL116" s="65" t="str">
        <f t="shared" si="182"/>
        <v/>
      </c>
      <c r="AM116" s="524" t="str">
        <f>IF('Marks Entry'!V116="","",IF('Marks Entry'!V116=1,'School Profile'!$I$9,IF('Marks Entry'!V116=2,'School Profile'!$I$10,IF('Marks Entry'!V116=3,'School Profile'!$I$11,IF('Marks Entry'!V116=4,'School Profile'!$I$12,IF('Marks Entry'!V116=5,'School Profile'!$I$13,IF('Marks Entry'!V116=6,'School Profile'!$I$14,"")))))))</f>
        <v/>
      </c>
      <c r="AN116" s="68" t="str">
        <f>IF('Marks Entry'!W116="","",'Marks Entry'!W116)</f>
        <v/>
      </c>
      <c r="AO116" s="68" t="str">
        <f>IF('Marks Entry'!X116="","",'Marks Entry'!X116)</f>
        <v/>
      </c>
      <c r="AP116" s="68" t="str">
        <f>IF('Marks Entry'!Y116="","",'Marks Entry'!Y116)</f>
        <v/>
      </c>
      <c r="AQ116" s="514" t="str">
        <f t="shared" si="183"/>
        <v/>
      </c>
      <c r="AR116" s="68" t="str">
        <f>IF('Marks Entry'!Z116="","",'Marks Entry'!Z116)</f>
        <v/>
      </c>
      <c r="AS116" s="515" t="str">
        <f t="shared" si="184"/>
        <v/>
      </c>
      <c r="AT116" s="68" t="str">
        <f>IF('Marks Entry'!AA116="","",'Marks Entry'!AA116)</f>
        <v/>
      </c>
      <c r="AU116" s="96" t="str">
        <f t="shared" si="185"/>
        <v/>
      </c>
      <c r="AV116" s="65">
        <f t="shared" si="186"/>
        <v>0</v>
      </c>
      <c r="AW116" s="65">
        <f t="shared" si="187"/>
        <v>0</v>
      </c>
      <c r="AX116" s="66" t="str">
        <f t="shared" si="188"/>
        <v/>
      </c>
      <c r="AY116" s="65" t="str">
        <f t="shared" si="189"/>
        <v/>
      </c>
      <c r="AZ116" s="65" t="str">
        <f t="shared" si="190"/>
        <v/>
      </c>
      <c r="BA116" s="65" t="str">
        <f t="shared" si="191"/>
        <v/>
      </c>
      <c r="BB116" s="68" t="str">
        <f>IF('Marks Entry'!AB116="","",'Marks Entry'!AB116)</f>
        <v/>
      </c>
      <c r="BC116" s="68" t="str">
        <f>IF('Marks Entry'!AC116="","",'Marks Entry'!AC116)</f>
        <v/>
      </c>
      <c r="BD116" s="68" t="str">
        <f>IF('Marks Entry'!AD116="","",'Marks Entry'!AD116)</f>
        <v/>
      </c>
      <c r="BE116" s="514" t="str">
        <f t="shared" si="192"/>
        <v/>
      </c>
      <c r="BF116" s="68" t="str">
        <f>IF('Marks Entry'!AE116="","",'Marks Entry'!AE116)</f>
        <v/>
      </c>
      <c r="BG116" s="515" t="str">
        <f t="shared" si="193"/>
        <v/>
      </c>
      <c r="BH116" s="68" t="str">
        <f>IF('Marks Entry'!AF116="","",'Marks Entry'!AF116)</f>
        <v/>
      </c>
      <c r="BI116" s="96" t="str">
        <f t="shared" si="194"/>
        <v/>
      </c>
      <c r="BJ116" s="65">
        <f t="shared" si="195"/>
        <v>0</v>
      </c>
      <c r="BK116" s="65">
        <f t="shared" si="263"/>
        <v>0</v>
      </c>
      <c r="BL116" s="66" t="str">
        <f t="shared" si="196"/>
        <v/>
      </c>
      <c r="BM116" s="65" t="str">
        <f t="shared" si="197"/>
        <v/>
      </c>
      <c r="BN116" s="65" t="str">
        <f t="shared" si="198"/>
        <v/>
      </c>
      <c r="BO116" s="65" t="str">
        <f t="shared" si="199"/>
        <v/>
      </c>
      <c r="BP116" s="68" t="str">
        <f>IF('Marks Entry'!AG116="","",'Marks Entry'!AG116)</f>
        <v/>
      </c>
      <c r="BQ116" s="68" t="str">
        <f>IF('Marks Entry'!AH116="","",'Marks Entry'!AH116)</f>
        <v/>
      </c>
      <c r="BR116" s="68" t="str">
        <f>IF('Marks Entry'!AI116="","",'Marks Entry'!AI116)</f>
        <v/>
      </c>
      <c r="BS116" s="514" t="str">
        <f t="shared" si="200"/>
        <v/>
      </c>
      <c r="BT116" s="68" t="str">
        <f>IF('Marks Entry'!AJ116="","",'Marks Entry'!AJ116)</f>
        <v/>
      </c>
      <c r="BU116" s="515" t="str">
        <f t="shared" si="201"/>
        <v/>
      </c>
      <c r="BV116" s="68" t="str">
        <f>IF('Marks Entry'!AK116="","",'Marks Entry'!AK116)</f>
        <v/>
      </c>
      <c r="BW116" s="96" t="str">
        <f t="shared" si="202"/>
        <v/>
      </c>
      <c r="BX116" s="65">
        <f t="shared" si="203"/>
        <v>0</v>
      </c>
      <c r="BY116" s="65">
        <f t="shared" si="204"/>
        <v>0</v>
      </c>
      <c r="BZ116" s="66" t="str">
        <f t="shared" si="205"/>
        <v/>
      </c>
      <c r="CA116" s="65" t="str">
        <f t="shared" si="206"/>
        <v/>
      </c>
      <c r="CB116" s="65" t="str">
        <f t="shared" si="207"/>
        <v/>
      </c>
      <c r="CC116" s="65" t="str">
        <f t="shared" si="208"/>
        <v/>
      </c>
      <c r="CD116" s="66">
        <f t="shared" si="329"/>
        <v>0</v>
      </c>
      <c r="CE116" s="68" t="str">
        <f>IF('Marks Entry'!AL116="","",'Marks Entry'!AL116)</f>
        <v/>
      </c>
      <c r="CF116" s="68" t="str">
        <f>IF('Marks Entry'!AM116="","",'Marks Entry'!AM116)</f>
        <v/>
      </c>
      <c r="CG116" s="68" t="str">
        <f>IF('Marks Entry'!AN116="","",'Marks Entry'!AN116)</f>
        <v/>
      </c>
      <c r="CH116" s="514" t="str">
        <f t="shared" si="210"/>
        <v/>
      </c>
      <c r="CI116" s="68" t="str">
        <f>IF('Marks Entry'!AO116="","",'Marks Entry'!AO116)</f>
        <v/>
      </c>
      <c r="CJ116" s="515" t="str">
        <f t="shared" si="211"/>
        <v/>
      </c>
      <c r="CK116" s="68" t="str">
        <f>IF('Marks Entry'!AP116="","",'Marks Entry'!AP116)</f>
        <v/>
      </c>
      <c r="CL116" s="96" t="str">
        <f t="shared" si="212"/>
        <v/>
      </c>
      <c r="CM116" s="65">
        <f t="shared" si="213"/>
        <v>0</v>
      </c>
      <c r="CN116" s="65">
        <f t="shared" si="214"/>
        <v>0</v>
      </c>
      <c r="CO116" s="66" t="str">
        <f t="shared" si="215"/>
        <v/>
      </c>
      <c r="CP116" s="65" t="str">
        <f t="shared" si="216"/>
        <v/>
      </c>
      <c r="CQ116" s="65" t="str">
        <f t="shared" si="217"/>
        <v/>
      </c>
      <c r="CR116" s="65" t="str">
        <f t="shared" si="218"/>
        <v/>
      </c>
      <c r="CS116" s="616"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8" t="str">
        <f>IF('School Profile'!$D$20="NO","",IF('Marks Entry'!AR116="","",'Marks Entry'!AR116))</f>
        <v/>
      </c>
      <c r="CU116" s="68" t="str">
        <f>IF('School Profile'!$D$20="NO","",IF('Marks Entry'!AS116="","",'Marks Entry'!AS116))</f>
        <v/>
      </c>
      <c r="CV116" s="68" t="str">
        <f>IF('School Profile'!$D$20="NO","",IF('Marks Entry'!AT116="","",'Marks Entry'!AT116))</f>
        <v/>
      </c>
      <c r="CW116" s="514" t="str">
        <f>IF('School Profile'!$D$20="NO","",IF(AND(CT116="",CU116="",CV116=""),"",SUM(CT116:CV116)))</f>
        <v/>
      </c>
      <c r="CX116" s="68" t="str">
        <f>IF('School Profile'!$D$20="NO","",IF('Marks Entry'!AU116="","",'Marks Entry'!AU116))</f>
        <v/>
      </c>
      <c r="CY116" s="68" t="str">
        <f>IF('School Profile'!$D$20="NO","",IF('Marks Entry'!AV116="","",'Marks Entry'!AV116))</f>
        <v/>
      </c>
      <c r="CZ116" s="515" t="str">
        <f>IF('School Profile'!$D$20="NO","",IF(AND(CX116="",CY116=""),"",SUM(CX116,CY116)))</f>
        <v/>
      </c>
      <c r="DA116" s="69" t="str">
        <f>IF('School Profile'!$D$20="NO","",IF(AND(CW116="",CZ116=""),"",SUM(CW116+CZ116)))</f>
        <v/>
      </c>
      <c r="DB116" s="68" t="str">
        <f>IF('School Profile'!$D$20="NO","",IF('Marks Entry'!AW116="","",'Marks Entry'!AW116))</f>
        <v/>
      </c>
      <c r="DC116" s="68" t="str">
        <f>IF('School Profile'!$D$20="NO","",IF('Marks Entry'!AX116="","",'Marks Entry'!AX116))</f>
        <v/>
      </c>
      <c r="DD116" s="515" t="str">
        <f>IF('School Profile'!$D$20="NO","",IF(AND(DB116="",DC116=""),"",SUM(DB116,DC116)))</f>
        <v/>
      </c>
      <c r="DE116" s="96" t="str">
        <f>IF('School Profile'!$D$20="NO","",IF(AND(DA116="",DD116=""),"",SUM(DA116,DD116)))</f>
        <v/>
      </c>
      <c r="DF116" s="532">
        <f t="shared" si="219"/>
        <v>0</v>
      </c>
      <c r="DG116" s="65">
        <f t="shared" si="220"/>
        <v>0</v>
      </c>
      <c r="DH116" s="66" t="str">
        <f t="shared" si="221"/>
        <v/>
      </c>
      <c r="DI116" s="65" t="str">
        <f t="shared" si="222"/>
        <v/>
      </c>
      <c r="DJ116" s="65" t="str">
        <f t="shared" si="223"/>
        <v/>
      </c>
      <c r="DK116" s="65" t="str">
        <f t="shared" si="224"/>
        <v/>
      </c>
      <c r="DL116" s="97" t="str">
        <f t="shared" si="264"/>
        <v/>
      </c>
      <c r="DM116" s="97" t="str">
        <f t="shared" si="265"/>
        <v/>
      </c>
      <c r="DN116" s="97" t="str">
        <f t="shared" si="266"/>
        <v/>
      </c>
      <c r="DO116" s="97" t="str">
        <f t="shared" si="267"/>
        <v/>
      </c>
      <c r="DP116" s="97" t="str">
        <f t="shared" si="268"/>
        <v/>
      </c>
      <c r="DQ116" s="97" t="str">
        <f t="shared" si="269"/>
        <v/>
      </c>
      <c r="DR116" s="97" t="str">
        <f t="shared" si="270"/>
        <v/>
      </c>
      <c r="DS116" s="98">
        <f t="shared" si="271"/>
        <v>0</v>
      </c>
      <c r="DT116" s="98">
        <f t="shared" si="272"/>
        <v>0</v>
      </c>
      <c r="DU116" s="98">
        <f t="shared" si="273"/>
        <v>0</v>
      </c>
      <c r="DV116" s="98">
        <f t="shared" si="274"/>
        <v>0</v>
      </c>
      <c r="DW116" s="98">
        <f t="shared" si="275"/>
        <v>0</v>
      </c>
      <c r="DX116" s="98" t="str">
        <f t="shared" si="276"/>
        <v/>
      </c>
      <c r="DY116" s="99" t="str">
        <f t="shared" si="277"/>
        <v/>
      </c>
      <c r="DZ116" s="74" t="str">
        <f>IF('Marks Entry'!AY116="","",'Marks Entry'!AY116)</f>
        <v/>
      </c>
      <c r="EA116" s="74" t="str">
        <f>IF('Marks Entry'!AZ116="","",'Marks Entry'!AZ116)</f>
        <v/>
      </c>
      <c r="EB116" s="74" t="str">
        <f>IF('Marks Entry'!BA116="","",'Marks Entry'!BA116)</f>
        <v/>
      </c>
      <c r="EC116" s="527" t="str">
        <f t="shared" si="225"/>
        <v/>
      </c>
      <c r="ED116" s="74" t="str">
        <f>IF('Marks Entry'!BB116="","",'Marks Entry'!BB116)</f>
        <v/>
      </c>
      <c r="EE116" s="528" t="str">
        <f t="shared" si="226"/>
        <v/>
      </c>
      <c r="EF116" s="74" t="str">
        <f>IF('Marks Entry'!BC116="","",'Marks Entry'!BC116)</f>
        <v/>
      </c>
      <c r="EG116" s="530" t="str">
        <f t="shared" si="227"/>
        <v/>
      </c>
      <c r="EH116" s="368" t="str">
        <f t="shared" si="278"/>
        <v/>
      </c>
      <c r="EI116" s="65">
        <f t="shared" si="279"/>
        <v>0</v>
      </c>
      <c r="EJ116" s="65">
        <f t="shared" si="280"/>
        <v>0</v>
      </c>
      <c r="EK116" s="66" t="str">
        <f t="shared" si="281"/>
        <v/>
      </c>
      <c r="EL116" s="74" t="str">
        <f>IF('Marks Entry'!BD116="","",'Marks Entry'!BD116)</f>
        <v/>
      </c>
      <c r="EM116" s="74" t="str">
        <f>IF('Marks Entry'!BE116="","",'Marks Entry'!BE116)</f>
        <v/>
      </c>
      <c r="EN116" s="74" t="str">
        <f>IF('Marks Entry'!BF116="","",'Marks Entry'!BF116)</f>
        <v/>
      </c>
      <c r="EO116" s="527" t="str">
        <f t="shared" si="228"/>
        <v/>
      </c>
      <c r="EP116" s="74" t="str">
        <f>IF('Marks Entry'!BG116="","",'Marks Entry'!BG116)</f>
        <v/>
      </c>
      <c r="EQ116" s="74" t="str">
        <f>IF('Marks Entry'!BH116="","",'Marks Entry'!BH116)</f>
        <v/>
      </c>
      <c r="ER116" s="528" t="str">
        <f t="shared" si="229"/>
        <v/>
      </c>
      <c r="ES116" s="529" t="str">
        <f t="shared" si="230"/>
        <v/>
      </c>
      <c r="ET116" s="74" t="str">
        <f>IF('Marks Entry'!BI116="","",'Marks Entry'!BI116)</f>
        <v/>
      </c>
      <c r="EU116" s="74" t="str">
        <f>IF('Marks Entry'!BJ116="","",'Marks Entry'!BJ116)</f>
        <v/>
      </c>
      <c r="EV116" s="528" t="str">
        <f t="shared" si="231"/>
        <v/>
      </c>
      <c r="EW116" s="530" t="str">
        <f t="shared" si="232"/>
        <v/>
      </c>
      <c r="EX116" s="368" t="str">
        <f t="shared" si="282"/>
        <v/>
      </c>
      <c r="EY116" s="65">
        <f t="shared" si="283"/>
        <v>0</v>
      </c>
      <c r="EZ116" s="65">
        <f t="shared" si="284"/>
        <v>0</v>
      </c>
      <c r="FA116" s="66" t="str">
        <f t="shared" si="285"/>
        <v/>
      </c>
      <c r="FB116" s="74" t="str">
        <f>IF('Marks Entry'!BK116="","",'Marks Entry'!BK116)</f>
        <v/>
      </c>
      <c r="FC116" s="74" t="str">
        <f>IF('Marks Entry'!BL116="","",'Marks Entry'!BL116)</f>
        <v/>
      </c>
      <c r="FD116" s="74" t="str">
        <f>IF('Marks Entry'!BM116="","",'Marks Entry'!BM116)</f>
        <v/>
      </c>
      <c r="FE116" s="74" t="str">
        <f>IF('Marks Entry'!BN116="","",'Marks Entry'!BN116)</f>
        <v/>
      </c>
      <c r="FF116" s="74" t="str">
        <f>IF('Marks Entry'!BO116="","",'Marks Entry'!BO116)</f>
        <v/>
      </c>
      <c r="FG116" s="74" t="str">
        <f>IF('Marks Entry'!BP116="","",'Marks Entry'!BP116)</f>
        <v/>
      </c>
      <c r="FH116" s="527" t="str">
        <f t="shared" si="233"/>
        <v/>
      </c>
      <c r="FI116" s="74" t="str">
        <f>IF('Marks Entry'!BQ116="","",'Marks Entry'!BQ116)</f>
        <v/>
      </c>
      <c r="FJ116" s="74" t="str">
        <f>IF('Marks Entry'!BR116="","",'Marks Entry'!BR116)</f>
        <v/>
      </c>
      <c r="FK116" s="528" t="str">
        <f t="shared" si="234"/>
        <v/>
      </c>
      <c r="FL116" s="529" t="str">
        <f t="shared" si="235"/>
        <v/>
      </c>
      <c r="FM116" s="74" t="str">
        <f>IF('Marks Entry'!BS116="","",'Marks Entry'!BS116)</f>
        <v/>
      </c>
      <c r="FN116" s="74" t="str">
        <f>IF('Marks Entry'!BT116="","",'Marks Entry'!BT116)</f>
        <v/>
      </c>
      <c r="FO116" s="528" t="str">
        <f t="shared" si="236"/>
        <v/>
      </c>
      <c r="FP116" s="530" t="str">
        <f t="shared" si="237"/>
        <v/>
      </c>
      <c r="FQ116" s="368" t="str">
        <f t="shared" si="286"/>
        <v/>
      </c>
      <c r="FR116" s="65">
        <f t="shared" si="287"/>
        <v>0</v>
      </c>
      <c r="FS116" s="65">
        <f t="shared" si="288"/>
        <v>0</v>
      </c>
      <c r="FT116" s="66" t="str">
        <f t="shared" si="289"/>
        <v/>
      </c>
      <c r="FU116" s="74" t="str">
        <f>IF('Marks Entry'!BU116="","",'Marks Entry'!BU116)</f>
        <v/>
      </c>
      <c r="FV116" s="74" t="str">
        <f>IF('Marks Entry'!BV116="","",'Marks Entry'!BV116)</f>
        <v/>
      </c>
      <c r="FW116" s="74" t="str">
        <f>IF('Marks Entry'!BW116="","",'Marks Entry'!BW116)</f>
        <v/>
      </c>
      <c r="FX116" s="75" t="str">
        <f t="shared" si="238"/>
        <v/>
      </c>
      <c r="FY116" s="368" t="str">
        <f t="shared" si="290"/>
        <v/>
      </c>
      <c r="FZ116" s="65">
        <f t="shared" si="291"/>
        <v>0</v>
      </c>
      <c r="GA116" s="66">
        <f t="shared" si="292"/>
        <v>0</v>
      </c>
      <c r="GB116" s="66" t="str">
        <f t="shared" si="293"/>
        <v/>
      </c>
      <c r="GC116" s="74" t="str">
        <f>IF('Marks Entry'!BX116="","",'Marks Entry'!BX116)</f>
        <v/>
      </c>
      <c r="GD116" s="74" t="str">
        <f>IF('Marks Entry'!BY116="","",'Marks Entry'!BY116)</f>
        <v/>
      </c>
      <c r="GE116" s="74" t="str">
        <f>IF('Marks Entry'!BZ116="","",'Marks Entry'!BZ116)</f>
        <v/>
      </c>
      <c r="GF116" s="75" t="str">
        <f t="shared" si="294"/>
        <v/>
      </c>
      <c r="GG116" s="368" t="str">
        <f t="shared" si="295"/>
        <v/>
      </c>
      <c r="GH116" s="65">
        <f t="shared" si="296"/>
        <v>0</v>
      </c>
      <c r="GI116" s="66">
        <f t="shared" si="297"/>
        <v>0</v>
      </c>
      <c r="GJ116" s="66" t="str">
        <f t="shared" si="298"/>
        <v/>
      </c>
      <c r="GK116" s="100" t="str">
        <f>IF(AND(F116="",B116=""),"",IF('Student DATA Entry'!M113="","",'Student DATA Entry'!M113))</f>
        <v/>
      </c>
      <c r="GL116" s="101" t="str">
        <f>IF(AND(B116="",F116=""),"",IF('Student DATA Entry'!N113="","",'Student DATA Entry'!N113))</f>
        <v/>
      </c>
      <c r="GM116" s="581" t="str">
        <f t="shared" si="299"/>
        <v/>
      </c>
      <c r="GN116" s="94" t="str">
        <f t="shared" si="300"/>
        <v/>
      </c>
      <c r="GO116" s="94" t="str">
        <f t="shared" si="301"/>
        <v/>
      </c>
      <c r="GP116" s="102" t="str">
        <f t="shared" si="330"/>
        <v/>
      </c>
      <c r="GQ116" s="94" t="str">
        <f t="shared" si="302"/>
        <v/>
      </c>
      <c r="GR116" s="103" t="str">
        <f t="shared" si="303"/>
        <v/>
      </c>
      <c r="GS116" s="102" t="str">
        <f t="shared" si="331"/>
        <v/>
      </c>
      <c r="GT116" s="104" t="str">
        <f t="shared" si="304"/>
        <v/>
      </c>
      <c r="GU116" s="94" t="str">
        <f>IF('Marks Entry'!V116=1,GT116,"")</f>
        <v/>
      </c>
      <c r="GV116" s="94" t="str">
        <f>IF('Marks Entry'!V116=2,GT116,"")</f>
        <v/>
      </c>
      <c r="GW116" s="94" t="str">
        <f>IF('Marks Entry'!V116=3,GT116,"")</f>
        <v/>
      </c>
      <c r="GX116" s="94" t="str">
        <f>IF('Marks Entry'!V116=4,GT116,"")</f>
        <v/>
      </c>
      <c r="GY116" s="94" t="str">
        <f>IF('Marks Entry'!V116=5,GT116,"")</f>
        <v/>
      </c>
      <c r="GZ116" s="94" t="str">
        <f t="shared" si="305"/>
        <v/>
      </c>
      <c r="HA116" s="105" t="str">
        <f t="shared" si="332"/>
        <v/>
      </c>
      <c r="HB116" s="94" t="str">
        <f t="shared" si="306"/>
        <v/>
      </c>
      <c r="HC116" s="94" t="str">
        <f t="shared" si="307"/>
        <v/>
      </c>
      <c r="HD116" s="105" t="str">
        <f t="shared" si="333"/>
        <v/>
      </c>
      <c r="HE116" s="94" t="str">
        <f t="shared" si="308"/>
        <v/>
      </c>
      <c r="HF116" s="94" t="str">
        <f t="shared" si="309"/>
        <v/>
      </c>
      <c r="HG116" s="105" t="str">
        <f t="shared" si="334"/>
        <v/>
      </c>
      <c r="HH116" s="94" t="str">
        <f t="shared" si="310"/>
        <v/>
      </c>
      <c r="HI116" s="94" t="str">
        <f t="shared" si="311"/>
        <v/>
      </c>
      <c r="HJ116" s="105" t="str">
        <f t="shared" si="335"/>
        <v/>
      </c>
      <c r="HK116" s="94" t="str">
        <f t="shared" si="312"/>
        <v/>
      </c>
      <c r="HL116" s="94" t="str">
        <f t="shared" si="313"/>
        <v/>
      </c>
      <c r="HM116" s="105" t="str">
        <f t="shared" si="336"/>
        <v/>
      </c>
      <c r="HN116" s="367" t="str">
        <f t="shared" si="314"/>
        <v xml:space="preserve">      </v>
      </c>
      <c r="HO116" s="418" t="str">
        <f t="shared" si="337"/>
        <v xml:space="preserve">      </v>
      </c>
      <c r="HP116" s="367" t="str">
        <f t="shared" si="315"/>
        <v xml:space="preserve">      </v>
      </c>
      <c r="HQ116" s="107" t="str">
        <f t="shared" si="316"/>
        <v xml:space="preserve">      </v>
      </c>
      <c r="HR116" s="366" t="str">
        <f t="shared" si="317"/>
        <v xml:space="preserve">      </v>
      </c>
      <c r="HS116" s="544" t="str">
        <f t="shared" si="338"/>
        <v/>
      </c>
      <c r="HT116" s="542" t="str">
        <f t="shared" si="318"/>
        <v/>
      </c>
      <c r="HU116" s="541" t="str">
        <f t="shared" si="319"/>
        <v/>
      </c>
      <c r="HV116" s="540" t="str">
        <f t="shared" si="320"/>
        <v/>
      </c>
      <c r="HW116" s="537" t="str">
        <f t="shared" si="321"/>
        <v/>
      </c>
      <c r="HX116" s="539" t="str">
        <f t="shared" si="322"/>
        <v/>
      </c>
      <c r="HY116" s="553" t="str">
        <f>IFERROR(IF(OR(HS116="SUPPLEMENTARY",HS116="RE-EXAM"),'Supp. Result Entry'!AQ114,""),"")</f>
        <v/>
      </c>
      <c r="HZ116" s="538" t="str">
        <f t="shared" si="323"/>
        <v/>
      </c>
      <c r="IA116" s="415" t="str">
        <f t="shared" si="324"/>
        <v/>
      </c>
      <c r="IB116" s="415" t="str">
        <f>IF(AND(HZ116="",IA116=""),"",IF(OR(HS116="SUPPLEMENTARY",HS116="RE-EXAM"),'Supp. Result Entry'!AQ114,HS116))</f>
        <v/>
      </c>
      <c r="IC116" s="87"/>
      <c r="IS116" s="109" t="str">
        <f>IF('Supp. Result Entry'!T114="","",'Supp. Result Entry'!$T$4)</f>
        <v/>
      </c>
      <c r="IT116" s="110" t="str">
        <f>IF('Supp. Result Entry'!W114="","",'Supp. Result Entry'!$W$4)</f>
        <v/>
      </c>
      <c r="IU116" s="110" t="str">
        <f>IF('Supp. Result Entry'!Z114="","",'Supp. Result Entry'!$Z$4)</f>
        <v/>
      </c>
      <c r="IV116" s="110" t="str">
        <f>IF('Supp. Result Entry'!AC114="","",'Supp. Result Entry'!$AC$4)</f>
        <v/>
      </c>
      <c r="IW116" s="110" t="str">
        <f>IF('Supp. Result Entry'!AF114="","",'Supp. Result Entry'!$AF$4)</f>
        <v/>
      </c>
      <c r="IX116" s="110" t="str">
        <f>IF('Supp. Result Entry'!AI114="","",'Supp. Result Entry'!$AI$4)</f>
        <v/>
      </c>
      <c r="IY116" s="110" t="str">
        <f>IF('Supp. Result Entry'!AI114="","",'Supp. Result Entry'!$AL$4)</f>
        <v/>
      </c>
      <c r="IZ116" s="110" t="str">
        <f>IF('Supp. Result Entry'!U114="","",'Supp. Result Entry'!U114)</f>
        <v/>
      </c>
      <c r="JA116" s="110" t="str">
        <f>IF('Supp. Result Entry'!X114="","",'Supp. Result Entry'!X114)</f>
        <v/>
      </c>
      <c r="JB116" s="110" t="str">
        <f>IF('Supp. Result Entry'!AA114="","",'Supp. Result Entry'!AA114)</f>
        <v/>
      </c>
      <c r="JC116" s="110" t="str">
        <f>IF('Supp. Result Entry'!AD114="","",'Supp. Result Entry'!AD114)</f>
        <v/>
      </c>
      <c r="JD116" s="110" t="str">
        <f>IF('Supp. Result Entry'!AG114="","",'Supp. Result Entry'!AG114)</f>
        <v/>
      </c>
      <c r="JE116" s="110" t="str">
        <f>IF('Supp. Result Entry'!AJ114="","",'Supp. Result Entry'!AJ114)</f>
        <v/>
      </c>
      <c r="JF116" s="110" t="str">
        <f>IF('Supp. Result Entry'!AM114="","",'Supp. Result Entry'!AM114)</f>
        <v/>
      </c>
      <c r="JG116" s="110" t="str">
        <f>IF('Supp. Result Entry'!V114="","",'Supp. Result Entry'!V114)</f>
        <v/>
      </c>
      <c r="JH116" s="110" t="str">
        <f>IF('Supp. Result Entry'!Y114="","",'Supp. Result Entry'!Y114)</f>
        <v/>
      </c>
      <c r="JI116" s="110" t="str">
        <f>IF('Supp. Result Entry'!AB114="","",'Supp. Result Entry'!AB114)</f>
        <v/>
      </c>
      <c r="JJ116" s="110" t="str">
        <f>IF('Supp. Result Entry'!AE114="","",'Supp. Result Entry'!AE114)</f>
        <v/>
      </c>
      <c r="JK116" s="110" t="str">
        <f>IF('Supp. Result Entry'!AH114="","",'Supp. Result Entry'!AH114)</f>
        <v/>
      </c>
      <c r="JL116" s="110" t="str">
        <f>IF('Supp. Result Entry'!AK114="","",'Supp. Result Entry'!AK114)</f>
        <v/>
      </c>
      <c r="JM116" s="110" t="str">
        <f>IF('Supp. Result Entry'!AN114="","",'Supp. Result Entry'!AN114)</f>
        <v/>
      </c>
      <c r="JN116" s="110">
        <f>COUNTIF('Supp. Result Entry'!K114:Q114,"S")</f>
        <v>0</v>
      </c>
      <c r="JO116" s="110">
        <f t="shared" si="248"/>
        <v>0</v>
      </c>
      <c r="JP116" s="110">
        <f t="shared" si="325"/>
        <v>0</v>
      </c>
      <c r="JQ116" s="110" t="str">
        <f t="shared" si="249"/>
        <v/>
      </c>
      <c r="JR116" s="110" t="str">
        <f t="shared" si="250"/>
        <v/>
      </c>
      <c r="JS116" s="110" t="str">
        <f t="shared" si="251"/>
        <v/>
      </c>
      <c r="JT116" s="110" t="str">
        <f t="shared" si="252"/>
        <v/>
      </c>
      <c r="JU116" s="110" t="str">
        <f t="shared" si="253"/>
        <v/>
      </c>
      <c r="JV116" s="110" t="str">
        <f t="shared" si="254"/>
        <v/>
      </c>
      <c r="JW116" s="110" t="str">
        <f t="shared" si="255"/>
        <v/>
      </c>
      <c r="JX116" s="110" t="str">
        <f t="shared" si="326"/>
        <v/>
      </c>
      <c r="JY116" s="110" t="str">
        <f t="shared" si="327"/>
        <v/>
      </c>
      <c r="JZ116" s="110" t="str">
        <f t="shared" si="256"/>
        <v/>
      </c>
      <c r="KA116" s="108" t="str">
        <f t="shared" si="328"/>
        <v/>
      </c>
    </row>
    <row r="117" spans="1:287" s="108" customFormat="1" ht="21.95" customHeight="1">
      <c r="A117" s="89">
        <v>111</v>
      </c>
      <c r="B117" s="90" t="str">
        <f>IF('Marks Entry'!B117="","",'Marks Entry'!B117)</f>
        <v/>
      </c>
      <c r="C117" s="94" t="str">
        <f>IF('Marks Entry'!D117="","",'Marks Entry'!D117)</f>
        <v/>
      </c>
      <c r="D117" s="91" t="str">
        <f>IF('Marks Entry'!E117="","",'Marks Entry'!E117)</f>
        <v/>
      </c>
      <c r="E117" s="92" t="str">
        <f>IF('Marks Entry'!F117="","",'Marks Entry'!F117)</f>
        <v/>
      </c>
      <c r="F117" s="93" t="str">
        <f>IF('Marks Entry'!G117="","",'Marks Entry'!G117)</f>
        <v/>
      </c>
      <c r="G117" s="93" t="str">
        <f>IF('Marks Entry'!H117="","",'Marks Entry'!H117)</f>
        <v/>
      </c>
      <c r="H117" s="93" t="str">
        <f>IF('Marks Entry'!I117="","",'Marks Entry'!I117)</f>
        <v/>
      </c>
      <c r="I117" s="94" t="str">
        <f>IF('Marks Entry'!J117="","",'Marks Entry'!J117)</f>
        <v/>
      </c>
      <c r="J117" s="95" t="str">
        <f>IF('Marks Entry'!K117="","",'Marks Entry'!K117)</f>
        <v/>
      </c>
      <c r="K117" s="68" t="str">
        <f>IF('Marks Entry'!L117="","",'Marks Entry'!L117)</f>
        <v/>
      </c>
      <c r="L117" s="68" t="str">
        <f>IF('Marks Entry'!M117="","",'Marks Entry'!M117)</f>
        <v/>
      </c>
      <c r="M117" s="68" t="str">
        <f>IF('Marks Entry'!N117="","",'Marks Entry'!N117)</f>
        <v/>
      </c>
      <c r="N117" s="514" t="str">
        <f t="shared" si="257"/>
        <v/>
      </c>
      <c r="O117" s="68" t="str">
        <f>IF('Marks Entry'!O117="","",'Marks Entry'!O117)</f>
        <v/>
      </c>
      <c r="P117" s="515" t="str">
        <f t="shared" si="258"/>
        <v/>
      </c>
      <c r="Q117" s="68" t="str">
        <f>IF('Marks Entry'!P117="","",'Marks Entry'!P117)</f>
        <v/>
      </c>
      <c r="R117" s="96" t="str">
        <f t="shared" si="259"/>
        <v/>
      </c>
      <c r="S117" s="65">
        <f t="shared" si="260"/>
        <v>0</v>
      </c>
      <c r="T117" s="65">
        <f t="shared" si="261"/>
        <v>0</v>
      </c>
      <c r="U117" s="66" t="str">
        <f t="shared" si="171"/>
        <v/>
      </c>
      <c r="V117" s="65" t="str">
        <f t="shared" si="172"/>
        <v/>
      </c>
      <c r="W117" s="65" t="str">
        <f t="shared" si="262"/>
        <v/>
      </c>
      <c r="X117" s="65" t="str">
        <f t="shared" si="173"/>
        <v/>
      </c>
      <c r="Y117" s="68" t="str">
        <f>IF('Marks Entry'!Q117="","",'Marks Entry'!Q117)</f>
        <v/>
      </c>
      <c r="Z117" s="68" t="str">
        <f>IF('Marks Entry'!R117="","",'Marks Entry'!R117)</f>
        <v/>
      </c>
      <c r="AA117" s="68" t="str">
        <f>IF('Marks Entry'!S117="","",'Marks Entry'!S117)</f>
        <v/>
      </c>
      <c r="AB117" s="514" t="str">
        <f t="shared" si="174"/>
        <v/>
      </c>
      <c r="AC117" s="68" t="str">
        <f>IF('Marks Entry'!T117="","",'Marks Entry'!T117)</f>
        <v/>
      </c>
      <c r="AD117" s="515" t="str">
        <f t="shared" si="175"/>
        <v/>
      </c>
      <c r="AE117" s="68" t="str">
        <f>IF('Marks Entry'!U117="","",'Marks Entry'!U117)</f>
        <v/>
      </c>
      <c r="AF117" s="96" t="str">
        <f t="shared" si="176"/>
        <v/>
      </c>
      <c r="AG117" s="65">
        <f t="shared" si="177"/>
        <v>0</v>
      </c>
      <c r="AH117" s="65">
        <f t="shared" si="178"/>
        <v>0</v>
      </c>
      <c r="AI117" s="66" t="str">
        <f t="shared" si="179"/>
        <v/>
      </c>
      <c r="AJ117" s="65" t="str">
        <f t="shared" si="180"/>
        <v/>
      </c>
      <c r="AK117" s="65" t="str">
        <f t="shared" si="181"/>
        <v/>
      </c>
      <c r="AL117" s="65" t="str">
        <f t="shared" si="182"/>
        <v/>
      </c>
      <c r="AM117" s="524" t="str">
        <f>IF('Marks Entry'!V117="","",IF('Marks Entry'!V117=1,'School Profile'!$I$9,IF('Marks Entry'!V117=2,'School Profile'!$I$10,IF('Marks Entry'!V117=3,'School Profile'!$I$11,IF('Marks Entry'!V117=4,'School Profile'!$I$12,IF('Marks Entry'!V117=5,'School Profile'!$I$13,IF('Marks Entry'!V117=6,'School Profile'!$I$14,"")))))))</f>
        <v/>
      </c>
      <c r="AN117" s="68" t="str">
        <f>IF('Marks Entry'!W117="","",'Marks Entry'!W117)</f>
        <v/>
      </c>
      <c r="AO117" s="68" t="str">
        <f>IF('Marks Entry'!X117="","",'Marks Entry'!X117)</f>
        <v/>
      </c>
      <c r="AP117" s="68" t="str">
        <f>IF('Marks Entry'!Y117="","",'Marks Entry'!Y117)</f>
        <v/>
      </c>
      <c r="AQ117" s="514" t="str">
        <f t="shared" si="183"/>
        <v/>
      </c>
      <c r="AR117" s="68" t="str">
        <f>IF('Marks Entry'!Z117="","",'Marks Entry'!Z117)</f>
        <v/>
      </c>
      <c r="AS117" s="515" t="str">
        <f t="shared" si="184"/>
        <v/>
      </c>
      <c r="AT117" s="68" t="str">
        <f>IF('Marks Entry'!AA117="","",'Marks Entry'!AA117)</f>
        <v/>
      </c>
      <c r="AU117" s="96" t="str">
        <f t="shared" si="185"/>
        <v/>
      </c>
      <c r="AV117" s="65">
        <f t="shared" si="186"/>
        <v>0</v>
      </c>
      <c r="AW117" s="65">
        <f t="shared" si="187"/>
        <v>0</v>
      </c>
      <c r="AX117" s="66" t="str">
        <f t="shared" si="188"/>
        <v/>
      </c>
      <c r="AY117" s="65" t="str">
        <f t="shared" si="189"/>
        <v/>
      </c>
      <c r="AZ117" s="65" t="str">
        <f t="shared" si="190"/>
        <v/>
      </c>
      <c r="BA117" s="65" t="str">
        <f t="shared" si="191"/>
        <v/>
      </c>
      <c r="BB117" s="68" t="str">
        <f>IF('Marks Entry'!AB117="","",'Marks Entry'!AB117)</f>
        <v/>
      </c>
      <c r="BC117" s="68" t="str">
        <f>IF('Marks Entry'!AC117="","",'Marks Entry'!AC117)</f>
        <v/>
      </c>
      <c r="BD117" s="68" t="str">
        <f>IF('Marks Entry'!AD117="","",'Marks Entry'!AD117)</f>
        <v/>
      </c>
      <c r="BE117" s="514" t="str">
        <f t="shared" si="192"/>
        <v/>
      </c>
      <c r="BF117" s="68" t="str">
        <f>IF('Marks Entry'!AE117="","",'Marks Entry'!AE117)</f>
        <v/>
      </c>
      <c r="BG117" s="515" t="str">
        <f t="shared" si="193"/>
        <v/>
      </c>
      <c r="BH117" s="68" t="str">
        <f>IF('Marks Entry'!AF117="","",'Marks Entry'!AF117)</f>
        <v/>
      </c>
      <c r="BI117" s="96" t="str">
        <f t="shared" si="194"/>
        <v/>
      </c>
      <c r="BJ117" s="65">
        <f t="shared" si="195"/>
        <v>0</v>
      </c>
      <c r="BK117" s="65">
        <f t="shared" si="263"/>
        <v>0</v>
      </c>
      <c r="BL117" s="66" t="str">
        <f t="shared" si="196"/>
        <v/>
      </c>
      <c r="BM117" s="65" t="str">
        <f t="shared" si="197"/>
        <v/>
      </c>
      <c r="BN117" s="65" t="str">
        <f t="shared" si="198"/>
        <v/>
      </c>
      <c r="BO117" s="65" t="str">
        <f t="shared" si="199"/>
        <v/>
      </c>
      <c r="BP117" s="68" t="str">
        <f>IF('Marks Entry'!AG117="","",'Marks Entry'!AG117)</f>
        <v/>
      </c>
      <c r="BQ117" s="68" t="str">
        <f>IF('Marks Entry'!AH117="","",'Marks Entry'!AH117)</f>
        <v/>
      </c>
      <c r="BR117" s="68" t="str">
        <f>IF('Marks Entry'!AI117="","",'Marks Entry'!AI117)</f>
        <v/>
      </c>
      <c r="BS117" s="514" t="str">
        <f t="shared" si="200"/>
        <v/>
      </c>
      <c r="BT117" s="68" t="str">
        <f>IF('Marks Entry'!AJ117="","",'Marks Entry'!AJ117)</f>
        <v/>
      </c>
      <c r="BU117" s="515" t="str">
        <f t="shared" si="201"/>
        <v/>
      </c>
      <c r="BV117" s="68" t="str">
        <f>IF('Marks Entry'!AK117="","",'Marks Entry'!AK117)</f>
        <v/>
      </c>
      <c r="BW117" s="96" t="str">
        <f t="shared" si="202"/>
        <v/>
      </c>
      <c r="BX117" s="65">
        <f t="shared" si="203"/>
        <v>0</v>
      </c>
      <c r="BY117" s="65">
        <f t="shared" si="204"/>
        <v>0</v>
      </c>
      <c r="BZ117" s="66" t="str">
        <f t="shared" si="205"/>
        <v/>
      </c>
      <c r="CA117" s="65" t="str">
        <f t="shared" si="206"/>
        <v/>
      </c>
      <c r="CB117" s="65" t="str">
        <f t="shared" si="207"/>
        <v/>
      </c>
      <c r="CC117" s="65" t="str">
        <f t="shared" si="208"/>
        <v/>
      </c>
      <c r="CD117" s="66">
        <f t="shared" si="329"/>
        <v>0</v>
      </c>
      <c r="CE117" s="68" t="str">
        <f>IF('Marks Entry'!AL117="","",'Marks Entry'!AL117)</f>
        <v/>
      </c>
      <c r="CF117" s="68" t="str">
        <f>IF('Marks Entry'!AM117="","",'Marks Entry'!AM117)</f>
        <v/>
      </c>
      <c r="CG117" s="68" t="str">
        <f>IF('Marks Entry'!AN117="","",'Marks Entry'!AN117)</f>
        <v/>
      </c>
      <c r="CH117" s="514" t="str">
        <f t="shared" si="210"/>
        <v/>
      </c>
      <c r="CI117" s="68" t="str">
        <f>IF('Marks Entry'!AO117="","",'Marks Entry'!AO117)</f>
        <v/>
      </c>
      <c r="CJ117" s="515" t="str">
        <f t="shared" si="211"/>
        <v/>
      </c>
      <c r="CK117" s="68" t="str">
        <f>IF('Marks Entry'!AP117="","",'Marks Entry'!AP117)</f>
        <v/>
      </c>
      <c r="CL117" s="96" t="str">
        <f t="shared" si="212"/>
        <v/>
      </c>
      <c r="CM117" s="65">
        <f t="shared" si="213"/>
        <v>0</v>
      </c>
      <c r="CN117" s="65">
        <f t="shared" si="214"/>
        <v>0</v>
      </c>
      <c r="CO117" s="66" t="str">
        <f t="shared" si="215"/>
        <v/>
      </c>
      <c r="CP117" s="65" t="str">
        <f t="shared" si="216"/>
        <v/>
      </c>
      <c r="CQ117" s="65" t="str">
        <f t="shared" si="217"/>
        <v/>
      </c>
      <c r="CR117" s="65" t="str">
        <f t="shared" si="218"/>
        <v/>
      </c>
      <c r="CS117" s="616"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8" t="str">
        <f>IF('School Profile'!$D$20="NO","",IF('Marks Entry'!AR117="","",'Marks Entry'!AR117))</f>
        <v/>
      </c>
      <c r="CU117" s="68" t="str">
        <f>IF('School Profile'!$D$20="NO","",IF('Marks Entry'!AS117="","",'Marks Entry'!AS117))</f>
        <v/>
      </c>
      <c r="CV117" s="68" t="str">
        <f>IF('School Profile'!$D$20="NO","",IF('Marks Entry'!AT117="","",'Marks Entry'!AT117))</f>
        <v/>
      </c>
      <c r="CW117" s="514" t="str">
        <f>IF('School Profile'!$D$20="NO","",IF(AND(CT117="",CU117="",CV117=""),"",SUM(CT117:CV117)))</f>
        <v/>
      </c>
      <c r="CX117" s="68" t="str">
        <f>IF('School Profile'!$D$20="NO","",IF('Marks Entry'!AU117="","",'Marks Entry'!AU117))</f>
        <v/>
      </c>
      <c r="CY117" s="68" t="str">
        <f>IF('School Profile'!$D$20="NO","",IF('Marks Entry'!AV117="","",'Marks Entry'!AV117))</f>
        <v/>
      </c>
      <c r="CZ117" s="515" t="str">
        <f>IF('School Profile'!$D$20="NO","",IF(AND(CX117="",CY117=""),"",SUM(CX117,CY117)))</f>
        <v/>
      </c>
      <c r="DA117" s="69" t="str">
        <f>IF('School Profile'!$D$20="NO","",IF(AND(CW117="",CZ117=""),"",SUM(CW117+CZ117)))</f>
        <v/>
      </c>
      <c r="DB117" s="68" t="str">
        <f>IF('School Profile'!$D$20="NO","",IF('Marks Entry'!AW117="","",'Marks Entry'!AW117))</f>
        <v/>
      </c>
      <c r="DC117" s="68" t="str">
        <f>IF('School Profile'!$D$20="NO","",IF('Marks Entry'!AX117="","",'Marks Entry'!AX117))</f>
        <v/>
      </c>
      <c r="DD117" s="515" t="str">
        <f>IF('School Profile'!$D$20="NO","",IF(AND(DB117="",DC117=""),"",SUM(DB117,DC117)))</f>
        <v/>
      </c>
      <c r="DE117" s="96" t="str">
        <f>IF('School Profile'!$D$20="NO","",IF(AND(DA117="",DD117=""),"",SUM(DA117,DD117)))</f>
        <v/>
      </c>
      <c r="DF117" s="532">
        <f t="shared" si="219"/>
        <v>0</v>
      </c>
      <c r="DG117" s="65">
        <f t="shared" si="220"/>
        <v>0</v>
      </c>
      <c r="DH117" s="66" t="str">
        <f t="shared" si="221"/>
        <v/>
      </c>
      <c r="DI117" s="65" t="str">
        <f t="shared" si="222"/>
        <v/>
      </c>
      <c r="DJ117" s="65" t="str">
        <f t="shared" si="223"/>
        <v/>
      </c>
      <c r="DK117" s="65" t="str">
        <f t="shared" si="224"/>
        <v/>
      </c>
      <c r="DL117" s="97" t="str">
        <f t="shared" si="264"/>
        <v/>
      </c>
      <c r="DM117" s="97" t="str">
        <f t="shared" si="265"/>
        <v/>
      </c>
      <c r="DN117" s="97" t="str">
        <f t="shared" si="266"/>
        <v/>
      </c>
      <c r="DO117" s="97" t="str">
        <f t="shared" si="267"/>
        <v/>
      </c>
      <c r="DP117" s="97" t="str">
        <f t="shared" si="268"/>
        <v/>
      </c>
      <c r="DQ117" s="97" t="str">
        <f t="shared" si="269"/>
        <v/>
      </c>
      <c r="DR117" s="97" t="str">
        <f t="shared" si="270"/>
        <v/>
      </c>
      <c r="DS117" s="98">
        <f t="shared" si="271"/>
        <v>0</v>
      </c>
      <c r="DT117" s="98">
        <f t="shared" si="272"/>
        <v>0</v>
      </c>
      <c r="DU117" s="98">
        <f t="shared" si="273"/>
        <v>0</v>
      </c>
      <c r="DV117" s="98">
        <f t="shared" si="274"/>
        <v>0</v>
      </c>
      <c r="DW117" s="98">
        <f t="shared" si="275"/>
        <v>0</v>
      </c>
      <c r="DX117" s="98" t="str">
        <f t="shared" si="276"/>
        <v/>
      </c>
      <c r="DY117" s="99" t="str">
        <f t="shared" si="277"/>
        <v/>
      </c>
      <c r="DZ117" s="74" t="str">
        <f>IF('Marks Entry'!AY117="","",'Marks Entry'!AY117)</f>
        <v/>
      </c>
      <c r="EA117" s="74" t="str">
        <f>IF('Marks Entry'!AZ117="","",'Marks Entry'!AZ117)</f>
        <v/>
      </c>
      <c r="EB117" s="74" t="str">
        <f>IF('Marks Entry'!BA117="","",'Marks Entry'!BA117)</f>
        <v/>
      </c>
      <c r="EC117" s="527" t="str">
        <f t="shared" si="225"/>
        <v/>
      </c>
      <c r="ED117" s="74" t="str">
        <f>IF('Marks Entry'!BB117="","",'Marks Entry'!BB117)</f>
        <v/>
      </c>
      <c r="EE117" s="528" t="str">
        <f t="shared" si="226"/>
        <v/>
      </c>
      <c r="EF117" s="74" t="str">
        <f>IF('Marks Entry'!BC117="","",'Marks Entry'!BC117)</f>
        <v/>
      </c>
      <c r="EG117" s="530" t="str">
        <f t="shared" si="227"/>
        <v/>
      </c>
      <c r="EH117" s="368" t="str">
        <f t="shared" si="278"/>
        <v/>
      </c>
      <c r="EI117" s="65">
        <f t="shared" si="279"/>
        <v>0</v>
      </c>
      <c r="EJ117" s="65">
        <f t="shared" si="280"/>
        <v>0</v>
      </c>
      <c r="EK117" s="66" t="str">
        <f t="shared" si="281"/>
        <v/>
      </c>
      <c r="EL117" s="74" t="str">
        <f>IF('Marks Entry'!BD117="","",'Marks Entry'!BD117)</f>
        <v/>
      </c>
      <c r="EM117" s="74" t="str">
        <f>IF('Marks Entry'!BE117="","",'Marks Entry'!BE117)</f>
        <v/>
      </c>
      <c r="EN117" s="74" t="str">
        <f>IF('Marks Entry'!BF117="","",'Marks Entry'!BF117)</f>
        <v/>
      </c>
      <c r="EO117" s="527" t="str">
        <f t="shared" si="228"/>
        <v/>
      </c>
      <c r="EP117" s="74" t="str">
        <f>IF('Marks Entry'!BG117="","",'Marks Entry'!BG117)</f>
        <v/>
      </c>
      <c r="EQ117" s="74" t="str">
        <f>IF('Marks Entry'!BH117="","",'Marks Entry'!BH117)</f>
        <v/>
      </c>
      <c r="ER117" s="528" t="str">
        <f t="shared" si="229"/>
        <v/>
      </c>
      <c r="ES117" s="529" t="str">
        <f t="shared" si="230"/>
        <v/>
      </c>
      <c r="ET117" s="74" t="str">
        <f>IF('Marks Entry'!BI117="","",'Marks Entry'!BI117)</f>
        <v/>
      </c>
      <c r="EU117" s="74" t="str">
        <f>IF('Marks Entry'!BJ117="","",'Marks Entry'!BJ117)</f>
        <v/>
      </c>
      <c r="EV117" s="528" t="str">
        <f t="shared" si="231"/>
        <v/>
      </c>
      <c r="EW117" s="530" t="str">
        <f t="shared" si="232"/>
        <v/>
      </c>
      <c r="EX117" s="368" t="str">
        <f t="shared" si="282"/>
        <v/>
      </c>
      <c r="EY117" s="65">
        <f t="shared" si="283"/>
        <v>0</v>
      </c>
      <c r="EZ117" s="65">
        <f t="shared" si="284"/>
        <v>0</v>
      </c>
      <c r="FA117" s="66" t="str">
        <f t="shared" si="285"/>
        <v/>
      </c>
      <c r="FB117" s="74" t="str">
        <f>IF('Marks Entry'!BK117="","",'Marks Entry'!BK117)</f>
        <v/>
      </c>
      <c r="FC117" s="74" t="str">
        <f>IF('Marks Entry'!BL117="","",'Marks Entry'!BL117)</f>
        <v/>
      </c>
      <c r="FD117" s="74" t="str">
        <f>IF('Marks Entry'!BM117="","",'Marks Entry'!BM117)</f>
        <v/>
      </c>
      <c r="FE117" s="74" t="str">
        <f>IF('Marks Entry'!BN117="","",'Marks Entry'!BN117)</f>
        <v/>
      </c>
      <c r="FF117" s="74" t="str">
        <f>IF('Marks Entry'!BO117="","",'Marks Entry'!BO117)</f>
        <v/>
      </c>
      <c r="FG117" s="74" t="str">
        <f>IF('Marks Entry'!BP117="","",'Marks Entry'!BP117)</f>
        <v/>
      </c>
      <c r="FH117" s="527" t="str">
        <f t="shared" si="233"/>
        <v/>
      </c>
      <c r="FI117" s="74" t="str">
        <f>IF('Marks Entry'!BQ117="","",'Marks Entry'!BQ117)</f>
        <v/>
      </c>
      <c r="FJ117" s="74" t="str">
        <f>IF('Marks Entry'!BR117="","",'Marks Entry'!BR117)</f>
        <v/>
      </c>
      <c r="FK117" s="528" t="str">
        <f t="shared" si="234"/>
        <v/>
      </c>
      <c r="FL117" s="529" t="str">
        <f t="shared" si="235"/>
        <v/>
      </c>
      <c r="FM117" s="74" t="str">
        <f>IF('Marks Entry'!BS117="","",'Marks Entry'!BS117)</f>
        <v/>
      </c>
      <c r="FN117" s="74" t="str">
        <f>IF('Marks Entry'!BT117="","",'Marks Entry'!BT117)</f>
        <v/>
      </c>
      <c r="FO117" s="528" t="str">
        <f t="shared" si="236"/>
        <v/>
      </c>
      <c r="FP117" s="530" t="str">
        <f t="shared" si="237"/>
        <v/>
      </c>
      <c r="FQ117" s="368" t="str">
        <f t="shared" si="286"/>
        <v/>
      </c>
      <c r="FR117" s="65">
        <f t="shared" si="287"/>
        <v>0</v>
      </c>
      <c r="FS117" s="65">
        <f t="shared" si="288"/>
        <v>0</v>
      </c>
      <c r="FT117" s="66" t="str">
        <f t="shared" si="289"/>
        <v/>
      </c>
      <c r="FU117" s="74" t="str">
        <f>IF('Marks Entry'!BU117="","",'Marks Entry'!BU117)</f>
        <v/>
      </c>
      <c r="FV117" s="74" t="str">
        <f>IF('Marks Entry'!BV117="","",'Marks Entry'!BV117)</f>
        <v/>
      </c>
      <c r="FW117" s="74" t="str">
        <f>IF('Marks Entry'!BW117="","",'Marks Entry'!BW117)</f>
        <v/>
      </c>
      <c r="FX117" s="75" t="str">
        <f t="shared" si="238"/>
        <v/>
      </c>
      <c r="FY117" s="368" t="str">
        <f t="shared" si="290"/>
        <v/>
      </c>
      <c r="FZ117" s="65">
        <f t="shared" si="291"/>
        <v>0</v>
      </c>
      <c r="GA117" s="66">
        <f t="shared" si="292"/>
        <v>0</v>
      </c>
      <c r="GB117" s="66" t="str">
        <f t="shared" si="293"/>
        <v/>
      </c>
      <c r="GC117" s="74" t="str">
        <f>IF('Marks Entry'!BX117="","",'Marks Entry'!BX117)</f>
        <v/>
      </c>
      <c r="GD117" s="74" t="str">
        <f>IF('Marks Entry'!BY117="","",'Marks Entry'!BY117)</f>
        <v/>
      </c>
      <c r="GE117" s="74" t="str">
        <f>IF('Marks Entry'!BZ117="","",'Marks Entry'!BZ117)</f>
        <v/>
      </c>
      <c r="GF117" s="75" t="str">
        <f t="shared" si="294"/>
        <v/>
      </c>
      <c r="GG117" s="368" t="str">
        <f t="shared" si="295"/>
        <v/>
      </c>
      <c r="GH117" s="65">
        <f t="shared" si="296"/>
        <v>0</v>
      </c>
      <c r="GI117" s="66">
        <f t="shared" si="297"/>
        <v>0</v>
      </c>
      <c r="GJ117" s="66" t="str">
        <f t="shared" si="298"/>
        <v/>
      </c>
      <c r="GK117" s="100" t="str">
        <f>IF(AND(F117="",B117=""),"",IF('Student DATA Entry'!M114="","",'Student DATA Entry'!M114))</f>
        <v/>
      </c>
      <c r="GL117" s="101" t="str">
        <f>IF(AND(B117="",F117=""),"",IF('Student DATA Entry'!N114="","",'Student DATA Entry'!N114))</f>
        <v/>
      </c>
      <c r="GM117" s="581" t="str">
        <f t="shared" si="299"/>
        <v/>
      </c>
      <c r="GN117" s="94" t="str">
        <f t="shared" si="300"/>
        <v/>
      </c>
      <c r="GO117" s="94" t="str">
        <f t="shared" si="301"/>
        <v/>
      </c>
      <c r="GP117" s="102" t="str">
        <f t="shared" si="330"/>
        <v/>
      </c>
      <c r="GQ117" s="94" t="str">
        <f t="shared" si="302"/>
        <v/>
      </c>
      <c r="GR117" s="103" t="str">
        <f t="shared" si="303"/>
        <v/>
      </c>
      <c r="GS117" s="102" t="str">
        <f t="shared" si="331"/>
        <v/>
      </c>
      <c r="GT117" s="104" t="str">
        <f t="shared" si="304"/>
        <v/>
      </c>
      <c r="GU117" s="94" t="str">
        <f>IF('Marks Entry'!V117=1,GT117,"")</f>
        <v/>
      </c>
      <c r="GV117" s="94" t="str">
        <f>IF('Marks Entry'!V117=2,GT117,"")</f>
        <v/>
      </c>
      <c r="GW117" s="94" t="str">
        <f>IF('Marks Entry'!V117=3,GT117,"")</f>
        <v/>
      </c>
      <c r="GX117" s="94" t="str">
        <f>IF('Marks Entry'!V117=4,GT117,"")</f>
        <v/>
      </c>
      <c r="GY117" s="94" t="str">
        <f>IF('Marks Entry'!V117=5,GT117,"")</f>
        <v/>
      </c>
      <c r="GZ117" s="94" t="str">
        <f t="shared" si="305"/>
        <v/>
      </c>
      <c r="HA117" s="105" t="str">
        <f t="shared" si="332"/>
        <v/>
      </c>
      <c r="HB117" s="94" t="str">
        <f t="shared" si="306"/>
        <v/>
      </c>
      <c r="HC117" s="94" t="str">
        <f t="shared" si="307"/>
        <v/>
      </c>
      <c r="HD117" s="105" t="str">
        <f t="shared" si="333"/>
        <v/>
      </c>
      <c r="HE117" s="94" t="str">
        <f t="shared" si="308"/>
        <v/>
      </c>
      <c r="HF117" s="94" t="str">
        <f t="shared" si="309"/>
        <v/>
      </c>
      <c r="HG117" s="105" t="str">
        <f t="shared" si="334"/>
        <v/>
      </c>
      <c r="HH117" s="94" t="str">
        <f t="shared" si="310"/>
        <v/>
      </c>
      <c r="HI117" s="94" t="str">
        <f t="shared" si="311"/>
        <v/>
      </c>
      <c r="HJ117" s="105" t="str">
        <f t="shared" si="335"/>
        <v/>
      </c>
      <c r="HK117" s="94" t="str">
        <f t="shared" si="312"/>
        <v/>
      </c>
      <c r="HL117" s="94" t="str">
        <f t="shared" si="313"/>
        <v/>
      </c>
      <c r="HM117" s="105" t="str">
        <f t="shared" si="336"/>
        <v/>
      </c>
      <c r="HN117" s="367" t="str">
        <f t="shared" si="314"/>
        <v xml:space="preserve">      </v>
      </c>
      <c r="HO117" s="418" t="str">
        <f t="shared" si="337"/>
        <v xml:space="preserve">      </v>
      </c>
      <c r="HP117" s="367" t="str">
        <f t="shared" si="315"/>
        <v xml:space="preserve">      </v>
      </c>
      <c r="HQ117" s="107" t="str">
        <f t="shared" si="316"/>
        <v xml:space="preserve">      </v>
      </c>
      <c r="HR117" s="366" t="str">
        <f t="shared" si="317"/>
        <v xml:space="preserve">      </v>
      </c>
      <c r="HS117" s="544" t="str">
        <f t="shared" si="338"/>
        <v/>
      </c>
      <c r="HT117" s="542" t="str">
        <f t="shared" si="318"/>
        <v/>
      </c>
      <c r="HU117" s="541" t="str">
        <f t="shared" si="319"/>
        <v/>
      </c>
      <c r="HV117" s="540" t="str">
        <f t="shared" si="320"/>
        <v/>
      </c>
      <c r="HW117" s="537" t="str">
        <f t="shared" si="321"/>
        <v/>
      </c>
      <c r="HX117" s="539" t="str">
        <f t="shared" si="322"/>
        <v/>
      </c>
      <c r="HY117" s="553" t="str">
        <f>IFERROR(IF(OR(HS117="SUPPLEMENTARY",HS117="RE-EXAM"),'Supp. Result Entry'!AQ115,""),"")</f>
        <v/>
      </c>
      <c r="HZ117" s="538" t="str">
        <f t="shared" si="323"/>
        <v/>
      </c>
      <c r="IA117" s="415" t="str">
        <f t="shared" si="324"/>
        <v/>
      </c>
      <c r="IB117" s="415" t="str">
        <f>IF(AND(HZ117="",IA117=""),"",IF(OR(HS117="SUPPLEMENTARY",HS117="RE-EXAM"),'Supp. Result Entry'!AQ115,HS117))</f>
        <v/>
      </c>
      <c r="IC117" s="87"/>
      <c r="IS117" s="109" t="str">
        <f>IF('Supp. Result Entry'!T115="","",'Supp. Result Entry'!$T$4)</f>
        <v/>
      </c>
      <c r="IT117" s="110" t="str">
        <f>IF('Supp. Result Entry'!W115="","",'Supp. Result Entry'!$W$4)</f>
        <v/>
      </c>
      <c r="IU117" s="110" t="str">
        <f>IF('Supp. Result Entry'!Z115="","",'Supp. Result Entry'!$Z$4)</f>
        <v/>
      </c>
      <c r="IV117" s="110" t="str">
        <f>IF('Supp. Result Entry'!AC115="","",'Supp. Result Entry'!$AC$4)</f>
        <v/>
      </c>
      <c r="IW117" s="110" t="str">
        <f>IF('Supp. Result Entry'!AF115="","",'Supp. Result Entry'!$AF$4)</f>
        <v/>
      </c>
      <c r="IX117" s="110" t="str">
        <f>IF('Supp. Result Entry'!AI115="","",'Supp. Result Entry'!$AI$4)</f>
        <v/>
      </c>
      <c r="IY117" s="110" t="str">
        <f>IF('Supp. Result Entry'!AI115="","",'Supp. Result Entry'!$AL$4)</f>
        <v/>
      </c>
      <c r="IZ117" s="110" t="str">
        <f>IF('Supp. Result Entry'!U115="","",'Supp. Result Entry'!U115)</f>
        <v/>
      </c>
      <c r="JA117" s="110" t="str">
        <f>IF('Supp. Result Entry'!X115="","",'Supp. Result Entry'!X115)</f>
        <v/>
      </c>
      <c r="JB117" s="110" t="str">
        <f>IF('Supp. Result Entry'!AA115="","",'Supp. Result Entry'!AA115)</f>
        <v/>
      </c>
      <c r="JC117" s="110" t="str">
        <f>IF('Supp. Result Entry'!AD115="","",'Supp. Result Entry'!AD115)</f>
        <v/>
      </c>
      <c r="JD117" s="110" t="str">
        <f>IF('Supp. Result Entry'!AG115="","",'Supp. Result Entry'!AG115)</f>
        <v/>
      </c>
      <c r="JE117" s="110" t="str">
        <f>IF('Supp. Result Entry'!AJ115="","",'Supp. Result Entry'!AJ115)</f>
        <v/>
      </c>
      <c r="JF117" s="110" t="str">
        <f>IF('Supp. Result Entry'!AM115="","",'Supp. Result Entry'!AM115)</f>
        <v/>
      </c>
      <c r="JG117" s="110" t="str">
        <f>IF('Supp. Result Entry'!V115="","",'Supp. Result Entry'!V115)</f>
        <v/>
      </c>
      <c r="JH117" s="110" t="str">
        <f>IF('Supp. Result Entry'!Y115="","",'Supp. Result Entry'!Y115)</f>
        <v/>
      </c>
      <c r="JI117" s="110" t="str">
        <f>IF('Supp. Result Entry'!AB115="","",'Supp. Result Entry'!AB115)</f>
        <v/>
      </c>
      <c r="JJ117" s="110" t="str">
        <f>IF('Supp. Result Entry'!AE115="","",'Supp. Result Entry'!AE115)</f>
        <v/>
      </c>
      <c r="JK117" s="110" t="str">
        <f>IF('Supp. Result Entry'!AH115="","",'Supp. Result Entry'!AH115)</f>
        <v/>
      </c>
      <c r="JL117" s="110" t="str">
        <f>IF('Supp. Result Entry'!AK115="","",'Supp. Result Entry'!AK115)</f>
        <v/>
      </c>
      <c r="JM117" s="110" t="str">
        <f>IF('Supp. Result Entry'!AN115="","",'Supp. Result Entry'!AN115)</f>
        <v/>
      </c>
      <c r="JN117" s="110">
        <f>COUNTIF('Supp. Result Entry'!K115:Q115,"S")</f>
        <v>0</v>
      </c>
      <c r="JO117" s="110">
        <f t="shared" si="248"/>
        <v>0</v>
      </c>
      <c r="JP117" s="110">
        <f t="shared" si="325"/>
        <v>0</v>
      </c>
      <c r="JQ117" s="110" t="str">
        <f t="shared" si="249"/>
        <v/>
      </c>
      <c r="JR117" s="110" t="str">
        <f t="shared" si="250"/>
        <v/>
      </c>
      <c r="JS117" s="110" t="str">
        <f t="shared" si="251"/>
        <v/>
      </c>
      <c r="JT117" s="110" t="str">
        <f t="shared" si="252"/>
        <v/>
      </c>
      <c r="JU117" s="110" t="str">
        <f t="shared" si="253"/>
        <v/>
      </c>
      <c r="JV117" s="110" t="str">
        <f t="shared" si="254"/>
        <v/>
      </c>
      <c r="JW117" s="110" t="str">
        <f t="shared" si="255"/>
        <v/>
      </c>
      <c r="JX117" s="110" t="str">
        <f t="shared" si="326"/>
        <v/>
      </c>
      <c r="JY117" s="110" t="str">
        <f t="shared" si="327"/>
        <v/>
      </c>
      <c r="JZ117" s="110" t="str">
        <f t="shared" si="256"/>
        <v/>
      </c>
      <c r="KA117" s="108" t="str">
        <f t="shared" si="328"/>
        <v/>
      </c>
    </row>
    <row r="118" spans="1:287" s="108" customFormat="1" ht="21.95" customHeight="1">
      <c r="A118" s="89">
        <v>112</v>
      </c>
      <c r="B118" s="90" t="str">
        <f>IF('Marks Entry'!B118="","",'Marks Entry'!B118)</f>
        <v/>
      </c>
      <c r="C118" s="94" t="str">
        <f>IF('Marks Entry'!D118="","",'Marks Entry'!D118)</f>
        <v/>
      </c>
      <c r="D118" s="91" t="str">
        <f>IF('Marks Entry'!E118="","",'Marks Entry'!E118)</f>
        <v/>
      </c>
      <c r="E118" s="92" t="str">
        <f>IF('Marks Entry'!F118="","",'Marks Entry'!F118)</f>
        <v/>
      </c>
      <c r="F118" s="93" t="str">
        <f>IF('Marks Entry'!G118="","",'Marks Entry'!G118)</f>
        <v/>
      </c>
      <c r="G118" s="93" t="str">
        <f>IF('Marks Entry'!H118="","",'Marks Entry'!H118)</f>
        <v/>
      </c>
      <c r="H118" s="93" t="str">
        <f>IF('Marks Entry'!I118="","",'Marks Entry'!I118)</f>
        <v/>
      </c>
      <c r="I118" s="94" t="str">
        <f>IF('Marks Entry'!J118="","",'Marks Entry'!J118)</f>
        <v/>
      </c>
      <c r="J118" s="95" t="str">
        <f>IF('Marks Entry'!K118="","",'Marks Entry'!K118)</f>
        <v/>
      </c>
      <c r="K118" s="68" t="str">
        <f>IF('Marks Entry'!L118="","",'Marks Entry'!L118)</f>
        <v/>
      </c>
      <c r="L118" s="68" t="str">
        <f>IF('Marks Entry'!M118="","",'Marks Entry'!M118)</f>
        <v/>
      </c>
      <c r="M118" s="68" t="str">
        <f>IF('Marks Entry'!N118="","",'Marks Entry'!N118)</f>
        <v/>
      </c>
      <c r="N118" s="514" t="str">
        <f t="shared" si="257"/>
        <v/>
      </c>
      <c r="O118" s="68" t="str">
        <f>IF('Marks Entry'!O118="","",'Marks Entry'!O118)</f>
        <v/>
      </c>
      <c r="P118" s="515" t="str">
        <f t="shared" si="258"/>
        <v/>
      </c>
      <c r="Q118" s="68" t="str">
        <f>IF('Marks Entry'!P118="","",'Marks Entry'!P118)</f>
        <v/>
      </c>
      <c r="R118" s="96" t="str">
        <f t="shared" si="259"/>
        <v/>
      </c>
      <c r="S118" s="65">
        <f t="shared" si="260"/>
        <v>0</v>
      </c>
      <c r="T118" s="65">
        <f t="shared" si="261"/>
        <v>0</v>
      </c>
      <c r="U118" s="66" t="str">
        <f t="shared" si="171"/>
        <v/>
      </c>
      <c r="V118" s="65" t="str">
        <f t="shared" si="172"/>
        <v/>
      </c>
      <c r="W118" s="65" t="str">
        <f t="shared" si="262"/>
        <v/>
      </c>
      <c r="X118" s="65" t="str">
        <f t="shared" si="173"/>
        <v/>
      </c>
      <c r="Y118" s="68" t="str">
        <f>IF('Marks Entry'!Q118="","",'Marks Entry'!Q118)</f>
        <v/>
      </c>
      <c r="Z118" s="68" t="str">
        <f>IF('Marks Entry'!R118="","",'Marks Entry'!R118)</f>
        <v/>
      </c>
      <c r="AA118" s="68" t="str">
        <f>IF('Marks Entry'!S118="","",'Marks Entry'!S118)</f>
        <v/>
      </c>
      <c r="AB118" s="514" t="str">
        <f t="shared" si="174"/>
        <v/>
      </c>
      <c r="AC118" s="68" t="str">
        <f>IF('Marks Entry'!T118="","",'Marks Entry'!T118)</f>
        <v/>
      </c>
      <c r="AD118" s="515" t="str">
        <f t="shared" si="175"/>
        <v/>
      </c>
      <c r="AE118" s="68" t="str">
        <f>IF('Marks Entry'!U118="","",'Marks Entry'!U118)</f>
        <v/>
      </c>
      <c r="AF118" s="96" t="str">
        <f t="shared" si="176"/>
        <v/>
      </c>
      <c r="AG118" s="65">
        <f t="shared" si="177"/>
        <v>0</v>
      </c>
      <c r="AH118" s="65">
        <f t="shared" si="178"/>
        <v>0</v>
      </c>
      <c r="AI118" s="66" t="str">
        <f t="shared" si="179"/>
        <v/>
      </c>
      <c r="AJ118" s="65" t="str">
        <f t="shared" si="180"/>
        <v/>
      </c>
      <c r="AK118" s="65" t="str">
        <f t="shared" si="181"/>
        <v/>
      </c>
      <c r="AL118" s="65" t="str">
        <f t="shared" si="182"/>
        <v/>
      </c>
      <c r="AM118" s="524" t="str">
        <f>IF('Marks Entry'!V118="","",IF('Marks Entry'!V118=1,'School Profile'!$I$9,IF('Marks Entry'!V118=2,'School Profile'!$I$10,IF('Marks Entry'!V118=3,'School Profile'!$I$11,IF('Marks Entry'!V118=4,'School Profile'!$I$12,IF('Marks Entry'!V118=5,'School Profile'!$I$13,IF('Marks Entry'!V118=6,'School Profile'!$I$14,"")))))))</f>
        <v/>
      </c>
      <c r="AN118" s="68" t="str">
        <f>IF('Marks Entry'!W118="","",'Marks Entry'!W118)</f>
        <v/>
      </c>
      <c r="AO118" s="68" t="str">
        <f>IF('Marks Entry'!X118="","",'Marks Entry'!X118)</f>
        <v/>
      </c>
      <c r="AP118" s="68" t="str">
        <f>IF('Marks Entry'!Y118="","",'Marks Entry'!Y118)</f>
        <v/>
      </c>
      <c r="AQ118" s="514" t="str">
        <f t="shared" si="183"/>
        <v/>
      </c>
      <c r="AR118" s="68" t="str">
        <f>IF('Marks Entry'!Z118="","",'Marks Entry'!Z118)</f>
        <v/>
      </c>
      <c r="AS118" s="515" t="str">
        <f t="shared" si="184"/>
        <v/>
      </c>
      <c r="AT118" s="68" t="str">
        <f>IF('Marks Entry'!AA118="","",'Marks Entry'!AA118)</f>
        <v/>
      </c>
      <c r="AU118" s="96" t="str">
        <f t="shared" si="185"/>
        <v/>
      </c>
      <c r="AV118" s="65">
        <f t="shared" si="186"/>
        <v>0</v>
      </c>
      <c r="AW118" s="65">
        <f t="shared" si="187"/>
        <v>0</v>
      </c>
      <c r="AX118" s="66" t="str">
        <f t="shared" si="188"/>
        <v/>
      </c>
      <c r="AY118" s="65" t="str">
        <f t="shared" si="189"/>
        <v/>
      </c>
      <c r="AZ118" s="65" t="str">
        <f t="shared" si="190"/>
        <v/>
      </c>
      <c r="BA118" s="65" t="str">
        <f t="shared" si="191"/>
        <v/>
      </c>
      <c r="BB118" s="68" t="str">
        <f>IF('Marks Entry'!AB118="","",'Marks Entry'!AB118)</f>
        <v/>
      </c>
      <c r="BC118" s="68" t="str">
        <f>IF('Marks Entry'!AC118="","",'Marks Entry'!AC118)</f>
        <v/>
      </c>
      <c r="BD118" s="68" t="str">
        <f>IF('Marks Entry'!AD118="","",'Marks Entry'!AD118)</f>
        <v/>
      </c>
      <c r="BE118" s="514" t="str">
        <f t="shared" si="192"/>
        <v/>
      </c>
      <c r="BF118" s="68" t="str">
        <f>IF('Marks Entry'!AE118="","",'Marks Entry'!AE118)</f>
        <v/>
      </c>
      <c r="BG118" s="515" t="str">
        <f t="shared" si="193"/>
        <v/>
      </c>
      <c r="BH118" s="68" t="str">
        <f>IF('Marks Entry'!AF118="","",'Marks Entry'!AF118)</f>
        <v/>
      </c>
      <c r="BI118" s="96" t="str">
        <f t="shared" si="194"/>
        <v/>
      </c>
      <c r="BJ118" s="65">
        <f t="shared" si="195"/>
        <v>0</v>
      </c>
      <c r="BK118" s="65">
        <f t="shared" si="263"/>
        <v>0</v>
      </c>
      <c r="BL118" s="66" t="str">
        <f t="shared" si="196"/>
        <v/>
      </c>
      <c r="BM118" s="65" t="str">
        <f t="shared" si="197"/>
        <v/>
      </c>
      <c r="BN118" s="65" t="str">
        <f t="shared" si="198"/>
        <v/>
      </c>
      <c r="BO118" s="65" t="str">
        <f t="shared" si="199"/>
        <v/>
      </c>
      <c r="BP118" s="68" t="str">
        <f>IF('Marks Entry'!AG118="","",'Marks Entry'!AG118)</f>
        <v/>
      </c>
      <c r="BQ118" s="68" t="str">
        <f>IF('Marks Entry'!AH118="","",'Marks Entry'!AH118)</f>
        <v/>
      </c>
      <c r="BR118" s="68" t="str">
        <f>IF('Marks Entry'!AI118="","",'Marks Entry'!AI118)</f>
        <v/>
      </c>
      <c r="BS118" s="514" t="str">
        <f t="shared" si="200"/>
        <v/>
      </c>
      <c r="BT118" s="68" t="str">
        <f>IF('Marks Entry'!AJ118="","",'Marks Entry'!AJ118)</f>
        <v/>
      </c>
      <c r="BU118" s="515" t="str">
        <f t="shared" si="201"/>
        <v/>
      </c>
      <c r="BV118" s="68" t="str">
        <f>IF('Marks Entry'!AK118="","",'Marks Entry'!AK118)</f>
        <v/>
      </c>
      <c r="BW118" s="96" t="str">
        <f t="shared" si="202"/>
        <v/>
      </c>
      <c r="BX118" s="65">
        <f t="shared" si="203"/>
        <v>0</v>
      </c>
      <c r="BY118" s="65">
        <f t="shared" si="204"/>
        <v>0</v>
      </c>
      <c r="BZ118" s="66" t="str">
        <f t="shared" si="205"/>
        <v/>
      </c>
      <c r="CA118" s="65" t="str">
        <f t="shared" si="206"/>
        <v/>
      </c>
      <c r="CB118" s="65" t="str">
        <f t="shared" si="207"/>
        <v/>
      </c>
      <c r="CC118" s="65" t="str">
        <f t="shared" si="208"/>
        <v/>
      </c>
      <c r="CD118" s="66">
        <f t="shared" si="329"/>
        <v>0</v>
      </c>
      <c r="CE118" s="68" t="str">
        <f>IF('Marks Entry'!AL118="","",'Marks Entry'!AL118)</f>
        <v/>
      </c>
      <c r="CF118" s="68" t="str">
        <f>IF('Marks Entry'!AM118="","",'Marks Entry'!AM118)</f>
        <v/>
      </c>
      <c r="CG118" s="68" t="str">
        <f>IF('Marks Entry'!AN118="","",'Marks Entry'!AN118)</f>
        <v/>
      </c>
      <c r="CH118" s="514" t="str">
        <f t="shared" si="210"/>
        <v/>
      </c>
      <c r="CI118" s="68" t="str">
        <f>IF('Marks Entry'!AO118="","",'Marks Entry'!AO118)</f>
        <v/>
      </c>
      <c r="CJ118" s="515" t="str">
        <f t="shared" si="211"/>
        <v/>
      </c>
      <c r="CK118" s="68" t="str">
        <f>IF('Marks Entry'!AP118="","",'Marks Entry'!AP118)</f>
        <v/>
      </c>
      <c r="CL118" s="96" t="str">
        <f t="shared" si="212"/>
        <v/>
      </c>
      <c r="CM118" s="65">
        <f t="shared" si="213"/>
        <v>0</v>
      </c>
      <c r="CN118" s="65">
        <f t="shared" si="214"/>
        <v>0</v>
      </c>
      <c r="CO118" s="66" t="str">
        <f t="shared" si="215"/>
        <v/>
      </c>
      <c r="CP118" s="65" t="str">
        <f t="shared" si="216"/>
        <v/>
      </c>
      <c r="CQ118" s="65" t="str">
        <f t="shared" si="217"/>
        <v/>
      </c>
      <c r="CR118" s="65" t="str">
        <f t="shared" si="218"/>
        <v/>
      </c>
      <c r="CS118" s="616"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8" t="str">
        <f>IF('School Profile'!$D$20="NO","",IF('Marks Entry'!AR118="","",'Marks Entry'!AR118))</f>
        <v/>
      </c>
      <c r="CU118" s="68" t="str">
        <f>IF('School Profile'!$D$20="NO","",IF('Marks Entry'!AS118="","",'Marks Entry'!AS118))</f>
        <v/>
      </c>
      <c r="CV118" s="68" t="str">
        <f>IF('School Profile'!$D$20="NO","",IF('Marks Entry'!AT118="","",'Marks Entry'!AT118))</f>
        <v/>
      </c>
      <c r="CW118" s="514" t="str">
        <f>IF('School Profile'!$D$20="NO","",IF(AND(CT118="",CU118="",CV118=""),"",SUM(CT118:CV118)))</f>
        <v/>
      </c>
      <c r="CX118" s="68" t="str">
        <f>IF('School Profile'!$D$20="NO","",IF('Marks Entry'!AU118="","",'Marks Entry'!AU118))</f>
        <v/>
      </c>
      <c r="CY118" s="68" t="str">
        <f>IF('School Profile'!$D$20="NO","",IF('Marks Entry'!AV118="","",'Marks Entry'!AV118))</f>
        <v/>
      </c>
      <c r="CZ118" s="515" t="str">
        <f>IF('School Profile'!$D$20="NO","",IF(AND(CX118="",CY118=""),"",SUM(CX118,CY118)))</f>
        <v/>
      </c>
      <c r="DA118" s="69" t="str">
        <f>IF('School Profile'!$D$20="NO","",IF(AND(CW118="",CZ118=""),"",SUM(CW118+CZ118)))</f>
        <v/>
      </c>
      <c r="DB118" s="68" t="str">
        <f>IF('School Profile'!$D$20="NO","",IF('Marks Entry'!AW118="","",'Marks Entry'!AW118))</f>
        <v/>
      </c>
      <c r="DC118" s="68" t="str">
        <f>IF('School Profile'!$D$20="NO","",IF('Marks Entry'!AX118="","",'Marks Entry'!AX118))</f>
        <v/>
      </c>
      <c r="DD118" s="515" t="str">
        <f>IF('School Profile'!$D$20="NO","",IF(AND(DB118="",DC118=""),"",SUM(DB118,DC118)))</f>
        <v/>
      </c>
      <c r="DE118" s="96" t="str">
        <f>IF('School Profile'!$D$20="NO","",IF(AND(DA118="",DD118=""),"",SUM(DA118,DD118)))</f>
        <v/>
      </c>
      <c r="DF118" s="532">
        <f t="shared" si="219"/>
        <v>0</v>
      </c>
      <c r="DG118" s="65">
        <f t="shared" si="220"/>
        <v>0</v>
      </c>
      <c r="DH118" s="66" t="str">
        <f t="shared" si="221"/>
        <v/>
      </c>
      <c r="DI118" s="65" t="str">
        <f t="shared" si="222"/>
        <v/>
      </c>
      <c r="DJ118" s="65" t="str">
        <f t="shared" si="223"/>
        <v/>
      </c>
      <c r="DK118" s="65" t="str">
        <f t="shared" si="224"/>
        <v/>
      </c>
      <c r="DL118" s="97" t="str">
        <f t="shared" si="264"/>
        <v/>
      </c>
      <c r="DM118" s="97" t="str">
        <f t="shared" si="265"/>
        <v/>
      </c>
      <c r="DN118" s="97" t="str">
        <f t="shared" si="266"/>
        <v/>
      </c>
      <c r="DO118" s="97" t="str">
        <f t="shared" si="267"/>
        <v/>
      </c>
      <c r="DP118" s="97" t="str">
        <f t="shared" si="268"/>
        <v/>
      </c>
      <c r="DQ118" s="97" t="str">
        <f t="shared" si="269"/>
        <v/>
      </c>
      <c r="DR118" s="97" t="str">
        <f t="shared" si="270"/>
        <v/>
      </c>
      <c r="DS118" s="98">
        <f t="shared" si="271"/>
        <v>0</v>
      </c>
      <c r="DT118" s="98">
        <f t="shared" si="272"/>
        <v>0</v>
      </c>
      <c r="DU118" s="98">
        <f t="shared" si="273"/>
        <v>0</v>
      </c>
      <c r="DV118" s="98">
        <f t="shared" si="274"/>
        <v>0</v>
      </c>
      <c r="DW118" s="98">
        <f t="shared" si="275"/>
        <v>0</v>
      </c>
      <c r="DX118" s="98" t="str">
        <f t="shared" si="276"/>
        <v/>
      </c>
      <c r="DY118" s="99" t="str">
        <f t="shared" si="277"/>
        <v/>
      </c>
      <c r="DZ118" s="74" t="str">
        <f>IF('Marks Entry'!AY118="","",'Marks Entry'!AY118)</f>
        <v/>
      </c>
      <c r="EA118" s="74" t="str">
        <f>IF('Marks Entry'!AZ118="","",'Marks Entry'!AZ118)</f>
        <v/>
      </c>
      <c r="EB118" s="74" t="str">
        <f>IF('Marks Entry'!BA118="","",'Marks Entry'!BA118)</f>
        <v/>
      </c>
      <c r="EC118" s="527" t="str">
        <f t="shared" si="225"/>
        <v/>
      </c>
      <c r="ED118" s="74" t="str">
        <f>IF('Marks Entry'!BB118="","",'Marks Entry'!BB118)</f>
        <v/>
      </c>
      <c r="EE118" s="528" t="str">
        <f t="shared" si="226"/>
        <v/>
      </c>
      <c r="EF118" s="74" t="str">
        <f>IF('Marks Entry'!BC118="","",'Marks Entry'!BC118)</f>
        <v/>
      </c>
      <c r="EG118" s="530" t="str">
        <f t="shared" si="227"/>
        <v/>
      </c>
      <c r="EH118" s="368" t="str">
        <f t="shared" si="278"/>
        <v/>
      </c>
      <c r="EI118" s="65">
        <f t="shared" si="279"/>
        <v>0</v>
      </c>
      <c r="EJ118" s="65">
        <f t="shared" si="280"/>
        <v>0</v>
      </c>
      <c r="EK118" s="66" t="str">
        <f t="shared" si="281"/>
        <v/>
      </c>
      <c r="EL118" s="74" t="str">
        <f>IF('Marks Entry'!BD118="","",'Marks Entry'!BD118)</f>
        <v/>
      </c>
      <c r="EM118" s="74" t="str">
        <f>IF('Marks Entry'!BE118="","",'Marks Entry'!BE118)</f>
        <v/>
      </c>
      <c r="EN118" s="74" t="str">
        <f>IF('Marks Entry'!BF118="","",'Marks Entry'!BF118)</f>
        <v/>
      </c>
      <c r="EO118" s="527" t="str">
        <f t="shared" si="228"/>
        <v/>
      </c>
      <c r="EP118" s="74" t="str">
        <f>IF('Marks Entry'!BG118="","",'Marks Entry'!BG118)</f>
        <v/>
      </c>
      <c r="EQ118" s="74" t="str">
        <f>IF('Marks Entry'!BH118="","",'Marks Entry'!BH118)</f>
        <v/>
      </c>
      <c r="ER118" s="528" t="str">
        <f t="shared" si="229"/>
        <v/>
      </c>
      <c r="ES118" s="529" t="str">
        <f t="shared" si="230"/>
        <v/>
      </c>
      <c r="ET118" s="74" t="str">
        <f>IF('Marks Entry'!BI118="","",'Marks Entry'!BI118)</f>
        <v/>
      </c>
      <c r="EU118" s="74" t="str">
        <f>IF('Marks Entry'!BJ118="","",'Marks Entry'!BJ118)</f>
        <v/>
      </c>
      <c r="EV118" s="528" t="str">
        <f t="shared" si="231"/>
        <v/>
      </c>
      <c r="EW118" s="530" t="str">
        <f t="shared" si="232"/>
        <v/>
      </c>
      <c r="EX118" s="368" t="str">
        <f t="shared" si="282"/>
        <v/>
      </c>
      <c r="EY118" s="65">
        <f t="shared" si="283"/>
        <v>0</v>
      </c>
      <c r="EZ118" s="65">
        <f t="shared" si="284"/>
        <v>0</v>
      </c>
      <c r="FA118" s="66" t="str">
        <f t="shared" si="285"/>
        <v/>
      </c>
      <c r="FB118" s="74" t="str">
        <f>IF('Marks Entry'!BK118="","",'Marks Entry'!BK118)</f>
        <v/>
      </c>
      <c r="FC118" s="74" t="str">
        <f>IF('Marks Entry'!BL118="","",'Marks Entry'!BL118)</f>
        <v/>
      </c>
      <c r="FD118" s="74" t="str">
        <f>IF('Marks Entry'!BM118="","",'Marks Entry'!BM118)</f>
        <v/>
      </c>
      <c r="FE118" s="74" t="str">
        <f>IF('Marks Entry'!BN118="","",'Marks Entry'!BN118)</f>
        <v/>
      </c>
      <c r="FF118" s="74" t="str">
        <f>IF('Marks Entry'!BO118="","",'Marks Entry'!BO118)</f>
        <v/>
      </c>
      <c r="FG118" s="74" t="str">
        <f>IF('Marks Entry'!BP118="","",'Marks Entry'!BP118)</f>
        <v/>
      </c>
      <c r="FH118" s="527" t="str">
        <f t="shared" si="233"/>
        <v/>
      </c>
      <c r="FI118" s="74" t="str">
        <f>IF('Marks Entry'!BQ118="","",'Marks Entry'!BQ118)</f>
        <v/>
      </c>
      <c r="FJ118" s="74" t="str">
        <f>IF('Marks Entry'!BR118="","",'Marks Entry'!BR118)</f>
        <v/>
      </c>
      <c r="FK118" s="528" t="str">
        <f t="shared" si="234"/>
        <v/>
      </c>
      <c r="FL118" s="529" t="str">
        <f t="shared" si="235"/>
        <v/>
      </c>
      <c r="FM118" s="74" t="str">
        <f>IF('Marks Entry'!BS118="","",'Marks Entry'!BS118)</f>
        <v/>
      </c>
      <c r="FN118" s="74" t="str">
        <f>IF('Marks Entry'!BT118="","",'Marks Entry'!BT118)</f>
        <v/>
      </c>
      <c r="FO118" s="528" t="str">
        <f t="shared" si="236"/>
        <v/>
      </c>
      <c r="FP118" s="530" t="str">
        <f t="shared" si="237"/>
        <v/>
      </c>
      <c r="FQ118" s="368" t="str">
        <f t="shared" si="286"/>
        <v/>
      </c>
      <c r="FR118" s="65">
        <f t="shared" si="287"/>
        <v>0</v>
      </c>
      <c r="FS118" s="65">
        <f t="shared" si="288"/>
        <v>0</v>
      </c>
      <c r="FT118" s="66" t="str">
        <f t="shared" si="289"/>
        <v/>
      </c>
      <c r="FU118" s="74" t="str">
        <f>IF('Marks Entry'!BU118="","",'Marks Entry'!BU118)</f>
        <v/>
      </c>
      <c r="FV118" s="74" t="str">
        <f>IF('Marks Entry'!BV118="","",'Marks Entry'!BV118)</f>
        <v/>
      </c>
      <c r="FW118" s="74" t="str">
        <f>IF('Marks Entry'!BW118="","",'Marks Entry'!BW118)</f>
        <v/>
      </c>
      <c r="FX118" s="75" t="str">
        <f t="shared" si="238"/>
        <v/>
      </c>
      <c r="FY118" s="368" t="str">
        <f t="shared" si="290"/>
        <v/>
      </c>
      <c r="FZ118" s="65">
        <f t="shared" si="291"/>
        <v>0</v>
      </c>
      <c r="GA118" s="66">
        <f t="shared" si="292"/>
        <v>0</v>
      </c>
      <c r="GB118" s="66" t="str">
        <f t="shared" si="293"/>
        <v/>
      </c>
      <c r="GC118" s="74" t="str">
        <f>IF('Marks Entry'!BX118="","",'Marks Entry'!BX118)</f>
        <v/>
      </c>
      <c r="GD118" s="74" t="str">
        <f>IF('Marks Entry'!BY118="","",'Marks Entry'!BY118)</f>
        <v/>
      </c>
      <c r="GE118" s="74" t="str">
        <f>IF('Marks Entry'!BZ118="","",'Marks Entry'!BZ118)</f>
        <v/>
      </c>
      <c r="GF118" s="75" t="str">
        <f t="shared" si="294"/>
        <v/>
      </c>
      <c r="GG118" s="368" t="str">
        <f t="shared" si="295"/>
        <v/>
      </c>
      <c r="GH118" s="65">
        <f t="shared" si="296"/>
        <v>0</v>
      </c>
      <c r="GI118" s="66">
        <f t="shared" si="297"/>
        <v>0</v>
      </c>
      <c r="GJ118" s="66" t="str">
        <f t="shared" si="298"/>
        <v/>
      </c>
      <c r="GK118" s="100" t="str">
        <f>IF(AND(F118="",B118=""),"",IF('Student DATA Entry'!M115="","",'Student DATA Entry'!M115))</f>
        <v/>
      </c>
      <c r="GL118" s="101" t="str">
        <f>IF(AND(B118="",F118=""),"",IF('Student DATA Entry'!N115="","",'Student DATA Entry'!N115))</f>
        <v/>
      </c>
      <c r="GM118" s="581" t="str">
        <f t="shared" si="299"/>
        <v/>
      </c>
      <c r="GN118" s="94" t="str">
        <f t="shared" si="300"/>
        <v/>
      </c>
      <c r="GO118" s="94" t="str">
        <f t="shared" si="301"/>
        <v/>
      </c>
      <c r="GP118" s="102" t="str">
        <f t="shared" si="330"/>
        <v/>
      </c>
      <c r="GQ118" s="94" t="str">
        <f t="shared" si="302"/>
        <v/>
      </c>
      <c r="GR118" s="103" t="str">
        <f t="shared" si="303"/>
        <v/>
      </c>
      <c r="GS118" s="102" t="str">
        <f t="shared" si="331"/>
        <v/>
      </c>
      <c r="GT118" s="104" t="str">
        <f t="shared" si="304"/>
        <v/>
      </c>
      <c r="GU118" s="94" t="str">
        <f>IF('Marks Entry'!V118=1,GT118,"")</f>
        <v/>
      </c>
      <c r="GV118" s="94" t="str">
        <f>IF('Marks Entry'!V118=2,GT118,"")</f>
        <v/>
      </c>
      <c r="GW118" s="94" t="str">
        <f>IF('Marks Entry'!V118=3,GT118,"")</f>
        <v/>
      </c>
      <c r="GX118" s="94" t="str">
        <f>IF('Marks Entry'!V118=4,GT118,"")</f>
        <v/>
      </c>
      <c r="GY118" s="94" t="str">
        <f>IF('Marks Entry'!V118=5,GT118,"")</f>
        <v/>
      </c>
      <c r="GZ118" s="94" t="str">
        <f t="shared" si="305"/>
        <v/>
      </c>
      <c r="HA118" s="105" t="str">
        <f t="shared" si="332"/>
        <v/>
      </c>
      <c r="HB118" s="94" t="str">
        <f t="shared" si="306"/>
        <v/>
      </c>
      <c r="HC118" s="94" t="str">
        <f t="shared" si="307"/>
        <v/>
      </c>
      <c r="HD118" s="105" t="str">
        <f t="shared" si="333"/>
        <v/>
      </c>
      <c r="HE118" s="94" t="str">
        <f t="shared" si="308"/>
        <v/>
      </c>
      <c r="HF118" s="94" t="str">
        <f t="shared" si="309"/>
        <v/>
      </c>
      <c r="HG118" s="105" t="str">
        <f t="shared" si="334"/>
        <v/>
      </c>
      <c r="HH118" s="94" t="str">
        <f t="shared" si="310"/>
        <v/>
      </c>
      <c r="HI118" s="94" t="str">
        <f t="shared" si="311"/>
        <v/>
      </c>
      <c r="HJ118" s="105" t="str">
        <f t="shared" si="335"/>
        <v/>
      </c>
      <c r="HK118" s="94" t="str">
        <f t="shared" si="312"/>
        <v/>
      </c>
      <c r="HL118" s="94" t="str">
        <f t="shared" si="313"/>
        <v/>
      </c>
      <c r="HM118" s="105" t="str">
        <f t="shared" si="336"/>
        <v/>
      </c>
      <c r="HN118" s="367" t="str">
        <f t="shared" si="314"/>
        <v xml:space="preserve">      </v>
      </c>
      <c r="HO118" s="418" t="str">
        <f t="shared" si="337"/>
        <v xml:space="preserve">      </v>
      </c>
      <c r="HP118" s="367" t="str">
        <f t="shared" si="315"/>
        <v xml:space="preserve">      </v>
      </c>
      <c r="HQ118" s="107" t="str">
        <f t="shared" si="316"/>
        <v xml:space="preserve">      </v>
      </c>
      <c r="HR118" s="366" t="str">
        <f t="shared" si="317"/>
        <v xml:space="preserve">      </v>
      </c>
      <c r="HS118" s="544" t="str">
        <f t="shared" si="338"/>
        <v/>
      </c>
      <c r="HT118" s="542" t="str">
        <f t="shared" si="318"/>
        <v/>
      </c>
      <c r="HU118" s="541" t="str">
        <f t="shared" si="319"/>
        <v/>
      </c>
      <c r="HV118" s="540" t="str">
        <f t="shared" si="320"/>
        <v/>
      </c>
      <c r="HW118" s="537" t="str">
        <f t="shared" si="321"/>
        <v/>
      </c>
      <c r="HX118" s="539" t="str">
        <f t="shared" si="322"/>
        <v/>
      </c>
      <c r="HY118" s="553" t="str">
        <f>IFERROR(IF(OR(HS118="SUPPLEMENTARY",HS118="RE-EXAM"),'Supp. Result Entry'!AQ116,""),"")</f>
        <v/>
      </c>
      <c r="HZ118" s="538" t="str">
        <f t="shared" si="323"/>
        <v/>
      </c>
      <c r="IA118" s="415" t="str">
        <f t="shared" si="324"/>
        <v/>
      </c>
      <c r="IB118" s="415" t="str">
        <f>IF(AND(HZ118="",IA118=""),"",IF(OR(HS118="SUPPLEMENTARY",HS118="RE-EXAM"),'Supp. Result Entry'!AQ116,HS118))</f>
        <v/>
      </c>
      <c r="IC118" s="87"/>
      <c r="IS118" s="109" t="str">
        <f>IF('Supp. Result Entry'!T116="","",'Supp. Result Entry'!$T$4)</f>
        <v/>
      </c>
      <c r="IT118" s="110" t="str">
        <f>IF('Supp. Result Entry'!W116="","",'Supp. Result Entry'!$W$4)</f>
        <v/>
      </c>
      <c r="IU118" s="110" t="str">
        <f>IF('Supp. Result Entry'!Z116="","",'Supp. Result Entry'!$Z$4)</f>
        <v/>
      </c>
      <c r="IV118" s="110" t="str">
        <f>IF('Supp. Result Entry'!AC116="","",'Supp. Result Entry'!$AC$4)</f>
        <v/>
      </c>
      <c r="IW118" s="110" t="str">
        <f>IF('Supp. Result Entry'!AF116="","",'Supp. Result Entry'!$AF$4)</f>
        <v/>
      </c>
      <c r="IX118" s="110" t="str">
        <f>IF('Supp. Result Entry'!AI116="","",'Supp. Result Entry'!$AI$4)</f>
        <v/>
      </c>
      <c r="IY118" s="110" t="str">
        <f>IF('Supp. Result Entry'!AI116="","",'Supp. Result Entry'!$AL$4)</f>
        <v/>
      </c>
      <c r="IZ118" s="110" t="str">
        <f>IF('Supp. Result Entry'!U116="","",'Supp. Result Entry'!U116)</f>
        <v/>
      </c>
      <c r="JA118" s="110" t="str">
        <f>IF('Supp. Result Entry'!X116="","",'Supp. Result Entry'!X116)</f>
        <v/>
      </c>
      <c r="JB118" s="110" t="str">
        <f>IF('Supp. Result Entry'!AA116="","",'Supp. Result Entry'!AA116)</f>
        <v/>
      </c>
      <c r="JC118" s="110" t="str">
        <f>IF('Supp. Result Entry'!AD116="","",'Supp. Result Entry'!AD116)</f>
        <v/>
      </c>
      <c r="JD118" s="110" t="str">
        <f>IF('Supp. Result Entry'!AG116="","",'Supp. Result Entry'!AG116)</f>
        <v/>
      </c>
      <c r="JE118" s="110" t="str">
        <f>IF('Supp. Result Entry'!AJ116="","",'Supp. Result Entry'!AJ116)</f>
        <v/>
      </c>
      <c r="JF118" s="110" t="str">
        <f>IF('Supp. Result Entry'!AM116="","",'Supp. Result Entry'!AM116)</f>
        <v/>
      </c>
      <c r="JG118" s="110" t="str">
        <f>IF('Supp. Result Entry'!V116="","",'Supp. Result Entry'!V116)</f>
        <v/>
      </c>
      <c r="JH118" s="110" t="str">
        <f>IF('Supp. Result Entry'!Y116="","",'Supp. Result Entry'!Y116)</f>
        <v/>
      </c>
      <c r="JI118" s="110" t="str">
        <f>IF('Supp. Result Entry'!AB116="","",'Supp. Result Entry'!AB116)</f>
        <v/>
      </c>
      <c r="JJ118" s="110" t="str">
        <f>IF('Supp. Result Entry'!AE116="","",'Supp. Result Entry'!AE116)</f>
        <v/>
      </c>
      <c r="JK118" s="110" t="str">
        <f>IF('Supp. Result Entry'!AH116="","",'Supp. Result Entry'!AH116)</f>
        <v/>
      </c>
      <c r="JL118" s="110" t="str">
        <f>IF('Supp. Result Entry'!AK116="","",'Supp. Result Entry'!AK116)</f>
        <v/>
      </c>
      <c r="JM118" s="110" t="str">
        <f>IF('Supp. Result Entry'!AN116="","",'Supp. Result Entry'!AN116)</f>
        <v/>
      </c>
      <c r="JN118" s="110">
        <f>COUNTIF('Supp. Result Entry'!K116:Q116,"S")</f>
        <v>0</v>
      </c>
      <c r="JO118" s="110">
        <f t="shared" si="248"/>
        <v>0</v>
      </c>
      <c r="JP118" s="110">
        <f t="shared" si="325"/>
        <v>0</v>
      </c>
      <c r="JQ118" s="110" t="str">
        <f t="shared" si="249"/>
        <v/>
      </c>
      <c r="JR118" s="110" t="str">
        <f t="shared" si="250"/>
        <v/>
      </c>
      <c r="JS118" s="110" t="str">
        <f t="shared" si="251"/>
        <v/>
      </c>
      <c r="JT118" s="110" t="str">
        <f t="shared" si="252"/>
        <v/>
      </c>
      <c r="JU118" s="110" t="str">
        <f t="shared" si="253"/>
        <v/>
      </c>
      <c r="JV118" s="110" t="str">
        <f t="shared" si="254"/>
        <v/>
      </c>
      <c r="JW118" s="110" t="str">
        <f t="shared" si="255"/>
        <v/>
      </c>
      <c r="JX118" s="110" t="str">
        <f t="shared" si="326"/>
        <v/>
      </c>
      <c r="JY118" s="110" t="str">
        <f t="shared" si="327"/>
        <v/>
      </c>
      <c r="JZ118" s="110" t="str">
        <f t="shared" si="256"/>
        <v/>
      </c>
      <c r="KA118" s="108" t="str">
        <f t="shared" si="328"/>
        <v/>
      </c>
    </row>
    <row r="119" spans="1:287" s="108" customFormat="1" ht="21.95" customHeight="1">
      <c r="A119" s="89">
        <v>113</v>
      </c>
      <c r="B119" s="90" t="str">
        <f>IF('Marks Entry'!B119="","",'Marks Entry'!B119)</f>
        <v/>
      </c>
      <c r="C119" s="94" t="str">
        <f>IF('Marks Entry'!D119="","",'Marks Entry'!D119)</f>
        <v/>
      </c>
      <c r="D119" s="91" t="str">
        <f>IF('Marks Entry'!E119="","",'Marks Entry'!E119)</f>
        <v/>
      </c>
      <c r="E119" s="92" t="str">
        <f>IF('Marks Entry'!F119="","",'Marks Entry'!F119)</f>
        <v/>
      </c>
      <c r="F119" s="93" t="str">
        <f>IF('Marks Entry'!G119="","",'Marks Entry'!G119)</f>
        <v/>
      </c>
      <c r="G119" s="93" t="str">
        <f>IF('Marks Entry'!H119="","",'Marks Entry'!H119)</f>
        <v/>
      </c>
      <c r="H119" s="93" t="str">
        <f>IF('Marks Entry'!I119="","",'Marks Entry'!I119)</f>
        <v/>
      </c>
      <c r="I119" s="94" t="str">
        <f>IF('Marks Entry'!J119="","",'Marks Entry'!J119)</f>
        <v/>
      </c>
      <c r="J119" s="95" t="str">
        <f>IF('Marks Entry'!K119="","",'Marks Entry'!K119)</f>
        <v/>
      </c>
      <c r="K119" s="68" t="str">
        <f>IF('Marks Entry'!L119="","",'Marks Entry'!L119)</f>
        <v/>
      </c>
      <c r="L119" s="68" t="str">
        <f>IF('Marks Entry'!M119="","",'Marks Entry'!M119)</f>
        <v/>
      </c>
      <c r="M119" s="68" t="str">
        <f>IF('Marks Entry'!N119="","",'Marks Entry'!N119)</f>
        <v/>
      </c>
      <c r="N119" s="514" t="str">
        <f t="shared" si="257"/>
        <v/>
      </c>
      <c r="O119" s="68" t="str">
        <f>IF('Marks Entry'!O119="","",'Marks Entry'!O119)</f>
        <v/>
      </c>
      <c r="P119" s="515" t="str">
        <f t="shared" si="258"/>
        <v/>
      </c>
      <c r="Q119" s="68" t="str">
        <f>IF('Marks Entry'!P119="","",'Marks Entry'!P119)</f>
        <v/>
      </c>
      <c r="R119" s="96" t="str">
        <f t="shared" si="259"/>
        <v/>
      </c>
      <c r="S119" s="65">
        <f t="shared" si="260"/>
        <v>0</v>
      </c>
      <c r="T119" s="65">
        <f t="shared" si="261"/>
        <v>0</v>
      </c>
      <c r="U119" s="66" t="str">
        <f t="shared" si="171"/>
        <v/>
      </c>
      <c r="V119" s="65" t="str">
        <f t="shared" si="172"/>
        <v/>
      </c>
      <c r="W119" s="65" t="str">
        <f t="shared" si="262"/>
        <v/>
      </c>
      <c r="X119" s="65" t="str">
        <f t="shared" si="173"/>
        <v/>
      </c>
      <c r="Y119" s="68" t="str">
        <f>IF('Marks Entry'!Q119="","",'Marks Entry'!Q119)</f>
        <v/>
      </c>
      <c r="Z119" s="68" t="str">
        <f>IF('Marks Entry'!R119="","",'Marks Entry'!R119)</f>
        <v/>
      </c>
      <c r="AA119" s="68" t="str">
        <f>IF('Marks Entry'!S119="","",'Marks Entry'!S119)</f>
        <v/>
      </c>
      <c r="AB119" s="514" t="str">
        <f t="shared" si="174"/>
        <v/>
      </c>
      <c r="AC119" s="68" t="str">
        <f>IF('Marks Entry'!T119="","",'Marks Entry'!T119)</f>
        <v/>
      </c>
      <c r="AD119" s="515" t="str">
        <f t="shared" si="175"/>
        <v/>
      </c>
      <c r="AE119" s="68" t="str">
        <f>IF('Marks Entry'!U119="","",'Marks Entry'!U119)</f>
        <v/>
      </c>
      <c r="AF119" s="96" t="str">
        <f t="shared" si="176"/>
        <v/>
      </c>
      <c r="AG119" s="65">
        <f t="shared" si="177"/>
        <v>0</v>
      </c>
      <c r="AH119" s="65">
        <f t="shared" si="178"/>
        <v>0</v>
      </c>
      <c r="AI119" s="66" t="str">
        <f t="shared" si="179"/>
        <v/>
      </c>
      <c r="AJ119" s="65" t="str">
        <f t="shared" si="180"/>
        <v/>
      </c>
      <c r="AK119" s="65" t="str">
        <f t="shared" si="181"/>
        <v/>
      </c>
      <c r="AL119" s="65" t="str">
        <f t="shared" si="182"/>
        <v/>
      </c>
      <c r="AM119" s="524" t="str">
        <f>IF('Marks Entry'!V119="","",IF('Marks Entry'!V119=1,'School Profile'!$I$9,IF('Marks Entry'!V119=2,'School Profile'!$I$10,IF('Marks Entry'!V119=3,'School Profile'!$I$11,IF('Marks Entry'!V119=4,'School Profile'!$I$12,IF('Marks Entry'!V119=5,'School Profile'!$I$13,IF('Marks Entry'!V119=6,'School Profile'!$I$14,"")))))))</f>
        <v/>
      </c>
      <c r="AN119" s="68" t="str">
        <f>IF('Marks Entry'!W119="","",'Marks Entry'!W119)</f>
        <v/>
      </c>
      <c r="AO119" s="68" t="str">
        <f>IF('Marks Entry'!X119="","",'Marks Entry'!X119)</f>
        <v/>
      </c>
      <c r="AP119" s="68" t="str">
        <f>IF('Marks Entry'!Y119="","",'Marks Entry'!Y119)</f>
        <v/>
      </c>
      <c r="AQ119" s="514" t="str">
        <f t="shared" si="183"/>
        <v/>
      </c>
      <c r="AR119" s="68" t="str">
        <f>IF('Marks Entry'!Z119="","",'Marks Entry'!Z119)</f>
        <v/>
      </c>
      <c r="AS119" s="515" t="str">
        <f t="shared" si="184"/>
        <v/>
      </c>
      <c r="AT119" s="68" t="str">
        <f>IF('Marks Entry'!AA119="","",'Marks Entry'!AA119)</f>
        <v/>
      </c>
      <c r="AU119" s="96" t="str">
        <f t="shared" si="185"/>
        <v/>
      </c>
      <c r="AV119" s="65">
        <f t="shared" si="186"/>
        <v>0</v>
      </c>
      <c r="AW119" s="65">
        <f t="shared" si="187"/>
        <v>0</v>
      </c>
      <c r="AX119" s="66" t="str">
        <f t="shared" si="188"/>
        <v/>
      </c>
      <c r="AY119" s="65" t="str">
        <f t="shared" si="189"/>
        <v/>
      </c>
      <c r="AZ119" s="65" t="str">
        <f t="shared" si="190"/>
        <v/>
      </c>
      <c r="BA119" s="65" t="str">
        <f t="shared" si="191"/>
        <v/>
      </c>
      <c r="BB119" s="68" t="str">
        <f>IF('Marks Entry'!AB119="","",'Marks Entry'!AB119)</f>
        <v/>
      </c>
      <c r="BC119" s="68" t="str">
        <f>IF('Marks Entry'!AC119="","",'Marks Entry'!AC119)</f>
        <v/>
      </c>
      <c r="BD119" s="68" t="str">
        <f>IF('Marks Entry'!AD119="","",'Marks Entry'!AD119)</f>
        <v/>
      </c>
      <c r="BE119" s="514" t="str">
        <f t="shared" si="192"/>
        <v/>
      </c>
      <c r="BF119" s="68" t="str">
        <f>IF('Marks Entry'!AE119="","",'Marks Entry'!AE119)</f>
        <v/>
      </c>
      <c r="BG119" s="515" t="str">
        <f t="shared" si="193"/>
        <v/>
      </c>
      <c r="BH119" s="68" t="str">
        <f>IF('Marks Entry'!AF119="","",'Marks Entry'!AF119)</f>
        <v/>
      </c>
      <c r="BI119" s="96" t="str">
        <f t="shared" si="194"/>
        <v/>
      </c>
      <c r="BJ119" s="65">
        <f t="shared" si="195"/>
        <v>0</v>
      </c>
      <c r="BK119" s="65">
        <f t="shared" si="263"/>
        <v>0</v>
      </c>
      <c r="BL119" s="66" t="str">
        <f t="shared" si="196"/>
        <v/>
      </c>
      <c r="BM119" s="65" t="str">
        <f t="shared" si="197"/>
        <v/>
      </c>
      <c r="BN119" s="65" t="str">
        <f t="shared" si="198"/>
        <v/>
      </c>
      <c r="BO119" s="65" t="str">
        <f t="shared" si="199"/>
        <v/>
      </c>
      <c r="BP119" s="68" t="str">
        <f>IF('Marks Entry'!AG119="","",'Marks Entry'!AG119)</f>
        <v/>
      </c>
      <c r="BQ119" s="68" t="str">
        <f>IF('Marks Entry'!AH119="","",'Marks Entry'!AH119)</f>
        <v/>
      </c>
      <c r="BR119" s="68" t="str">
        <f>IF('Marks Entry'!AI119="","",'Marks Entry'!AI119)</f>
        <v/>
      </c>
      <c r="BS119" s="514" t="str">
        <f t="shared" si="200"/>
        <v/>
      </c>
      <c r="BT119" s="68" t="str">
        <f>IF('Marks Entry'!AJ119="","",'Marks Entry'!AJ119)</f>
        <v/>
      </c>
      <c r="BU119" s="515" t="str">
        <f t="shared" si="201"/>
        <v/>
      </c>
      <c r="BV119" s="68" t="str">
        <f>IF('Marks Entry'!AK119="","",'Marks Entry'!AK119)</f>
        <v/>
      </c>
      <c r="BW119" s="96" t="str">
        <f t="shared" si="202"/>
        <v/>
      </c>
      <c r="BX119" s="65">
        <f t="shared" si="203"/>
        <v>0</v>
      </c>
      <c r="BY119" s="65">
        <f t="shared" si="204"/>
        <v>0</v>
      </c>
      <c r="BZ119" s="66" t="str">
        <f t="shared" si="205"/>
        <v/>
      </c>
      <c r="CA119" s="65" t="str">
        <f t="shared" si="206"/>
        <v/>
      </c>
      <c r="CB119" s="65" t="str">
        <f t="shared" si="207"/>
        <v/>
      </c>
      <c r="CC119" s="65" t="str">
        <f t="shared" si="208"/>
        <v/>
      </c>
      <c r="CD119" s="66">
        <f t="shared" si="329"/>
        <v>0</v>
      </c>
      <c r="CE119" s="68" t="str">
        <f>IF('Marks Entry'!AL119="","",'Marks Entry'!AL119)</f>
        <v/>
      </c>
      <c r="CF119" s="68" t="str">
        <f>IF('Marks Entry'!AM119="","",'Marks Entry'!AM119)</f>
        <v/>
      </c>
      <c r="CG119" s="68" t="str">
        <f>IF('Marks Entry'!AN119="","",'Marks Entry'!AN119)</f>
        <v/>
      </c>
      <c r="CH119" s="514" t="str">
        <f t="shared" si="210"/>
        <v/>
      </c>
      <c r="CI119" s="68" t="str">
        <f>IF('Marks Entry'!AO119="","",'Marks Entry'!AO119)</f>
        <v/>
      </c>
      <c r="CJ119" s="515" t="str">
        <f t="shared" si="211"/>
        <v/>
      </c>
      <c r="CK119" s="68" t="str">
        <f>IF('Marks Entry'!AP119="","",'Marks Entry'!AP119)</f>
        <v/>
      </c>
      <c r="CL119" s="96" t="str">
        <f t="shared" si="212"/>
        <v/>
      </c>
      <c r="CM119" s="65">
        <f t="shared" si="213"/>
        <v>0</v>
      </c>
      <c r="CN119" s="65">
        <f t="shared" si="214"/>
        <v>0</v>
      </c>
      <c r="CO119" s="66" t="str">
        <f t="shared" si="215"/>
        <v/>
      </c>
      <c r="CP119" s="65" t="str">
        <f t="shared" si="216"/>
        <v/>
      </c>
      <c r="CQ119" s="65" t="str">
        <f t="shared" si="217"/>
        <v/>
      </c>
      <c r="CR119" s="65" t="str">
        <f t="shared" si="218"/>
        <v/>
      </c>
      <c r="CS119" s="616"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8" t="str">
        <f>IF('School Profile'!$D$20="NO","",IF('Marks Entry'!AR119="","",'Marks Entry'!AR119))</f>
        <v/>
      </c>
      <c r="CU119" s="68" t="str">
        <f>IF('School Profile'!$D$20="NO","",IF('Marks Entry'!AS119="","",'Marks Entry'!AS119))</f>
        <v/>
      </c>
      <c r="CV119" s="68" t="str">
        <f>IF('School Profile'!$D$20="NO","",IF('Marks Entry'!AT119="","",'Marks Entry'!AT119))</f>
        <v/>
      </c>
      <c r="CW119" s="514" t="str">
        <f>IF('School Profile'!$D$20="NO","",IF(AND(CT119="",CU119="",CV119=""),"",SUM(CT119:CV119)))</f>
        <v/>
      </c>
      <c r="CX119" s="68" t="str">
        <f>IF('School Profile'!$D$20="NO","",IF('Marks Entry'!AU119="","",'Marks Entry'!AU119))</f>
        <v/>
      </c>
      <c r="CY119" s="68" t="str">
        <f>IF('School Profile'!$D$20="NO","",IF('Marks Entry'!AV119="","",'Marks Entry'!AV119))</f>
        <v/>
      </c>
      <c r="CZ119" s="515" t="str">
        <f>IF('School Profile'!$D$20="NO","",IF(AND(CX119="",CY119=""),"",SUM(CX119,CY119)))</f>
        <v/>
      </c>
      <c r="DA119" s="69" t="str">
        <f>IF('School Profile'!$D$20="NO","",IF(AND(CW119="",CZ119=""),"",SUM(CW119+CZ119)))</f>
        <v/>
      </c>
      <c r="DB119" s="68" t="str">
        <f>IF('School Profile'!$D$20="NO","",IF('Marks Entry'!AW119="","",'Marks Entry'!AW119))</f>
        <v/>
      </c>
      <c r="DC119" s="68" t="str">
        <f>IF('School Profile'!$D$20="NO","",IF('Marks Entry'!AX119="","",'Marks Entry'!AX119))</f>
        <v/>
      </c>
      <c r="DD119" s="515" t="str">
        <f>IF('School Profile'!$D$20="NO","",IF(AND(DB119="",DC119=""),"",SUM(DB119,DC119)))</f>
        <v/>
      </c>
      <c r="DE119" s="96" t="str">
        <f>IF('School Profile'!$D$20="NO","",IF(AND(DA119="",DD119=""),"",SUM(DA119,DD119)))</f>
        <v/>
      </c>
      <c r="DF119" s="532">
        <f t="shared" si="219"/>
        <v>0</v>
      </c>
      <c r="DG119" s="65">
        <f t="shared" si="220"/>
        <v>0</v>
      </c>
      <c r="DH119" s="66" t="str">
        <f t="shared" si="221"/>
        <v/>
      </c>
      <c r="DI119" s="65" t="str">
        <f t="shared" si="222"/>
        <v/>
      </c>
      <c r="DJ119" s="65" t="str">
        <f t="shared" si="223"/>
        <v/>
      </c>
      <c r="DK119" s="65" t="str">
        <f t="shared" si="224"/>
        <v/>
      </c>
      <c r="DL119" s="97" t="str">
        <f t="shared" si="264"/>
        <v/>
      </c>
      <c r="DM119" s="97" t="str">
        <f t="shared" si="265"/>
        <v/>
      </c>
      <c r="DN119" s="97" t="str">
        <f t="shared" si="266"/>
        <v/>
      </c>
      <c r="DO119" s="97" t="str">
        <f t="shared" si="267"/>
        <v/>
      </c>
      <c r="DP119" s="97" t="str">
        <f t="shared" si="268"/>
        <v/>
      </c>
      <c r="DQ119" s="97" t="str">
        <f t="shared" si="269"/>
        <v/>
      </c>
      <c r="DR119" s="97" t="str">
        <f t="shared" si="270"/>
        <v/>
      </c>
      <c r="DS119" s="98">
        <f t="shared" si="271"/>
        <v>0</v>
      </c>
      <c r="DT119" s="98">
        <f t="shared" si="272"/>
        <v>0</v>
      </c>
      <c r="DU119" s="98">
        <f t="shared" si="273"/>
        <v>0</v>
      </c>
      <c r="DV119" s="98">
        <f t="shared" si="274"/>
        <v>0</v>
      </c>
      <c r="DW119" s="98">
        <f t="shared" si="275"/>
        <v>0</v>
      </c>
      <c r="DX119" s="98" t="str">
        <f t="shared" si="276"/>
        <v/>
      </c>
      <c r="DY119" s="99" t="str">
        <f t="shared" si="277"/>
        <v/>
      </c>
      <c r="DZ119" s="74" t="str">
        <f>IF('Marks Entry'!AY119="","",'Marks Entry'!AY119)</f>
        <v/>
      </c>
      <c r="EA119" s="74" t="str">
        <f>IF('Marks Entry'!AZ119="","",'Marks Entry'!AZ119)</f>
        <v/>
      </c>
      <c r="EB119" s="74" t="str">
        <f>IF('Marks Entry'!BA119="","",'Marks Entry'!BA119)</f>
        <v/>
      </c>
      <c r="EC119" s="527" t="str">
        <f t="shared" si="225"/>
        <v/>
      </c>
      <c r="ED119" s="74" t="str">
        <f>IF('Marks Entry'!BB119="","",'Marks Entry'!BB119)</f>
        <v/>
      </c>
      <c r="EE119" s="528" t="str">
        <f t="shared" si="226"/>
        <v/>
      </c>
      <c r="EF119" s="74" t="str">
        <f>IF('Marks Entry'!BC119="","",'Marks Entry'!BC119)</f>
        <v/>
      </c>
      <c r="EG119" s="530" t="str">
        <f t="shared" si="227"/>
        <v/>
      </c>
      <c r="EH119" s="368" t="str">
        <f t="shared" si="278"/>
        <v/>
      </c>
      <c r="EI119" s="65">
        <f t="shared" si="279"/>
        <v>0</v>
      </c>
      <c r="EJ119" s="65">
        <f t="shared" si="280"/>
        <v>0</v>
      </c>
      <c r="EK119" s="66" t="str">
        <f t="shared" si="281"/>
        <v/>
      </c>
      <c r="EL119" s="74" t="str">
        <f>IF('Marks Entry'!BD119="","",'Marks Entry'!BD119)</f>
        <v/>
      </c>
      <c r="EM119" s="74" t="str">
        <f>IF('Marks Entry'!BE119="","",'Marks Entry'!BE119)</f>
        <v/>
      </c>
      <c r="EN119" s="74" t="str">
        <f>IF('Marks Entry'!BF119="","",'Marks Entry'!BF119)</f>
        <v/>
      </c>
      <c r="EO119" s="527" t="str">
        <f t="shared" si="228"/>
        <v/>
      </c>
      <c r="EP119" s="74" t="str">
        <f>IF('Marks Entry'!BG119="","",'Marks Entry'!BG119)</f>
        <v/>
      </c>
      <c r="EQ119" s="74" t="str">
        <f>IF('Marks Entry'!BH119="","",'Marks Entry'!BH119)</f>
        <v/>
      </c>
      <c r="ER119" s="528" t="str">
        <f t="shared" si="229"/>
        <v/>
      </c>
      <c r="ES119" s="529" t="str">
        <f t="shared" si="230"/>
        <v/>
      </c>
      <c r="ET119" s="74" t="str">
        <f>IF('Marks Entry'!BI119="","",'Marks Entry'!BI119)</f>
        <v/>
      </c>
      <c r="EU119" s="74" t="str">
        <f>IF('Marks Entry'!BJ119="","",'Marks Entry'!BJ119)</f>
        <v/>
      </c>
      <c r="EV119" s="528" t="str">
        <f t="shared" si="231"/>
        <v/>
      </c>
      <c r="EW119" s="530" t="str">
        <f t="shared" si="232"/>
        <v/>
      </c>
      <c r="EX119" s="368" t="str">
        <f t="shared" si="282"/>
        <v/>
      </c>
      <c r="EY119" s="65">
        <f t="shared" si="283"/>
        <v>0</v>
      </c>
      <c r="EZ119" s="65">
        <f t="shared" si="284"/>
        <v>0</v>
      </c>
      <c r="FA119" s="66" t="str">
        <f t="shared" si="285"/>
        <v/>
      </c>
      <c r="FB119" s="74" t="str">
        <f>IF('Marks Entry'!BK119="","",'Marks Entry'!BK119)</f>
        <v/>
      </c>
      <c r="FC119" s="74" t="str">
        <f>IF('Marks Entry'!BL119="","",'Marks Entry'!BL119)</f>
        <v/>
      </c>
      <c r="FD119" s="74" t="str">
        <f>IF('Marks Entry'!BM119="","",'Marks Entry'!BM119)</f>
        <v/>
      </c>
      <c r="FE119" s="74" t="str">
        <f>IF('Marks Entry'!BN119="","",'Marks Entry'!BN119)</f>
        <v/>
      </c>
      <c r="FF119" s="74" t="str">
        <f>IF('Marks Entry'!BO119="","",'Marks Entry'!BO119)</f>
        <v/>
      </c>
      <c r="FG119" s="74" t="str">
        <f>IF('Marks Entry'!BP119="","",'Marks Entry'!BP119)</f>
        <v/>
      </c>
      <c r="FH119" s="527" t="str">
        <f t="shared" si="233"/>
        <v/>
      </c>
      <c r="FI119" s="74" t="str">
        <f>IF('Marks Entry'!BQ119="","",'Marks Entry'!BQ119)</f>
        <v/>
      </c>
      <c r="FJ119" s="74" t="str">
        <f>IF('Marks Entry'!BR119="","",'Marks Entry'!BR119)</f>
        <v/>
      </c>
      <c r="FK119" s="528" t="str">
        <f t="shared" si="234"/>
        <v/>
      </c>
      <c r="FL119" s="529" t="str">
        <f t="shared" si="235"/>
        <v/>
      </c>
      <c r="FM119" s="74" t="str">
        <f>IF('Marks Entry'!BS119="","",'Marks Entry'!BS119)</f>
        <v/>
      </c>
      <c r="FN119" s="74" t="str">
        <f>IF('Marks Entry'!BT119="","",'Marks Entry'!BT119)</f>
        <v/>
      </c>
      <c r="FO119" s="528" t="str">
        <f t="shared" si="236"/>
        <v/>
      </c>
      <c r="FP119" s="530" t="str">
        <f t="shared" si="237"/>
        <v/>
      </c>
      <c r="FQ119" s="368" t="str">
        <f t="shared" si="286"/>
        <v/>
      </c>
      <c r="FR119" s="65">
        <f t="shared" si="287"/>
        <v>0</v>
      </c>
      <c r="FS119" s="65">
        <f t="shared" si="288"/>
        <v>0</v>
      </c>
      <c r="FT119" s="66" t="str">
        <f t="shared" si="289"/>
        <v/>
      </c>
      <c r="FU119" s="74" t="str">
        <f>IF('Marks Entry'!BU119="","",'Marks Entry'!BU119)</f>
        <v/>
      </c>
      <c r="FV119" s="74" t="str">
        <f>IF('Marks Entry'!BV119="","",'Marks Entry'!BV119)</f>
        <v/>
      </c>
      <c r="FW119" s="74" t="str">
        <f>IF('Marks Entry'!BW119="","",'Marks Entry'!BW119)</f>
        <v/>
      </c>
      <c r="FX119" s="75" t="str">
        <f t="shared" si="238"/>
        <v/>
      </c>
      <c r="FY119" s="368" t="str">
        <f t="shared" si="290"/>
        <v/>
      </c>
      <c r="FZ119" s="65">
        <f t="shared" si="291"/>
        <v>0</v>
      </c>
      <c r="GA119" s="66">
        <f t="shared" si="292"/>
        <v>0</v>
      </c>
      <c r="GB119" s="66" t="str">
        <f t="shared" si="293"/>
        <v/>
      </c>
      <c r="GC119" s="74" t="str">
        <f>IF('Marks Entry'!BX119="","",'Marks Entry'!BX119)</f>
        <v/>
      </c>
      <c r="GD119" s="74" t="str">
        <f>IF('Marks Entry'!BY119="","",'Marks Entry'!BY119)</f>
        <v/>
      </c>
      <c r="GE119" s="74" t="str">
        <f>IF('Marks Entry'!BZ119="","",'Marks Entry'!BZ119)</f>
        <v/>
      </c>
      <c r="GF119" s="75" t="str">
        <f t="shared" si="294"/>
        <v/>
      </c>
      <c r="GG119" s="368" t="str">
        <f t="shared" si="295"/>
        <v/>
      </c>
      <c r="GH119" s="65">
        <f t="shared" si="296"/>
        <v>0</v>
      </c>
      <c r="GI119" s="66">
        <f t="shared" si="297"/>
        <v>0</v>
      </c>
      <c r="GJ119" s="66" t="str">
        <f t="shared" si="298"/>
        <v/>
      </c>
      <c r="GK119" s="100" t="str">
        <f>IF(AND(F119="",B119=""),"",IF('Student DATA Entry'!M116="","",'Student DATA Entry'!M116))</f>
        <v/>
      </c>
      <c r="GL119" s="101" t="str">
        <f>IF(AND(B119="",F119=""),"",IF('Student DATA Entry'!N116="","",'Student DATA Entry'!N116))</f>
        <v/>
      </c>
      <c r="GM119" s="581" t="str">
        <f t="shared" si="299"/>
        <v/>
      </c>
      <c r="GN119" s="94" t="str">
        <f t="shared" si="300"/>
        <v/>
      </c>
      <c r="GO119" s="94" t="str">
        <f t="shared" si="301"/>
        <v/>
      </c>
      <c r="GP119" s="102" t="str">
        <f t="shared" si="330"/>
        <v/>
      </c>
      <c r="GQ119" s="94" t="str">
        <f t="shared" si="302"/>
        <v/>
      </c>
      <c r="GR119" s="103" t="str">
        <f t="shared" si="303"/>
        <v/>
      </c>
      <c r="GS119" s="102" t="str">
        <f t="shared" si="331"/>
        <v/>
      </c>
      <c r="GT119" s="104" t="str">
        <f t="shared" si="304"/>
        <v/>
      </c>
      <c r="GU119" s="94" t="str">
        <f>IF('Marks Entry'!V119=1,GT119,"")</f>
        <v/>
      </c>
      <c r="GV119" s="94" t="str">
        <f>IF('Marks Entry'!V119=2,GT119,"")</f>
        <v/>
      </c>
      <c r="GW119" s="94" t="str">
        <f>IF('Marks Entry'!V119=3,GT119,"")</f>
        <v/>
      </c>
      <c r="GX119" s="94" t="str">
        <f>IF('Marks Entry'!V119=4,GT119,"")</f>
        <v/>
      </c>
      <c r="GY119" s="94" t="str">
        <f>IF('Marks Entry'!V119=5,GT119,"")</f>
        <v/>
      </c>
      <c r="GZ119" s="94" t="str">
        <f t="shared" si="305"/>
        <v/>
      </c>
      <c r="HA119" s="105" t="str">
        <f t="shared" si="332"/>
        <v/>
      </c>
      <c r="HB119" s="94" t="str">
        <f t="shared" si="306"/>
        <v/>
      </c>
      <c r="HC119" s="94" t="str">
        <f t="shared" si="307"/>
        <v/>
      </c>
      <c r="HD119" s="105" t="str">
        <f t="shared" si="333"/>
        <v/>
      </c>
      <c r="HE119" s="94" t="str">
        <f t="shared" si="308"/>
        <v/>
      </c>
      <c r="HF119" s="94" t="str">
        <f t="shared" si="309"/>
        <v/>
      </c>
      <c r="HG119" s="105" t="str">
        <f t="shared" si="334"/>
        <v/>
      </c>
      <c r="HH119" s="94" t="str">
        <f t="shared" si="310"/>
        <v/>
      </c>
      <c r="HI119" s="94" t="str">
        <f t="shared" si="311"/>
        <v/>
      </c>
      <c r="HJ119" s="105" t="str">
        <f t="shared" si="335"/>
        <v/>
      </c>
      <c r="HK119" s="94" t="str">
        <f t="shared" si="312"/>
        <v/>
      </c>
      <c r="HL119" s="94" t="str">
        <f t="shared" si="313"/>
        <v/>
      </c>
      <c r="HM119" s="105" t="str">
        <f t="shared" si="336"/>
        <v/>
      </c>
      <c r="HN119" s="367" t="str">
        <f t="shared" si="314"/>
        <v xml:space="preserve">      </v>
      </c>
      <c r="HO119" s="418" t="str">
        <f t="shared" si="337"/>
        <v xml:space="preserve">      </v>
      </c>
      <c r="HP119" s="367" t="str">
        <f t="shared" si="315"/>
        <v xml:space="preserve">      </v>
      </c>
      <c r="HQ119" s="107" t="str">
        <f t="shared" si="316"/>
        <v xml:space="preserve">      </v>
      </c>
      <c r="HR119" s="366" t="str">
        <f t="shared" si="317"/>
        <v xml:space="preserve">      </v>
      </c>
      <c r="HS119" s="544" t="str">
        <f t="shared" si="338"/>
        <v/>
      </c>
      <c r="HT119" s="542" t="str">
        <f t="shared" si="318"/>
        <v/>
      </c>
      <c r="HU119" s="541" t="str">
        <f t="shared" si="319"/>
        <v/>
      </c>
      <c r="HV119" s="540" t="str">
        <f t="shared" si="320"/>
        <v/>
      </c>
      <c r="HW119" s="537" t="str">
        <f t="shared" si="321"/>
        <v/>
      </c>
      <c r="HX119" s="539" t="str">
        <f t="shared" si="322"/>
        <v/>
      </c>
      <c r="HY119" s="553" t="str">
        <f>IFERROR(IF(OR(HS119="SUPPLEMENTARY",HS119="RE-EXAM"),'Supp. Result Entry'!AQ117,""),"")</f>
        <v/>
      </c>
      <c r="HZ119" s="538" t="str">
        <f t="shared" si="323"/>
        <v/>
      </c>
      <c r="IA119" s="415" t="str">
        <f t="shared" si="324"/>
        <v/>
      </c>
      <c r="IB119" s="415" t="str">
        <f>IF(AND(HZ119="",IA119=""),"",IF(OR(HS119="SUPPLEMENTARY",HS119="RE-EXAM"),'Supp. Result Entry'!AQ117,HS119))</f>
        <v/>
      </c>
      <c r="IC119" s="87"/>
      <c r="IS119" s="109" t="str">
        <f>IF('Supp. Result Entry'!T117="","",'Supp. Result Entry'!$T$4)</f>
        <v/>
      </c>
      <c r="IT119" s="110" t="str">
        <f>IF('Supp. Result Entry'!W117="","",'Supp. Result Entry'!$W$4)</f>
        <v/>
      </c>
      <c r="IU119" s="110" t="str">
        <f>IF('Supp. Result Entry'!Z117="","",'Supp. Result Entry'!$Z$4)</f>
        <v/>
      </c>
      <c r="IV119" s="110" t="str">
        <f>IF('Supp. Result Entry'!AC117="","",'Supp. Result Entry'!$AC$4)</f>
        <v/>
      </c>
      <c r="IW119" s="110" t="str">
        <f>IF('Supp. Result Entry'!AF117="","",'Supp. Result Entry'!$AF$4)</f>
        <v/>
      </c>
      <c r="IX119" s="110" t="str">
        <f>IF('Supp. Result Entry'!AI117="","",'Supp. Result Entry'!$AI$4)</f>
        <v/>
      </c>
      <c r="IY119" s="110" t="str">
        <f>IF('Supp. Result Entry'!AI117="","",'Supp. Result Entry'!$AL$4)</f>
        <v/>
      </c>
      <c r="IZ119" s="110" t="str">
        <f>IF('Supp. Result Entry'!U117="","",'Supp. Result Entry'!U117)</f>
        <v/>
      </c>
      <c r="JA119" s="110" t="str">
        <f>IF('Supp. Result Entry'!X117="","",'Supp. Result Entry'!X117)</f>
        <v/>
      </c>
      <c r="JB119" s="110" t="str">
        <f>IF('Supp. Result Entry'!AA117="","",'Supp. Result Entry'!AA117)</f>
        <v/>
      </c>
      <c r="JC119" s="110" t="str">
        <f>IF('Supp. Result Entry'!AD117="","",'Supp. Result Entry'!AD117)</f>
        <v/>
      </c>
      <c r="JD119" s="110" t="str">
        <f>IF('Supp. Result Entry'!AG117="","",'Supp. Result Entry'!AG117)</f>
        <v/>
      </c>
      <c r="JE119" s="110" t="str">
        <f>IF('Supp. Result Entry'!AJ117="","",'Supp. Result Entry'!AJ117)</f>
        <v/>
      </c>
      <c r="JF119" s="110" t="str">
        <f>IF('Supp. Result Entry'!AM117="","",'Supp. Result Entry'!AM117)</f>
        <v/>
      </c>
      <c r="JG119" s="110" t="str">
        <f>IF('Supp. Result Entry'!V117="","",'Supp. Result Entry'!V117)</f>
        <v/>
      </c>
      <c r="JH119" s="110" t="str">
        <f>IF('Supp. Result Entry'!Y117="","",'Supp. Result Entry'!Y117)</f>
        <v/>
      </c>
      <c r="JI119" s="110" t="str">
        <f>IF('Supp. Result Entry'!AB117="","",'Supp. Result Entry'!AB117)</f>
        <v/>
      </c>
      <c r="JJ119" s="110" t="str">
        <f>IF('Supp. Result Entry'!AE117="","",'Supp. Result Entry'!AE117)</f>
        <v/>
      </c>
      <c r="JK119" s="110" t="str">
        <f>IF('Supp. Result Entry'!AH117="","",'Supp. Result Entry'!AH117)</f>
        <v/>
      </c>
      <c r="JL119" s="110" t="str">
        <f>IF('Supp. Result Entry'!AK117="","",'Supp. Result Entry'!AK117)</f>
        <v/>
      </c>
      <c r="JM119" s="110" t="str">
        <f>IF('Supp. Result Entry'!AN117="","",'Supp. Result Entry'!AN117)</f>
        <v/>
      </c>
      <c r="JN119" s="110">
        <f>COUNTIF('Supp. Result Entry'!K117:Q117,"S")</f>
        <v>0</v>
      </c>
      <c r="JO119" s="110">
        <f t="shared" si="248"/>
        <v>0</v>
      </c>
      <c r="JP119" s="110">
        <f t="shared" si="325"/>
        <v>0</v>
      </c>
      <c r="JQ119" s="110" t="str">
        <f t="shared" si="249"/>
        <v/>
      </c>
      <c r="JR119" s="110" t="str">
        <f t="shared" si="250"/>
        <v/>
      </c>
      <c r="JS119" s="110" t="str">
        <f t="shared" si="251"/>
        <v/>
      </c>
      <c r="JT119" s="110" t="str">
        <f t="shared" si="252"/>
        <v/>
      </c>
      <c r="JU119" s="110" t="str">
        <f t="shared" si="253"/>
        <v/>
      </c>
      <c r="JV119" s="110" t="str">
        <f t="shared" si="254"/>
        <v/>
      </c>
      <c r="JW119" s="110" t="str">
        <f t="shared" si="255"/>
        <v/>
      </c>
      <c r="JX119" s="110" t="str">
        <f t="shared" si="326"/>
        <v/>
      </c>
      <c r="JY119" s="110" t="str">
        <f t="shared" si="327"/>
        <v/>
      </c>
      <c r="JZ119" s="110" t="str">
        <f t="shared" si="256"/>
        <v/>
      </c>
      <c r="KA119" s="108" t="str">
        <f t="shared" si="328"/>
        <v/>
      </c>
    </row>
    <row r="120" spans="1:287" s="108" customFormat="1" ht="21.95" customHeight="1">
      <c r="A120" s="89">
        <v>114</v>
      </c>
      <c r="B120" s="90" t="str">
        <f>IF('Marks Entry'!B120="","",'Marks Entry'!B120)</f>
        <v/>
      </c>
      <c r="C120" s="94" t="str">
        <f>IF('Marks Entry'!D120="","",'Marks Entry'!D120)</f>
        <v/>
      </c>
      <c r="D120" s="91" t="str">
        <f>IF('Marks Entry'!E120="","",'Marks Entry'!E120)</f>
        <v/>
      </c>
      <c r="E120" s="92" t="str">
        <f>IF('Marks Entry'!F120="","",'Marks Entry'!F120)</f>
        <v/>
      </c>
      <c r="F120" s="93" t="str">
        <f>IF('Marks Entry'!G120="","",'Marks Entry'!G120)</f>
        <v/>
      </c>
      <c r="G120" s="93" t="str">
        <f>IF('Marks Entry'!H120="","",'Marks Entry'!H120)</f>
        <v/>
      </c>
      <c r="H120" s="93" t="str">
        <f>IF('Marks Entry'!I120="","",'Marks Entry'!I120)</f>
        <v/>
      </c>
      <c r="I120" s="94" t="str">
        <f>IF('Marks Entry'!J120="","",'Marks Entry'!J120)</f>
        <v/>
      </c>
      <c r="J120" s="95" t="str">
        <f>IF('Marks Entry'!K120="","",'Marks Entry'!K120)</f>
        <v/>
      </c>
      <c r="K120" s="68" t="str">
        <f>IF('Marks Entry'!L120="","",'Marks Entry'!L120)</f>
        <v/>
      </c>
      <c r="L120" s="68" t="str">
        <f>IF('Marks Entry'!M120="","",'Marks Entry'!M120)</f>
        <v/>
      </c>
      <c r="M120" s="68" t="str">
        <f>IF('Marks Entry'!N120="","",'Marks Entry'!N120)</f>
        <v/>
      </c>
      <c r="N120" s="514" t="str">
        <f t="shared" si="257"/>
        <v/>
      </c>
      <c r="O120" s="68" t="str">
        <f>IF('Marks Entry'!O120="","",'Marks Entry'!O120)</f>
        <v/>
      </c>
      <c r="P120" s="515" t="str">
        <f t="shared" si="258"/>
        <v/>
      </c>
      <c r="Q120" s="68" t="str">
        <f>IF('Marks Entry'!P120="","",'Marks Entry'!P120)</f>
        <v/>
      </c>
      <c r="R120" s="96" t="str">
        <f t="shared" si="259"/>
        <v/>
      </c>
      <c r="S120" s="65">
        <f t="shared" si="260"/>
        <v>0</v>
      </c>
      <c r="T120" s="65">
        <f t="shared" si="261"/>
        <v>0</v>
      </c>
      <c r="U120" s="66" t="str">
        <f t="shared" si="171"/>
        <v/>
      </c>
      <c r="V120" s="65" t="str">
        <f t="shared" si="172"/>
        <v/>
      </c>
      <c r="W120" s="65" t="str">
        <f t="shared" si="262"/>
        <v/>
      </c>
      <c r="X120" s="65" t="str">
        <f t="shared" si="173"/>
        <v/>
      </c>
      <c r="Y120" s="68" t="str">
        <f>IF('Marks Entry'!Q120="","",'Marks Entry'!Q120)</f>
        <v/>
      </c>
      <c r="Z120" s="68" t="str">
        <f>IF('Marks Entry'!R120="","",'Marks Entry'!R120)</f>
        <v/>
      </c>
      <c r="AA120" s="68" t="str">
        <f>IF('Marks Entry'!S120="","",'Marks Entry'!S120)</f>
        <v/>
      </c>
      <c r="AB120" s="514" t="str">
        <f t="shared" si="174"/>
        <v/>
      </c>
      <c r="AC120" s="68" t="str">
        <f>IF('Marks Entry'!T120="","",'Marks Entry'!T120)</f>
        <v/>
      </c>
      <c r="AD120" s="515" t="str">
        <f t="shared" si="175"/>
        <v/>
      </c>
      <c r="AE120" s="68" t="str">
        <f>IF('Marks Entry'!U120="","",'Marks Entry'!U120)</f>
        <v/>
      </c>
      <c r="AF120" s="96" t="str">
        <f t="shared" si="176"/>
        <v/>
      </c>
      <c r="AG120" s="65">
        <f t="shared" si="177"/>
        <v>0</v>
      </c>
      <c r="AH120" s="65">
        <f t="shared" si="178"/>
        <v>0</v>
      </c>
      <c r="AI120" s="66" t="str">
        <f t="shared" si="179"/>
        <v/>
      </c>
      <c r="AJ120" s="65" t="str">
        <f t="shared" si="180"/>
        <v/>
      </c>
      <c r="AK120" s="65" t="str">
        <f t="shared" si="181"/>
        <v/>
      </c>
      <c r="AL120" s="65" t="str">
        <f t="shared" si="182"/>
        <v/>
      </c>
      <c r="AM120" s="524" t="str">
        <f>IF('Marks Entry'!V120="","",IF('Marks Entry'!V120=1,'School Profile'!$I$9,IF('Marks Entry'!V120=2,'School Profile'!$I$10,IF('Marks Entry'!V120=3,'School Profile'!$I$11,IF('Marks Entry'!V120=4,'School Profile'!$I$12,IF('Marks Entry'!V120=5,'School Profile'!$I$13,IF('Marks Entry'!V120=6,'School Profile'!$I$14,"")))))))</f>
        <v/>
      </c>
      <c r="AN120" s="68" t="str">
        <f>IF('Marks Entry'!W120="","",'Marks Entry'!W120)</f>
        <v/>
      </c>
      <c r="AO120" s="68" t="str">
        <f>IF('Marks Entry'!X120="","",'Marks Entry'!X120)</f>
        <v/>
      </c>
      <c r="AP120" s="68" t="str">
        <f>IF('Marks Entry'!Y120="","",'Marks Entry'!Y120)</f>
        <v/>
      </c>
      <c r="AQ120" s="514" t="str">
        <f t="shared" si="183"/>
        <v/>
      </c>
      <c r="AR120" s="68" t="str">
        <f>IF('Marks Entry'!Z120="","",'Marks Entry'!Z120)</f>
        <v/>
      </c>
      <c r="AS120" s="515" t="str">
        <f t="shared" si="184"/>
        <v/>
      </c>
      <c r="AT120" s="68" t="str">
        <f>IF('Marks Entry'!AA120="","",'Marks Entry'!AA120)</f>
        <v/>
      </c>
      <c r="AU120" s="96" t="str">
        <f t="shared" si="185"/>
        <v/>
      </c>
      <c r="AV120" s="65">
        <f t="shared" si="186"/>
        <v>0</v>
      </c>
      <c r="AW120" s="65">
        <f t="shared" si="187"/>
        <v>0</v>
      </c>
      <c r="AX120" s="66" t="str">
        <f t="shared" si="188"/>
        <v/>
      </c>
      <c r="AY120" s="65" t="str">
        <f t="shared" si="189"/>
        <v/>
      </c>
      <c r="AZ120" s="65" t="str">
        <f t="shared" si="190"/>
        <v/>
      </c>
      <c r="BA120" s="65" t="str">
        <f t="shared" si="191"/>
        <v/>
      </c>
      <c r="BB120" s="68" t="str">
        <f>IF('Marks Entry'!AB120="","",'Marks Entry'!AB120)</f>
        <v/>
      </c>
      <c r="BC120" s="68" t="str">
        <f>IF('Marks Entry'!AC120="","",'Marks Entry'!AC120)</f>
        <v/>
      </c>
      <c r="BD120" s="68" t="str">
        <f>IF('Marks Entry'!AD120="","",'Marks Entry'!AD120)</f>
        <v/>
      </c>
      <c r="BE120" s="514" t="str">
        <f t="shared" si="192"/>
        <v/>
      </c>
      <c r="BF120" s="68" t="str">
        <f>IF('Marks Entry'!AE120="","",'Marks Entry'!AE120)</f>
        <v/>
      </c>
      <c r="BG120" s="515" t="str">
        <f t="shared" si="193"/>
        <v/>
      </c>
      <c r="BH120" s="68" t="str">
        <f>IF('Marks Entry'!AF120="","",'Marks Entry'!AF120)</f>
        <v/>
      </c>
      <c r="BI120" s="96" t="str">
        <f t="shared" si="194"/>
        <v/>
      </c>
      <c r="BJ120" s="65">
        <f t="shared" si="195"/>
        <v>0</v>
      </c>
      <c r="BK120" s="65">
        <f t="shared" si="263"/>
        <v>0</v>
      </c>
      <c r="BL120" s="66" t="str">
        <f t="shared" si="196"/>
        <v/>
      </c>
      <c r="BM120" s="65" t="str">
        <f t="shared" si="197"/>
        <v/>
      </c>
      <c r="BN120" s="65" t="str">
        <f t="shared" si="198"/>
        <v/>
      </c>
      <c r="BO120" s="65" t="str">
        <f t="shared" si="199"/>
        <v/>
      </c>
      <c r="BP120" s="68" t="str">
        <f>IF('Marks Entry'!AG120="","",'Marks Entry'!AG120)</f>
        <v/>
      </c>
      <c r="BQ120" s="68" t="str">
        <f>IF('Marks Entry'!AH120="","",'Marks Entry'!AH120)</f>
        <v/>
      </c>
      <c r="BR120" s="68" t="str">
        <f>IF('Marks Entry'!AI120="","",'Marks Entry'!AI120)</f>
        <v/>
      </c>
      <c r="BS120" s="514" t="str">
        <f t="shared" si="200"/>
        <v/>
      </c>
      <c r="BT120" s="68" t="str">
        <f>IF('Marks Entry'!AJ120="","",'Marks Entry'!AJ120)</f>
        <v/>
      </c>
      <c r="BU120" s="515" t="str">
        <f t="shared" si="201"/>
        <v/>
      </c>
      <c r="BV120" s="68" t="str">
        <f>IF('Marks Entry'!AK120="","",'Marks Entry'!AK120)</f>
        <v/>
      </c>
      <c r="BW120" s="96" t="str">
        <f t="shared" si="202"/>
        <v/>
      </c>
      <c r="BX120" s="65">
        <f t="shared" si="203"/>
        <v>0</v>
      </c>
      <c r="BY120" s="65">
        <f t="shared" si="204"/>
        <v>0</v>
      </c>
      <c r="BZ120" s="66" t="str">
        <f t="shared" si="205"/>
        <v/>
      </c>
      <c r="CA120" s="65" t="str">
        <f t="shared" si="206"/>
        <v/>
      </c>
      <c r="CB120" s="65" t="str">
        <f t="shared" si="207"/>
        <v/>
      </c>
      <c r="CC120" s="65" t="str">
        <f t="shared" si="208"/>
        <v/>
      </c>
      <c r="CD120" s="66">
        <f t="shared" si="329"/>
        <v>0</v>
      </c>
      <c r="CE120" s="68" t="str">
        <f>IF('Marks Entry'!AL120="","",'Marks Entry'!AL120)</f>
        <v/>
      </c>
      <c r="CF120" s="68" t="str">
        <f>IF('Marks Entry'!AM120="","",'Marks Entry'!AM120)</f>
        <v/>
      </c>
      <c r="CG120" s="68" t="str">
        <f>IF('Marks Entry'!AN120="","",'Marks Entry'!AN120)</f>
        <v/>
      </c>
      <c r="CH120" s="514" t="str">
        <f t="shared" si="210"/>
        <v/>
      </c>
      <c r="CI120" s="68" t="str">
        <f>IF('Marks Entry'!AO120="","",'Marks Entry'!AO120)</f>
        <v/>
      </c>
      <c r="CJ120" s="515" t="str">
        <f t="shared" si="211"/>
        <v/>
      </c>
      <c r="CK120" s="68" t="str">
        <f>IF('Marks Entry'!AP120="","",'Marks Entry'!AP120)</f>
        <v/>
      </c>
      <c r="CL120" s="96" t="str">
        <f t="shared" si="212"/>
        <v/>
      </c>
      <c r="CM120" s="65">
        <f t="shared" si="213"/>
        <v>0</v>
      </c>
      <c r="CN120" s="65">
        <f t="shared" si="214"/>
        <v>0</v>
      </c>
      <c r="CO120" s="66" t="str">
        <f t="shared" si="215"/>
        <v/>
      </c>
      <c r="CP120" s="65" t="str">
        <f t="shared" si="216"/>
        <v/>
      </c>
      <c r="CQ120" s="65" t="str">
        <f t="shared" si="217"/>
        <v/>
      </c>
      <c r="CR120" s="65" t="str">
        <f t="shared" si="218"/>
        <v/>
      </c>
      <c r="CS120" s="616"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8" t="str">
        <f>IF('School Profile'!$D$20="NO","",IF('Marks Entry'!AR120="","",'Marks Entry'!AR120))</f>
        <v/>
      </c>
      <c r="CU120" s="68" t="str">
        <f>IF('School Profile'!$D$20="NO","",IF('Marks Entry'!AS120="","",'Marks Entry'!AS120))</f>
        <v/>
      </c>
      <c r="CV120" s="68" t="str">
        <f>IF('School Profile'!$D$20="NO","",IF('Marks Entry'!AT120="","",'Marks Entry'!AT120))</f>
        <v/>
      </c>
      <c r="CW120" s="514" t="str">
        <f>IF('School Profile'!$D$20="NO","",IF(AND(CT120="",CU120="",CV120=""),"",SUM(CT120:CV120)))</f>
        <v/>
      </c>
      <c r="CX120" s="68" t="str">
        <f>IF('School Profile'!$D$20="NO","",IF('Marks Entry'!AU120="","",'Marks Entry'!AU120))</f>
        <v/>
      </c>
      <c r="CY120" s="68" t="str">
        <f>IF('School Profile'!$D$20="NO","",IF('Marks Entry'!AV120="","",'Marks Entry'!AV120))</f>
        <v/>
      </c>
      <c r="CZ120" s="515" t="str">
        <f>IF('School Profile'!$D$20="NO","",IF(AND(CX120="",CY120=""),"",SUM(CX120,CY120)))</f>
        <v/>
      </c>
      <c r="DA120" s="69" t="str">
        <f>IF('School Profile'!$D$20="NO","",IF(AND(CW120="",CZ120=""),"",SUM(CW120+CZ120)))</f>
        <v/>
      </c>
      <c r="DB120" s="68" t="str">
        <f>IF('School Profile'!$D$20="NO","",IF('Marks Entry'!AW120="","",'Marks Entry'!AW120))</f>
        <v/>
      </c>
      <c r="DC120" s="68" t="str">
        <f>IF('School Profile'!$D$20="NO","",IF('Marks Entry'!AX120="","",'Marks Entry'!AX120))</f>
        <v/>
      </c>
      <c r="DD120" s="515" t="str">
        <f>IF('School Profile'!$D$20="NO","",IF(AND(DB120="",DC120=""),"",SUM(DB120,DC120)))</f>
        <v/>
      </c>
      <c r="DE120" s="96" t="str">
        <f>IF('School Profile'!$D$20="NO","",IF(AND(DA120="",DD120=""),"",SUM(DA120,DD120)))</f>
        <v/>
      </c>
      <c r="DF120" s="532">
        <f t="shared" si="219"/>
        <v>0</v>
      </c>
      <c r="DG120" s="65">
        <f t="shared" si="220"/>
        <v>0</v>
      </c>
      <c r="DH120" s="66" t="str">
        <f t="shared" si="221"/>
        <v/>
      </c>
      <c r="DI120" s="65" t="str">
        <f t="shared" si="222"/>
        <v/>
      </c>
      <c r="DJ120" s="65" t="str">
        <f t="shared" si="223"/>
        <v/>
      </c>
      <c r="DK120" s="65" t="str">
        <f t="shared" si="224"/>
        <v/>
      </c>
      <c r="DL120" s="97" t="str">
        <f t="shared" si="264"/>
        <v/>
      </c>
      <c r="DM120" s="97" t="str">
        <f t="shared" si="265"/>
        <v/>
      </c>
      <c r="DN120" s="97" t="str">
        <f t="shared" si="266"/>
        <v/>
      </c>
      <c r="DO120" s="97" t="str">
        <f t="shared" si="267"/>
        <v/>
      </c>
      <c r="DP120" s="97" t="str">
        <f t="shared" si="268"/>
        <v/>
      </c>
      <c r="DQ120" s="97" t="str">
        <f t="shared" si="269"/>
        <v/>
      </c>
      <c r="DR120" s="97" t="str">
        <f t="shared" si="270"/>
        <v/>
      </c>
      <c r="DS120" s="98">
        <f t="shared" si="271"/>
        <v>0</v>
      </c>
      <c r="DT120" s="98">
        <f t="shared" si="272"/>
        <v>0</v>
      </c>
      <c r="DU120" s="98">
        <f t="shared" si="273"/>
        <v>0</v>
      </c>
      <c r="DV120" s="98">
        <f t="shared" si="274"/>
        <v>0</v>
      </c>
      <c r="DW120" s="98">
        <f t="shared" si="275"/>
        <v>0</v>
      </c>
      <c r="DX120" s="98" t="str">
        <f t="shared" si="276"/>
        <v/>
      </c>
      <c r="DY120" s="99" t="str">
        <f t="shared" si="277"/>
        <v/>
      </c>
      <c r="DZ120" s="74" t="str">
        <f>IF('Marks Entry'!AY120="","",'Marks Entry'!AY120)</f>
        <v/>
      </c>
      <c r="EA120" s="74" t="str">
        <f>IF('Marks Entry'!AZ120="","",'Marks Entry'!AZ120)</f>
        <v/>
      </c>
      <c r="EB120" s="74" t="str">
        <f>IF('Marks Entry'!BA120="","",'Marks Entry'!BA120)</f>
        <v/>
      </c>
      <c r="EC120" s="527" t="str">
        <f t="shared" si="225"/>
        <v/>
      </c>
      <c r="ED120" s="74" t="str">
        <f>IF('Marks Entry'!BB120="","",'Marks Entry'!BB120)</f>
        <v/>
      </c>
      <c r="EE120" s="528" t="str">
        <f t="shared" si="226"/>
        <v/>
      </c>
      <c r="EF120" s="74" t="str">
        <f>IF('Marks Entry'!BC120="","",'Marks Entry'!BC120)</f>
        <v/>
      </c>
      <c r="EG120" s="530" t="str">
        <f t="shared" si="227"/>
        <v/>
      </c>
      <c r="EH120" s="368" t="str">
        <f t="shared" si="278"/>
        <v/>
      </c>
      <c r="EI120" s="65">
        <f t="shared" si="279"/>
        <v>0</v>
      </c>
      <c r="EJ120" s="65">
        <f t="shared" si="280"/>
        <v>0</v>
      </c>
      <c r="EK120" s="66" t="str">
        <f t="shared" si="281"/>
        <v/>
      </c>
      <c r="EL120" s="74" t="str">
        <f>IF('Marks Entry'!BD120="","",'Marks Entry'!BD120)</f>
        <v/>
      </c>
      <c r="EM120" s="74" t="str">
        <f>IF('Marks Entry'!BE120="","",'Marks Entry'!BE120)</f>
        <v/>
      </c>
      <c r="EN120" s="74" t="str">
        <f>IF('Marks Entry'!BF120="","",'Marks Entry'!BF120)</f>
        <v/>
      </c>
      <c r="EO120" s="527" t="str">
        <f t="shared" si="228"/>
        <v/>
      </c>
      <c r="EP120" s="74" t="str">
        <f>IF('Marks Entry'!BG120="","",'Marks Entry'!BG120)</f>
        <v/>
      </c>
      <c r="EQ120" s="74" t="str">
        <f>IF('Marks Entry'!BH120="","",'Marks Entry'!BH120)</f>
        <v/>
      </c>
      <c r="ER120" s="528" t="str">
        <f t="shared" si="229"/>
        <v/>
      </c>
      <c r="ES120" s="529" t="str">
        <f t="shared" si="230"/>
        <v/>
      </c>
      <c r="ET120" s="74" t="str">
        <f>IF('Marks Entry'!BI120="","",'Marks Entry'!BI120)</f>
        <v/>
      </c>
      <c r="EU120" s="74" t="str">
        <f>IF('Marks Entry'!BJ120="","",'Marks Entry'!BJ120)</f>
        <v/>
      </c>
      <c r="EV120" s="528" t="str">
        <f t="shared" si="231"/>
        <v/>
      </c>
      <c r="EW120" s="530" t="str">
        <f t="shared" si="232"/>
        <v/>
      </c>
      <c r="EX120" s="368" t="str">
        <f t="shared" si="282"/>
        <v/>
      </c>
      <c r="EY120" s="65">
        <f t="shared" si="283"/>
        <v>0</v>
      </c>
      <c r="EZ120" s="65">
        <f t="shared" si="284"/>
        <v>0</v>
      </c>
      <c r="FA120" s="66" t="str">
        <f t="shared" si="285"/>
        <v/>
      </c>
      <c r="FB120" s="74" t="str">
        <f>IF('Marks Entry'!BK120="","",'Marks Entry'!BK120)</f>
        <v/>
      </c>
      <c r="FC120" s="74" t="str">
        <f>IF('Marks Entry'!BL120="","",'Marks Entry'!BL120)</f>
        <v/>
      </c>
      <c r="FD120" s="74" t="str">
        <f>IF('Marks Entry'!BM120="","",'Marks Entry'!BM120)</f>
        <v/>
      </c>
      <c r="FE120" s="74" t="str">
        <f>IF('Marks Entry'!BN120="","",'Marks Entry'!BN120)</f>
        <v/>
      </c>
      <c r="FF120" s="74" t="str">
        <f>IF('Marks Entry'!BO120="","",'Marks Entry'!BO120)</f>
        <v/>
      </c>
      <c r="FG120" s="74" t="str">
        <f>IF('Marks Entry'!BP120="","",'Marks Entry'!BP120)</f>
        <v/>
      </c>
      <c r="FH120" s="527" t="str">
        <f t="shared" si="233"/>
        <v/>
      </c>
      <c r="FI120" s="74" t="str">
        <f>IF('Marks Entry'!BQ120="","",'Marks Entry'!BQ120)</f>
        <v/>
      </c>
      <c r="FJ120" s="74" t="str">
        <f>IF('Marks Entry'!BR120="","",'Marks Entry'!BR120)</f>
        <v/>
      </c>
      <c r="FK120" s="528" t="str">
        <f t="shared" si="234"/>
        <v/>
      </c>
      <c r="FL120" s="529" t="str">
        <f t="shared" si="235"/>
        <v/>
      </c>
      <c r="FM120" s="74" t="str">
        <f>IF('Marks Entry'!BS120="","",'Marks Entry'!BS120)</f>
        <v/>
      </c>
      <c r="FN120" s="74" t="str">
        <f>IF('Marks Entry'!BT120="","",'Marks Entry'!BT120)</f>
        <v/>
      </c>
      <c r="FO120" s="528" t="str">
        <f t="shared" si="236"/>
        <v/>
      </c>
      <c r="FP120" s="530" t="str">
        <f t="shared" si="237"/>
        <v/>
      </c>
      <c r="FQ120" s="368" t="str">
        <f t="shared" si="286"/>
        <v/>
      </c>
      <c r="FR120" s="65">
        <f t="shared" si="287"/>
        <v>0</v>
      </c>
      <c r="FS120" s="65">
        <f t="shared" si="288"/>
        <v>0</v>
      </c>
      <c r="FT120" s="66" t="str">
        <f t="shared" si="289"/>
        <v/>
      </c>
      <c r="FU120" s="74" t="str">
        <f>IF('Marks Entry'!BU120="","",'Marks Entry'!BU120)</f>
        <v/>
      </c>
      <c r="FV120" s="74" t="str">
        <f>IF('Marks Entry'!BV120="","",'Marks Entry'!BV120)</f>
        <v/>
      </c>
      <c r="FW120" s="74" t="str">
        <f>IF('Marks Entry'!BW120="","",'Marks Entry'!BW120)</f>
        <v/>
      </c>
      <c r="FX120" s="75" t="str">
        <f t="shared" si="238"/>
        <v/>
      </c>
      <c r="FY120" s="368" t="str">
        <f t="shared" si="290"/>
        <v/>
      </c>
      <c r="FZ120" s="65">
        <f t="shared" si="291"/>
        <v>0</v>
      </c>
      <c r="GA120" s="66">
        <f t="shared" si="292"/>
        <v>0</v>
      </c>
      <c r="GB120" s="66" t="str">
        <f t="shared" si="293"/>
        <v/>
      </c>
      <c r="GC120" s="74" t="str">
        <f>IF('Marks Entry'!BX120="","",'Marks Entry'!BX120)</f>
        <v/>
      </c>
      <c r="GD120" s="74" t="str">
        <f>IF('Marks Entry'!BY120="","",'Marks Entry'!BY120)</f>
        <v/>
      </c>
      <c r="GE120" s="74" t="str">
        <f>IF('Marks Entry'!BZ120="","",'Marks Entry'!BZ120)</f>
        <v/>
      </c>
      <c r="GF120" s="75" t="str">
        <f t="shared" si="294"/>
        <v/>
      </c>
      <c r="GG120" s="368" t="str">
        <f t="shared" si="295"/>
        <v/>
      </c>
      <c r="GH120" s="65">
        <f t="shared" si="296"/>
        <v>0</v>
      </c>
      <c r="GI120" s="66">
        <f t="shared" si="297"/>
        <v>0</v>
      </c>
      <c r="GJ120" s="66" t="str">
        <f t="shared" si="298"/>
        <v/>
      </c>
      <c r="GK120" s="100" t="str">
        <f>IF(AND(F120="",B120=""),"",IF('Student DATA Entry'!M117="","",'Student DATA Entry'!M117))</f>
        <v/>
      </c>
      <c r="GL120" s="101" t="str">
        <f>IF(AND(B120="",F120=""),"",IF('Student DATA Entry'!N117="","",'Student DATA Entry'!N117))</f>
        <v/>
      </c>
      <c r="GM120" s="581" t="str">
        <f t="shared" si="299"/>
        <v/>
      </c>
      <c r="GN120" s="94" t="str">
        <f t="shared" si="300"/>
        <v/>
      </c>
      <c r="GO120" s="94" t="str">
        <f t="shared" si="301"/>
        <v/>
      </c>
      <c r="GP120" s="102" t="str">
        <f t="shared" si="330"/>
        <v/>
      </c>
      <c r="GQ120" s="94" t="str">
        <f t="shared" si="302"/>
        <v/>
      </c>
      <c r="GR120" s="103" t="str">
        <f t="shared" si="303"/>
        <v/>
      </c>
      <c r="GS120" s="102" t="str">
        <f t="shared" si="331"/>
        <v/>
      </c>
      <c r="GT120" s="104" t="str">
        <f t="shared" si="304"/>
        <v/>
      </c>
      <c r="GU120" s="94" t="str">
        <f>IF('Marks Entry'!V120=1,GT120,"")</f>
        <v/>
      </c>
      <c r="GV120" s="94" t="str">
        <f>IF('Marks Entry'!V120=2,GT120,"")</f>
        <v/>
      </c>
      <c r="GW120" s="94" t="str">
        <f>IF('Marks Entry'!V120=3,GT120,"")</f>
        <v/>
      </c>
      <c r="GX120" s="94" t="str">
        <f>IF('Marks Entry'!V120=4,GT120,"")</f>
        <v/>
      </c>
      <c r="GY120" s="94" t="str">
        <f>IF('Marks Entry'!V120=5,GT120,"")</f>
        <v/>
      </c>
      <c r="GZ120" s="94" t="str">
        <f t="shared" si="305"/>
        <v/>
      </c>
      <c r="HA120" s="105" t="str">
        <f t="shared" si="332"/>
        <v/>
      </c>
      <c r="HB120" s="94" t="str">
        <f t="shared" si="306"/>
        <v/>
      </c>
      <c r="HC120" s="94" t="str">
        <f t="shared" si="307"/>
        <v/>
      </c>
      <c r="HD120" s="105" t="str">
        <f t="shared" si="333"/>
        <v/>
      </c>
      <c r="HE120" s="94" t="str">
        <f t="shared" si="308"/>
        <v/>
      </c>
      <c r="HF120" s="94" t="str">
        <f t="shared" si="309"/>
        <v/>
      </c>
      <c r="HG120" s="105" t="str">
        <f t="shared" si="334"/>
        <v/>
      </c>
      <c r="HH120" s="94" t="str">
        <f t="shared" si="310"/>
        <v/>
      </c>
      <c r="HI120" s="94" t="str">
        <f t="shared" si="311"/>
        <v/>
      </c>
      <c r="HJ120" s="105" t="str">
        <f t="shared" si="335"/>
        <v/>
      </c>
      <c r="HK120" s="94" t="str">
        <f t="shared" si="312"/>
        <v/>
      </c>
      <c r="HL120" s="94" t="str">
        <f t="shared" si="313"/>
        <v/>
      </c>
      <c r="HM120" s="105" t="str">
        <f t="shared" si="336"/>
        <v/>
      </c>
      <c r="HN120" s="367" t="str">
        <f t="shared" si="314"/>
        <v xml:space="preserve">      </v>
      </c>
      <c r="HO120" s="418" t="str">
        <f t="shared" si="337"/>
        <v xml:space="preserve">      </v>
      </c>
      <c r="HP120" s="367" t="str">
        <f t="shared" si="315"/>
        <v xml:space="preserve">      </v>
      </c>
      <c r="HQ120" s="107" t="str">
        <f t="shared" si="316"/>
        <v xml:space="preserve">      </v>
      </c>
      <c r="HR120" s="366" t="str">
        <f t="shared" si="317"/>
        <v xml:space="preserve">      </v>
      </c>
      <c r="HS120" s="544" t="str">
        <f t="shared" si="338"/>
        <v/>
      </c>
      <c r="HT120" s="542" t="str">
        <f t="shared" si="318"/>
        <v/>
      </c>
      <c r="HU120" s="541" t="str">
        <f t="shared" si="319"/>
        <v/>
      </c>
      <c r="HV120" s="540" t="str">
        <f t="shared" si="320"/>
        <v/>
      </c>
      <c r="HW120" s="537" t="str">
        <f t="shared" si="321"/>
        <v/>
      </c>
      <c r="HX120" s="539" t="str">
        <f t="shared" si="322"/>
        <v/>
      </c>
      <c r="HY120" s="553" t="str">
        <f>IFERROR(IF(OR(HS120="SUPPLEMENTARY",HS120="RE-EXAM"),'Supp. Result Entry'!AQ118,""),"")</f>
        <v/>
      </c>
      <c r="HZ120" s="538" t="str">
        <f t="shared" si="323"/>
        <v/>
      </c>
      <c r="IA120" s="415" t="str">
        <f t="shared" si="324"/>
        <v/>
      </c>
      <c r="IB120" s="415" t="str">
        <f>IF(AND(HZ120="",IA120=""),"",IF(OR(HS120="SUPPLEMENTARY",HS120="RE-EXAM"),'Supp. Result Entry'!AQ118,HS120))</f>
        <v/>
      </c>
      <c r="IC120" s="87"/>
      <c r="IS120" s="109" t="str">
        <f>IF('Supp. Result Entry'!T118="","",'Supp. Result Entry'!$T$4)</f>
        <v/>
      </c>
      <c r="IT120" s="110" t="str">
        <f>IF('Supp. Result Entry'!W118="","",'Supp. Result Entry'!$W$4)</f>
        <v/>
      </c>
      <c r="IU120" s="110" t="str">
        <f>IF('Supp. Result Entry'!Z118="","",'Supp. Result Entry'!$Z$4)</f>
        <v/>
      </c>
      <c r="IV120" s="110" t="str">
        <f>IF('Supp. Result Entry'!AC118="","",'Supp. Result Entry'!$AC$4)</f>
        <v/>
      </c>
      <c r="IW120" s="110" t="str">
        <f>IF('Supp. Result Entry'!AF118="","",'Supp. Result Entry'!$AF$4)</f>
        <v/>
      </c>
      <c r="IX120" s="110" t="str">
        <f>IF('Supp. Result Entry'!AI118="","",'Supp. Result Entry'!$AI$4)</f>
        <v/>
      </c>
      <c r="IY120" s="110" t="str">
        <f>IF('Supp. Result Entry'!AI118="","",'Supp. Result Entry'!$AL$4)</f>
        <v/>
      </c>
      <c r="IZ120" s="110" t="str">
        <f>IF('Supp. Result Entry'!U118="","",'Supp. Result Entry'!U118)</f>
        <v/>
      </c>
      <c r="JA120" s="110" t="str">
        <f>IF('Supp. Result Entry'!X118="","",'Supp. Result Entry'!X118)</f>
        <v/>
      </c>
      <c r="JB120" s="110" t="str">
        <f>IF('Supp. Result Entry'!AA118="","",'Supp. Result Entry'!AA118)</f>
        <v/>
      </c>
      <c r="JC120" s="110" t="str">
        <f>IF('Supp. Result Entry'!AD118="","",'Supp. Result Entry'!AD118)</f>
        <v/>
      </c>
      <c r="JD120" s="110" t="str">
        <f>IF('Supp. Result Entry'!AG118="","",'Supp. Result Entry'!AG118)</f>
        <v/>
      </c>
      <c r="JE120" s="110" t="str">
        <f>IF('Supp. Result Entry'!AJ118="","",'Supp. Result Entry'!AJ118)</f>
        <v/>
      </c>
      <c r="JF120" s="110" t="str">
        <f>IF('Supp. Result Entry'!AM118="","",'Supp. Result Entry'!AM118)</f>
        <v/>
      </c>
      <c r="JG120" s="110" t="str">
        <f>IF('Supp. Result Entry'!V118="","",'Supp. Result Entry'!V118)</f>
        <v/>
      </c>
      <c r="JH120" s="110" t="str">
        <f>IF('Supp. Result Entry'!Y118="","",'Supp. Result Entry'!Y118)</f>
        <v/>
      </c>
      <c r="JI120" s="110" t="str">
        <f>IF('Supp. Result Entry'!AB118="","",'Supp. Result Entry'!AB118)</f>
        <v/>
      </c>
      <c r="JJ120" s="110" t="str">
        <f>IF('Supp. Result Entry'!AE118="","",'Supp. Result Entry'!AE118)</f>
        <v/>
      </c>
      <c r="JK120" s="110" t="str">
        <f>IF('Supp. Result Entry'!AH118="","",'Supp. Result Entry'!AH118)</f>
        <v/>
      </c>
      <c r="JL120" s="110" t="str">
        <f>IF('Supp. Result Entry'!AK118="","",'Supp. Result Entry'!AK118)</f>
        <v/>
      </c>
      <c r="JM120" s="110" t="str">
        <f>IF('Supp. Result Entry'!AN118="","",'Supp. Result Entry'!AN118)</f>
        <v/>
      </c>
      <c r="JN120" s="110">
        <f>COUNTIF('Supp. Result Entry'!K118:Q118,"S")</f>
        <v>0</v>
      </c>
      <c r="JO120" s="110">
        <f t="shared" si="248"/>
        <v>0</v>
      </c>
      <c r="JP120" s="110">
        <f t="shared" si="325"/>
        <v>0</v>
      </c>
      <c r="JQ120" s="110" t="str">
        <f t="shared" si="249"/>
        <v/>
      </c>
      <c r="JR120" s="110" t="str">
        <f t="shared" si="250"/>
        <v/>
      </c>
      <c r="JS120" s="110" t="str">
        <f t="shared" si="251"/>
        <v/>
      </c>
      <c r="JT120" s="110" t="str">
        <f t="shared" si="252"/>
        <v/>
      </c>
      <c r="JU120" s="110" t="str">
        <f t="shared" si="253"/>
        <v/>
      </c>
      <c r="JV120" s="110" t="str">
        <f t="shared" si="254"/>
        <v/>
      </c>
      <c r="JW120" s="110" t="str">
        <f t="shared" si="255"/>
        <v/>
      </c>
      <c r="JX120" s="110" t="str">
        <f t="shared" si="326"/>
        <v/>
      </c>
      <c r="JY120" s="110" t="str">
        <f t="shared" si="327"/>
        <v/>
      </c>
      <c r="JZ120" s="110" t="str">
        <f t="shared" si="256"/>
        <v/>
      </c>
      <c r="KA120" s="108" t="str">
        <f t="shared" si="328"/>
        <v/>
      </c>
    </row>
    <row r="121" spans="1:287" s="108" customFormat="1" ht="21.95" customHeight="1">
      <c r="A121" s="89">
        <v>115</v>
      </c>
      <c r="B121" s="90" t="str">
        <f>IF('Marks Entry'!B121="","",'Marks Entry'!B121)</f>
        <v/>
      </c>
      <c r="C121" s="94" t="str">
        <f>IF('Marks Entry'!D121="","",'Marks Entry'!D121)</f>
        <v/>
      </c>
      <c r="D121" s="91" t="str">
        <f>IF('Marks Entry'!E121="","",'Marks Entry'!E121)</f>
        <v/>
      </c>
      <c r="E121" s="92" t="str">
        <f>IF('Marks Entry'!F121="","",'Marks Entry'!F121)</f>
        <v/>
      </c>
      <c r="F121" s="93" t="str">
        <f>IF('Marks Entry'!G121="","",'Marks Entry'!G121)</f>
        <v/>
      </c>
      <c r="G121" s="93" t="str">
        <f>IF('Marks Entry'!H121="","",'Marks Entry'!H121)</f>
        <v/>
      </c>
      <c r="H121" s="93" t="str">
        <f>IF('Marks Entry'!I121="","",'Marks Entry'!I121)</f>
        <v/>
      </c>
      <c r="I121" s="94" t="str">
        <f>IF('Marks Entry'!J121="","",'Marks Entry'!J121)</f>
        <v/>
      </c>
      <c r="J121" s="95" t="str">
        <f>IF('Marks Entry'!K121="","",'Marks Entry'!K121)</f>
        <v/>
      </c>
      <c r="K121" s="68" t="str">
        <f>IF('Marks Entry'!L121="","",'Marks Entry'!L121)</f>
        <v/>
      </c>
      <c r="L121" s="68" t="str">
        <f>IF('Marks Entry'!M121="","",'Marks Entry'!M121)</f>
        <v/>
      </c>
      <c r="M121" s="68" t="str">
        <f>IF('Marks Entry'!N121="","",'Marks Entry'!N121)</f>
        <v/>
      </c>
      <c r="N121" s="514" t="str">
        <f t="shared" si="257"/>
        <v/>
      </c>
      <c r="O121" s="68" t="str">
        <f>IF('Marks Entry'!O121="","",'Marks Entry'!O121)</f>
        <v/>
      </c>
      <c r="P121" s="515" t="str">
        <f t="shared" si="258"/>
        <v/>
      </c>
      <c r="Q121" s="68" t="str">
        <f>IF('Marks Entry'!P121="","",'Marks Entry'!P121)</f>
        <v/>
      </c>
      <c r="R121" s="96" t="str">
        <f t="shared" si="259"/>
        <v/>
      </c>
      <c r="S121" s="65">
        <f t="shared" si="260"/>
        <v>0</v>
      </c>
      <c r="T121" s="65">
        <f t="shared" si="261"/>
        <v>0</v>
      </c>
      <c r="U121" s="66" t="str">
        <f t="shared" si="171"/>
        <v/>
      </c>
      <c r="V121" s="65" t="str">
        <f t="shared" si="172"/>
        <v/>
      </c>
      <c r="W121" s="65" t="str">
        <f t="shared" si="262"/>
        <v/>
      </c>
      <c r="X121" s="65" t="str">
        <f t="shared" si="173"/>
        <v/>
      </c>
      <c r="Y121" s="68" t="str">
        <f>IF('Marks Entry'!Q121="","",'Marks Entry'!Q121)</f>
        <v/>
      </c>
      <c r="Z121" s="68" t="str">
        <f>IF('Marks Entry'!R121="","",'Marks Entry'!R121)</f>
        <v/>
      </c>
      <c r="AA121" s="68" t="str">
        <f>IF('Marks Entry'!S121="","",'Marks Entry'!S121)</f>
        <v/>
      </c>
      <c r="AB121" s="514" t="str">
        <f t="shared" si="174"/>
        <v/>
      </c>
      <c r="AC121" s="68" t="str">
        <f>IF('Marks Entry'!T121="","",'Marks Entry'!T121)</f>
        <v/>
      </c>
      <c r="AD121" s="515" t="str">
        <f t="shared" si="175"/>
        <v/>
      </c>
      <c r="AE121" s="68" t="str">
        <f>IF('Marks Entry'!U121="","",'Marks Entry'!U121)</f>
        <v/>
      </c>
      <c r="AF121" s="96" t="str">
        <f t="shared" si="176"/>
        <v/>
      </c>
      <c r="AG121" s="65">
        <f t="shared" si="177"/>
        <v>0</v>
      </c>
      <c r="AH121" s="65">
        <f t="shared" si="178"/>
        <v>0</v>
      </c>
      <c r="AI121" s="66" t="str">
        <f t="shared" si="179"/>
        <v/>
      </c>
      <c r="AJ121" s="65" t="str">
        <f t="shared" si="180"/>
        <v/>
      </c>
      <c r="AK121" s="65" t="str">
        <f t="shared" si="181"/>
        <v/>
      </c>
      <c r="AL121" s="65" t="str">
        <f t="shared" si="182"/>
        <v/>
      </c>
      <c r="AM121" s="524" t="str">
        <f>IF('Marks Entry'!V121="","",IF('Marks Entry'!V121=1,'School Profile'!$I$9,IF('Marks Entry'!V121=2,'School Profile'!$I$10,IF('Marks Entry'!V121=3,'School Profile'!$I$11,IF('Marks Entry'!V121=4,'School Profile'!$I$12,IF('Marks Entry'!V121=5,'School Profile'!$I$13,IF('Marks Entry'!V121=6,'School Profile'!$I$14,"")))))))</f>
        <v/>
      </c>
      <c r="AN121" s="68" t="str">
        <f>IF('Marks Entry'!W121="","",'Marks Entry'!W121)</f>
        <v/>
      </c>
      <c r="AO121" s="68" t="str">
        <f>IF('Marks Entry'!X121="","",'Marks Entry'!X121)</f>
        <v/>
      </c>
      <c r="AP121" s="68" t="str">
        <f>IF('Marks Entry'!Y121="","",'Marks Entry'!Y121)</f>
        <v/>
      </c>
      <c r="AQ121" s="514" t="str">
        <f t="shared" si="183"/>
        <v/>
      </c>
      <c r="AR121" s="68" t="str">
        <f>IF('Marks Entry'!Z121="","",'Marks Entry'!Z121)</f>
        <v/>
      </c>
      <c r="AS121" s="515" t="str">
        <f t="shared" si="184"/>
        <v/>
      </c>
      <c r="AT121" s="68" t="str">
        <f>IF('Marks Entry'!AA121="","",'Marks Entry'!AA121)</f>
        <v/>
      </c>
      <c r="AU121" s="96" t="str">
        <f t="shared" si="185"/>
        <v/>
      </c>
      <c r="AV121" s="65">
        <f t="shared" si="186"/>
        <v>0</v>
      </c>
      <c r="AW121" s="65">
        <f t="shared" si="187"/>
        <v>0</v>
      </c>
      <c r="AX121" s="66" t="str">
        <f t="shared" si="188"/>
        <v/>
      </c>
      <c r="AY121" s="65" t="str">
        <f t="shared" si="189"/>
        <v/>
      </c>
      <c r="AZ121" s="65" t="str">
        <f t="shared" si="190"/>
        <v/>
      </c>
      <c r="BA121" s="65" t="str">
        <f t="shared" si="191"/>
        <v/>
      </c>
      <c r="BB121" s="68" t="str">
        <f>IF('Marks Entry'!AB121="","",'Marks Entry'!AB121)</f>
        <v/>
      </c>
      <c r="BC121" s="68" t="str">
        <f>IF('Marks Entry'!AC121="","",'Marks Entry'!AC121)</f>
        <v/>
      </c>
      <c r="BD121" s="68" t="str">
        <f>IF('Marks Entry'!AD121="","",'Marks Entry'!AD121)</f>
        <v/>
      </c>
      <c r="BE121" s="514" t="str">
        <f t="shared" si="192"/>
        <v/>
      </c>
      <c r="BF121" s="68" t="str">
        <f>IF('Marks Entry'!AE121="","",'Marks Entry'!AE121)</f>
        <v/>
      </c>
      <c r="BG121" s="515" t="str">
        <f t="shared" si="193"/>
        <v/>
      </c>
      <c r="BH121" s="68" t="str">
        <f>IF('Marks Entry'!AF121="","",'Marks Entry'!AF121)</f>
        <v/>
      </c>
      <c r="BI121" s="96" t="str">
        <f t="shared" si="194"/>
        <v/>
      </c>
      <c r="BJ121" s="65">
        <f t="shared" si="195"/>
        <v>0</v>
      </c>
      <c r="BK121" s="65">
        <f t="shared" si="263"/>
        <v>0</v>
      </c>
      <c r="BL121" s="66" t="str">
        <f t="shared" si="196"/>
        <v/>
      </c>
      <c r="BM121" s="65" t="str">
        <f t="shared" si="197"/>
        <v/>
      </c>
      <c r="BN121" s="65" t="str">
        <f t="shared" si="198"/>
        <v/>
      </c>
      <c r="BO121" s="65" t="str">
        <f t="shared" si="199"/>
        <v/>
      </c>
      <c r="BP121" s="68" t="str">
        <f>IF('Marks Entry'!AG121="","",'Marks Entry'!AG121)</f>
        <v/>
      </c>
      <c r="BQ121" s="68" t="str">
        <f>IF('Marks Entry'!AH121="","",'Marks Entry'!AH121)</f>
        <v/>
      </c>
      <c r="BR121" s="68" t="str">
        <f>IF('Marks Entry'!AI121="","",'Marks Entry'!AI121)</f>
        <v/>
      </c>
      <c r="BS121" s="514" t="str">
        <f t="shared" si="200"/>
        <v/>
      </c>
      <c r="BT121" s="68" t="str">
        <f>IF('Marks Entry'!AJ121="","",'Marks Entry'!AJ121)</f>
        <v/>
      </c>
      <c r="BU121" s="515" t="str">
        <f t="shared" si="201"/>
        <v/>
      </c>
      <c r="BV121" s="68" t="str">
        <f>IF('Marks Entry'!AK121="","",'Marks Entry'!AK121)</f>
        <v/>
      </c>
      <c r="BW121" s="96" t="str">
        <f t="shared" si="202"/>
        <v/>
      </c>
      <c r="BX121" s="65">
        <f t="shared" si="203"/>
        <v>0</v>
      </c>
      <c r="BY121" s="65">
        <f t="shared" si="204"/>
        <v>0</v>
      </c>
      <c r="BZ121" s="66" t="str">
        <f t="shared" si="205"/>
        <v/>
      </c>
      <c r="CA121" s="65" t="str">
        <f t="shared" si="206"/>
        <v/>
      </c>
      <c r="CB121" s="65" t="str">
        <f t="shared" si="207"/>
        <v/>
      </c>
      <c r="CC121" s="65" t="str">
        <f t="shared" si="208"/>
        <v/>
      </c>
      <c r="CD121" s="66">
        <f t="shared" si="329"/>
        <v>0</v>
      </c>
      <c r="CE121" s="68" t="str">
        <f>IF('Marks Entry'!AL121="","",'Marks Entry'!AL121)</f>
        <v/>
      </c>
      <c r="CF121" s="68" t="str">
        <f>IF('Marks Entry'!AM121="","",'Marks Entry'!AM121)</f>
        <v/>
      </c>
      <c r="CG121" s="68" t="str">
        <f>IF('Marks Entry'!AN121="","",'Marks Entry'!AN121)</f>
        <v/>
      </c>
      <c r="CH121" s="514" t="str">
        <f t="shared" si="210"/>
        <v/>
      </c>
      <c r="CI121" s="68" t="str">
        <f>IF('Marks Entry'!AO121="","",'Marks Entry'!AO121)</f>
        <v/>
      </c>
      <c r="CJ121" s="515" t="str">
        <f t="shared" si="211"/>
        <v/>
      </c>
      <c r="CK121" s="68" t="str">
        <f>IF('Marks Entry'!AP121="","",'Marks Entry'!AP121)</f>
        <v/>
      </c>
      <c r="CL121" s="96" t="str">
        <f t="shared" si="212"/>
        <v/>
      </c>
      <c r="CM121" s="65">
        <f t="shared" si="213"/>
        <v>0</v>
      </c>
      <c r="CN121" s="65">
        <f t="shared" si="214"/>
        <v>0</v>
      </c>
      <c r="CO121" s="66" t="str">
        <f t="shared" si="215"/>
        <v/>
      </c>
      <c r="CP121" s="65" t="str">
        <f t="shared" si="216"/>
        <v/>
      </c>
      <c r="CQ121" s="65" t="str">
        <f t="shared" si="217"/>
        <v/>
      </c>
      <c r="CR121" s="65" t="str">
        <f t="shared" si="218"/>
        <v/>
      </c>
      <c r="CS121" s="616"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8" t="str">
        <f>IF('School Profile'!$D$20="NO","",IF('Marks Entry'!AR121="","",'Marks Entry'!AR121))</f>
        <v/>
      </c>
      <c r="CU121" s="68" t="str">
        <f>IF('School Profile'!$D$20="NO","",IF('Marks Entry'!AS121="","",'Marks Entry'!AS121))</f>
        <v/>
      </c>
      <c r="CV121" s="68" t="str">
        <f>IF('School Profile'!$D$20="NO","",IF('Marks Entry'!AT121="","",'Marks Entry'!AT121))</f>
        <v/>
      </c>
      <c r="CW121" s="514" t="str">
        <f>IF('School Profile'!$D$20="NO","",IF(AND(CT121="",CU121="",CV121=""),"",SUM(CT121:CV121)))</f>
        <v/>
      </c>
      <c r="CX121" s="68" t="str">
        <f>IF('School Profile'!$D$20="NO","",IF('Marks Entry'!AU121="","",'Marks Entry'!AU121))</f>
        <v/>
      </c>
      <c r="CY121" s="68" t="str">
        <f>IF('School Profile'!$D$20="NO","",IF('Marks Entry'!AV121="","",'Marks Entry'!AV121))</f>
        <v/>
      </c>
      <c r="CZ121" s="515" t="str">
        <f>IF('School Profile'!$D$20="NO","",IF(AND(CX121="",CY121=""),"",SUM(CX121,CY121)))</f>
        <v/>
      </c>
      <c r="DA121" s="69" t="str">
        <f>IF('School Profile'!$D$20="NO","",IF(AND(CW121="",CZ121=""),"",SUM(CW121+CZ121)))</f>
        <v/>
      </c>
      <c r="DB121" s="68" t="str">
        <f>IF('School Profile'!$D$20="NO","",IF('Marks Entry'!AW121="","",'Marks Entry'!AW121))</f>
        <v/>
      </c>
      <c r="DC121" s="68" t="str">
        <f>IF('School Profile'!$D$20="NO","",IF('Marks Entry'!AX121="","",'Marks Entry'!AX121))</f>
        <v/>
      </c>
      <c r="DD121" s="515" t="str">
        <f>IF('School Profile'!$D$20="NO","",IF(AND(DB121="",DC121=""),"",SUM(DB121,DC121)))</f>
        <v/>
      </c>
      <c r="DE121" s="96" t="str">
        <f>IF('School Profile'!$D$20="NO","",IF(AND(DA121="",DD121=""),"",SUM(DA121,DD121)))</f>
        <v/>
      </c>
      <c r="DF121" s="532">
        <f t="shared" si="219"/>
        <v>0</v>
      </c>
      <c r="DG121" s="65">
        <f t="shared" si="220"/>
        <v>0</v>
      </c>
      <c r="DH121" s="66" t="str">
        <f t="shared" si="221"/>
        <v/>
      </c>
      <c r="DI121" s="65" t="str">
        <f t="shared" si="222"/>
        <v/>
      </c>
      <c r="DJ121" s="65" t="str">
        <f t="shared" si="223"/>
        <v/>
      </c>
      <c r="DK121" s="65" t="str">
        <f t="shared" si="224"/>
        <v/>
      </c>
      <c r="DL121" s="97" t="str">
        <f t="shared" si="264"/>
        <v/>
      </c>
      <c r="DM121" s="97" t="str">
        <f t="shared" si="265"/>
        <v/>
      </c>
      <c r="DN121" s="97" t="str">
        <f t="shared" si="266"/>
        <v/>
      </c>
      <c r="DO121" s="97" t="str">
        <f t="shared" si="267"/>
        <v/>
      </c>
      <c r="DP121" s="97" t="str">
        <f t="shared" si="268"/>
        <v/>
      </c>
      <c r="DQ121" s="97" t="str">
        <f t="shared" si="269"/>
        <v/>
      </c>
      <c r="DR121" s="97" t="str">
        <f t="shared" si="270"/>
        <v/>
      </c>
      <c r="DS121" s="98">
        <f t="shared" si="271"/>
        <v>0</v>
      </c>
      <c r="DT121" s="98">
        <f t="shared" si="272"/>
        <v>0</v>
      </c>
      <c r="DU121" s="98">
        <f t="shared" si="273"/>
        <v>0</v>
      </c>
      <c r="DV121" s="98">
        <f t="shared" si="274"/>
        <v>0</v>
      </c>
      <c r="DW121" s="98">
        <f t="shared" si="275"/>
        <v>0</v>
      </c>
      <c r="DX121" s="98" t="str">
        <f t="shared" si="276"/>
        <v/>
      </c>
      <c r="DY121" s="99" t="str">
        <f t="shared" si="277"/>
        <v/>
      </c>
      <c r="DZ121" s="74" t="str">
        <f>IF('Marks Entry'!AY121="","",'Marks Entry'!AY121)</f>
        <v/>
      </c>
      <c r="EA121" s="74" t="str">
        <f>IF('Marks Entry'!AZ121="","",'Marks Entry'!AZ121)</f>
        <v/>
      </c>
      <c r="EB121" s="74" t="str">
        <f>IF('Marks Entry'!BA121="","",'Marks Entry'!BA121)</f>
        <v/>
      </c>
      <c r="EC121" s="527" t="str">
        <f t="shared" si="225"/>
        <v/>
      </c>
      <c r="ED121" s="74" t="str">
        <f>IF('Marks Entry'!BB121="","",'Marks Entry'!BB121)</f>
        <v/>
      </c>
      <c r="EE121" s="528" t="str">
        <f t="shared" si="226"/>
        <v/>
      </c>
      <c r="EF121" s="74" t="str">
        <f>IF('Marks Entry'!BC121="","",'Marks Entry'!BC121)</f>
        <v/>
      </c>
      <c r="EG121" s="530" t="str">
        <f t="shared" si="227"/>
        <v/>
      </c>
      <c r="EH121" s="368" t="str">
        <f t="shared" si="278"/>
        <v/>
      </c>
      <c r="EI121" s="65">
        <f t="shared" si="279"/>
        <v>0</v>
      </c>
      <c r="EJ121" s="65">
        <f t="shared" si="280"/>
        <v>0</v>
      </c>
      <c r="EK121" s="66" t="str">
        <f t="shared" si="281"/>
        <v/>
      </c>
      <c r="EL121" s="74" t="str">
        <f>IF('Marks Entry'!BD121="","",'Marks Entry'!BD121)</f>
        <v/>
      </c>
      <c r="EM121" s="74" t="str">
        <f>IF('Marks Entry'!BE121="","",'Marks Entry'!BE121)</f>
        <v/>
      </c>
      <c r="EN121" s="74" t="str">
        <f>IF('Marks Entry'!BF121="","",'Marks Entry'!BF121)</f>
        <v/>
      </c>
      <c r="EO121" s="527" t="str">
        <f t="shared" si="228"/>
        <v/>
      </c>
      <c r="EP121" s="74" t="str">
        <f>IF('Marks Entry'!BG121="","",'Marks Entry'!BG121)</f>
        <v/>
      </c>
      <c r="EQ121" s="74" t="str">
        <f>IF('Marks Entry'!BH121="","",'Marks Entry'!BH121)</f>
        <v/>
      </c>
      <c r="ER121" s="528" t="str">
        <f t="shared" si="229"/>
        <v/>
      </c>
      <c r="ES121" s="529" t="str">
        <f t="shared" si="230"/>
        <v/>
      </c>
      <c r="ET121" s="74" t="str">
        <f>IF('Marks Entry'!BI121="","",'Marks Entry'!BI121)</f>
        <v/>
      </c>
      <c r="EU121" s="74" t="str">
        <f>IF('Marks Entry'!BJ121="","",'Marks Entry'!BJ121)</f>
        <v/>
      </c>
      <c r="EV121" s="528" t="str">
        <f t="shared" si="231"/>
        <v/>
      </c>
      <c r="EW121" s="530" t="str">
        <f t="shared" si="232"/>
        <v/>
      </c>
      <c r="EX121" s="368" t="str">
        <f t="shared" si="282"/>
        <v/>
      </c>
      <c r="EY121" s="65">
        <f t="shared" si="283"/>
        <v>0</v>
      </c>
      <c r="EZ121" s="65">
        <f t="shared" si="284"/>
        <v>0</v>
      </c>
      <c r="FA121" s="66" t="str">
        <f t="shared" si="285"/>
        <v/>
      </c>
      <c r="FB121" s="74" t="str">
        <f>IF('Marks Entry'!BK121="","",'Marks Entry'!BK121)</f>
        <v/>
      </c>
      <c r="FC121" s="74" t="str">
        <f>IF('Marks Entry'!BL121="","",'Marks Entry'!BL121)</f>
        <v/>
      </c>
      <c r="FD121" s="74" t="str">
        <f>IF('Marks Entry'!BM121="","",'Marks Entry'!BM121)</f>
        <v/>
      </c>
      <c r="FE121" s="74" t="str">
        <f>IF('Marks Entry'!BN121="","",'Marks Entry'!BN121)</f>
        <v/>
      </c>
      <c r="FF121" s="74" t="str">
        <f>IF('Marks Entry'!BO121="","",'Marks Entry'!BO121)</f>
        <v/>
      </c>
      <c r="FG121" s="74" t="str">
        <f>IF('Marks Entry'!BP121="","",'Marks Entry'!BP121)</f>
        <v/>
      </c>
      <c r="FH121" s="527" t="str">
        <f t="shared" si="233"/>
        <v/>
      </c>
      <c r="FI121" s="74" t="str">
        <f>IF('Marks Entry'!BQ121="","",'Marks Entry'!BQ121)</f>
        <v/>
      </c>
      <c r="FJ121" s="74" t="str">
        <f>IF('Marks Entry'!BR121="","",'Marks Entry'!BR121)</f>
        <v/>
      </c>
      <c r="FK121" s="528" t="str">
        <f t="shared" si="234"/>
        <v/>
      </c>
      <c r="FL121" s="529" t="str">
        <f t="shared" si="235"/>
        <v/>
      </c>
      <c r="FM121" s="74" t="str">
        <f>IF('Marks Entry'!BS121="","",'Marks Entry'!BS121)</f>
        <v/>
      </c>
      <c r="FN121" s="74" t="str">
        <f>IF('Marks Entry'!BT121="","",'Marks Entry'!BT121)</f>
        <v/>
      </c>
      <c r="FO121" s="528" t="str">
        <f t="shared" si="236"/>
        <v/>
      </c>
      <c r="FP121" s="530" t="str">
        <f t="shared" si="237"/>
        <v/>
      </c>
      <c r="FQ121" s="368" t="str">
        <f t="shared" si="286"/>
        <v/>
      </c>
      <c r="FR121" s="65">
        <f t="shared" si="287"/>
        <v>0</v>
      </c>
      <c r="FS121" s="65">
        <f t="shared" si="288"/>
        <v>0</v>
      </c>
      <c r="FT121" s="66" t="str">
        <f t="shared" si="289"/>
        <v/>
      </c>
      <c r="FU121" s="74" t="str">
        <f>IF('Marks Entry'!BU121="","",'Marks Entry'!BU121)</f>
        <v/>
      </c>
      <c r="FV121" s="74" t="str">
        <f>IF('Marks Entry'!BV121="","",'Marks Entry'!BV121)</f>
        <v/>
      </c>
      <c r="FW121" s="74" t="str">
        <f>IF('Marks Entry'!BW121="","",'Marks Entry'!BW121)</f>
        <v/>
      </c>
      <c r="FX121" s="75" t="str">
        <f t="shared" si="238"/>
        <v/>
      </c>
      <c r="FY121" s="368" t="str">
        <f t="shared" si="290"/>
        <v/>
      </c>
      <c r="FZ121" s="65">
        <f t="shared" si="291"/>
        <v>0</v>
      </c>
      <c r="GA121" s="66">
        <f t="shared" si="292"/>
        <v>0</v>
      </c>
      <c r="GB121" s="66" t="str">
        <f t="shared" si="293"/>
        <v/>
      </c>
      <c r="GC121" s="74" t="str">
        <f>IF('Marks Entry'!BX121="","",'Marks Entry'!BX121)</f>
        <v/>
      </c>
      <c r="GD121" s="74" t="str">
        <f>IF('Marks Entry'!BY121="","",'Marks Entry'!BY121)</f>
        <v/>
      </c>
      <c r="GE121" s="74" t="str">
        <f>IF('Marks Entry'!BZ121="","",'Marks Entry'!BZ121)</f>
        <v/>
      </c>
      <c r="GF121" s="75" t="str">
        <f t="shared" si="294"/>
        <v/>
      </c>
      <c r="GG121" s="368" t="str">
        <f t="shared" si="295"/>
        <v/>
      </c>
      <c r="GH121" s="65">
        <f t="shared" si="296"/>
        <v>0</v>
      </c>
      <c r="GI121" s="66">
        <f t="shared" si="297"/>
        <v>0</v>
      </c>
      <c r="GJ121" s="66" t="str">
        <f t="shared" si="298"/>
        <v/>
      </c>
      <c r="GK121" s="100" t="str">
        <f>IF(AND(F121="",B121=""),"",IF('Student DATA Entry'!M118="","",'Student DATA Entry'!M118))</f>
        <v/>
      </c>
      <c r="GL121" s="101" t="str">
        <f>IF(AND(B121="",F121=""),"",IF('Student DATA Entry'!N118="","",'Student DATA Entry'!N118))</f>
        <v/>
      </c>
      <c r="GM121" s="581" t="str">
        <f t="shared" si="299"/>
        <v/>
      </c>
      <c r="GN121" s="94" t="str">
        <f t="shared" si="300"/>
        <v/>
      </c>
      <c r="GO121" s="94" t="str">
        <f t="shared" si="301"/>
        <v/>
      </c>
      <c r="GP121" s="102" t="str">
        <f t="shared" si="330"/>
        <v/>
      </c>
      <c r="GQ121" s="94" t="str">
        <f t="shared" si="302"/>
        <v/>
      </c>
      <c r="GR121" s="103" t="str">
        <f t="shared" si="303"/>
        <v/>
      </c>
      <c r="GS121" s="102" t="str">
        <f t="shared" si="331"/>
        <v/>
      </c>
      <c r="GT121" s="104" t="str">
        <f t="shared" si="304"/>
        <v/>
      </c>
      <c r="GU121" s="94" t="str">
        <f>IF('Marks Entry'!V121=1,GT121,"")</f>
        <v/>
      </c>
      <c r="GV121" s="94" t="str">
        <f>IF('Marks Entry'!V121=2,GT121,"")</f>
        <v/>
      </c>
      <c r="GW121" s="94" t="str">
        <f>IF('Marks Entry'!V121=3,GT121,"")</f>
        <v/>
      </c>
      <c r="GX121" s="94" t="str">
        <f>IF('Marks Entry'!V121=4,GT121,"")</f>
        <v/>
      </c>
      <c r="GY121" s="94" t="str">
        <f>IF('Marks Entry'!V121=5,GT121,"")</f>
        <v/>
      </c>
      <c r="GZ121" s="94" t="str">
        <f t="shared" si="305"/>
        <v/>
      </c>
      <c r="HA121" s="105" t="str">
        <f t="shared" si="332"/>
        <v/>
      </c>
      <c r="HB121" s="94" t="str">
        <f t="shared" si="306"/>
        <v/>
      </c>
      <c r="HC121" s="94" t="str">
        <f t="shared" si="307"/>
        <v/>
      </c>
      <c r="HD121" s="105" t="str">
        <f t="shared" si="333"/>
        <v/>
      </c>
      <c r="HE121" s="94" t="str">
        <f t="shared" si="308"/>
        <v/>
      </c>
      <c r="HF121" s="94" t="str">
        <f t="shared" si="309"/>
        <v/>
      </c>
      <c r="HG121" s="105" t="str">
        <f t="shared" si="334"/>
        <v/>
      </c>
      <c r="HH121" s="94" t="str">
        <f t="shared" si="310"/>
        <v/>
      </c>
      <c r="HI121" s="94" t="str">
        <f t="shared" si="311"/>
        <v/>
      </c>
      <c r="HJ121" s="105" t="str">
        <f t="shared" si="335"/>
        <v/>
      </c>
      <c r="HK121" s="94" t="str">
        <f t="shared" si="312"/>
        <v/>
      </c>
      <c r="HL121" s="94" t="str">
        <f t="shared" si="313"/>
        <v/>
      </c>
      <c r="HM121" s="105" t="str">
        <f t="shared" si="336"/>
        <v/>
      </c>
      <c r="HN121" s="367" t="str">
        <f t="shared" si="314"/>
        <v xml:space="preserve">      </v>
      </c>
      <c r="HO121" s="418" t="str">
        <f t="shared" si="337"/>
        <v xml:space="preserve">      </v>
      </c>
      <c r="HP121" s="367" t="str">
        <f t="shared" si="315"/>
        <v xml:space="preserve">      </v>
      </c>
      <c r="HQ121" s="107" t="str">
        <f t="shared" si="316"/>
        <v xml:space="preserve">      </v>
      </c>
      <c r="HR121" s="366" t="str">
        <f t="shared" si="317"/>
        <v xml:space="preserve">      </v>
      </c>
      <c r="HS121" s="544" t="str">
        <f t="shared" si="338"/>
        <v/>
      </c>
      <c r="HT121" s="542" t="str">
        <f t="shared" si="318"/>
        <v/>
      </c>
      <c r="HU121" s="541" t="str">
        <f t="shared" si="319"/>
        <v/>
      </c>
      <c r="HV121" s="540" t="str">
        <f t="shared" si="320"/>
        <v/>
      </c>
      <c r="HW121" s="537" t="str">
        <f t="shared" si="321"/>
        <v/>
      </c>
      <c r="HX121" s="539" t="str">
        <f t="shared" si="322"/>
        <v/>
      </c>
      <c r="HY121" s="553" t="str">
        <f>IFERROR(IF(OR(HS121="SUPPLEMENTARY",HS121="RE-EXAM"),'Supp. Result Entry'!AQ119,""),"")</f>
        <v/>
      </c>
      <c r="HZ121" s="538" t="str">
        <f t="shared" si="323"/>
        <v/>
      </c>
      <c r="IA121" s="415" t="str">
        <f t="shared" si="324"/>
        <v/>
      </c>
      <c r="IB121" s="415" t="str">
        <f>IF(AND(HZ121="",IA121=""),"",IF(OR(HS121="SUPPLEMENTARY",HS121="RE-EXAM"),'Supp. Result Entry'!AQ119,HS121))</f>
        <v/>
      </c>
      <c r="IC121" s="87"/>
      <c r="IS121" s="109" t="str">
        <f>IF('Supp. Result Entry'!T119="","",'Supp. Result Entry'!$T$4)</f>
        <v/>
      </c>
      <c r="IT121" s="110" t="str">
        <f>IF('Supp. Result Entry'!W119="","",'Supp. Result Entry'!$W$4)</f>
        <v/>
      </c>
      <c r="IU121" s="110" t="str">
        <f>IF('Supp. Result Entry'!Z119="","",'Supp. Result Entry'!$Z$4)</f>
        <v/>
      </c>
      <c r="IV121" s="110" t="str">
        <f>IF('Supp. Result Entry'!AC119="","",'Supp. Result Entry'!$AC$4)</f>
        <v/>
      </c>
      <c r="IW121" s="110" t="str">
        <f>IF('Supp. Result Entry'!AF119="","",'Supp. Result Entry'!$AF$4)</f>
        <v/>
      </c>
      <c r="IX121" s="110" t="str">
        <f>IF('Supp. Result Entry'!AI119="","",'Supp. Result Entry'!$AI$4)</f>
        <v/>
      </c>
      <c r="IY121" s="110" t="str">
        <f>IF('Supp. Result Entry'!AI119="","",'Supp. Result Entry'!$AL$4)</f>
        <v/>
      </c>
      <c r="IZ121" s="110" t="str">
        <f>IF('Supp. Result Entry'!U119="","",'Supp. Result Entry'!U119)</f>
        <v/>
      </c>
      <c r="JA121" s="110" t="str">
        <f>IF('Supp. Result Entry'!X119="","",'Supp. Result Entry'!X119)</f>
        <v/>
      </c>
      <c r="JB121" s="110" t="str">
        <f>IF('Supp. Result Entry'!AA119="","",'Supp. Result Entry'!AA119)</f>
        <v/>
      </c>
      <c r="JC121" s="110" t="str">
        <f>IF('Supp. Result Entry'!AD119="","",'Supp. Result Entry'!AD119)</f>
        <v/>
      </c>
      <c r="JD121" s="110" t="str">
        <f>IF('Supp. Result Entry'!AG119="","",'Supp. Result Entry'!AG119)</f>
        <v/>
      </c>
      <c r="JE121" s="110" t="str">
        <f>IF('Supp. Result Entry'!AJ119="","",'Supp. Result Entry'!AJ119)</f>
        <v/>
      </c>
      <c r="JF121" s="110" t="str">
        <f>IF('Supp. Result Entry'!AM119="","",'Supp. Result Entry'!AM119)</f>
        <v/>
      </c>
      <c r="JG121" s="110" t="str">
        <f>IF('Supp. Result Entry'!V119="","",'Supp. Result Entry'!V119)</f>
        <v/>
      </c>
      <c r="JH121" s="110" t="str">
        <f>IF('Supp. Result Entry'!Y119="","",'Supp. Result Entry'!Y119)</f>
        <v/>
      </c>
      <c r="JI121" s="110" t="str">
        <f>IF('Supp. Result Entry'!AB119="","",'Supp. Result Entry'!AB119)</f>
        <v/>
      </c>
      <c r="JJ121" s="110" t="str">
        <f>IF('Supp. Result Entry'!AE119="","",'Supp. Result Entry'!AE119)</f>
        <v/>
      </c>
      <c r="JK121" s="110" t="str">
        <f>IF('Supp. Result Entry'!AH119="","",'Supp. Result Entry'!AH119)</f>
        <v/>
      </c>
      <c r="JL121" s="110" t="str">
        <f>IF('Supp. Result Entry'!AK119="","",'Supp. Result Entry'!AK119)</f>
        <v/>
      </c>
      <c r="JM121" s="110" t="str">
        <f>IF('Supp. Result Entry'!AN119="","",'Supp. Result Entry'!AN119)</f>
        <v/>
      </c>
      <c r="JN121" s="110">
        <f>COUNTIF('Supp. Result Entry'!K119:Q119,"S")</f>
        <v>0</v>
      </c>
      <c r="JO121" s="110">
        <f t="shared" si="248"/>
        <v>0</v>
      </c>
      <c r="JP121" s="110">
        <f t="shared" si="325"/>
        <v>0</v>
      </c>
      <c r="JQ121" s="110" t="str">
        <f t="shared" si="249"/>
        <v/>
      </c>
      <c r="JR121" s="110" t="str">
        <f t="shared" si="250"/>
        <v/>
      </c>
      <c r="JS121" s="110" t="str">
        <f t="shared" si="251"/>
        <v/>
      </c>
      <c r="JT121" s="110" t="str">
        <f t="shared" si="252"/>
        <v/>
      </c>
      <c r="JU121" s="110" t="str">
        <f t="shared" si="253"/>
        <v/>
      </c>
      <c r="JV121" s="110" t="str">
        <f t="shared" si="254"/>
        <v/>
      </c>
      <c r="JW121" s="110" t="str">
        <f t="shared" si="255"/>
        <v/>
      </c>
      <c r="JX121" s="110" t="str">
        <f t="shared" si="326"/>
        <v/>
      </c>
      <c r="JY121" s="110" t="str">
        <f t="shared" si="327"/>
        <v/>
      </c>
      <c r="JZ121" s="110" t="str">
        <f t="shared" si="256"/>
        <v/>
      </c>
      <c r="KA121" s="108" t="str">
        <f t="shared" si="328"/>
        <v/>
      </c>
    </row>
    <row r="122" spans="1:287" s="108" customFormat="1" ht="21.95" customHeight="1">
      <c r="A122" s="89">
        <v>116</v>
      </c>
      <c r="B122" s="90" t="str">
        <f>IF('Marks Entry'!B122="","",'Marks Entry'!B122)</f>
        <v/>
      </c>
      <c r="C122" s="94" t="str">
        <f>IF('Marks Entry'!D122="","",'Marks Entry'!D122)</f>
        <v/>
      </c>
      <c r="D122" s="91" t="str">
        <f>IF('Marks Entry'!E122="","",'Marks Entry'!E122)</f>
        <v/>
      </c>
      <c r="E122" s="92" t="str">
        <f>IF('Marks Entry'!F122="","",'Marks Entry'!F122)</f>
        <v/>
      </c>
      <c r="F122" s="93" t="str">
        <f>IF('Marks Entry'!G122="","",'Marks Entry'!G122)</f>
        <v/>
      </c>
      <c r="G122" s="93" t="str">
        <f>IF('Marks Entry'!H122="","",'Marks Entry'!H122)</f>
        <v/>
      </c>
      <c r="H122" s="93" t="str">
        <f>IF('Marks Entry'!I122="","",'Marks Entry'!I122)</f>
        <v/>
      </c>
      <c r="I122" s="94" t="str">
        <f>IF('Marks Entry'!J122="","",'Marks Entry'!J122)</f>
        <v/>
      </c>
      <c r="J122" s="95" t="str">
        <f>IF('Marks Entry'!K122="","",'Marks Entry'!K122)</f>
        <v/>
      </c>
      <c r="K122" s="68" t="str">
        <f>IF('Marks Entry'!L122="","",'Marks Entry'!L122)</f>
        <v/>
      </c>
      <c r="L122" s="68" t="str">
        <f>IF('Marks Entry'!M122="","",'Marks Entry'!M122)</f>
        <v/>
      </c>
      <c r="M122" s="68" t="str">
        <f>IF('Marks Entry'!N122="","",'Marks Entry'!N122)</f>
        <v/>
      </c>
      <c r="N122" s="514" t="str">
        <f t="shared" si="257"/>
        <v/>
      </c>
      <c r="O122" s="68" t="str">
        <f>IF('Marks Entry'!O122="","",'Marks Entry'!O122)</f>
        <v/>
      </c>
      <c r="P122" s="515" t="str">
        <f t="shared" si="258"/>
        <v/>
      </c>
      <c r="Q122" s="68" t="str">
        <f>IF('Marks Entry'!P122="","",'Marks Entry'!P122)</f>
        <v/>
      </c>
      <c r="R122" s="96" t="str">
        <f t="shared" si="259"/>
        <v/>
      </c>
      <c r="S122" s="65">
        <f t="shared" si="260"/>
        <v>0</v>
      </c>
      <c r="T122" s="65">
        <f t="shared" si="261"/>
        <v>0</v>
      </c>
      <c r="U122" s="66" t="str">
        <f t="shared" si="171"/>
        <v/>
      </c>
      <c r="V122" s="65" t="str">
        <f t="shared" si="172"/>
        <v/>
      </c>
      <c r="W122" s="65" t="str">
        <f t="shared" si="262"/>
        <v/>
      </c>
      <c r="X122" s="65" t="str">
        <f t="shared" si="173"/>
        <v/>
      </c>
      <c r="Y122" s="68" t="str">
        <f>IF('Marks Entry'!Q122="","",'Marks Entry'!Q122)</f>
        <v/>
      </c>
      <c r="Z122" s="68" t="str">
        <f>IF('Marks Entry'!R122="","",'Marks Entry'!R122)</f>
        <v/>
      </c>
      <c r="AA122" s="68" t="str">
        <f>IF('Marks Entry'!S122="","",'Marks Entry'!S122)</f>
        <v/>
      </c>
      <c r="AB122" s="514" t="str">
        <f t="shared" si="174"/>
        <v/>
      </c>
      <c r="AC122" s="68" t="str">
        <f>IF('Marks Entry'!T122="","",'Marks Entry'!T122)</f>
        <v/>
      </c>
      <c r="AD122" s="515" t="str">
        <f t="shared" si="175"/>
        <v/>
      </c>
      <c r="AE122" s="68" t="str">
        <f>IF('Marks Entry'!U122="","",'Marks Entry'!U122)</f>
        <v/>
      </c>
      <c r="AF122" s="96" t="str">
        <f t="shared" si="176"/>
        <v/>
      </c>
      <c r="AG122" s="65">
        <f t="shared" si="177"/>
        <v>0</v>
      </c>
      <c r="AH122" s="65">
        <f t="shared" si="178"/>
        <v>0</v>
      </c>
      <c r="AI122" s="66" t="str">
        <f t="shared" si="179"/>
        <v/>
      </c>
      <c r="AJ122" s="65" t="str">
        <f t="shared" si="180"/>
        <v/>
      </c>
      <c r="AK122" s="65" t="str">
        <f t="shared" si="181"/>
        <v/>
      </c>
      <c r="AL122" s="65" t="str">
        <f t="shared" si="182"/>
        <v/>
      </c>
      <c r="AM122" s="524" t="str">
        <f>IF('Marks Entry'!V122="","",IF('Marks Entry'!V122=1,'School Profile'!$I$9,IF('Marks Entry'!V122=2,'School Profile'!$I$10,IF('Marks Entry'!V122=3,'School Profile'!$I$11,IF('Marks Entry'!V122=4,'School Profile'!$I$12,IF('Marks Entry'!V122=5,'School Profile'!$I$13,IF('Marks Entry'!V122=6,'School Profile'!$I$14,"")))))))</f>
        <v/>
      </c>
      <c r="AN122" s="68" t="str">
        <f>IF('Marks Entry'!W122="","",'Marks Entry'!W122)</f>
        <v/>
      </c>
      <c r="AO122" s="68" t="str">
        <f>IF('Marks Entry'!X122="","",'Marks Entry'!X122)</f>
        <v/>
      </c>
      <c r="AP122" s="68" t="str">
        <f>IF('Marks Entry'!Y122="","",'Marks Entry'!Y122)</f>
        <v/>
      </c>
      <c r="AQ122" s="514" t="str">
        <f t="shared" si="183"/>
        <v/>
      </c>
      <c r="AR122" s="68" t="str">
        <f>IF('Marks Entry'!Z122="","",'Marks Entry'!Z122)</f>
        <v/>
      </c>
      <c r="AS122" s="515" t="str">
        <f t="shared" si="184"/>
        <v/>
      </c>
      <c r="AT122" s="68" t="str">
        <f>IF('Marks Entry'!AA122="","",'Marks Entry'!AA122)</f>
        <v/>
      </c>
      <c r="AU122" s="96" t="str">
        <f t="shared" si="185"/>
        <v/>
      </c>
      <c r="AV122" s="65">
        <f t="shared" si="186"/>
        <v>0</v>
      </c>
      <c r="AW122" s="65">
        <f t="shared" si="187"/>
        <v>0</v>
      </c>
      <c r="AX122" s="66" t="str">
        <f t="shared" si="188"/>
        <v/>
      </c>
      <c r="AY122" s="65" t="str">
        <f t="shared" si="189"/>
        <v/>
      </c>
      <c r="AZ122" s="65" t="str">
        <f t="shared" si="190"/>
        <v/>
      </c>
      <c r="BA122" s="65" t="str">
        <f t="shared" si="191"/>
        <v/>
      </c>
      <c r="BB122" s="68" t="str">
        <f>IF('Marks Entry'!AB122="","",'Marks Entry'!AB122)</f>
        <v/>
      </c>
      <c r="BC122" s="68" t="str">
        <f>IF('Marks Entry'!AC122="","",'Marks Entry'!AC122)</f>
        <v/>
      </c>
      <c r="BD122" s="68" t="str">
        <f>IF('Marks Entry'!AD122="","",'Marks Entry'!AD122)</f>
        <v/>
      </c>
      <c r="BE122" s="514" t="str">
        <f t="shared" si="192"/>
        <v/>
      </c>
      <c r="BF122" s="68" t="str">
        <f>IF('Marks Entry'!AE122="","",'Marks Entry'!AE122)</f>
        <v/>
      </c>
      <c r="BG122" s="515" t="str">
        <f t="shared" si="193"/>
        <v/>
      </c>
      <c r="BH122" s="68" t="str">
        <f>IF('Marks Entry'!AF122="","",'Marks Entry'!AF122)</f>
        <v/>
      </c>
      <c r="BI122" s="96" t="str">
        <f t="shared" si="194"/>
        <v/>
      </c>
      <c r="BJ122" s="65">
        <f t="shared" si="195"/>
        <v>0</v>
      </c>
      <c r="BK122" s="65">
        <f t="shared" si="263"/>
        <v>0</v>
      </c>
      <c r="BL122" s="66" t="str">
        <f t="shared" si="196"/>
        <v/>
      </c>
      <c r="BM122" s="65" t="str">
        <f t="shared" si="197"/>
        <v/>
      </c>
      <c r="BN122" s="65" t="str">
        <f t="shared" si="198"/>
        <v/>
      </c>
      <c r="BO122" s="65" t="str">
        <f t="shared" si="199"/>
        <v/>
      </c>
      <c r="BP122" s="68" t="str">
        <f>IF('Marks Entry'!AG122="","",'Marks Entry'!AG122)</f>
        <v/>
      </c>
      <c r="BQ122" s="68" t="str">
        <f>IF('Marks Entry'!AH122="","",'Marks Entry'!AH122)</f>
        <v/>
      </c>
      <c r="BR122" s="68" t="str">
        <f>IF('Marks Entry'!AI122="","",'Marks Entry'!AI122)</f>
        <v/>
      </c>
      <c r="BS122" s="514" t="str">
        <f t="shared" si="200"/>
        <v/>
      </c>
      <c r="BT122" s="68" t="str">
        <f>IF('Marks Entry'!AJ122="","",'Marks Entry'!AJ122)</f>
        <v/>
      </c>
      <c r="BU122" s="515" t="str">
        <f t="shared" si="201"/>
        <v/>
      </c>
      <c r="BV122" s="68" t="str">
        <f>IF('Marks Entry'!AK122="","",'Marks Entry'!AK122)</f>
        <v/>
      </c>
      <c r="BW122" s="96" t="str">
        <f t="shared" si="202"/>
        <v/>
      </c>
      <c r="BX122" s="65">
        <f t="shared" si="203"/>
        <v>0</v>
      </c>
      <c r="BY122" s="65">
        <f t="shared" si="204"/>
        <v>0</v>
      </c>
      <c r="BZ122" s="66" t="str">
        <f t="shared" si="205"/>
        <v/>
      </c>
      <c r="CA122" s="65" t="str">
        <f t="shared" si="206"/>
        <v/>
      </c>
      <c r="CB122" s="65" t="str">
        <f t="shared" si="207"/>
        <v/>
      </c>
      <c r="CC122" s="65" t="str">
        <f t="shared" si="208"/>
        <v/>
      </c>
      <c r="CD122" s="66">
        <f t="shared" si="329"/>
        <v>0</v>
      </c>
      <c r="CE122" s="68" t="str">
        <f>IF('Marks Entry'!AL122="","",'Marks Entry'!AL122)</f>
        <v/>
      </c>
      <c r="CF122" s="68" t="str">
        <f>IF('Marks Entry'!AM122="","",'Marks Entry'!AM122)</f>
        <v/>
      </c>
      <c r="CG122" s="68" t="str">
        <f>IF('Marks Entry'!AN122="","",'Marks Entry'!AN122)</f>
        <v/>
      </c>
      <c r="CH122" s="514" t="str">
        <f t="shared" si="210"/>
        <v/>
      </c>
      <c r="CI122" s="68" t="str">
        <f>IF('Marks Entry'!AO122="","",'Marks Entry'!AO122)</f>
        <v/>
      </c>
      <c r="CJ122" s="515" t="str">
        <f t="shared" si="211"/>
        <v/>
      </c>
      <c r="CK122" s="68" t="str">
        <f>IF('Marks Entry'!AP122="","",'Marks Entry'!AP122)</f>
        <v/>
      </c>
      <c r="CL122" s="96" t="str">
        <f t="shared" si="212"/>
        <v/>
      </c>
      <c r="CM122" s="65">
        <f t="shared" si="213"/>
        <v>0</v>
      </c>
      <c r="CN122" s="65">
        <f t="shared" si="214"/>
        <v>0</v>
      </c>
      <c r="CO122" s="66" t="str">
        <f t="shared" si="215"/>
        <v/>
      </c>
      <c r="CP122" s="65" t="str">
        <f t="shared" si="216"/>
        <v/>
      </c>
      <c r="CQ122" s="65" t="str">
        <f t="shared" si="217"/>
        <v/>
      </c>
      <c r="CR122" s="65" t="str">
        <f t="shared" si="218"/>
        <v/>
      </c>
      <c r="CS122" s="616"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8" t="str">
        <f>IF('School Profile'!$D$20="NO","",IF('Marks Entry'!AR122="","",'Marks Entry'!AR122))</f>
        <v/>
      </c>
      <c r="CU122" s="68" t="str">
        <f>IF('School Profile'!$D$20="NO","",IF('Marks Entry'!AS122="","",'Marks Entry'!AS122))</f>
        <v/>
      </c>
      <c r="CV122" s="68" t="str">
        <f>IF('School Profile'!$D$20="NO","",IF('Marks Entry'!AT122="","",'Marks Entry'!AT122))</f>
        <v/>
      </c>
      <c r="CW122" s="514" t="str">
        <f>IF('School Profile'!$D$20="NO","",IF(AND(CT122="",CU122="",CV122=""),"",SUM(CT122:CV122)))</f>
        <v/>
      </c>
      <c r="CX122" s="68" t="str">
        <f>IF('School Profile'!$D$20="NO","",IF('Marks Entry'!AU122="","",'Marks Entry'!AU122))</f>
        <v/>
      </c>
      <c r="CY122" s="68" t="str">
        <f>IF('School Profile'!$D$20="NO","",IF('Marks Entry'!AV122="","",'Marks Entry'!AV122))</f>
        <v/>
      </c>
      <c r="CZ122" s="515" t="str">
        <f>IF('School Profile'!$D$20="NO","",IF(AND(CX122="",CY122=""),"",SUM(CX122,CY122)))</f>
        <v/>
      </c>
      <c r="DA122" s="69" t="str">
        <f>IF('School Profile'!$D$20="NO","",IF(AND(CW122="",CZ122=""),"",SUM(CW122+CZ122)))</f>
        <v/>
      </c>
      <c r="DB122" s="68" t="str">
        <f>IF('School Profile'!$D$20="NO","",IF('Marks Entry'!AW122="","",'Marks Entry'!AW122))</f>
        <v/>
      </c>
      <c r="DC122" s="68" t="str">
        <f>IF('School Profile'!$D$20="NO","",IF('Marks Entry'!AX122="","",'Marks Entry'!AX122))</f>
        <v/>
      </c>
      <c r="DD122" s="515" t="str">
        <f>IF('School Profile'!$D$20="NO","",IF(AND(DB122="",DC122=""),"",SUM(DB122,DC122)))</f>
        <v/>
      </c>
      <c r="DE122" s="96" t="str">
        <f>IF('School Profile'!$D$20="NO","",IF(AND(DA122="",DD122=""),"",SUM(DA122,DD122)))</f>
        <v/>
      </c>
      <c r="DF122" s="532">
        <f t="shared" si="219"/>
        <v>0</v>
      </c>
      <c r="DG122" s="65">
        <f t="shared" si="220"/>
        <v>0</v>
      </c>
      <c r="DH122" s="66" t="str">
        <f t="shared" si="221"/>
        <v/>
      </c>
      <c r="DI122" s="65" t="str">
        <f t="shared" si="222"/>
        <v/>
      </c>
      <c r="DJ122" s="65" t="str">
        <f t="shared" si="223"/>
        <v/>
      </c>
      <c r="DK122" s="65" t="str">
        <f t="shared" si="224"/>
        <v/>
      </c>
      <c r="DL122" s="97" t="str">
        <f t="shared" si="264"/>
        <v/>
      </c>
      <c r="DM122" s="97" t="str">
        <f t="shared" si="265"/>
        <v/>
      </c>
      <c r="DN122" s="97" t="str">
        <f t="shared" si="266"/>
        <v/>
      </c>
      <c r="DO122" s="97" t="str">
        <f t="shared" si="267"/>
        <v/>
      </c>
      <c r="DP122" s="97" t="str">
        <f t="shared" si="268"/>
        <v/>
      </c>
      <c r="DQ122" s="97" t="str">
        <f t="shared" si="269"/>
        <v/>
      </c>
      <c r="DR122" s="97" t="str">
        <f t="shared" si="270"/>
        <v/>
      </c>
      <c r="DS122" s="98">
        <f t="shared" si="271"/>
        <v>0</v>
      </c>
      <c r="DT122" s="98">
        <f t="shared" si="272"/>
        <v>0</v>
      </c>
      <c r="DU122" s="98">
        <f t="shared" si="273"/>
        <v>0</v>
      </c>
      <c r="DV122" s="98">
        <f t="shared" si="274"/>
        <v>0</v>
      </c>
      <c r="DW122" s="98">
        <f t="shared" si="275"/>
        <v>0</v>
      </c>
      <c r="DX122" s="98" t="str">
        <f t="shared" si="276"/>
        <v/>
      </c>
      <c r="DY122" s="99" t="str">
        <f t="shared" si="277"/>
        <v/>
      </c>
      <c r="DZ122" s="74" t="str">
        <f>IF('Marks Entry'!AY122="","",'Marks Entry'!AY122)</f>
        <v/>
      </c>
      <c r="EA122" s="74" t="str">
        <f>IF('Marks Entry'!AZ122="","",'Marks Entry'!AZ122)</f>
        <v/>
      </c>
      <c r="EB122" s="74" t="str">
        <f>IF('Marks Entry'!BA122="","",'Marks Entry'!BA122)</f>
        <v/>
      </c>
      <c r="EC122" s="527" t="str">
        <f t="shared" si="225"/>
        <v/>
      </c>
      <c r="ED122" s="74" t="str">
        <f>IF('Marks Entry'!BB122="","",'Marks Entry'!BB122)</f>
        <v/>
      </c>
      <c r="EE122" s="528" t="str">
        <f t="shared" si="226"/>
        <v/>
      </c>
      <c r="EF122" s="74" t="str">
        <f>IF('Marks Entry'!BC122="","",'Marks Entry'!BC122)</f>
        <v/>
      </c>
      <c r="EG122" s="530" t="str">
        <f t="shared" si="227"/>
        <v/>
      </c>
      <c r="EH122" s="368" t="str">
        <f t="shared" si="278"/>
        <v/>
      </c>
      <c r="EI122" s="65">
        <f t="shared" si="279"/>
        <v>0</v>
      </c>
      <c r="EJ122" s="65">
        <f t="shared" si="280"/>
        <v>0</v>
      </c>
      <c r="EK122" s="66" t="str">
        <f t="shared" si="281"/>
        <v/>
      </c>
      <c r="EL122" s="74" t="str">
        <f>IF('Marks Entry'!BD122="","",'Marks Entry'!BD122)</f>
        <v/>
      </c>
      <c r="EM122" s="74" t="str">
        <f>IF('Marks Entry'!BE122="","",'Marks Entry'!BE122)</f>
        <v/>
      </c>
      <c r="EN122" s="74" t="str">
        <f>IF('Marks Entry'!BF122="","",'Marks Entry'!BF122)</f>
        <v/>
      </c>
      <c r="EO122" s="527" t="str">
        <f t="shared" si="228"/>
        <v/>
      </c>
      <c r="EP122" s="74" t="str">
        <f>IF('Marks Entry'!BG122="","",'Marks Entry'!BG122)</f>
        <v/>
      </c>
      <c r="EQ122" s="74" t="str">
        <f>IF('Marks Entry'!BH122="","",'Marks Entry'!BH122)</f>
        <v/>
      </c>
      <c r="ER122" s="528" t="str">
        <f t="shared" si="229"/>
        <v/>
      </c>
      <c r="ES122" s="529" t="str">
        <f t="shared" si="230"/>
        <v/>
      </c>
      <c r="ET122" s="74" t="str">
        <f>IF('Marks Entry'!BI122="","",'Marks Entry'!BI122)</f>
        <v/>
      </c>
      <c r="EU122" s="74" t="str">
        <f>IF('Marks Entry'!BJ122="","",'Marks Entry'!BJ122)</f>
        <v/>
      </c>
      <c r="EV122" s="528" t="str">
        <f t="shared" si="231"/>
        <v/>
      </c>
      <c r="EW122" s="530" t="str">
        <f t="shared" si="232"/>
        <v/>
      </c>
      <c r="EX122" s="368" t="str">
        <f t="shared" si="282"/>
        <v/>
      </c>
      <c r="EY122" s="65">
        <f t="shared" si="283"/>
        <v>0</v>
      </c>
      <c r="EZ122" s="65">
        <f t="shared" si="284"/>
        <v>0</v>
      </c>
      <c r="FA122" s="66" t="str">
        <f t="shared" si="285"/>
        <v/>
      </c>
      <c r="FB122" s="74" t="str">
        <f>IF('Marks Entry'!BK122="","",'Marks Entry'!BK122)</f>
        <v/>
      </c>
      <c r="FC122" s="74" t="str">
        <f>IF('Marks Entry'!BL122="","",'Marks Entry'!BL122)</f>
        <v/>
      </c>
      <c r="FD122" s="74" t="str">
        <f>IF('Marks Entry'!BM122="","",'Marks Entry'!BM122)</f>
        <v/>
      </c>
      <c r="FE122" s="74" t="str">
        <f>IF('Marks Entry'!BN122="","",'Marks Entry'!BN122)</f>
        <v/>
      </c>
      <c r="FF122" s="74" t="str">
        <f>IF('Marks Entry'!BO122="","",'Marks Entry'!BO122)</f>
        <v/>
      </c>
      <c r="FG122" s="74" t="str">
        <f>IF('Marks Entry'!BP122="","",'Marks Entry'!BP122)</f>
        <v/>
      </c>
      <c r="FH122" s="527" t="str">
        <f t="shared" si="233"/>
        <v/>
      </c>
      <c r="FI122" s="74" t="str">
        <f>IF('Marks Entry'!BQ122="","",'Marks Entry'!BQ122)</f>
        <v/>
      </c>
      <c r="FJ122" s="74" t="str">
        <f>IF('Marks Entry'!BR122="","",'Marks Entry'!BR122)</f>
        <v/>
      </c>
      <c r="FK122" s="528" t="str">
        <f t="shared" si="234"/>
        <v/>
      </c>
      <c r="FL122" s="529" t="str">
        <f t="shared" si="235"/>
        <v/>
      </c>
      <c r="FM122" s="74" t="str">
        <f>IF('Marks Entry'!BS122="","",'Marks Entry'!BS122)</f>
        <v/>
      </c>
      <c r="FN122" s="74" t="str">
        <f>IF('Marks Entry'!BT122="","",'Marks Entry'!BT122)</f>
        <v/>
      </c>
      <c r="FO122" s="528" t="str">
        <f t="shared" si="236"/>
        <v/>
      </c>
      <c r="FP122" s="530" t="str">
        <f t="shared" si="237"/>
        <v/>
      </c>
      <c r="FQ122" s="368" t="str">
        <f t="shared" si="286"/>
        <v/>
      </c>
      <c r="FR122" s="65">
        <f t="shared" si="287"/>
        <v>0</v>
      </c>
      <c r="FS122" s="65">
        <f t="shared" si="288"/>
        <v>0</v>
      </c>
      <c r="FT122" s="66" t="str">
        <f t="shared" si="289"/>
        <v/>
      </c>
      <c r="FU122" s="74" t="str">
        <f>IF('Marks Entry'!BU122="","",'Marks Entry'!BU122)</f>
        <v/>
      </c>
      <c r="FV122" s="74" t="str">
        <f>IF('Marks Entry'!BV122="","",'Marks Entry'!BV122)</f>
        <v/>
      </c>
      <c r="FW122" s="74" t="str">
        <f>IF('Marks Entry'!BW122="","",'Marks Entry'!BW122)</f>
        <v/>
      </c>
      <c r="FX122" s="75" t="str">
        <f t="shared" si="238"/>
        <v/>
      </c>
      <c r="FY122" s="368" t="str">
        <f t="shared" si="290"/>
        <v/>
      </c>
      <c r="FZ122" s="65">
        <f t="shared" si="291"/>
        <v>0</v>
      </c>
      <c r="GA122" s="66">
        <f t="shared" si="292"/>
        <v>0</v>
      </c>
      <c r="GB122" s="66" t="str">
        <f t="shared" si="293"/>
        <v/>
      </c>
      <c r="GC122" s="74" t="str">
        <f>IF('Marks Entry'!BX122="","",'Marks Entry'!BX122)</f>
        <v/>
      </c>
      <c r="GD122" s="74" t="str">
        <f>IF('Marks Entry'!BY122="","",'Marks Entry'!BY122)</f>
        <v/>
      </c>
      <c r="GE122" s="74" t="str">
        <f>IF('Marks Entry'!BZ122="","",'Marks Entry'!BZ122)</f>
        <v/>
      </c>
      <c r="GF122" s="75" t="str">
        <f t="shared" si="294"/>
        <v/>
      </c>
      <c r="GG122" s="368" t="str">
        <f t="shared" si="295"/>
        <v/>
      </c>
      <c r="GH122" s="65">
        <f t="shared" si="296"/>
        <v>0</v>
      </c>
      <c r="GI122" s="66">
        <f t="shared" si="297"/>
        <v>0</v>
      </c>
      <c r="GJ122" s="66" t="str">
        <f t="shared" si="298"/>
        <v/>
      </c>
      <c r="GK122" s="100" t="str">
        <f>IF(AND(F122="",B122=""),"",IF('Student DATA Entry'!M119="","",'Student DATA Entry'!M119))</f>
        <v/>
      </c>
      <c r="GL122" s="101" t="str">
        <f>IF(AND(B122="",F122=""),"",IF('Student DATA Entry'!N119="","",'Student DATA Entry'!N119))</f>
        <v/>
      </c>
      <c r="GM122" s="581" t="str">
        <f t="shared" si="299"/>
        <v/>
      </c>
      <c r="GN122" s="94" t="str">
        <f t="shared" si="300"/>
        <v/>
      </c>
      <c r="GO122" s="94" t="str">
        <f t="shared" si="301"/>
        <v/>
      </c>
      <c r="GP122" s="102" t="str">
        <f t="shared" si="330"/>
        <v/>
      </c>
      <c r="GQ122" s="94" t="str">
        <f t="shared" si="302"/>
        <v/>
      </c>
      <c r="GR122" s="103" t="str">
        <f t="shared" si="303"/>
        <v/>
      </c>
      <c r="GS122" s="102" t="str">
        <f t="shared" si="331"/>
        <v/>
      </c>
      <c r="GT122" s="104" t="str">
        <f t="shared" si="304"/>
        <v/>
      </c>
      <c r="GU122" s="94" t="str">
        <f>IF('Marks Entry'!V122=1,GT122,"")</f>
        <v/>
      </c>
      <c r="GV122" s="94" t="str">
        <f>IF('Marks Entry'!V122=2,GT122,"")</f>
        <v/>
      </c>
      <c r="GW122" s="94" t="str">
        <f>IF('Marks Entry'!V122=3,GT122,"")</f>
        <v/>
      </c>
      <c r="GX122" s="94" t="str">
        <f>IF('Marks Entry'!V122=4,GT122,"")</f>
        <v/>
      </c>
      <c r="GY122" s="94" t="str">
        <f>IF('Marks Entry'!V122=5,GT122,"")</f>
        <v/>
      </c>
      <c r="GZ122" s="94" t="str">
        <f t="shared" si="305"/>
        <v/>
      </c>
      <c r="HA122" s="105" t="str">
        <f t="shared" si="332"/>
        <v/>
      </c>
      <c r="HB122" s="94" t="str">
        <f t="shared" si="306"/>
        <v/>
      </c>
      <c r="HC122" s="94" t="str">
        <f t="shared" si="307"/>
        <v/>
      </c>
      <c r="HD122" s="105" t="str">
        <f t="shared" si="333"/>
        <v/>
      </c>
      <c r="HE122" s="94" t="str">
        <f t="shared" si="308"/>
        <v/>
      </c>
      <c r="HF122" s="94" t="str">
        <f t="shared" si="309"/>
        <v/>
      </c>
      <c r="HG122" s="105" t="str">
        <f t="shared" si="334"/>
        <v/>
      </c>
      <c r="HH122" s="94" t="str">
        <f t="shared" si="310"/>
        <v/>
      </c>
      <c r="HI122" s="94" t="str">
        <f t="shared" si="311"/>
        <v/>
      </c>
      <c r="HJ122" s="105" t="str">
        <f t="shared" si="335"/>
        <v/>
      </c>
      <c r="HK122" s="94" t="str">
        <f t="shared" si="312"/>
        <v/>
      </c>
      <c r="HL122" s="94" t="str">
        <f t="shared" si="313"/>
        <v/>
      </c>
      <c r="HM122" s="105" t="str">
        <f t="shared" si="336"/>
        <v/>
      </c>
      <c r="HN122" s="367" t="str">
        <f t="shared" si="314"/>
        <v xml:space="preserve">      </v>
      </c>
      <c r="HO122" s="418" t="str">
        <f t="shared" si="337"/>
        <v xml:space="preserve">      </v>
      </c>
      <c r="HP122" s="367" t="str">
        <f t="shared" si="315"/>
        <v xml:space="preserve">      </v>
      </c>
      <c r="HQ122" s="107" t="str">
        <f t="shared" si="316"/>
        <v xml:space="preserve">      </v>
      </c>
      <c r="HR122" s="366" t="str">
        <f t="shared" si="317"/>
        <v xml:space="preserve">      </v>
      </c>
      <c r="HS122" s="544" t="str">
        <f t="shared" si="338"/>
        <v/>
      </c>
      <c r="HT122" s="542" t="str">
        <f t="shared" si="318"/>
        <v/>
      </c>
      <c r="HU122" s="541" t="str">
        <f t="shared" si="319"/>
        <v/>
      </c>
      <c r="HV122" s="540" t="str">
        <f t="shared" si="320"/>
        <v/>
      </c>
      <c r="HW122" s="537" t="str">
        <f t="shared" si="321"/>
        <v/>
      </c>
      <c r="HX122" s="539" t="str">
        <f t="shared" si="322"/>
        <v/>
      </c>
      <c r="HY122" s="553" t="str">
        <f>IFERROR(IF(OR(HS122="SUPPLEMENTARY",HS122="RE-EXAM"),'Supp. Result Entry'!AQ120,""),"")</f>
        <v/>
      </c>
      <c r="HZ122" s="538" t="str">
        <f t="shared" si="323"/>
        <v/>
      </c>
      <c r="IA122" s="415" t="str">
        <f t="shared" si="324"/>
        <v/>
      </c>
      <c r="IB122" s="415" t="str">
        <f>IF(AND(HZ122="",IA122=""),"",IF(OR(HS122="SUPPLEMENTARY",HS122="RE-EXAM"),'Supp. Result Entry'!AQ120,HS122))</f>
        <v/>
      </c>
      <c r="IC122" s="87"/>
      <c r="IS122" s="109" t="str">
        <f>IF('Supp. Result Entry'!T120="","",'Supp. Result Entry'!$T$4)</f>
        <v/>
      </c>
      <c r="IT122" s="110" t="str">
        <f>IF('Supp. Result Entry'!W120="","",'Supp. Result Entry'!$W$4)</f>
        <v/>
      </c>
      <c r="IU122" s="110" t="str">
        <f>IF('Supp. Result Entry'!Z120="","",'Supp. Result Entry'!$Z$4)</f>
        <v/>
      </c>
      <c r="IV122" s="110" t="str">
        <f>IF('Supp. Result Entry'!AC120="","",'Supp. Result Entry'!$AC$4)</f>
        <v/>
      </c>
      <c r="IW122" s="110" t="str">
        <f>IF('Supp. Result Entry'!AF120="","",'Supp. Result Entry'!$AF$4)</f>
        <v/>
      </c>
      <c r="IX122" s="110" t="str">
        <f>IF('Supp. Result Entry'!AI120="","",'Supp. Result Entry'!$AI$4)</f>
        <v/>
      </c>
      <c r="IY122" s="110" t="str">
        <f>IF('Supp. Result Entry'!AI120="","",'Supp. Result Entry'!$AL$4)</f>
        <v/>
      </c>
      <c r="IZ122" s="110" t="str">
        <f>IF('Supp. Result Entry'!U120="","",'Supp. Result Entry'!U120)</f>
        <v/>
      </c>
      <c r="JA122" s="110" t="str">
        <f>IF('Supp. Result Entry'!X120="","",'Supp. Result Entry'!X120)</f>
        <v/>
      </c>
      <c r="JB122" s="110" t="str">
        <f>IF('Supp. Result Entry'!AA120="","",'Supp. Result Entry'!AA120)</f>
        <v/>
      </c>
      <c r="JC122" s="110" t="str">
        <f>IF('Supp. Result Entry'!AD120="","",'Supp. Result Entry'!AD120)</f>
        <v/>
      </c>
      <c r="JD122" s="110" t="str">
        <f>IF('Supp. Result Entry'!AG120="","",'Supp. Result Entry'!AG120)</f>
        <v/>
      </c>
      <c r="JE122" s="110" t="str">
        <f>IF('Supp. Result Entry'!AJ120="","",'Supp. Result Entry'!AJ120)</f>
        <v/>
      </c>
      <c r="JF122" s="110" t="str">
        <f>IF('Supp. Result Entry'!AM120="","",'Supp. Result Entry'!AM120)</f>
        <v/>
      </c>
      <c r="JG122" s="110" t="str">
        <f>IF('Supp. Result Entry'!V120="","",'Supp. Result Entry'!V120)</f>
        <v/>
      </c>
      <c r="JH122" s="110" t="str">
        <f>IF('Supp. Result Entry'!Y120="","",'Supp. Result Entry'!Y120)</f>
        <v/>
      </c>
      <c r="JI122" s="110" t="str">
        <f>IF('Supp. Result Entry'!AB120="","",'Supp. Result Entry'!AB120)</f>
        <v/>
      </c>
      <c r="JJ122" s="110" t="str">
        <f>IF('Supp. Result Entry'!AE120="","",'Supp. Result Entry'!AE120)</f>
        <v/>
      </c>
      <c r="JK122" s="110" t="str">
        <f>IF('Supp. Result Entry'!AH120="","",'Supp. Result Entry'!AH120)</f>
        <v/>
      </c>
      <c r="JL122" s="110" t="str">
        <f>IF('Supp. Result Entry'!AK120="","",'Supp. Result Entry'!AK120)</f>
        <v/>
      </c>
      <c r="JM122" s="110" t="str">
        <f>IF('Supp. Result Entry'!AN120="","",'Supp. Result Entry'!AN120)</f>
        <v/>
      </c>
      <c r="JN122" s="110">
        <f>COUNTIF('Supp. Result Entry'!K120:Q120,"S")</f>
        <v>0</v>
      </c>
      <c r="JO122" s="110">
        <f t="shared" si="248"/>
        <v>0</v>
      </c>
      <c r="JP122" s="110">
        <f t="shared" si="325"/>
        <v>0</v>
      </c>
      <c r="JQ122" s="110" t="str">
        <f t="shared" si="249"/>
        <v/>
      </c>
      <c r="JR122" s="110" t="str">
        <f t="shared" si="250"/>
        <v/>
      </c>
      <c r="JS122" s="110" t="str">
        <f t="shared" si="251"/>
        <v/>
      </c>
      <c r="JT122" s="110" t="str">
        <f t="shared" si="252"/>
        <v/>
      </c>
      <c r="JU122" s="110" t="str">
        <f t="shared" si="253"/>
        <v/>
      </c>
      <c r="JV122" s="110" t="str">
        <f t="shared" si="254"/>
        <v/>
      </c>
      <c r="JW122" s="110" t="str">
        <f t="shared" si="255"/>
        <v/>
      </c>
      <c r="JX122" s="110" t="str">
        <f t="shared" si="326"/>
        <v/>
      </c>
      <c r="JY122" s="110" t="str">
        <f t="shared" si="327"/>
        <v/>
      </c>
      <c r="JZ122" s="110" t="str">
        <f t="shared" si="256"/>
        <v/>
      </c>
      <c r="KA122" s="108" t="str">
        <f t="shared" si="328"/>
        <v/>
      </c>
    </row>
    <row r="123" spans="1:287" s="108" customFormat="1" ht="21.95" customHeight="1">
      <c r="A123" s="89">
        <v>117</v>
      </c>
      <c r="B123" s="90" t="str">
        <f>IF('Marks Entry'!B123="","",'Marks Entry'!B123)</f>
        <v/>
      </c>
      <c r="C123" s="94" t="str">
        <f>IF('Marks Entry'!D123="","",'Marks Entry'!D123)</f>
        <v/>
      </c>
      <c r="D123" s="91" t="str">
        <f>IF('Marks Entry'!E123="","",'Marks Entry'!E123)</f>
        <v/>
      </c>
      <c r="E123" s="92" t="str">
        <f>IF('Marks Entry'!F123="","",'Marks Entry'!F123)</f>
        <v/>
      </c>
      <c r="F123" s="93" t="str">
        <f>IF('Marks Entry'!G123="","",'Marks Entry'!G123)</f>
        <v/>
      </c>
      <c r="G123" s="93" t="str">
        <f>IF('Marks Entry'!H123="","",'Marks Entry'!H123)</f>
        <v/>
      </c>
      <c r="H123" s="93" t="str">
        <f>IF('Marks Entry'!I123="","",'Marks Entry'!I123)</f>
        <v/>
      </c>
      <c r="I123" s="94" t="str">
        <f>IF('Marks Entry'!J123="","",'Marks Entry'!J123)</f>
        <v/>
      </c>
      <c r="J123" s="95" t="str">
        <f>IF('Marks Entry'!K123="","",'Marks Entry'!K123)</f>
        <v/>
      </c>
      <c r="K123" s="68" t="str">
        <f>IF('Marks Entry'!L123="","",'Marks Entry'!L123)</f>
        <v/>
      </c>
      <c r="L123" s="68" t="str">
        <f>IF('Marks Entry'!M123="","",'Marks Entry'!M123)</f>
        <v/>
      </c>
      <c r="M123" s="68" t="str">
        <f>IF('Marks Entry'!N123="","",'Marks Entry'!N123)</f>
        <v/>
      </c>
      <c r="N123" s="514" t="str">
        <f t="shared" si="257"/>
        <v/>
      </c>
      <c r="O123" s="68" t="str">
        <f>IF('Marks Entry'!O123="","",'Marks Entry'!O123)</f>
        <v/>
      </c>
      <c r="P123" s="515" t="str">
        <f t="shared" si="258"/>
        <v/>
      </c>
      <c r="Q123" s="68" t="str">
        <f>IF('Marks Entry'!P123="","",'Marks Entry'!P123)</f>
        <v/>
      </c>
      <c r="R123" s="96" t="str">
        <f t="shared" si="259"/>
        <v/>
      </c>
      <c r="S123" s="65">
        <f t="shared" si="260"/>
        <v>0</v>
      </c>
      <c r="T123" s="65">
        <f t="shared" si="261"/>
        <v>0</v>
      </c>
      <c r="U123" s="66" t="str">
        <f t="shared" si="171"/>
        <v/>
      </c>
      <c r="V123" s="65" t="str">
        <f t="shared" si="172"/>
        <v/>
      </c>
      <c r="W123" s="65" t="str">
        <f t="shared" si="262"/>
        <v/>
      </c>
      <c r="X123" s="65" t="str">
        <f t="shared" si="173"/>
        <v/>
      </c>
      <c r="Y123" s="68" t="str">
        <f>IF('Marks Entry'!Q123="","",'Marks Entry'!Q123)</f>
        <v/>
      </c>
      <c r="Z123" s="68" t="str">
        <f>IF('Marks Entry'!R123="","",'Marks Entry'!R123)</f>
        <v/>
      </c>
      <c r="AA123" s="68" t="str">
        <f>IF('Marks Entry'!S123="","",'Marks Entry'!S123)</f>
        <v/>
      </c>
      <c r="AB123" s="514" t="str">
        <f t="shared" si="174"/>
        <v/>
      </c>
      <c r="AC123" s="68" t="str">
        <f>IF('Marks Entry'!T123="","",'Marks Entry'!T123)</f>
        <v/>
      </c>
      <c r="AD123" s="515" t="str">
        <f t="shared" si="175"/>
        <v/>
      </c>
      <c r="AE123" s="68" t="str">
        <f>IF('Marks Entry'!U123="","",'Marks Entry'!U123)</f>
        <v/>
      </c>
      <c r="AF123" s="96" t="str">
        <f t="shared" si="176"/>
        <v/>
      </c>
      <c r="AG123" s="65">
        <f t="shared" si="177"/>
        <v>0</v>
      </c>
      <c r="AH123" s="65">
        <f t="shared" si="178"/>
        <v>0</v>
      </c>
      <c r="AI123" s="66" t="str">
        <f t="shared" si="179"/>
        <v/>
      </c>
      <c r="AJ123" s="65" t="str">
        <f t="shared" si="180"/>
        <v/>
      </c>
      <c r="AK123" s="65" t="str">
        <f t="shared" si="181"/>
        <v/>
      </c>
      <c r="AL123" s="65" t="str">
        <f t="shared" si="182"/>
        <v/>
      </c>
      <c r="AM123" s="524" t="str">
        <f>IF('Marks Entry'!V123="","",IF('Marks Entry'!V123=1,'School Profile'!$I$9,IF('Marks Entry'!V123=2,'School Profile'!$I$10,IF('Marks Entry'!V123=3,'School Profile'!$I$11,IF('Marks Entry'!V123=4,'School Profile'!$I$12,IF('Marks Entry'!V123=5,'School Profile'!$I$13,IF('Marks Entry'!V123=6,'School Profile'!$I$14,"")))))))</f>
        <v/>
      </c>
      <c r="AN123" s="68" t="str">
        <f>IF('Marks Entry'!W123="","",'Marks Entry'!W123)</f>
        <v/>
      </c>
      <c r="AO123" s="68" t="str">
        <f>IF('Marks Entry'!X123="","",'Marks Entry'!X123)</f>
        <v/>
      </c>
      <c r="AP123" s="68" t="str">
        <f>IF('Marks Entry'!Y123="","",'Marks Entry'!Y123)</f>
        <v/>
      </c>
      <c r="AQ123" s="514" t="str">
        <f t="shared" si="183"/>
        <v/>
      </c>
      <c r="AR123" s="68" t="str">
        <f>IF('Marks Entry'!Z123="","",'Marks Entry'!Z123)</f>
        <v/>
      </c>
      <c r="AS123" s="515" t="str">
        <f t="shared" si="184"/>
        <v/>
      </c>
      <c r="AT123" s="68" t="str">
        <f>IF('Marks Entry'!AA123="","",'Marks Entry'!AA123)</f>
        <v/>
      </c>
      <c r="AU123" s="96" t="str">
        <f t="shared" si="185"/>
        <v/>
      </c>
      <c r="AV123" s="65">
        <f t="shared" si="186"/>
        <v>0</v>
      </c>
      <c r="AW123" s="65">
        <f t="shared" si="187"/>
        <v>0</v>
      </c>
      <c r="AX123" s="66" t="str">
        <f t="shared" si="188"/>
        <v/>
      </c>
      <c r="AY123" s="65" t="str">
        <f t="shared" si="189"/>
        <v/>
      </c>
      <c r="AZ123" s="65" t="str">
        <f t="shared" si="190"/>
        <v/>
      </c>
      <c r="BA123" s="65" t="str">
        <f t="shared" si="191"/>
        <v/>
      </c>
      <c r="BB123" s="68" t="str">
        <f>IF('Marks Entry'!AB123="","",'Marks Entry'!AB123)</f>
        <v/>
      </c>
      <c r="BC123" s="68" t="str">
        <f>IF('Marks Entry'!AC123="","",'Marks Entry'!AC123)</f>
        <v/>
      </c>
      <c r="BD123" s="68" t="str">
        <f>IF('Marks Entry'!AD123="","",'Marks Entry'!AD123)</f>
        <v/>
      </c>
      <c r="BE123" s="514" t="str">
        <f t="shared" si="192"/>
        <v/>
      </c>
      <c r="BF123" s="68" t="str">
        <f>IF('Marks Entry'!AE123="","",'Marks Entry'!AE123)</f>
        <v/>
      </c>
      <c r="BG123" s="515" t="str">
        <f t="shared" si="193"/>
        <v/>
      </c>
      <c r="BH123" s="68" t="str">
        <f>IF('Marks Entry'!AF123="","",'Marks Entry'!AF123)</f>
        <v/>
      </c>
      <c r="BI123" s="96" t="str">
        <f t="shared" si="194"/>
        <v/>
      </c>
      <c r="BJ123" s="65">
        <f t="shared" si="195"/>
        <v>0</v>
      </c>
      <c r="BK123" s="65">
        <f t="shared" si="263"/>
        <v>0</v>
      </c>
      <c r="BL123" s="66" t="str">
        <f t="shared" si="196"/>
        <v/>
      </c>
      <c r="BM123" s="65" t="str">
        <f t="shared" si="197"/>
        <v/>
      </c>
      <c r="BN123" s="65" t="str">
        <f t="shared" si="198"/>
        <v/>
      </c>
      <c r="BO123" s="65" t="str">
        <f t="shared" si="199"/>
        <v/>
      </c>
      <c r="BP123" s="68" t="str">
        <f>IF('Marks Entry'!AG123="","",'Marks Entry'!AG123)</f>
        <v/>
      </c>
      <c r="BQ123" s="68" t="str">
        <f>IF('Marks Entry'!AH123="","",'Marks Entry'!AH123)</f>
        <v/>
      </c>
      <c r="BR123" s="68" t="str">
        <f>IF('Marks Entry'!AI123="","",'Marks Entry'!AI123)</f>
        <v/>
      </c>
      <c r="BS123" s="514" t="str">
        <f t="shared" si="200"/>
        <v/>
      </c>
      <c r="BT123" s="68" t="str">
        <f>IF('Marks Entry'!AJ123="","",'Marks Entry'!AJ123)</f>
        <v/>
      </c>
      <c r="BU123" s="515" t="str">
        <f t="shared" si="201"/>
        <v/>
      </c>
      <c r="BV123" s="68" t="str">
        <f>IF('Marks Entry'!AK123="","",'Marks Entry'!AK123)</f>
        <v/>
      </c>
      <c r="BW123" s="96" t="str">
        <f t="shared" si="202"/>
        <v/>
      </c>
      <c r="BX123" s="65">
        <f t="shared" si="203"/>
        <v>0</v>
      </c>
      <c r="BY123" s="65">
        <f t="shared" si="204"/>
        <v>0</v>
      </c>
      <c r="BZ123" s="66" t="str">
        <f t="shared" si="205"/>
        <v/>
      </c>
      <c r="CA123" s="65" t="str">
        <f t="shared" si="206"/>
        <v/>
      </c>
      <c r="CB123" s="65" t="str">
        <f t="shared" si="207"/>
        <v/>
      </c>
      <c r="CC123" s="65" t="str">
        <f t="shared" si="208"/>
        <v/>
      </c>
      <c r="CD123" s="66">
        <f t="shared" si="329"/>
        <v>0</v>
      </c>
      <c r="CE123" s="68" t="str">
        <f>IF('Marks Entry'!AL123="","",'Marks Entry'!AL123)</f>
        <v/>
      </c>
      <c r="CF123" s="68" t="str">
        <f>IF('Marks Entry'!AM123="","",'Marks Entry'!AM123)</f>
        <v/>
      </c>
      <c r="CG123" s="68" t="str">
        <f>IF('Marks Entry'!AN123="","",'Marks Entry'!AN123)</f>
        <v/>
      </c>
      <c r="CH123" s="514" t="str">
        <f t="shared" si="210"/>
        <v/>
      </c>
      <c r="CI123" s="68" t="str">
        <f>IF('Marks Entry'!AO123="","",'Marks Entry'!AO123)</f>
        <v/>
      </c>
      <c r="CJ123" s="515" t="str">
        <f t="shared" si="211"/>
        <v/>
      </c>
      <c r="CK123" s="68" t="str">
        <f>IF('Marks Entry'!AP123="","",'Marks Entry'!AP123)</f>
        <v/>
      </c>
      <c r="CL123" s="96" t="str">
        <f t="shared" si="212"/>
        <v/>
      </c>
      <c r="CM123" s="65">
        <f t="shared" si="213"/>
        <v>0</v>
      </c>
      <c r="CN123" s="65">
        <f t="shared" si="214"/>
        <v>0</v>
      </c>
      <c r="CO123" s="66" t="str">
        <f t="shared" si="215"/>
        <v/>
      </c>
      <c r="CP123" s="65" t="str">
        <f t="shared" si="216"/>
        <v/>
      </c>
      <c r="CQ123" s="65" t="str">
        <f t="shared" si="217"/>
        <v/>
      </c>
      <c r="CR123" s="65" t="str">
        <f t="shared" si="218"/>
        <v/>
      </c>
      <c r="CS123" s="616"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8" t="str">
        <f>IF('School Profile'!$D$20="NO","",IF('Marks Entry'!AR123="","",'Marks Entry'!AR123))</f>
        <v/>
      </c>
      <c r="CU123" s="68" t="str">
        <f>IF('School Profile'!$D$20="NO","",IF('Marks Entry'!AS123="","",'Marks Entry'!AS123))</f>
        <v/>
      </c>
      <c r="CV123" s="68" t="str">
        <f>IF('School Profile'!$D$20="NO","",IF('Marks Entry'!AT123="","",'Marks Entry'!AT123))</f>
        <v/>
      </c>
      <c r="CW123" s="514" t="str">
        <f>IF('School Profile'!$D$20="NO","",IF(AND(CT123="",CU123="",CV123=""),"",SUM(CT123:CV123)))</f>
        <v/>
      </c>
      <c r="CX123" s="68" t="str">
        <f>IF('School Profile'!$D$20="NO","",IF('Marks Entry'!AU123="","",'Marks Entry'!AU123))</f>
        <v/>
      </c>
      <c r="CY123" s="68" t="str">
        <f>IF('School Profile'!$D$20="NO","",IF('Marks Entry'!AV123="","",'Marks Entry'!AV123))</f>
        <v/>
      </c>
      <c r="CZ123" s="515" t="str">
        <f>IF('School Profile'!$D$20="NO","",IF(AND(CX123="",CY123=""),"",SUM(CX123,CY123)))</f>
        <v/>
      </c>
      <c r="DA123" s="69" t="str">
        <f>IF('School Profile'!$D$20="NO","",IF(AND(CW123="",CZ123=""),"",SUM(CW123+CZ123)))</f>
        <v/>
      </c>
      <c r="DB123" s="68" t="str">
        <f>IF('School Profile'!$D$20="NO","",IF('Marks Entry'!AW123="","",'Marks Entry'!AW123))</f>
        <v/>
      </c>
      <c r="DC123" s="68" t="str">
        <f>IF('School Profile'!$D$20="NO","",IF('Marks Entry'!AX123="","",'Marks Entry'!AX123))</f>
        <v/>
      </c>
      <c r="DD123" s="515" t="str">
        <f>IF('School Profile'!$D$20="NO","",IF(AND(DB123="",DC123=""),"",SUM(DB123,DC123)))</f>
        <v/>
      </c>
      <c r="DE123" s="96" t="str">
        <f>IF('School Profile'!$D$20="NO","",IF(AND(DA123="",DD123=""),"",SUM(DA123,DD123)))</f>
        <v/>
      </c>
      <c r="DF123" s="532">
        <f t="shared" si="219"/>
        <v>0</v>
      </c>
      <c r="DG123" s="65">
        <f t="shared" si="220"/>
        <v>0</v>
      </c>
      <c r="DH123" s="66" t="str">
        <f t="shared" si="221"/>
        <v/>
      </c>
      <c r="DI123" s="65" t="str">
        <f t="shared" si="222"/>
        <v/>
      </c>
      <c r="DJ123" s="65" t="str">
        <f t="shared" si="223"/>
        <v/>
      </c>
      <c r="DK123" s="65" t="str">
        <f t="shared" si="224"/>
        <v/>
      </c>
      <c r="DL123" s="97" t="str">
        <f t="shared" si="264"/>
        <v/>
      </c>
      <c r="DM123" s="97" t="str">
        <f t="shared" si="265"/>
        <v/>
      </c>
      <c r="DN123" s="97" t="str">
        <f t="shared" si="266"/>
        <v/>
      </c>
      <c r="DO123" s="97" t="str">
        <f t="shared" si="267"/>
        <v/>
      </c>
      <c r="DP123" s="97" t="str">
        <f t="shared" si="268"/>
        <v/>
      </c>
      <c r="DQ123" s="97" t="str">
        <f t="shared" si="269"/>
        <v/>
      </c>
      <c r="DR123" s="97" t="str">
        <f t="shared" si="270"/>
        <v/>
      </c>
      <c r="DS123" s="98">
        <f t="shared" si="271"/>
        <v>0</v>
      </c>
      <c r="DT123" s="98">
        <f t="shared" si="272"/>
        <v>0</v>
      </c>
      <c r="DU123" s="98">
        <f t="shared" si="273"/>
        <v>0</v>
      </c>
      <c r="DV123" s="98">
        <f t="shared" si="274"/>
        <v>0</v>
      </c>
      <c r="DW123" s="98">
        <f t="shared" si="275"/>
        <v>0</v>
      </c>
      <c r="DX123" s="98" t="str">
        <f t="shared" si="276"/>
        <v/>
      </c>
      <c r="DY123" s="99" t="str">
        <f t="shared" si="277"/>
        <v/>
      </c>
      <c r="DZ123" s="74" t="str">
        <f>IF('Marks Entry'!AY123="","",'Marks Entry'!AY123)</f>
        <v/>
      </c>
      <c r="EA123" s="74" t="str">
        <f>IF('Marks Entry'!AZ123="","",'Marks Entry'!AZ123)</f>
        <v/>
      </c>
      <c r="EB123" s="74" t="str">
        <f>IF('Marks Entry'!BA123="","",'Marks Entry'!BA123)</f>
        <v/>
      </c>
      <c r="EC123" s="527" t="str">
        <f t="shared" si="225"/>
        <v/>
      </c>
      <c r="ED123" s="74" t="str">
        <f>IF('Marks Entry'!BB123="","",'Marks Entry'!BB123)</f>
        <v/>
      </c>
      <c r="EE123" s="528" t="str">
        <f t="shared" si="226"/>
        <v/>
      </c>
      <c r="EF123" s="74" t="str">
        <f>IF('Marks Entry'!BC123="","",'Marks Entry'!BC123)</f>
        <v/>
      </c>
      <c r="EG123" s="530" t="str">
        <f t="shared" si="227"/>
        <v/>
      </c>
      <c r="EH123" s="368" t="str">
        <f t="shared" si="278"/>
        <v/>
      </c>
      <c r="EI123" s="65">
        <f t="shared" si="279"/>
        <v>0</v>
      </c>
      <c r="EJ123" s="65">
        <f t="shared" si="280"/>
        <v>0</v>
      </c>
      <c r="EK123" s="66" t="str">
        <f t="shared" si="281"/>
        <v/>
      </c>
      <c r="EL123" s="74" t="str">
        <f>IF('Marks Entry'!BD123="","",'Marks Entry'!BD123)</f>
        <v/>
      </c>
      <c r="EM123" s="74" t="str">
        <f>IF('Marks Entry'!BE123="","",'Marks Entry'!BE123)</f>
        <v/>
      </c>
      <c r="EN123" s="74" t="str">
        <f>IF('Marks Entry'!BF123="","",'Marks Entry'!BF123)</f>
        <v/>
      </c>
      <c r="EO123" s="527" t="str">
        <f t="shared" si="228"/>
        <v/>
      </c>
      <c r="EP123" s="74" t="str">
        <f>IF('Marks Entry'!BG123="","",'Marks Entry'!BG123)</f>
        <v/>
      </c>
      <c r="EQ123" s="74" t="str">
        <f>IF('Marks Entry'!BH123="","",'Marks Entry'!BH123)</f>
        <v/>
      </c>
      <c r="ER123" s="528" t="str">
        <f t="shared" si="229"/>
        <v/>
      </c>
      <c r="ES123" s="529" t="str">
        <f t="shared" si="230"/>
        <v/>
      </c>
      <c r="ET123" s="74" t="str">
        <f>IF('Marks Entry'!BI123="","",'Marks Entry'!BI123)</f>
        <v/>
      </c>
      <c r="EU123" s="74" t="str">
        <f>IF('Marks Entry'!BJ123="","",'Marks Entry'!BJ123)</f>
        <v/>
      </c>
      <c r="EV123" s="528" t="str">
        <f t="shared" si="231"/>
        <v/>
      </c>
      <c r="EW123" s="530" t="str">
        <f t="shared" si="232"/>
        <v/>
      </c>
      <c r="EX123" s="368" t="str">
        <f t="shared" si="282"/>
        <v/>
      </c>
      <c r="EY123" s="65">
        <f t="shared" si="283"/>
        <v>0</v>
      </c>
      <c r="EZ123" s="65">
        <f t="shared" si="284"/>
        <v>0</v>
      </c>
      <c r="FA123" s="66" t="str">
        <f t="shared" si="285"/>
        <v/>
      </c>
      <c r="FB123" s="74" t="str">
        <f>IF('Marks Entry'!BK123="","",'Marks Entry'!BK123)</f>
        <v/>
      </c>
      <c r="FC123" s="74" t="str">
        <f>IF('Marks Entry'!BL123="","",'Marks Entry'!BL123)</f>
        <v/>
      </c>
      <c r="FD123" s="74" t="str">
        <f>IF('Marks Entry'!BM123="","",'Marks Entry'!BM123)</f>
        <v/>
      </c>
      <c r="FE123" s="74" t="str">
        <f>IF('Marks Entry'!BN123="","",'Marks Entry'!BN123)</f>
        <v/>
      </c>
      <c r="FF123" s="74" t="str">
        <f>IF('Marks Entry'!BO123="","",'Marks Entry'!BO123)</f>
        <v/>
      </c>
      <c r="FG123" s="74" t="str">
        <f>IF('Marks Entry'!BP123="","",'Marks Entry'!BP123)</f>
        <v/>
      </c>
      <c r="FH123" s="527" t="str">
        <f t="shared" si="233"/>
        <v/>
      </c>
      <c r="FI123" s="74" t="str">
        <f>IF('Marks Entry'!BQ123="","",'Marks Entry'!BQ123)</f>
        <v/>
      </c>
      <c r="FJ123" s="74" t="str">
        <f>IF('Marks Entry'!BR123="","",'Marks Entry'!BR123)</f>
        <v/>
      </c>
      <c r="FK123" s="528" t="str">
        <f t="shared" si="234"/>
        <v/>
      </c>
      <c r="FL123" s="529" t="str">
        <f t="shared" si="235"/>
        <v/>
      </c>
      <c r="FM123" s="74" t="str">
        <f>IF('Marks Entry'!BS123="","",'Marks Entry'!BS123)</f>
        <v/>
      </c>
      <c r="FN123" s="74" t="str">
        <f>IF('Marks Entry'!BT123="","",'Marks Entry'!BT123)</f>
        <v/>
      </c>
      <c r="FO123" s="528" t="str">
        <f t="shared" si="236"/>
        <v/>
      </c>
      <c r="FP123" s="530" t="str">
        <f t="shared" si="237"/>
        <v/>
      </c>
      <c r="FQ123" s="368" t="str">
        <f t="shared" si="286"/>
        <v/>
      </c>
      <c r="FR123" s="65">
        <f t="shared" si="287"/>
        <v>0</v>
      </c>
      <c r="FS123" s="65">
        <f t="shared" si="288"/>
        <v>0</v>
      </c>
      <c r="FT123" s="66" t="str">
        <f t="shared" si="289"/>
        <v/>
      </c>
      <c r="FU123" s="74" t="str">
        <f>IF('Marks Entry'!BU123="","",'Marks Entry'!BU123)</f>
        <v/>
      </c>
      <c r="FV123" s="74" t="str">
        <f>IF('Marks Entry'!BV123="","",'Marks Entry'!BV123)</f>
        <v/>
      </c>
      <c r="FW123" s="74" t="str">
        <f>IF('Marks Entry'!BW123="","",'Marks Entry'!BW123)</f>
        <v/>
      </c>
      <c r="FX123" s="75" t="str">
        <f t="shared" si="238"/>
        <v/>
      </c>
      <c r="FY123" s="368" t="str">
        <f t="shared" si="290"/>
        <v/>
      </c>
      <c r="FZ123" s="65">
        <f t="shared" si="291"/>
        <v>0</v>
      </c>
      <c r="GA123" s="66">
        <f t="shared" si="292"/>
        <v>0</v>
      </c>
      <c r="GB123" s="66" t="str">
        <f t="shared" si="293"/>
        <v/>
      </c>
      <c r="GC123" s="74" t="str">
        <f>IF('Marks Entry'!BX123="","",'Marks Entry'!BX123)</f>
        <v/>
      </c>
      <c r="GD123" s="74" t="str">
        <f>IF('Marks Entry'!BY123="","",'Marks Entry'!BY123)</f>
        <v/>
      </c>
      <c r="GE123" s="74" t="str">
        <f>IF('Marks Entry'!BZ123="","",'Marks Entry'!BZ123)</f>
        <v/>
      </c>
      <c r="GF123" s="75" t="str">
        <f t="shared" si="294"/>
        <v/>
      </c>
      <c r="GG123" s="368" t="str">
        <f t="shared" si="295"/>
        <v/>
      </c>
      <c r="GH123" s="65">
        <f t="shared" si="296"/>
        <v>0</v>
      </c>
      <c r="GI123" s="66">
        <f t="shared" si="297"/>
        <v>0</v>
      </c>
      <c r="GJ123" s="66" t="str">
        <f t="shared" si="298"/>
        <v/>
      </c>
      <c r="GK123" s="100" t="str">
        <f>IF(AND(F123="",B123=""),"",IF('Student DATA Entry'!M120="","",'Student DATA Entry'!M120))</f>
        <v/>
      </c>
      <c r="GL123" s="101" t="str">
        <f>IF(AND(B123="",F123=""),"",IF('Student DATA Entry'!N120="","",'Student DATA Entry'!N120))</f>
        <v/>
      </c>
      <c r="GM123" s="581" t="str">
        <f t="shared" si="299"/>
        <v/>
      </c>
      <c r="GN123" s="94" t="str">
        <f t="shared" si="300"/>
        <v/>
      </c>
      <c r="GO123" s="94" t="str">
        <f t="shared" si="301"/>
        <v/>
      </c>
      <c r="GP123" s="102" t="str">
        <f t="shared" si="330"/>
        <v/>
      </c>
      <c r="GQ123" s="94" t="str">
        <f t="shared" si="302"/>
        <v/>
      </c>
      <c r="GR123" s="103" t="str">
        <f t="shared" si="303"/>
        <v/>
      </c>
      <c r="GS123" s="102" t="str">
        <f t="shared" si="331"/>
        <v/>
      </c>
      <c r="GT123" s="104" t="str">
        <f t="shared" si="304"/>
        <v/>
      </c>
      <c r="GU123" s="94" t="str">
        <f>IF('Marks Entry'!V123=1,GT123,"")</f>
        <v/>
      </c>
      <c r="GV123" s="94" t="str">
        <f>IF('Marks Entry'!V123=2,GT123,"")</f>
        <v/>
      </c>
      <c r="GW123" s="94" t="str">
        <f>IF('Marks Entry'!V123=3,GT123,"")</f>
        <v/>
      </c>
      <c r="GX123" s="94" t="str">
        <f>IF('Marks Entry'!V123=4,GT123,"")</f>
        <v/>
      </c>
      <c r="GY123" s="94" t="str">
        <f>IF('Marks Entry'!V123=5,GT123,"")</f>
        <v/>
      </c>
      <c r="GZ123" s="94" t="str">
        <f t="shared" si="305"/>
        <v/>
      </c>
      <c r="HA123" s="105" t="str">
        <f t="shared" si="332"/>
        <v/>
      </c>
      <c r="HB123" s="94" t="str">
        <f t="shared" si="306"/>
        <v/>
      </c>
      <c r="HC123" s="94" t="str">
        <f t="shared" si="307"/>
        <v/>
      </c>
      <c r="HD123" s="105" t="str">
        <f t="shared" si="333"/>
        <v/>
      </c>
      <c r="HE123" s="94" t="str">
        <f t="shared" si="308"/>
        <v/>
      </c>
      <c r="HF123" s="94" t="str">
        <f t="shared" si="309"/>
        <v/>
      </c>
      <c r="HG123" s="105" t="str">
        <f t="shared" si="334"/>
        <v/>
      </c>
      <c r="HH123" s="94" t="str">
        <f t="shared" si="310"/>
        <v/>
      </c>
      <c r="HI123" s="94" t="str">
        <f t="shared" si="311"/>
        <v/>
      </c>
      <c r="HJ123" s="105" t="str">
        <f t="shared" si="335"/>
        <v/>
      </c>
      <c r="HK123" s="94" t="str">
        <f t="shared" si="312"/>
        <v/>
      </c>
      <c r="HL123" s="94" t="str">
        <f t="shared" si="313"/>
        <v/>
      </c>
      <c r="HM123" s="105" t="str">
        <f t="shared" si="336"/>
        <v/>
      </c>
      <c r="HN123" s="367" t="str">
        <f t="shared" si="314"/>
        <v xml:space="preserve">      </v>
      </c>
      <c r="HO123" s="418" t="str">
        <f t="shared" si="337"/>
        <v xml:space="preserve">      </v>
      </c>
      <c r="HP123" s="367" t="str">
        <f t="shared" si="315"/>
        <v xml:space="preserve">      </v>
      </c>
      <c r="HQ123" s="107" t="str">
        <f t="shared" si="316"/>
        <v xml:space="preserve">      </v>
      </c>
      <c r="HR123" s="366" t="str">
        <f t="shared" si="317"/>
        <v xml:space="preserve">      </v>
      </c>
      <c r="HS123" s="544" t="str">
        <f t="shared" si="338"/>
        <v/>
      </c>
      <c r="HT123" s="542" t="str">
        <f t="shared" si="318"/>
        <v/>
      </c>
      <c r="HU123" s="541" t="str">
        <f t="shared" si="319"/>
        <v/>
      </c>
      <c r="HV123" s="540" t="str">
        <f t="shared" si="320"/>
        <v/>
      </c>
      <c r="HW123" s="537" t="str">
        <f t="shared" si="321"/>
        <v/>
      </c>
      <c r="HX123" s="539" t="str">
        <f t="shared" si="322"/>
        <v/>
      </c>
      <c r="HY123" s="553" t="str">
        <f>IFERROR(IF(OR(HS123="SUPPLEMENTARY",HS123="RE-EXAM"),'Supp. Result Entry'!AQ121,""),"")</f>
        <v/>
      </c>
      <c r="HZ123" s="538" t="str">
        <f t="shared" si="323"/>
        <v/>
      </c>
      <c r="IA123" s="415" t="str">
        <f t="shared" si="324"/>
        <v/>
      </c>
      <c r="IB123" s="415" t="str">
        <f>IF(AND(HZ123="",IA123=""),"",IF(OR(HS123="SUPPLEMENTARY",HS123="RE-EXAM"),'Supp. Result Entry'!AQ121,HS123))</f>
        <v/>
      </c>
      <c r="IC123" s="87"/>
      <c r="IS123" s="109" t="str">
        <f>IF('Supp. Result Entry'!T121="","",'Supp. Result Entry'!$T$4)</f>
        <v/>
      </c>
      <c r="IT123" s="110" t="str">
        <f>IF('Supp. Result Entry'!W121="","",'Supp. Result Entry'!$W$4)</f>
        <v/>
      </c>
      <c r="IU123" s="110" t="str">
        <f>IF('Supp. Result Entry'!Z121="","",'Supp. Result Entry'!$Z$4)</f>
        <v/>
      </c>
      <c r="IV123" s="110" t="str">
        <f>IF('Supp. Result Entry'!AC121="","",'Supp. Result Entry'!$AC$4)</f>
        <v/>
      </c>
      <c r="IW123" s="110" t="str">
        <f>IF('Supp. Result Entry'!AF121="","",'Supp. Result Entry'!$AF$4)</f>
        <v/>
      </c>
      <c r="IX123" s="110" t="str">
        <f>IF('Supp. Result Entry'!AI121="","",'Supp. Result Entry'!$AI$4)</f>
        <v/>
      </c>
      <c r="IY123" s="110" t="str">
        <f>IF('Supp. Result Entry'!AI121="","",'Supp. Result Entry'!$AL$4)</f>
        <v/>
      </c>
      <c r="IZ123" s="110" t="str">
        <f>IF('Supp. Result Entry'!U121="","",'Supp. Result Entry'!U121)</f>
        <v/>
      </c>
      <c r="JA123" s="110" t="str">
        <f>IF('Supp. Result Entry'!X121="","",'Supp. Result Entry'!X121)</f>
        <v/>
      </c>
      <c r="JB123" s="110" t="str">
        <f>IF('Supp. Result Entry'!AA121="","",'Supp. Result Entry'!AA121)</f>
        <v/>
      </c>
      <c r="JC123" s="110" t="str">
        <f>IF('Supp. Result Entry'!AD121="","",'Supp. Result Entry'!AD121)</f>
        <v/>
      </c>
      <c r="JD123" s="110" t="str">
        <f>IF('Supp. Result Entry'!AG121="","",'Supp. Result Entry'!AG121)</f>
        <v/>
      </c>
      <c r="JE123" s="110" t="str">
        <f>IF('Supp. Result Entry'!AJ121="","",'Supp. Result Entry'!AJ121)</f>
        <v/>
      </c>
      <c r="JF123" s="110" t="str">
        <f>IF('Supp. Result Entry'!AM121="","",'Supp. Result Entry'!AM121)</f>
        <v/>
      </c>
      <c r="JG123" s="110" t="str">
        <f>IF('Supp. Result Entry'!V121="","",'Supp. Result Entry'!V121)</f>
        <v/>
      </c>
      <c r="JH123" s="110" t="str">
        <f>IF('Supp. Result Entry'!Y121="","",'Supp. Result Entry'!Y121)</f>
        <v/>
      </c>
      <c r="JI123" s="110" t="str">
        <f>IF('Supp. Result Entry'!AB121="","",'Supp. Result Entry'!AB121)</f>
        <v/>
      </c>
      <c r="JJ123" s="110" t="str">
        <f>IF('Supp. Result Entry'!AE121="","",'Supp. Result Entry'!AE121)</f>
        <v/>
      </c>
      <c r="JK123" s="110" t="str">
        <f>IF('Supp. Result Entry'!AH121="","",'Supp. Result Entry'!AH121)</f>
        <v/>
      </c>
      <c r="JL123" s="110" t="str">
        <f>IF('Supp. Result Entry'!AK121="","",'Supp. Result Entry'!AK121)</f>
        <v/>
      </c>
      <c r="JM123" s="110" t="str">
        <f>IF('Supp. Result Entry'!AN121="","",'Supp. Result Entry'!AN121)</f>
        <v/>
      </c>
      <c r="JN123" s="110">
        <f>COUNTIF('Supp. Result Entry'!K121:Q121,"S")</f>
        <v>0</v>
      </c>
      <c r="JO123" s="110">
        <f t="shared" si="248"/>
        <v>0</v>
      </c>
      <c r="JP123" s="110">
        <f t="shared" si="325"/>
        <v>0</v>
      </c>
      <c r="JQ123" s="110" t="str">
        <f t="shared" si="249"/>
        <v/>
      </c>
      <c r="JR123" s="110" t="str">
        <f t="shared" si="250"/>
        <v/>
      </c>
      <c r="JS123" s="110" t="str">
        <f t="shared" si="251"/>
        <v/>
      </c>
      <c r="JT123" s="110" t="str">
        <f t="shared" si="252"/>
        <v/>
      </c>
      <c r="JU123" s="110" t="str">
        <f t="shared" si="253"/>
        <v/>
      </c>
      <c r="JV123" s="110" t="str">
        <f t="shared" si="254"/>
        <v/>
      </c>
      <c r="JW123" s="110" t="str">
        <f t="shared" si="255"/>
        <v/>
      </c>
      <c r="JX123" s="110" t="str">
        <f t="shared" si="326"/>
        <v/>
      </c>
      <c r="JY123" s="110" t="str">
        <f t="shared" si="327"/>
        <v/>
      </c>
      <c r="JZ123" s="110" t="str">
        <f t="shared" si="256"/>
        <v/>
      </c>
      <c r="KA123" s="108" t="str">
        <f t="shared" si="328"/>
        <v/>
      </c>
    </row>
    <row r="124" spans="1:287" s="108" customFormat="1" ht="21.95" customHeight="1">
      <c r="A124" s="89">
        <v>118</v>
      </c>
      <c r="B124" s="90" t="str">
        <f>IF('Marks Entry'!B124="","",'Marks Entry'!B124)</f>
        <v/>
      </c>
      <c r="C124" s="94" t="str">
        <f>IF('Marks Entry'!D124="","",'Marks Entry'!D124)</f>
        <v/>
      </c>
      <c r="D124" s="91" t="str">
        <f>IF('Marks Entry'!E124="","",'Marks Entry'!E124)</f>
        <v/>
      </c>
      <c r="E124" s="92" t="str">
        <f>IF('Marks Entry'!F124="","",'Marks Entry'!F124)</f>
        <v/>
      </c>
      <c r="F124" s="93" t="str">
        <f>IF('Marks Entry'!G124="","",'Marks Entry'!G124)</f>
        <v/>
      </c>
      <c r="G124" s="93" t="str">
        <f>IF('Marks Entry'!H124="","",'Marks Entry'!H124)</f>
        <v/>
      </c>
      <c r="H124" s="93" t="str">
        <f>IF('Marks Entry'!I124="","",'Marks Entry'!I124)</f>
        <v/>
      </c>
      <c r="I124" s="94" t="str">
        <f>IF('Marks Entry'!J124="","",'Marks Entry'!J124)</f>
        <v/>
      </c>
      <c r="J124" s="95" t="str">
        <f>IF('Marks Entry'!K124="","",'Marks Entry'!K124)</f>
        <v/>
      </c>
      <c r="K124" s="68" t="str">
        <f>IF('Marks Entry'!L124="","",'Marks Entry'!L124)</f>
        <v/>
      </c>
      <c r="L124" s="68" t="str">
        <f>IF('Marks Entry'!M124="","",'Marks Entry'!M124)</f>
        <v/>
      </c>
      <c r="M124" s="68" t="str">
        <f>IF('Marks Entry'!N124="","",'Marks Entry'!N124)</f>
        <v/>
      </c>
      <c r="N124" s="514" t="str">
        <f t="shared" si="257"/>
        <v/>
      </c>
      <c r="O124" s="68" t="str">
        <f>IF('Marks Entry'!O124="","",'Marks Entry'!O124)</f>
        <v/>
      </c>
      <c r="P124" s="515" t="str">
        <f t="shared" si="258"/>
        <v/>
      </c>
      <c r="Q124" s="68" t="str">
        <f>IF('Marks Entry'!P124="","",'Marks Entry'!P124)</f>
        <v/>
      </c>
      <c r="R124" s="96" t="str">
        <f t="shared" si="259"/>
        <v/>
      </c>
      <c r="S124" s="65">
        <f t="shared" si="260"/>
        <v>0</v>
      </c>
      <c r="T124" s="65">
        <f t="shared" si="261"/>
        <v>0</v>
      </c>
      <c r="U124" s="66" t="str">
        <f t="shared" si="171"/>
        <v/>
      </c>
      <c r="V124" s="65" t="str">
        <f t="shared" si="172"/>
        <v/>
      </c>
      <c r="W124" s="65" t="str">
        <f t="shared" si="262"/>
        <v/>
      </c>
      <c r="X124" s="65" t="str">
        <f t="shared" si="173"/>
        <v/>
      </c>
      <c r="Y124" s="68" t="str">
        <f>IF('Marks Entry'!Q124="","",'Marks Entry'!Q124)</f>
        <v/>
      </c>
      <c r="Z124" s="68" t="str">
        <f>IF('Marks Entry'!R124="","",'Marks Entry'!R124)</f>
        <v/>
      </c>
      <c r="AA124" s="68" t="str">
        <f>IF('Marks Entry'!S124="","",'Marks Entry'!S124)</f>
        <v/>
      </c>
      <c r="AB124" s="514" t="str">
        <f t="shared" si="174"/>
        <v/>
      </c>
      <c r="AC124" s="68" t="str">
        <f>IF('Marks Entry'!T124="","",'Marks Entry'!T124)</f>
        <v/>
      </c>
      <c r="AD124" s="515" t="str">
        <f t="shared" si="175"/>
        <v/>
      </c>
      <c r="AE124" s="68" t="str">
        <f>IF('Marks Entry'!U124="","",'Marks Entry'!U124)</f>
        <v/>
      </c>
      <c r="AF124" s="96" t="str">
        <f t="shared" si="176"/>
        <v/>
      </c>
      <c r="AG124" s="65">
        <f t="shared" si="177"/>
        <v>0</v>
      </c>
      <c r="AH124" s="65">
        <f t="shared" si="178"/>
        <v>0</v>
      </c>
      <c r="AI124" s="66" t="str">
        <f t="shared" si="179"/>
        <v/>
      </c>
      <c r="AJ124" s="65" t="str">
        <f t="shared" si="180"/>
        <v/>
      </c>
      <c r="AK124" s="65" t="str">
        <f t="shared" si="181"/>
        <v/>
      </c>
      <c r="AL124" s="65" t="str">
        <f t="shared" si="182"/>
        <v/>
      </c>
      <c r="AM124" s="524" t="str">
        <f>IF('Marks Entry'!V124="","",IF('Marks Entry'!V124=1,'School Profile'!$I$9,IF('Marks Entry'!V124=2,'School Profile'!$I$10,IF('Marks Entry'!V124=3,'School Profile'!$I$11,IF('Marks Entry'!V124=4,'School Profile'!$I$12,IF('Marks Entry'!V124=5,'School Profile'!$I$13,IF('Marks Entry'!V124=6,'School Profile'!$I$14,"")))))))</f>
        <v/>
      </c>
      <c r="AN124" s="68" t="str">
        <f>IF('Marks Entry'!W124="","",'Marks Entry'!W124)</f>
        <v/>
      </c>
      <c r="AO124" s="68" t="str">
        <f>IF('Marks Entry'!X124="","",'Marks Entry'!X124)</f>
        <v/>
      </c>
      <c r="AP124" s="68" t="str">
        <f>IF('Marks Entry'!Y124="","",'Marks Entry'!Y124)</f>
        <v/>
      </c>
      <c r="AQ124" s="514" t="str">
        <f t="shared" si="183"/>
        <v/>
      </c>
      <c r="AR124" s="68" t="str">
        <f>IF('Marks Entry'!Z124="","",'Marks Entry'!Z124)</f>
        <v/>
      </c>
      <c r="AS124" s="515" t="str">
        <f t="shared" si="184"/>
        <v/>
      </c>
      <c r="AT124" s="68" t="str">
        <f>IF('Marks Entry'!AA124="","",'Marks Entry'!AA124)</f>
        <v/>
      </c>
      <c r="AU124" s="96" t="str">
        <f t="shared" si="185"/>
        <v/>
      </c>
      <c r="AV124" s="65">
        <f t="shared" si="186"/>
        <v>0</v>
      </c>
      <c r="AW124" s="65">
        <f t="shared" si="187"/>
        <v>0</v>
      </c>
      <c r="AX124" s="66" t="str">
        <f t="shared" si="188"/>
        <v/>
      </c>
      <c r="AY124" s="65" t="str">
        <f t="shared" si="189"/>
        <v/>
      </c>
      <c r="AZ124" s="65" t="str">
        <f t="shared" si="190"/>
        <v/>
      </c>
      <c r="BA124" s="65" t="str">
        <f t="shared" si="191"/>
        <v/>
      </c>
      <c r="BB124" s="68" t="str">
        <f>IF('Marks Entry'!AB124="","",'Marks Entry'!AB124)</f>
        <v/>
      </c>
      <c r="BC124" s="68" t="str">
        <f>IF('Marks Entry'!AC124="","",'Marks Entry'!AC124)</f>
        <v/>
      </c>
      <c r="BD124" s="68" t="str">
        <f>IF('Marks Entry'!AD124="","",'Marks Entry'!AD124)</f>
        <v/>
      </c>
      <c r="BE124" s="514" t="str">
        <f t="shared" si="192"/>
        <v/>
      </c>
      <c r="BF124" s="68" t="str">
        <f>IF('Marks Entry'!AE124="","",'Marks Entry'!AE124)</f>
        <v/>
      </c>
      <c r="BG124" s="515" t="str">
        <f t="shared" si="193"/>
        <v/>
      </c>
      <c r="BH124" s="68" t="str">
        <f>IF('Marks Entry'!AF124="","",'Marks Entry'!AF124)</f>
        <v/>
      </c>
      <c r="BI124" s="96" t="str">
        <f t="shared" si="194"/>
        <v/>
      </c>
      <c r="BJ124" s="65">
        <f t="shared" si="195"/>
        <v>0</v>
      </c>
      <c r="BK124" s="65">
        <f t="shared" si="263"/>
        <v>0</v>
      </c>
      <c r="BL124" s="66" t="str">
        <f t="shared" si="196"/>
        <v/>
      </c>
      <c r="BM124" s="65" t="str">
        <f t="shared" si="197"/>
        <v/>
      </c>
      <c r="BN124" s="65" t="str">
        <f t="shared" si="198"/>
        <v/>
      </c>
      <c r="BO124" s="65" t="str">
        <f t="shared" si="199"/>
        <v/>
      </c>
      <c r="BP124" s="68" t="str">
        <f>IF('Marks Entry'!AG124="","",'Marks Entry'!AG124)</f>
        <v/>
      </c>
      <c r="BQ124" s="68" t="str">
        <f>IF('Marks Entry'!AH124="","",'Marks Entry'!AH124)</f>
        <v/>
      </c>
      <c r="BR124" s="68" t="str">
        <f>IF('Marks Entry'!AI124="","",'Marks Entry'!AI124)</f>
        <v/>
      </c>
      <c r="BS124" s="514" t="str">
        <f t="shared" si="200"/>
        <v/>
      </c>
      <c r="BT124" s="68" t="str">
        <f>IF('Marks Entry'!AJ124="","",'Marks Entry'!AJ124)</f>
        <v/>
      </c>
      <c r="BU124" s="515" t="str">
        <f t="shared" si="201"/>
        <v/>
      </c>
      <c r="BV124" s="68" t="str">
        <f>IF('Marks Entry'!AK124="","",'Marks Entry'!AK124)</f>
        <v/>
      </c>
      <c r="BW124" s="96" t="str">
        <f t="shared" si="202"/>
        <v/>
      </c>
      <c r="BX124" s="65">
        <f t="shared" si="203"/>
        <v>0</v>
      </c>
      <c r="BY124" s="65">
        <f t="shared" si="204"/>
        <v>0</v>
      </c>
      <c r="BZ124" s="66" t="str">
        <f t="shared" si="205"/>
        <v/>
      </c>
      <c r="CA124" s="65" t="str">
        <f t="shared" si="206"/>
        <v/>
      </c>
      <c r="CB124" s="65" t="str">
        <f t="shared" si="207"/>
        <v/>
      </c>
      <c r="CC124" s="65" t="str">
        <f t="shared" si="208"/>
        <v/>
      </c>
      <c r="CD124" s="66">
        <f t="shared" si="329"/>
        <v>0</v>
      </c>
      <c r="CE124" s="68" t="str">
        <f>IF('Marks Entry'!AL124="","",'Marks Entry'!AL124)</f>
        <v/>
      </c>
      <c r="CF124" s="68" t="str">
        <f>IF('Marks Entry'!AM124="","",'Marks Entry'!AM124)</f>
        <v/>
      </c>
      <c r="CG124" s="68" t="str">
        <f>IF('Marks Entry'!AN124="","",'Marks Entry'!AN124)</f>
        <v/>
      </c>
      <c r="CH124" s="514" t="str">
        <f t="shared" si="210"/>
        <v/>
      </c>
      <c r="CI124" s="68" t="str">
        <f>IF('Marks Entry'!AO124="","",'Marks Entry'!AO124)</f>
        <v/>
      </c>
      <c r="CJ124" s="515" t="str">
        <f t="shared" si="211"/>
        <v/>
      </c>
      <c r="CK124" s="68" t="str">
        <f>IF('Marks Entry'!AP124="","",'Marks Entry'!AP124)</f>
        <v/>
      </c>
      <c r="CL124" s="96" t="str">
        <f t="shared" si="212"/>
        <v/>
      </c>
      <c r="CM124" s="65">
        <f t="shared" si="213"/>
        <v>0</v>
      </c>
      <c r="CN124" s="65">
        <f t="shared" si="214"/>
        <v>0</v>
      </c>
      <c r="CO124" s="66" t="str">
        <f t="shared" si="215"/>
        <v/>
      </c>
      <c r="CP124" s="65" t="str">
        <f t="shared" si="216"/>
        <v/>
      </c>
      <c r="CQ124" s="65" t="str">
        <f t="shared" si="217"/>
        <v/>
      </c>
      <c r="CR124" s="65" t="str">
        <f t="shared" si="218"/>
        <v/>
      </c>
      <c r="CS124" s="616"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8" t="str">
        <f>IF('School Profile'!$D$20="NO","",IF('Marks Entry'!AR124="","",'Marks Entry'!AR124))</f>
        <v/>
      </c>
      <c r="CU124" s="68" t="str">
        <f>IF('School Profile'!$D$20="NO","",IF('Marks Entry'!AS124="","",'Marks Entry'!AS124))</f>
        <v/>
      </c>
      <c r="CV124" s="68" t="str">
        <f>IF('School Profile'!$D$20="NO","",IF('Marks Entry'!AT124="","",'Marks Entry'!AT124))</f>
        <v/>
      </c>
      <c r="CW124" s="514" t="str">
        <f>IF('School Profile'!$D$20="NO","",IF(AND(CT124="",CU124="",CV124=""),"",SUM(CT124:CV124)))</f>
        <v/>
      </c>
      <c r="CX124" s="68" t="str">
        <f>IF('School Profile'!$D$20="NO","",IF('Marks Entry'!AU124="","",'Marks Entry'!AU124))</f>
        <v/>
      </c>
      <c r="CY124" s="68" t="str">
        <f>IF('School Profile'!$D$20="NO","",IF('Marks Entry'!AV124="","",'Marks Entry'!AV124))</f>
        <v/>
      </c>
      <c r="CZ124" s="515" t="str">
        <f>IF('School Profile'!$D$20="NO","",IF(AND(CX124="",CY124=""),"",SUM(CX124,CY124)))</f>
        <v/>
      </c>
      <c r="DA124" s="69" t="str">
        <f>IF('School Profile'!$D$20="NO","",IF(AND(CW124="",CZ124=""),"",SUM(CW124+CZ124)))</f>
        <v/>
      </c>
      <c r="DB124" s="68" t="str">
        <f>IF('School Profile'!$D$20="NO","",IF('Marks Entry'!AW124="","",'Marks Entry'!AW124))</f>
        <v/>
      </c>
      <c r="DC124" s="68" t="str">
        <f>IF('School Profile'!$D$20="NO","",IF('Marks Entry'!AX124="","",'Marks Entry'!AX124))</f>
        <v/>
      </c>
      <c r="DD124" s="515" t="str">
        <f>IF('School Profile'!$D$20="NO","",IF(AND(DB124="",DC124=""),"",SUM(DB124,DC124)))</f>
        <v/>
      </c>
      <c r="DE124" s="96" t="str">
        <f>IF('School Profile'!$D$20="NO","",IF(AND(DA124="",DD124=""),"",SUM(DA124,DD124)))</f>
        <v/>
      </c>
      <c r="DF124" s="532">
        <f t="shared" si="219"/>
        <v>0</v>
      </c>
      <c r="DG124" s="65">
        <f t="shared" si="220"/>
        <v>0</v>
      </c>
      <c r="DH124" s="66" t="str">
        <f t="shared" si="221"/>
        <v/>
      </c>
      <c r="DI124" s="65" t="str">
        <f t="shared" si="222"/>
        <v/>
      </c>
      <c r="DJ124" s="65" t="str">
        <f t="shared" si="223"/>
        <v/>
      </c>
      <c r="DK124" s="65" t="str">
        <f t="shared" si="224"/>
        <v/>
      </c>
      <c r="DL124" s="97" t="str">
        <f t="shared" si="264"/>
        <v/>
      </c>
      <c r="DM124" s="97" t="str">
        <f t="shared" si="265"/>
        <v/>
      </c>
      <c r="DN124" s="97" t="str">
        <f t="shared" si="266"/>
        <v/>
      </c>
      <c r="DO124" s="97" t="str">
        <f t="shared" si="267"/>
        <v/>
      </c>
      <c r="DP124" s="97" t="str">
        <f t="shared" si="268"/>
        <v/>
      </c>
      <c r="DQ124" s="97" t="str">
        <f t="shared" si="269"/>
        <v/>
      </c>
      <c r="DR124" s="97" t="str">
        <f t="shared" si="270"/>
        <v/>
      </c>
      <c r="DS124" s="98">
        <f t="shared" si="271"/>
        <v>0</v>
      </c>
      <c r="DT124" s="98">
        <f t="shared" si="272"/>
        <v>0</v>
      </c>
      <c r="DU124" s="98">
        <f t="shared" si="273"/>
        <v>0</v>
      </c>
      <c r="DV124" s="98">
        <f t="shared" si="274"/>
        <v>0</v>
      </c>
      <c r="DW124" s="98">
        <f t="shared" si="275"/>
        <v>0</v>
      </c>
      <c r="DX124" s="98" t="str">
        <f t="shared" si="276"/>
        <v/>
      </c>
      <c r="DY124" s="99" t="str">
        <f t="shared" si="277"/>
        <v/>
      </c>
      <c r="DZ124" s="74" t="str">
        <f>IF('Marks Entry'!AY124="","",'Marks Entry'!AY124)</f>
        <v/>
      </c>
      <c r="EA124" s="74" t="str">
        <f>IF('Marks Entry'!AZ124="","",'Marks Entry'!AZ124)</f>
        <v/>
      </c>
      <c r="EB124" s="74" t="str">
        <f>IF('Marks Entry'!BA124="","",'Marks Entry'!BA124)</f>
        <v/>
      </c>
      <c r="EC124" s="527" t="str">
        <f t="shared" si="225"/>
        <v/>
      </c>
      <c r="ED124" s="74" t="str">
        <f>IF('Marks Entry'!BB124="","",'Marks Entry'!BB124)</f>
        <v/>
      </c>
      <c r="EE124" s="528" t="str">
        <f t="shared" si="226"/>
        <v/>
      </c>
      <c r="EF124" s="74" t="str">
        <f>IF('Marks Entry'!BC124="","",'Marks Entry'!BC124)</f>
        <v/>
      </c>
      <c r="EG124" s="530" t="str">
        <f t="shared" si="227"/>
        <v/>
      </c>
      <c r="EH124" s="368" t="str">
        <f t="shared" si="278"/>
        <v/>
      </c>
      <c r="EI124" s="65">
        <f t="shared" si="279"/>
        <v>0</v>
      </c>
      <c r="EJ124" s="65">
        <f t="shared" si="280"/>
        <v>0</v>
      </c>
      <c r="EK124" s="66" t="str">
        <f t="shared" si="281"/>
        <v/>
      </c>
      <c r="EL124" s="74" t="str">
        <f>IF('Marks Entry'!BD124="","",'Marks Entry'!BD124)</f>
        <v/>
      </c>
      <c r="EM124" s="74" t="str">
        <f>IF('Marks Entry'!BE124="","",'Marks Entry'!BE124)</f>
        <v/>
      </c>
      <c r="EN124" s="74" t="str">
        <f>IF('Marks Entry'!BF124="","",'Marks Entry'!BF124)</f>
        <v/>
      </c>
      <c r="EO124" s="527" t="str">
        <f t="shared" si="228"/>
        <v/>
      </c>
      <c r="EP124" s="74" t="str">
        <f>IF('Marks Entry'!BG124="","",'Marks Entry'!BG124)</f>
        <v/>
      </c>
      <c r="EQ124" s="74" t="str">
        <f>IF('Marks Entry'!BH124="","",'Marks Entry'!BH124)</f>
        <v/>
      </c>
      <c r="ER124" s="528" t="str">
        <f t="shared" si="229"/>
        <v/>
      </c>
      <c r="ES124" s="529" t="str">
        <f t="shared" si="230"/>
        <v/>
      </c>
      <c r="ET124" s="74" t="str">
        <f>IF('Marks Entry'!BI124="","",'Marks Entry'!BI124)</f>
        <v/>
      </c>
      <c r="EU124" s="74" t="str">
        <f>IF('Marks Entry'!BJ124="","",'Marks Entry'!BJ124)</f>
        <v/>
      </c>
      <c r="EV124" s="528" t="str">
        <f t="shared" si="231"/>
        <v/>
      </c>
      <c r="EW124" s="530" t="str">
        <f t="shared" si="232"/>
        <v/>
      </c>
      <c r="EX124" s="368" t="str">
        <f t="shared" si="282"/>
        <v/>
      </c>
      <c r="EY124" s="65">
        <f t="shared" si="283"/>
        <v>0</v>
      </c>
      <c r="EZ124" s="65">
        <f t="shared" si="284"/>
        <v>0</v>
      </c>
      <c r="FA124" s="66" t="str">
        <f t="shared" si="285"/>
        <v/>
      </c>
      <c r="FB124" s="74" t="str">
        <f>IF('Marks Entry'!BK124="","",'Marks Entry'!BK124)</f>
        <v/>
      </c>
      <c r="FC124" s="74" t="str">
        <f>IF('Marks Entry'!BL124="","",'Marks Entry'!BL124)</f>
        <v/>
      </c>
      <c r="FD124" s="74" t="str">
        <f>IF('Marks Entry'!BM124="","",'Marks Entry'!BM124)</f>
        <v/>
      </c>
      <c r="FE124" s="74" t="str">
        <f>IF('Marks Entry'!BN124="","",'Marks Entry'!BN124)</f>
        <v/>
      </c>
      <c r="FF124" s="74" t="str">
        <f>IF('Marks Entry'!BO124="","",'Marks Entry'!BO124)</f>
        <v/>
      </c>
      <c r="FG124" s="74" t="str">
        <f>IF('Marks Entry'!BP124="","",'Marks Entry'!BP124)</f>
        <v/>
      </c>
      <c r="FH124" s="527" t="str">
        <f t="shared" si="233"/>
        <v/>
      </c>
      <c r="FI124" s="74" t="str">
        <f>IF('Marks Entry'!BQ124="","",'Marks Entry'!BQ124)</f>
        <v/>
      </c>
      <c r="FJ124" s="74" t="str">
        <f>IF('Marks Entry'!BR124="","",'Marks Entry'!BR124)</f>
        <v/>
      </c>
      <c r="FK124" s="528" t="str">
        <f t="shared" si="234"/>
        <v/>
      </c>
      <c r="FL124" s="529" t="str">
        <f t="shared" si="235"/>
        <v/>
      </c>
      <c r="FM124" s="74" t="str">
        <f>IF('Marks Entry'!BS124="","",'Marks Entry'!BS124)</f>
        <v/>
      </c>
      <c r="FN124" s="74" t="str">
        <f>IF('Marks Entry'!BT124="","",'Marks Entry'!BT124)</f>
        <v/>
      </c>
      <c r="FO124" s="528" t="str">
        <f t="shared" si="236"/>
        <v/>
      </c>
      <c r="FP124" s="530" t="str">
        <f t="shared" si="237"/>
        <v/>
      </c>
      <c r="FQ124" s="368" t="str">
        <f t="shared" si="286"/>
        <v/>
      </c>
      <c r="FR124" s="65">
        <f t="shared" si="287"/>
        <v>0</v>
      </c>
      <c r="FS124" s="65">
        <f t="shared" si="288"/>
        <v>0</v>
      </c>
      <c r="FT124" s="66" t="str">
        <f t="shared" si="289"/>
        <v/>
      </c>
      <c r="FU124" s="74" t="str">
        <f>IF('Marks Entry'!BU124="","",'Marks Entry'!BU124)</f>
        <v/>
      </c>
      <c r="FV124" s="74" t="str">
        <f>IF('Marks Entry'!BV124="","",'Marks Entry'!BV124)</f>
        <v/>
      </c>
      <c r="FW124" s="74" t="str">
        <f>IF('Marks Entry'!BW124="","",'Marks Entry'!BW124)</f>
        <v/>
      </c>
      <c r="FX124" s="75" t="str">
        <f t="shared" si="238"/>
        <v/>
      </c>
      <c r="FY124" s="368" t="str">
        <f t="shared" si="290"/>
        <v/>
      </c>
      <c r="FZ124" s="65">
        <f t="shared" si="291"/>
        <v>0</v>
      </c>
      <c r="GA124" s="66">
        <f t="shared" si="292"/>
        <v>0</v>
      </c>
      <c r="GB124" s="66" t="str">
        <f t="shared" si="293"/>
        <v/>
      </c>
      <c r="GC124" s="74" t="str">
        <f>IF('Marks Entry'!BX124="","",'Marks Entry'!BX124)</f>
        <v/>
      </c>
      <c r="GD124" s="74" t="str">
        <f>IF('Marks Entry'!BY124="","",'Marks Entry'!BY124)</f>
        <v/>
      </c>
      <c r="GE124" s="74" t="str">
        <f>IF('Marks Entry'!BZ124="","",'Marks Entry'!BZ124)</f>
        <v/>
      </c>
      <c r="GF124" s="75" t="str">
        <f t="shared" si="294"/>
        <v/>
      </c>
      <c r="GG124" s="368" t="str">
        <f t="shared" si="295"/>
        <v/>
      </c>
      <c r="GH124" s="65">
        <f t="shared" si="296"/>
        <v>0</v>
      </c>
      <c r="GI124" s="66">
        <f t="shared" si="297"/>
        <v>0</v>
      </c>
      <c r="GJ124" s="66" t="str">
        <f t="shared" si="298"/>
        <v/>
      </c>
      <c r="GK124" s="100" t="str">
        <f>IF(AND(F124="",B124=""),"",IF('Student DATA Entry'!M121="","",'Student DATA Entry'!M121))</f>
        <v/>
      </c>
      <c r="GL124" s="101" t="str">
        <f>IF(AND(B124="",F124=""),"",IF('Student DATA Entry'!N121="","",'Student DATA Entry'!N121))</f>
        <v/>
      </c>
      <c r="GM124" s="581" t="str">
        <f t="shared" si="299"/>
        <v/>
      </c>
      <c r="GN124" s="94" t="str">
        <f t="shared" si="300"/>
        <v/>
      </c>
      <c r="GO124" s="94" t="str">
        <f t="shared" si="301"/>
        <v/>
      </c>
      <c r="GP124" s="102" t="str">
        <f t="shared" si="330"/>
        <v/>
      </c>
      <c r="GQ124" s="94" t="str">
        <f t="shared" si="302"/>
        <v/>
      </c>
      <c r="GR124" s="103" t="str">
        <f t="shared" si="303"/>
        <v/>
      </c>
      <c r="GS124" s="102" t="str">
        <f t="shared" si="331"/>
        <v/>
      </c>
      <c r="GT124" s="104" t="str">
        <f t="shared" si="304"/>
        <v/>
      </c>
      <c r="GU124" s="94" t="str">
        <f>IF('Marks Entry'!V124=1,GT124,"")</f>
        <v/>
      </c>
      <c r="GV124" s="94" t="str">
        <f>IF('Marks Entry'!V124=2,GT124,"")</f>
        <v/>
      </c>
      <c r="GW124" s="94" t="str">
        <f>IF('Marks Entry'!V124=3,GT124,"")</f>
        <v/>
      </c>
      <c r="GX124" s="94" t="str">
        <f>IF('Marks Entry'!V124=4,GT124,"")</f>
        <v/>
      </c>
      <c r="GY124" s="94" t="str">
        <f>IF('Marks Entry'!V124=5,GT124,"")</f>
        <v/>
      </c>
      <c r="GZ124" s="94" t="str">
        <f t="shared" si="305"/>
        <v/>
      </c>
      <c r="HA124" s="105" t="str">
        <f t="shared" si="332"/>
        <v/>
      </c>
      <c r="HB124" s="94" t="str">
        <f t="shared" si="306"/>
        <v/>
      </c>
      <c r="HC124" s="94" t="str">
        <f t="shared" si="307"/>
        <v/>
      </c>
      <c r="HD124" s="105" t="str">
        <f t="shared" si="333"/>
        <v/>
      </c>
      <c r="HE124" s="94" t="str">
        <f t="shared" si="308"/>
        <v/>
      </c>
      <c r="HF124" s="94" t="str">
        <f t="shared" si="309"/>
        <v/>
      </c>
      <c r="HG124" s="105" t="str">
        <f t="shared" si="334"/>
        <v/>
      </c>
      <c r="HH124" s="94" t="str">
        <f t="shared" si="310"/>
        <v/>
      </c>
      <c r="HI124" s="94" t="str">
        <f t="shared" si="311"/>
        <v/>
      </c>
      <c r="HJ124" s="105" t="str">
        <f t="shared" si="335"/>
        <v/>
      </c>
      <c r="HK124" s="94" t="str">
        <f t="shared" si="312"/>
        <v/>
      </c>
      <c r="HL124" s="94" t="str">
        <f t="shared" si="313"/>
        <v/>
      </c>
      <c r="HM124" s="105" t="str">
        <f t="shared" si="336"/>
        <v/>
      </c>
      <c r="HN124" s="367" t="str">
        <f t="shared" si="314"/>
        <v xml:space="preserve">      </v>
      </c>
      <c r="HO124" s="418" t="str">
        <f t="shared" si="337"/>
        <v xml:space="preserve">      </v>
      </c>
      <c r="HP124" s="367" t="str">
        <f t="shared" si="315"/>
        <v xml:space="preserve">      </v>
      </c>
      <c r="HQ124" s="107" t="str">
        <f t="shared" si="316"/>
        <v xml:space="preserve">      </v>
      </c>
      <c r="HR124" s="366" t="str">
        <f t="shared" si="317"/>
        <v xml:space="preserve">      </v>
      </c>
      <c r="HS124" s="544" t="str">
        <f t="shared" si="338"/>
        <v/>
      </c>
      <c r="HT124" s="542" t="str">
        <f t="shared" si="318"/>
        <v/>
      </c>
      <c r="HU124" s="541" t="str">
        <f t="shared" si="319"/>
        <v/>
      </c>
      <c r="HV124" s="540" t="str">
        <f t="shared" si="320"/>
        <v/>
      </c>
      <c r="HW124" s="537" t="str">
        <f t="shared" si="321"/>
        <v/>
      </c>
      <c r="HX124" s="539" t="str">
        <f t="shared" si="322"/>
        <v/>
      </c>
      <c r="HY124" s="553" t="str">
        <f>IFERROR(IF(OR(HS124="SUPPLEMENTARY",HS124="RE-EXAM"),'Supp. Result Entry'!AQ122,""),"")</f>
        <v/>
      </c>
      <c r="HZ124" s="538" t="str">
        <f t="shared" si="323"/>
        <v/>
      </c>
      <c r="IA124" s="415" t="str">
        <f t="shared" si="324"/>
        <v/>
      </c>
      <c r="IB124" s="415" t="str">
        <f>IF(AND(HZ124="",IA124=""),"",IF(OR(HS124="SUPPLEMENTARY",HS124="RE-EXAM"),'Supp. Result Entry'!AQ122,HS124))</f>
        <v/>
      </c>
      <c r="IC124" s="87"/>
      <c r="IS124" s="109" t="str">
        <f>IF('Supp. Result Entry'!T122="","",'Supp. Result Entry'!$T$4)</f>
        <v/>
      </c>
      <c r="IT124" s="110" t="str">
        <f>IF('Supp. Result Entry'!W122="","",'Supp. Result Entry'!$W$4)</f>
        <v/>
      </c>
      <c r="IU124" s="110" t="str">
        <f>IF('Supp. Result Entry'!Z122="","",'Supp. Result Entry'!$Z$4)</f>
        <v/>
      </c>
      <c r="IV124" s="110" t="str">
        <f>IF('Supp. Result Entry'!AC122="","",'Supp. Result Entry'!$AC$4)</f>
        <v/>
      </c>
      <c r="IW124" s="110" t="str">
        <f>IF('Supp. Result Entry'!AF122="","",'Supp. Result Entry'!$AF$4)</f>
        <v/>
      </c>
      <c r="IX124" s="110" t="str">
        <f>IF('Supp. Result Entry'!AI122="","",'Supp. Result Entry'!$AI$4)</f>
        <v/>
      </c>
      <c r="IY124" s="110" t="str">
        <f>IF('Supp. Result Entry'!AI122="","",'Supp. Result Entry'!$AL$4)</f>
        <v/>
      </c>
      <c r="IZ124" s="110" t="str">
        <f>IF('Supp. Result Entry'!U122="","",'Supp. Result Entry'!U122)</f>
        <v/>
      </c>
      <c r="JA124" s="110" t="str">
        <f>IF('Supp. Result Entry'!X122="","",'Supp. Result Entry'!X122)</f>
        <v/>
      </c>
      <c r="JB124" s="110" t="str">
        <f>IF('Supp. Result Entry'!AA122="","",'Supp. Result Entry'!AA122)</f>
        <v/>
      </c>
      <c r="JC124" s="110" t="str">
        <f>IF('Supp. Result Entry'!AD122="","",'Supp. Result Entry'!AD122)</f>
        <v/>
      </c>
      <c r="JD124" s="110" t="str">
        <f>IF('Supp. Result Entry'!AG122="","",'Supp. Result Entry'!AG122)</f>
        <v/>
      </c>
      <c r="JE124" s="110" t="str">
        <f>IF('Supp. Result Entry'!AJ122="","",'Supp. Result Entry'!AJ122)</f>
        <v/>
      </c>
      <c r="JF124" s="110" t="str">
        <f>IF('Supp. Result Entry'!AM122="","",'Supp. Result Entry'!AM122)</f>
        <v/>
      </c>
      <c r="JG124" s="110" t="str">
        <f>IF('Supp. Result Entry'!V122="","",'Supp. Result Entry'!V122)</f>
        <v/>
      </c>
      <c r="JH124" s="110" t="str">
        <f>IF('Supp. Result Entry'!Y122="","",'Supp. Result Entry'!Y122)</f>
        <v/>
      </c>
      <c r="JI124" s="110" t="str">
        <f>IF('Supp. Result Entry'!AB122="","",'Supp. Result Entry'!AB122)</f>
        <v/>
      </c>
      <c r="JJ124" s="110" t="str">
        <f>IF('Supp. Result Entry'!AE122="","",'Supp. Result Entry'!AE122)</f>
        <v/>
      </c>
      <c r="JK124" s="110" t="str">
        <f>IF('Supp. Result Entry'!AH122="","",'Supp. Result Entry'!AH122)</f>
        <v/>
      </c>
      <c r="JL124" s="110" t="str">
        <f>IF('Supp. Result Entry'!AK122="","",'Supp. Result Entry'!AK122)</f>
        <v/>
      </c>
      <c r="JM124" s="110" t="str">
        <f>IF('Supp. Result Entry'!AN122="","",'Supp. Result Entry'!AN122)</f>
        <v/>
      </c>
      <c r="JN124" s="110">
        <f>COUNTIF('Supp. Result Entry'!K122:Q122,"S")</f>
        <v>0</v>
      </c>
      <c r="JO124" s="110">
        <f t="shared" si="248"/>
        <v>0</v>
      </c>
      <c r="JP124" s="110">
        <f t="shared" si="325"/>
        <v>0</v>
      </c>
      <c r="JQ124" s="110" t="str">
        <f t="shared" si="249"/>
        <v/>
      </c>
      <c r="JR124" s="110" t="str">
        <f t="shared" si="250"/>
        <v/>
      </c>
      <c r="JS124" s="110" t="str">
        <f t="shared" si="251"/>
        <v/>
      </c>
      <c r="JT124" s="110" t="str">
        <f t="shared" si="252"/>
        <v/>
      </c>
      <c r="JU124" s="110" t="str">
        <f t="shared" si="253"/>
        <v/>
      </c>
      <c r="JV124" s="110" t="str">
        <f t="shared" si="254"/>
        <v/>
      </c>
      <c r="JW124" s="110" t="str">
        <f t="shared" si="255"/>
        <v/>
      </c>
      <c r="JX124" s="110" t="str">
        <f t="shared" si="326"/>
        <v/>
      </c>
      <c r="JY124" s="110" t="str">
        <f t="shared" si="327"/>
        <v/>
      </c>
      <c r="JZ124" s="110" t="str">
        <f t="shared" si="256"/>
        <v/>
      </c>
      <c r="KA124" s="108" t="str">
        <f t="shared" si="328"/>
        <v/>
      </c>
    </row>
    <row r="125" spans="1:287" s="108" customFormat="1" ht="21.95" customHeight="1">
      <c r="A125" s="89">
        <v>119</v>
      </c>
      <c r="B125" s="90" t="str">
        <f>IF('Marks Entry'!B125="","",'Marks Entry'!B125)</f>
        <v/>
      </c>
      <c r="C125" s="94" t="str">
        <f>IF('Marks Entry'!D125="","",'Marks Entry'!D125)</f>
        <v/>
      </c>
      <c r="D125" s="91" t="str">
        <f>IF('Marks Entry'!E125="","",'Marks Entry'!E125)</f>
        <v/>
      </c>
      <c r="E125" s="92" t="str">
        <f>IF('Marks Entry'!F125="","",'Marks Entry'!F125)</f>
        <v/>
      </c>
      <c r="F125" s="93" t="str">
        <f>IF('Marks Entry'!G125="","",'Marks Entry'!G125)</f>
        <v/>
      </c>
      <c r="G125" s="93" t="str">
        <f>IF('Marks Entry'!H125="","",'Marks Entry'!H125)</f>
        <v/>
      </c>
      <c r="H125" s="93" t="str">
        <f>IF('Marks Entry'!I125="","",'Marks Entry'!I125)</f>
        <v/>
      </c>
      <c r="I125" s="94" t="str">
        <f>IF('Marks Entry'!J125="","",'Marks Entry'!J125)</f>
        <v/>
      </c>
      <c r="J125" s="95" t="str">
        <f>IF('Marks Entry'!K125="","",'Marks Entry'!K125)</f>
        <v/>
      </c>
      <c r="K125" s="68" t="str">
        <f>IF('Marks Entry'!L125="","",'Marks Entry'!L125)</f>
        <v/>
      </c>
      <c r="L125" s="68" t="str">
        <f>IF('Marks Entry'!M125="","",'Marks Entry'!M125)</f>
        <v/>
      </c>
      <c r="M125" s="68" t="str">
        <f>IF('Marks Entry'!N125="","",'Marks Entry'!N125)</f>
        <v/>
      </c>
      <c r="N125" s="514" t="str">
        <f t="shared" si="257"/>
        <v/>
      </c>
      <c r="O125" s="68" t="str">
        <f>IF('Marks Entry'!O125="","",'Marks Entry'!O125)</f>
        <v/>
      </c>
      <c r="P125" s="515" t="str">
        <f t="shared" si="258"/>
        <v/>
      </c>
      <c r="Q125" s="68" t="str">
        <f>IF('Marks Entry'!P125="","",'Marks Entry'!P125)</f>
        <v/>
      </c>
      <c r="R125" s="96" t="str">
        <f t="shared" si="259"/>
        <v/>
      </c>
      <c r="S125" s="65">
        <f t="shared" si="260"/>
        <v>0</v>
      </c>
      <c r="T125" s="65">
        <f t="shared" si="261"/>
        <v>0</v>
      </c>
      <c r="U125" s="66" t="str">
        <f t="shared" si="171"/>
        <v/>
      </c>
      <c r="V125" s="65" t="str">
        <f t="shared" si="172"/>
        <v/>
      </c>
      <c r="W125" s="65" t="str">
        <f t="shared" si="262"/>
        <v/>
      </c>
      <c r="X125" s="65" t="str">
        <f t="shared" si="173"/>
        <v/>
      </c>
      <c r="Y125" s="68" t="str">
        <f>IF('Marks Entry'!Q125="","",'Marks Entry'!Q125)</f>
        <v/>
      </c>
      <c r="Z125" s="68" t="str">
        <f>IF('Marks Entry'!R125="","",'Marks Entry'!R125)</f>
        <v/>
      </c>
      <c r="AA125" s="68" t="str">
        <f>IF('Marks Entry'!S125="","",'Marks Entry'!S125)</f>
        <v/>
      </c>
      <c r="AB125" s="514" t="str">
        <f t="shared" si="174"/>
        <v/>
      </c>
      <c r="AC125" s="68" t="str">
        <f>IF('Marks Entry'!T125="","",'Marks Entry'!T125)</f>
        <v/>
      </c>
      <c r="AD125" s="515" t="str">
        <f t="shared" si="175"/>
        <v/>
      </c>
      <c r="AE125" s="68" t="str">
        <f>IF('Marks Entry'!U125="","",'Marks Entry'!U125)</f>
        <v/>
      </c>
      <c r="AF125" s="96" t="str">
        <f t="shared" si="176"/>
        <v/>
      </c>
      <c r="AG125" s="65">
        <f t="shared" si="177"/>
        <v>0</v>
      </c>
      <c r="AH125" s="65">
        <f t="shared" si="178"/>
        <v>0</v>
      </c>
      <c r="AI125" s="66" t="str">
        <f t="shared" si="179"/>
        <v/>
      </c>
      <c r="AJ125" s="65" t="str">
        <f t="shared" si="180"/>
        <v/>
      </c>
      <c r="AK125" s="65" t="str">
        <f t="shared" si="181"/>
        <v/>
      </c>
      <c r="AL125" s="65" t="str">
        <f t="shared" si="182"/>
        <v/>
      </c>
      <c r="AM125" s="524" t="str">
        <f>IF('Marks Entry'!V125="","",IF('Marks Entry'!V125=1,'School Profile'!$I$9,IF('Marks Entry'!V125=2,'School Profile'!$I$10,IF('Marks Entry'!V125=3,'School Profile'!$I$11,IF('Marks Entry'!V125=4,'School Profile'!$I$12,IF('Marks Entry'!V125=5,'School Profile'!$I$13,IF('Marks Entry'!V125=6,'School Profile'!$I$14,"")))))))</f>
        <v/>
      </c>
      <c r="AN125" s="68" t="str">
        <f>IF('Marks Entry'!W125="","",'Marks Entry'!W125)</f>
        <v/>
      </c>
      <c r="AO125" s="68" t="str">
        <f>IF('Marks Entry'!X125="","",'Marks Entry'!X125)</f>
        <v/>
      </c>
      <c r="AP125" s="68" t="str">
        <f>IF('Marks Entry'!Y125="","",'Marks Entry'!Y125)</f>
        <v/>
      </c>
      <c r="AQ125" s="514" t="str">
        <f t="shared" si="183"/>
        <v/>
      </c>
      <c r="AR125" s="68" t="str">
        <f>IF('Marks Entry'!Z125="","",'Marks Entry'!Z125)</f>
        <v/>
      </c>
      <c r="AS125" s="515" t="str">
        <f t="shared" si="184"/>
        <v/>
      </c>
      <c r="AT125" s="68" t="str">
        <f>IF('Marks Entry'!AA125="","",'Marks Entry'!AA125)</f>
        <v/>
      </c>
      <c r="AU125" s="96" t="str">
        <f t="shared" si="185"/>
        <v/>
      </c>
      <c r="AV125" s="65">
        <f t="shared" si="186"/>
        <v>0</v>
      </c>
      <c r="AW125" s="65">
        <f t="shared" si="187"/>
        <v>0</v>
      </c>
      <c r="AX125" s="66" t="str">
        <f t="shared" si="188"/>
        <v/>
      </c>
      <c r="AY125" s="65" t="str">
        <f t="shared" si="189"/>
        <v/>
      </c>
      <c r="AZ125" s="65" t="str">
        <f t="shared" si="190"/>
        <v/>
      </c>
      <c r="BA125" s="65" t="str">
        <f t="shared" si="191"/>
        <v/>
      </c>
      <c r="BB125" s="68" t="str">
        <f>IF('Marks Entry'!AB125="","",'Marks Entry'!AB125)</f>
        <v/>
      </c>
      <c r="BC125" s="68" t="str">
        <f>IF('Marks Entry'!AC125="","",'Marks Entry'!AC125)</f>
        <v/>
      </c>
      <c r="BD125" s="68" t="str">
        <f>IF('Marks Entry'!AD125="","",'Marks Entry'!AD125)</f>
        <v/>
      </c>
      <c r="BE125" s="514" t="str">
        <f t="shared" si="192"/>
        <v/>
      </c>
      <c r="BF125" s="68" t="str">
        <f>IF('Marks Entry'!AE125="","",'Marks Entry'!AE125)</f>
        <v/>
      </c>
      <c r="BG125" s="515" t="str">
        <f t="shared" si="193"/>
        <v/>
      </c>
      <c r="BH125" s="68" t="str">
        <f>IF('Marks Entry'!AF125="","",'Marks Entry'!AF125)</f>
        <v/>
      </c>
      <c r="BI125" s="96" t="str">
        <f t="shared" si="194"/>
        <v/>
      </c>
      <c r="BJ125" s="65">
        <f t="shared" si="195"/>
        <v>0</v>
      </c>
      <c r="BK125" s="65">
        <f t="shared" si="263"/>
        <v>0</v>
      </c>
      <c r="BL125" s="66" t="str">
        <f t="shared" si="196"/>
        <v/>
      </c>
      <c r="BM125" s="65" t="str">
        <f t="shared" si="197"/>
        <v/>
      </c>
      <c r="BN125" s="65" t="str">
        <f t="shared" si="198"/>
        <v/>
      </c>
      <c r="BO125" s="65" t="str">
        <f t="shared" si="199"/>
        <v/>
      </c>
      <c r="BP125" s="68" t="str">
        <f>IF('Marks Entry'!AG125="","",'Marks Entry'!AG125)</f>
        <v/>
      </c>
      <c r="BQ125" s="68" t="str">
        <f>IF('Marks Entry'!AH125="","",'Marks Entry'!AH125)</f>
        <v/>
      </c>
      <c r="BR125" s="68" t="str">
        <f>IF('Marks Entry'!AI125="","",'Marks Entry'!AI125)</f>
        <v/>
      </c>
      <c r="BS125" s="514" t="str">
        <f t="shared" si="200"/>
        <v/>
      </c>
      <c r="BT125" s="68" t="str">
        <f>IF('Marks Entry'!AJ125="","",'Marks Entry'!AJ125)</f>
        <v/>
      </c>
      <c r="BU125" s="515" t="str">
        <f t="shared" si="201"/>
        <v/>
      </c>
      <c r="BV125" s="68" t="str">
        <f>IF('Marks Entry'!AK125="","",'Marks Entry'!AK125)</f>
        <v/>
      </c>
      <c r="BW125" s="96" t="str">
        <f t="shared" si="202"/>
        <v/>
      </c>
      <c r="BX125" s="65">
        <f t="shared" si="203"/>
        <v>0</v>
      </c>
      <c r="BY125" s="65">
        <f t="shared" si="204"/>
        <v>0</v>
      </c>
      <c r="BZ125" s="66" t="str">
        <f t="shared" si="205"/>
        <v/>
      </c>
      <c r="CA125" s="65" t="str">
        <f t="shared" si="206"/>
        <v/>
      </c>
      <c r="CB125" s="65" t="str">
        <f t="shared" si="207"/>
        <v/>
      </c>
      <c r="CC125" s="65" t="str">
        <f t="shared" si="208"/>
        <v/>
      </c>
      <c r="CD125" s="66">
        <f t="shared" si="329"/>
        <v>0</v>
      </c>
      <c r="CE125" s="68" t="str">
        <f>IF('Marks Entry'!AL125="","",'Marks Entry'!AL125)</f>
        <v/>
      </c>
      <c r="CF125" s="68" t="str">
        <f>IF('Marks Entry'!AM125="","",'Marks Entry'!AM125)</f>
        <v/>
      </c>
      <c r="CG125" s="68" t="str">
        <f>IF('Marks Entry'!AN125="","",'Marks Entry'!AN125)</f>
        <v/>
      </c>
      <c r="CH125" s="514" t="str">
        <f t="shared" si="210"/>
        <v/>
      </c>
      <c r="CI125" s="68" t="str">
        <f>IF('Marks Entry'!AO125="","",'Marks Entry'!AO125)</f>
        <v/>
      </c>
      <c r="CJ125" s="515" t="str">
        <f t="shared" si="211"/>
        <v/>
      </c>
      <c r="CK125" s="68" t="str">
        <f>IF('Marks Entry'!AP125="","",'Marks Entry'!AP125)</f>
        <v/>
      </c>
      <c r="CL125" s="96" t="str">
        <f t="shared" si="212"/>
        <v/>
      </c>
      <c r="CM125" s="65">
        <f t="shared" si="213"/>
        <v>0</v>
      </c>
      <c r="CN125" s="65">
        <f t="shared" si="214"/>
        <v>0</v>
      </c>
      <c r="CO125" s="66" t="str">
        <f t="shared" si="215"/>
        <v/>
      </c>
      <c r="CP125" s="65" t="str">
        <f t="shared" si="216"/>
        <v/>
      </c>
      <c r="CQ125" s="65" t="str">
        <f t="shared" si="217"/>
        <v/>
      </c>
      <c r="CR125" s="65" t="str">
        <f t="shared" si="218"/>
        <v/>
      </c>
      <c r="CS125" s="616"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8" t="str">
        <f>IF('School Profile'!$D$20="NO","",IF('Marks Entry'!AR125="","",'Marks Entry'!AR125))</f>
        <v/>
      </c>
      <c r="CU125" s="68" t="str">
        <f>IF('School Profile'!$D$20="NO","",IF('Marks Entry'!AS125="","",'Marks Entry'!AS125))</f>
        <v/>
      </c>
      <c r="CV125" s="68" t="str">
        <f>IF('School Profile'!$D$20="NO","",IF('Marks Entry'!AT125="","",'Marks Entry'!AT125))</f>
        <v/>
      </c>
      <c r="CW125" s="514" t="str">
        <f>IF('School Profile'!$D$20="NO","",IF(AND(CT125="",CU125="",CV125=""),"",SUM(CT125:CV125)))</f>
        <v/>
      </c>
      <c r="CX125" s="68" t="str">
        <f>IF('School Profile'!$D$20="NO","",IF('Marks Entry'!AU125="","",'Marks Entry'!AU125))</f>
        <v/>
      </c>
      <c r="CY125" s="68" t="str">
        <f>IF('School Profile'!$D$20="NO","",IF('Marks Entry'!AV125="","",'Marks Entry'!AV125))</f>
        <v/>
      </c>
      <c r="CZ125" s="515" t="str">
        <f>IF('School Profile'!$D$20="NO","",IF(AND(CX125="",CY125=""),"",SUM(CX125,CY125)))</f>
        <v/>
      </c>
      <c r="DA125" s="69" t="str">
        <f>IF('School Profile'!$D$20="NO","",IF(AND(CW125="",CZ125=""),"",SUM(CW125+CZ125)))</f>
        <v/>
      </c>
      <c r="DB125" s="68" t="str">
        <f>IF('School Profile'!$D$20="NO","",IF('Marks Entry'!AW125="","",'Marks Entry'!AW125))</f>
        <v/>
      </c>
      <c r="DC125" s="68" t="str">
        <f>IF('School Profile'!$D$20="NO","",IF('Marks Entry'!AX125="","",'Marks Entry'!AX125))</f>
        <v/>
      </c>
      <c r="DD125" s="515" t="str">
        <f>IF('School Profile'!$D$20="NO","",IF(AND(DB125="",DC125=""),"",SUM(DB125,DC125)))</f>
        <v/>
      </c>
      <c r="DE125" s="96" t="str">
        <f>IF('School Profile'!$D$20="NO","",IF(AND(DA125="",DD125=""),"",SUM(DA125,DD125)))</f>
        <v/>
      </c>
      <c r="DF125" s="532">
        <f t="shared" si="219"/>
        <v>0</v>
      </c>
      <c r="DG125" s="65">
        <f t="shared" si="220"/>
        <v>0</v>
      </c>
      <c r="DH125" s="66" t="str">
        <f t="shared" si="221"/>
        <v/>
      </c>
      <c r="DI125" s="65" t="str">
        <f t="shared" si="222"/>
        <v/>
      </c>
      <c r="DJ125" s="65" t="str">
        <f t="shared" si="223"/>
        <v/>
      </c>
      <c r="DK125" s="65" t="str">
        <f t="shared" si="224"/>
        <v/>
      </c>
      <c r="DL125" s="97" t="str">
        <f t="shared" si="264"/>
        <v/>
      </c>
      <c r="DM125" s="97" t="str">
        <f t="shared" si="265"/>
        <v/>
      </c>
      <c r="DN125" s="97" t="str">
        <f t="shared" si="266"/>
        <v/>
      </c>
      <c r="DO125" s="97" t="str">
        <f t="shared" si="267"/>
        <v/>
      </c>
      <c r="DP125" s="97" t="str">
        <f t="shared" si="268"/>
        <v/>
      </c>
      <c r="DQ125" s="97" t="str">
        <f t="shared" si="269"/>
        <v/>
      </c>
      <c r="DR125" s="97" t="str">
        <f t="shared" si="270"/>
        <v/>
      </c>
      <c r="DS125" s="98">
        <f t="shared" si="271"/>
        <v>0</v>
      </c>
      <c r="DT125" s="98">
        <f t="shared" si="272"/>
        <v>0</v>
      </c>
      <c r="DU125" s="98">
        <f t="shared" si="273"/>
        <v>0</v>
      </c>
      <c r="DV125" s="98">
        <f t="shared" si="274"/>
        <v>0</v>
      </c>
      <c r="DW125" s="98">
        <f t="shared" si="275"/>
        <v>0</v>
      </c>
      <c r="DX125" s="98" t="str">
        <f t="shared" si="276"/>
        <v/>
      </c>
      <c r="DY125" s="99" t="str">
        <f t="shared" si="277"/>
        <v/>
      </c>
      <c r="DZ125" s="74" t="str">
        <f>IF('Marks Entry'!AY125="","",'Marks Entry'!AY125)</f>
        <v/>
      </c>
      <c r="EA125" s="74" t="str">
        <f>IF('Marks Entry'!AZ125="","",'Marks Entry'!AZ125)</f>
        <v/>
      </c>
      <c r="EB125" s="74" t="str">
        <f>IF('Marks Entry'!BA125="","",'Marks Entry'!BA125)</f>
        <v/>
      </c>
      <c r="EC125" s="527" t="str">
        <f t="shared" si="225"/>
        <v/>
      </c>
      <c r="ED125" s="74" t="str">
        <f>IF('Marks Entry'!BB125="","",'Marks Entry'!BB125)</f>
        <v/>
      </c>
      <c r="EE125" s="528" t="str">
        <f t="shared" si="226"/>
        <v/>
      </c>
      <c r="EF125" s="74" t="str">
        <f>IF('Marks Entry'!BC125="","",'Marks Entry'!BC125)</f>
        <v/>
      </c>
      <c r="EG125" s="530" t="str">
        <f t="shared" si="227"/>
        <v/>
      </c>
      <c r="EH125" s="368" t="str">
        <f t="shared" si="278"/>
        <v/>
      </c>
      <c r="EI125" s="65">
        <f t="shared" si="279"/>
        <v>0</v>
      </c>
      <c r="EJ125" s="65">
        <f t="shared" si="280"/>
        <v>0</v>
      </c>
      <c r="EK125" s="66" t="str">
        <f t="shared" si="281"/>
        <v/>
      </c>
      <c r="EL125" s="74" t="str">
        <f>IF('Marks Entry'!BD125="","",'Marks Entry'!BD125)</f>
        <v/>
      </c>
      <c r="EM125" s="74" t="str">
        <f>IF('Marks Entry'!BE125="","",'Marks Entry'!BE125)</f>
        <v/>
      </c>
      <c r="EN125" s="74" t="str">
        <f>IF('Marks Entry'!BF125="","",'Marks Entry'!BF125)</f>
        <v/>
      </c>
      <c r="EO125" s="527" t="str">
        <f t="shared" si="228"/>
        <v/>
      </c>
      <c r="EP125" s="74" t="str">
        <f>IF('Marks Entry'!BG125="","",'Marks Entry'!BG125)</f>
        <v/>
      </c>
      <c r="EQ125" s="74" t="str">
        <f>IF('Marks Entry'!BH125="","",'Marks Entry'!BH125)</f>
        <v/>
      </c>
      <c r="ER125" s="528" t="str">
        <f t="shared" si="229"/>
        <v/>
      </c>
      <c r="ES125" s="529" t="str">
        <f t="shared" si="230"/>
        <v/>
      </c>
      <c r="ET125" s="74" t="str">
        <f>IF('Marks Entry'!BI125="","",'Marks Entry'!BI125)</f>
        <v/>
      </c>
      <c r="EU125" s="74" t="str">
        <f>IF('Marks Entry'!BJ125="","",'Marks Entry'!BJ125)</f>
        <v/>
      </c>
      <c r="EV125" s="528" t="str">
        <f t="shared" si="231"/>
        <v/>
      </c>
      <c r="EW125" s="530" t="str">
        <f t="shared" si="232"/>
        <v/>
      </c>
      <c r="EX125" s="368" t="str">
        <f t="shared" si="282"/>
        <v/>
      </c>
      <c r="EY125" s="65">
        <f t="shared" si="283"/>
        <v>0</v>
      </c>
      <c r="EZ125" s="65">
        <f t="shared" si="284"/>
        <v>0</v>
      </c>
      <c r="FA125" s="66" t="str">
        <f t="shared" si="285"/>
        <v/>
      </c>
      <c r="FB125" s="74" t="str">
        <f>IF('Marks Entry'!BK125="","",'Marks Entry'!BK125)</f>
        <v/>
      </c>
      <c r="FC125" s="74" t="str">
        <f>IF('Marks Entry'!BL125="","",'Marks Entry'!BL125)</f>
        <v/>
      </c>
      <c r="FD125" s="74" t="str">
        <f>IF('Marks Entry'!BM125="","",'Marks Entry'!BM125)</f>
        <v/>
      </c>
      <c r="FE125" s="74" t="str">
        <f>IF('Marks Entry'!BN125="","",'Marks Entry'!BN125)</f>
        <v/>
      </c>
      <c r="FF125" s="74" t="str">
        <f>IF('Marks Entry'!BO125="","",'Marks Entry'!BO125)</f>
        <v/>
      </c>
      <c r="FG125" s="74" t="str">
        <f>IF('Marks Entry'!BP125="","",'Marks Entry'!BP125)</f>
        <v/>
      </c>
      <c r="FH125" s="527" t="str">
        <f t="shared" si="233"/>
        <v/>
      </c>
      <c r="FI125" s="74" t="str">
        <f>IF('Marks Entry'!BQ125="","",'Marks Entry'!BQ125)</f>
        <v/>
      </c>
      <c r="FJ125" s="74" t="str">
        <f>IF('Marks Entry'!BR125="","",'Marks Entry'!BR125)</f>
        <v/>
      </c>
      <c r="FK125" s="528" t="str">
        <f t="shared" si="234"/>
        <v/>
      </c>
      <c r="FL125" s="529" t="str">
        <f t="shared" si="235"/>
        <v/>
      </c>
      <c r="FM125" s="74" t="str">
        <f>IF('Marks Entry'!BS125="","",'Marks Entry'!BS125)</f>
        <v/>
      </c>
      <c r="FN125" s="74" t="str">
        <f>IF('Marks Entry'!BT125="","",'Marks Entry'!BT125)</f>
        <v/>
      </c>
      <c r="FO125" s="528" t="str">
        <f t="shared" si="236"/>
        <v/>
      </c>
      <c r="FP125" s="530" t="str">
        <f t="shared" si="237"/>
        <v/>
      </c>
      <c r="FQ125" s="368" t="str">
        <f t="shared" si="286"/>
        <v/>
      </c>
      <c r="FR125" s="65">
        <f t="shared" si="287"/>
        <v>0</v>
      </c>
      <c r="FS125" s="65">
        <f t="shared" si="288"/>
        <v>0</v>
      </c>
      <c r="FT125" s="66" t="str">
        <f t="shared" si="289"/>
        <v/>
      </c>
      <c r="FU125" s="74" t="str">
        <f>IF('Marks Entry'!BU125="","",'Marks Entry'!BU125)</f>
        <v/>
      </c>
      <c r="FV125" s="74" t="str">
        <f>IF('Marks Entry'!BV125="","",'Marks Entry'!BV125)</f>
        <v/>
      </c>
      <c r="FW125" s="74" t="str">
        <f>IF('Marks Entry'!BW125="","",'Marks Entry'!BW125)</f>
        <v/>
      </c>
      <c r="FX125" s="75" t="str">
        <f t="shared" si="238"/>
        <v/>
      </c>
      <c r="FY125" s="368" t="str">
        <f t="shared" si="290"/>
        <v/>
      </c>
      <c r="FZ125" s="65">
        <f t="shared" si="291"/>
        <v>0</v>
      </c>
      <c r="GA125" s="66">
        <f t="shared" si="292"/>
        <v>0</v>
      </c>
      <c r="GB125" s="66" t="str">
        <f t="shared" si="293"/>
        <v/>
      </c>
      <c r="GC125" s="74" t="str">
        <f>IF('Marks Entry'!BX125="","",'Marks Entry'!BX125)</f>
        <v/>
      </c>
      <c r="GD125" s="74" t="str">
        <f>IF('Marks Entry'!BY125="","",'Marks Entry'!BY125)</f>
        <v/>
      </c>
      <c r="GE125" s="74" t="str">
        <f>IF('Marks Entry'!BZ125="","",'Marks Entry'!BZ125)</f>
        <v/>
      </c>
      <c r="GF125" s="75" t="str">
        <f t="shared" si="294"/>
        <v/>
      </c>
      <c r="GG125" s="368" t="str">
        <f t="shared" si="295"/>
        <v/>
      </c>
      <c r="GH125" s="65">
        <f t="shared" si="296"/>
        <v>0</v>
      </c>
      <c r="GI125" s="66">
        <f t="shared" si="297"/>
        <v>0</v>
      </c>
      <c r="GJ125" s="66" t="str">
        <f t="shared" si="298"/>
        <v/>
      </c>
      <c r="GK125" s="100" t="str">
        <f>IF(AND(F125="",B125=""),"",IF('Student DATA Entry'!M122="","",'Student DATA Entry'!M122))</f>
        <v/>
      </c>
      <c r="GL125" s="101" t="str">
        <f>IF(AND(B125="",F125=""),"",IF('Student DATA Entry'!N122="","",'Student DATA Entry'!N122))</f>
        <v/>
      </c>
      <c r="GM125" s="581" t="str">
        <f t="shared" si="299"/>
        <v/>
      </c>
      <c r="GN125" s="94" t="str">
        <f t="shared" si="300"/>
        <v/>
      </c>
      <c r="GO125" s="94" t="str">
        <f t="shared" si="301"/>
        <v/>
      </c>
      <c r="GP125" s="102" t="str">
        <f t="shared" si="330"/>
        <v/>
      </c>
      <c r="GQ125" s="94" t="str">
        <f t="shared" si="302"/>
        <v/>
      </c>
      <c r="GR125" s="103" t="str">
        <f t="shared" si="303"/>
        <v/>
      </c>
      <c r="GS125" s="102" t="str">
        <f t="shared" si="331"/>
        <v/>
      </c>
      <c r="GT125" s="104" t="str">
        <f t="shared" si="304"/>
        <v/>
      </c>
      <c r="GU125" s="94" t="str">
        <f>IF('Marks Entry'!V125=1,GT125,"")</f>
        <v/>
      </c>
      <c r="GV125" s="94" t="str">
        <f>IF('Marks Entry'!V125=2,GT125,"")</f>
        <v/>
      </c>
      <c r="GW125" s="94" t="str">
        <f>IF('Marks Entry'!V125=3,GT125,"")</f>
        <v/>
      </c>
      <c r="GX125" s="94" t="str">
        <f>IF('Marks Entry'!V125=4,GT125,"")</f>
        <v/>
      </c>
      <c r="GY125" s="94" t="str">
        <f>IF('Marks Entry'!V125=5,GT125,"")</f>
        <v/>
      </c>
      <c r="GZ125" s="94" t="str">
        <f t="shared" si="305"/>
        <v/>
      </c>
      <c r="HA125" s="105" t="str">
        <f t="shared" si="332"/>
        <v/>
      </c>
      <c r="HB125" s="94" t="str">
        <f t="shared" si="306"/>
        <v/>
      </c>
      <c r="HC125" s="94" t="str">
        <f t="shared" si="307"/>
        <v/>
      </c>
      <c r="HD125" s="105" t="str">
        <f t="shared" si="333"/>
        <v/>
      </c>
      <c r="HE125" s="94" t="str">
        <f t="shared" si="308"/>
        <v/>
      </c>
      <c r="HF125" s="94" t="str">
        <f t="shared" si="309"/>
        <v/>
      </c>
      <c r="HG125" s="105" t="str">
        <f t="shared" si="334"/>
        <v/>
      </c>
      <c r="HH125" s="94" t="str">
        <f t="shared" si="310"/>
        <v/>
      </c>
      <c r="HI125" s="94" t="str">
        <f t="shared" si="311"/>
        <v/>
      </c>
      <c r="HJ125" s="105" t="str">
        <f t="shared" si="335"/>
        <v/>
      </c>
      <c r="HK125" s="94" t="str">
        <f t="shared" si="312"/>
        <v/>
      </c>
      <c r="HL125" s="94" t="str">
        <f t="shared" si="313"/>
        <v/>
      </c>
      <c r="HM125" s="105" t="str">
        <f t="shared" si="336"/>
        <v/>
      </c>
      <c r="HN125" s="367" t="str">
        <f t="shared" si="314"/>
        <v xml:space="preserve">      </v>
      </c>
      <c r="HO125" s="418" t="str">
        <f t="shared" si="337"/>
        <v xml:space="preserve">      </v>
      </c>
      <c r="HP125" s="367" t="str">
        <f t="shared" si="315"/>
        <v xml:space="preserve">      </v>
      </c>
      <c r="HQ125" s="107" t="str">
        <f t="shared" si="316"/>
        <v xml:space="preserve">      </v>
      </c>
      <c r="HR125" s="366" t="str">
        <f t="shared" si="317"/>
        <v xml:space="preserve">      </v>
      </c>
      <c r="HS125" s="544" t="str">
        <f t="shared" si="338"/>
        <v/>
      </c>
      <c r="HT125" s="542" t="str">
        <f t="shared" si="318"/>
        <v/>
      </c>
      <c r="HU125" s="541" t="str">
        <f t="shared" si="319"/>
        <v/>
      </c>
      <c r="HV125" s="540" t="str">
        <f t="shared" si="320"/>
        <v/>
      </c>
      <c r="HW125" s="537" t="str">
        <f t="shared" si="321"/>
        <v/>
      </c>
      <c r="HX125" s="539" t="str">
        <f t="shared" si="322"/>
        <v/>
      </c>
      <c r="HY125" s="553" t="str">
        <f>IFERROR(IF(OR(HS125="SUPPLEMENTARY",HS125="RE-EXAM"),'Supp. Result Entry'!AQ123,""),"")</f>
        <v/>
      </c>
      <c r="HZ125" s="538" t="str">
        <f t="shared" si="323"/>
        <v/>
      </c>
      <c r="IA125" s="415" t="str">
        <f t="shared" si="324"/>
        <v/>
      </c>
      <c r="IB125" s="415" t="str">
        <f>IF(AND(HZ125="",IA125=""),"",IF(OR(HS125="SUPPLEMENTARY",HS125="RE-EXAM"),'Supp. Result Entry'!AQ123,HS125))</f>
        <v/>
      </c>
      <c r="IC125" s="87"/>
      <c r="IS125" s="109" t="str">
        <f>IF('Supp. Result Entry'!T123="","",'Supp. Result Entry'!$T$4)</f>
        <v/>
      </c>
      <c r="IT125" s="110" t="str">
        <f>IF('Supp. Result Entry'!W123="","",'Supp. Result Entry'!$W$4)</f>
        <v/>
      </c>
      <c r="IU125" s="110" t="str">
        <f>IF('Supp. Result Entry'!Z123="","",'Supp. Result Entry'!$Z$4)</f>
        <v/>
      </c>
      <c r="IV125" s="110" t="str">
        <f>IF('Supp. Result Entry'!AC123="","",'Supp. Result Entry'!$AC$4)</f>
        <v/>
      </c>
      <c r="IW125" s="110" t="str">
        <f>IF('Supp. Result Entry'!AF123="","",'Supp. Result Entry'!$AF$4)</f>
        <v/>
      </c>
      <c r="IX125" s="110" t="str">
        <f>IF('Supp. Result Entry'!AI123="","",'Supp. Result Entry'!$AI$4)</f>
        <v/>
      </c>
      <c r="IY125" s="110" t="str">
        <f>IF('Supp. Result Entry'!AI123="","",'Supp. Result Entry'!$AL$4)</f>
        <v/>
      </c>
      <c r="IZ125" s="110" t="str">
        <f>IF('Supp. Result Entry'!U123="","",'Supp. Result Entry'!U123)</f>
        <v/>
      </c>
      <c r="JA125" s="110" t="str">
        <f>IF('Supp. Result Entry'!X123="","",'Supp. Result Entry'!X123)</f>
        <v/>
      </c>
      <c r="JB125" s="110" t="str">
        <f>IF('Supp. Result Entry'!AA123="","",'Supp. Result Entry'!AA123)</f>
        <v/>
      </c>
      <c r="JC125" s="110" t="str">
        <f>IF('Supp. Result Entry'!AD123="","",'Supp. Result Entry'!AD123)</f>
        <v/>
      </c>
      <c r="JD125" s="110" t="str">
        <f>IF('Supp. Result Entry'!AG123="","",'Supp. Result Entry'!AG123)</f>
        <v/>
      </c>
      <c r="JE125" s="110" t="str">
        <f>IF('Supp. Result Entry'!AJ123="","",'Supp. Result Entry'!AJ123)</f>
        <v/>
      </c>
      <c r="JF125" s="110" t="str">
        <f>IF('Supp. Result Entry'!AM123="","",'Supp. Result Entry'!AM123)</f>
        <v/>
      </c>
      <c r="JG125" s="110" t="str">
        <f>IF('Supp. Result Entry'!V123="","",'Supp. Result Entry'!V123)</f>
        <v/>
      </c>
      <c r="JH125" s="110" t="str">
        <f>IF('Supp. Result Entry'!Y123="","",'Supp. Result Entry'!Y123)</f>
        <v/>
      </c>
      <c r="JI125" s="110" t="str">
        <f>IF('Supp. Result Entry'!AB123="","",'Supp. Result Entry'!AB123)</f>
        <v/>
      </c>
      <c r="JJ125" s="110" t="str">
        <f>IF('Supp. Result Entry'!AE123="","",'Supp. Result Entry'!AE123)</f>
        <v/>
      </c>
      <c r="JK125" s="110" t="str">
        <f>IF('Supp. Result Entry'!AH123="","",'Supp. Result Entry'!AH123)</f>
        <v/>
      </c>
      <c r="JL125" s="110" t="str">
        <f>IF('Supp. Result Entry'!AK123="","",'Supp. Result Entry'!AK123)</f>
        <v/>
      </c>
      <c r="JM125" s="110" t="str">
        <f>IF('Supp. Result Entry'!AN123="","",'Supp. Result Entry'!AN123)</f>
        <v/>
      </c>
      <c r="JN125" s="110">
        <f>COUNTIF('Supp. Result Entry'!K123:Q123,"S")</f>
        <v>0</v>
      </c>
      <c r="JO125" s="110">
        <f t="shared" si="248"/>
        <v>0</v>
      </c>
      <c r="JP125" s="110">
        <f t="shared" si="325"/>
        <v>0</v>
      </c>
      <c r="JQ125" s="110" t="str">
        <f t="shared" si="249"/>
        <v/>
      </c>
      <c r="JR125" s="110" t="str">
        <f t="shared" si="250"/>
        <v/>
      </c>
      <c r="JS125" s="110" t="str">
        <f t="shared" si="251"/>
        <v/>
      </c>
      <c r="JT125" s="110" t="str">
        <f t="shared" si="252"/>
        <v/>
      </c>
      <c r="JU125" s="110" t="str">
        <f t="shared" si="253"/>
        <v/>
      </c>
      <c r="JV125" s="110" t="str">
        <f t="shared" si="254"/>
        <v/>
      </c>
      <c r="JW125" s="110" t="str">
        <f t="shared" si="255"/>
        <v/>
      </c>
      <c r="JX125" s="110" t="str">
        <f t="shared" si="326"/>
        <v/>
      </c>
      <c r="JY125" s="110" t="str">
        <f t="shared" si="327"/>
        <v/>
      </c>
      <c r="JZ125" s="110" t="str">
        <f t="shared" si="256"/>
        <v/>
      </c>
      <c r="KA125" s="108" t="str">
        <f t="shared" si="328"/>
        <v/>
      </c>
    </row>
    <row r="126" spans="1:287" s="108" customFormat="1" ht="21.95" customHeight="1">
      <c r="A126" s="89">
        <v>120</v>
      </c>
      <c r="B126" s="90" t="str">
        <f>IF('Marks Entry'!B126="","",'Marks Entry'!B126)</f>
        <v/>
      </c>
      <c r="C126" s="94" t="str">
        <f>IF('Marks Entry'!D126="","",'Marks Entry'!D126)</f>
        <v/>
      </c>
      <c r="D126" s="91" t="str">
        <f>IF('Marks Entry'!E126="","",'Marks Entry'!E126)</f>
        <v/>
      </c>
      <c r="E126" s="92" t="str">
        <f>IF('Marks Entry'!F126="","",'Marks Entry'!F126)</f>
        <v/>
      </c>
      <c r="F126" s="93" t="str">
        <f>IF('Marks Entry'!G126="","",'Marks Entry'!G126)</f>
        <v/>
      </c>
      <c r="G126" s="93" t="str">
        <f>IF('Marks Entry'!H126="","",'Marks Entry'!H126)</f>
        <v/>
      </c>
      <c r="H126" s="93" t="str">
        <f>IF('Marks Entry'!I126="","",'Marks Entry'!I126)</f>
        <v/>
      </c>
      <c r="I126" s="94" t="str">
        <f>IF('Marks Entry'!J126="","",'Marks Entry'!J126)</f>
        <v/>
      </c>
      <c r="J126" s="95" t="str">
        <f>IF('Marks Entry'!K126="","",'Marks Entry'!K126)</f>
        <v/>
      </c>
      <c r="K126" s="68" t="str">
        <f>IF('Marks Entry'!L126="","",'Marks Entry'!L126)</f>
        <v/>
      </c>
      <c r="L126" s="68" t="str">
        <f>IF('Marks Entry'!M126="","",'Marks Entry'!M126)</f>
        <v/>
      </c>
      <c r="M126" s="68" t="str">
        <f>IF('Marks Entry'!N126="","",'Marks Entry'!N126)</f>
        <v/>
      </c>
      <c r="N126" s="514" t="str">
        <f t="shared" si="257"/>
        <v/>
      </c>
      <c r="O126" s="68" t="str">
        <f>IF('Marks Entry'!O126="","",'Marks Entry'!O126)</f>
        <v/>
      </c>
      <c r="P126" s="515" t="str">
        <f t="shared" si="258"/>
        <v/>
      </c>
      <c r="Q126" s="68" t="str">
        <f>IF('Marks Entry'!P126="","",'Marks Entry'!P126)</f>
        <v/>
      </c>
      <c r="R126" s="96" t="str">
        <f t="shared" si="259"/>
        <v/>
      </c>
      <c r="S126" s="65">
        <f t="shared" si="260"/>
        <v>0</v>
      </c>
      <c r="T126" s="65">
        <f t="shared" si="261"/>
        <v>0</v>
      </c>
      <c r="U126" s="66" t="str">
        <f t="shared" si="171"/>
        <v/>
      </c>
      <c r="V126" s="65" t="str">
        <f t="shared" si="172"/>
        <v/>
      </c>
      <c r="W126" s="65" t="str">
        <f t="shared" si="262"/>
        <v/>
      </c>
      <c r="X126" s="65" t="str">
        <f t="shared" si="173"/>
        <v/>
      </c>
      <c r="Y126" s="68" t="str">
        <f>IF('Marks Entry'!Q126="","",'Marks Entry'!Q126)</f>
        <v/>
      </c>
      <c r="Z126" s="68" t="str">
        <f>IF('Marks Entry'!R126="","",'Marks Entry'!R126)</f>
        <v/>
      </c>
      <c r="AA126" s="68" t="str">
        <f>IF('Marks Entry'!S126="","",'Marks Entry'!S126)</f>
        <v/>
      </c>
      <c r="AB126" s="514" t="str">
        <f t="shared" si="174"/>
        <v/>
      </c>
      <c r="AC126" s="68" t="str">
        <f>IF('Marks Entry'!T126="","",'Marks Entry'!T126)</f>
        <v/>
      </c>
      <c r="AD126" s="515" t="str">
        <f t="shared" si="175"/>
        <v/>
      </c>
      <c r="AE126" s="68" t="str">
        <f>IF('Marks Entry'!U126="","",'Marks Entry'!U126)</f>
        <v/>
      </c>
      <c r="AF126" s="96" t="str">
        <f t="shared" si="176"/>
        <v/>
      </c>
      <c r="AG126" s="65">
        <f t="shared" si="177"/>
        <v>0</v>
      </c>
      <c r="AH126" s="65">
        <f t="shared" si="178"/>
        <v>0</v>
      </c>
      <c r="AI126" s="66" t="str">
        <f t="shared" si="179"/>
        <v/>
      </c>
      <c r="AJ126" s="65" t="str">
        <f t="shared" si="180"/>
        <v/>
      </c>
      <c r="AK126" s="65" t="str">
        <f t="shared" si="181"/>
        <v/>
      </c>
      <c r="AL126" s="65" t="str">
        <f t="shared" si="182"/>
        <v/>
      </c>
      <c r="AM126" s="524" t="str">
        <f>IF('Marks Entry'!V126="","",IF('Marks Entry'!V126=1,'School Profile'!$I$9,IF('Marks Entry'!V126=2,'School Profile'!$I$10,IF('Marks Entry'!V126=3,'School Profile'!$I$11,IF('Marks Entry'!V126=4,'School Profile'!$I$12,IF('Marks Entry'!V126=5,'School Profile'!$I$13,IF('Marks Entry'!V126=6,'School Profile'!$I$14,"")))))))</f>
        <v/>
      </c>
      <c r="AN126" s="68" t="str">
        <f>IF('Marks Entry'!W126="","",'Marks Entry'!W126)</f>
        <v/>
      </c>
      <c r="AO126" s="68" t="str">
        <f>IF('Marks Entry'!X126="","",'Marks Entry'!X126)</f>
        <v/>
      </c>
      <c r="AP126" s="68" t="str">
        <f>IF('Marks Entry'!Y126="","",'Marks Entry'!Y126)</f>
        <v/>
      </c>
      <c r="AQ126" s="514" t="str">
        <f t="shared" si="183"/>
        <v/>
      </c>
      <c r="AR126" s="68" t="str">
        <f>IF('Marks Entry'!Z126="","",'Marks Entry'!Z126)</f>
        <v/>
      </c>
      <c r="AS126" s="515" t="str">
        <f t="shared" si="184"/>
        <v/>
      </c>
      <c r="AT126" s="68" t="str">
        <f>IF('Marks Entry'!AA126="","",'Marks Entry'!AA126)</f>
        <v/>
      </c>
      <c r="AU126" s="96" t="str">
        <f t="shared" si="185"/>
        <v/>
      </c>
      <c r="AV126" s="65">
        <f t="shared" si="186"/>
        <v>0</v>
      </c>
      <c r="AW126" s="65">
        <f t="shared" si="187"/>
        <v>0</v>
      </c>
      <c r="AX126" s="66" t="str">
        <f t="shared" si="188"/>
        <v/>
      </c>
      <c r="AY126" s="65" t="str">
        <f t="shared" si="189"/>
        <v/>
      </c>
      <c r="AZ126" s="65" t="str">
        <f t="shared" si="190"/>
        <v/>
      </c>
      <c r="BA126" s="65" t="str">
        <f t="shared" si="191"/>
        <v/>
      </c>
      <c r="BB126" s="68" t="str">
        <f>IF('Marks Entry'!AB126="","",'Marks Entry'!AB126)</f>
        <v/>
      </c>
      <c r="BC126" s="68" t="str">
        <f>IF('Marks Entry'!AC126="","",'Marks Entry'!AC126)</f>
        <v/>
      </c>
      <c r="BD126" s="68" t="str">
        <f>IF('Marks Entry'!AD126="","",'Marks Entry'!AD126)</f>
        <v/>
      </c>
      <c r="BE126" s="514" t="str">
        <f t="shared" si="192"/>
        <v/>
      </c>
      <c r="BF126" s="68" t="str">
        <f>IF('Marks Entry'!AE126="","",'Marks Entry'!AE126)</f>
        <v/>
      </c>
      <c r="BG126" s="515" t="str">
        <f t="shared" si="193"/>
        <v/>
      </c>
      <c r="BH126" s="68" t="str">
        <f>IF('Marks Entry'!AF126="","",'Marks Entry'!AF126)</f>
        <v/>
      </c>
      <c r="BI126" s="96" t="str">
        <f t="shared" si="194"/>
        <v/>
      </c>
      <c r="BJ126" s="65">
        <f t="shared" si="195"/>
        <v>0</v>
      </c>
      <c r="BK126" s="65">
        <f t="shared" si="263"/>
        <v>0</v>
      </c>
      <c r="BL126" s="66" t="str">
        <f t="shared" si="196"/>
        <v/>
      </c>
      <c r="BM126" s="65" t="str">
        <f t="shared" si="197"/>
        <v/>
      </c>
      <c r="BN126" s="65" t="str">
        <f t="shared" si="198"/>
        <v/>
      </c>
      <c r="BO126" s="65" t="str">
        <f t="shared" si="199"/>
        <v/>
      </c>
      <c r="BP126" s="68" t="str">
        <f>IF('Marks Entry'!AG126="","",'Marks Entry'!AG126)</f>
        <v/>
      </c>
      <c r="BQ126" s="68" t="str">
        <f>IF('Marks Entry'!AH126="","",'Marks Entry'!AH126)</f>
        <v/>
      </c>
      <c r="BR126" s="68" t="str">
        <f>IF('Marks Entry'!AI126="","",'Marks Entry'!AI126)</f>
        <v/>
      </c>
      <c r="BS126" s="514" t="str">
        <f t="shared" si="200"/>
        <v/>
      </c>
      <c r="BT126" s="68" t="str">
        <f>IF('Marks Entry'!AJ126="","",'Marks Entry'!AJ126)</f>
        <v/>
      </c>
      <c r="BU126" s="515" t="str">
        <f t="shared" si="201"/>
        <v/>
      </c>
      <c r="BV126" s="68" t="str">
        <f>IF('Marks Entry'!AK126="","",'Marks Entry'!AK126)</f>
        <v/>
      </c>
      <c r="BW126" s="96" t="str">
        <f t="shared" si="202"/>
        <v/>
      </c>
      <c r="BX126" s="65">
        <f t="shared" si="203"/>
        <v>0</v>
      </c>
      <c r="BY126" s="65">
        <f t="shared" si="204"/>
        <v>0</v>
      </c>
      <c r="BZ126" s="66" t="str">
        <f t="shared" si="205"/>
        <v/>
      </c>
      <c r="CA126" s="65" t="str">
        <f t="shared" si="206"/>
        <v/>
      </c>
      <c r="CB126" s="65" t="str">
        <f t="shared" si="207"/>
        <v/>
      </c>
      <c r="CC126" s="65" t="str">
        <f t="shared" si="208"/>
        <v/>
      </c>
      <c r="CD126" s="66">
        <f t="shared" si="329"/>
        <v>0</v>
      </c>
      <c r="CE126" s="68" t="str">
        <f>IF('Marks Entry'!AL126="","",'Marks Entry'!AL126)</f>
        <v/>
      </c>
      <c r="CF126" s="68" t="str">
        <f>IF('Marks Entry'!AM126="","",'Marks Entry'!AM126)</f>
        <v/>
      </c>
      <c r="CG126" s="68" t="str">
        <f>IF('Marks Entry'!AN126="","",'Marks Entry'!AN126)</f>
        <v/>
      </c>
      <c r="CH126" s="514" t="str">
        <f t="shared" si="210"/>
        <v/>
      </c>
      <c r="CI126" s="68" t="str">
        <f>IF('Marks Entry'!AO126="","",'Marks Entry'!AO126)</f>
        <v/>
      </c>
      <c r="CJ126" s="515" t="str">
        <f t="shared" si="211"/>
        <v/>
      </c>
      <c r="CK126" s="68" t="str">
        <f>IF('Marks Entry'!AP126="","",'Marks Entry'!AP126)</f>
        <v/>
      </c>
      <c r="CL126" s="96" t="str">
        <f t="shared" si="212"/>
        <v/>
      </c>
      <c r="CM126" s="65">
        <f t="shared" si="213"/>
        <v>0</v>
      </c>
      <c r="CN126" s="65">
        <f t="shared" si="214"/>
        <v>0</v>
      </c>
      <c r="CO126" s="66" t="str">
        <f t="shared" si="215"/>
        <v/>
      </c>
      <c r="CP126" s="65" t="str">
        <f t="shared" si="216"/>
        <v/>
      </c>
      <c r="CQ126" s="65" t="str">
        <f t="shared" si="217"/>
        <v/>
      </c>
      <c r="CR126" s="65" t="str">
        <f t="shared" si="218"/>
        <v/>
      </c>
      <c r="CS126" s="616"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8" t="str">
        <f>IF('School Profile'!$D$20="NO","",IF('Marks Entry'!AR126="","",'Marks Entry'!AR126))</f>
        <v/>
      </c>
      <c r="CU126" s="68" t="str">
        <f>IF('School Profile'!$D$20="NO","",IF('Marks Entry'!AS126="","",'Marks Entry'!AS126))</f>
        <v/>
      </c>
      <c r="CV126" s="68" t="str">
        <f>IF('School Profile'!$D$20="NO","",IF('Marks Entry'!AT126="","",'Marks Entry'!AT126))</f>
        <v/>
      </c>
      <c r="CW126" s="514" t="str">
        <f>IF('School Profile'!$D$20="NO","",IF(AND(CT126="",CU126="",CV126=""),"",SUM(CT126:CV126)))</f>
        <v/>
      </c>
      <c r="CX126" s="68" t="str">
        <f>IF('School Profile'!$D$20="NO","",IF('Marks Entry'!AU126="","",'Marks Entry'!AU126))</f>
        <v/>
      </c>
      <c r="CY126" s="68" t="str">
        <f>IF('School Profile'!$D$20="NO","",IF('Marks Entry'!AV126="","",'Marks Entry'!AV126))</f>
        <v/>
      </c>
      <c r="CZ126" s="515" t="str">
        <f>IF('School Profile'!$D$20="NO","",IF(AND(CX126="",CY126=""),"",SUM(CX126,CY126)))</f>
        <v/>
      </c>
      <c r="DA126" s="69" t="str">
        <f>IF('School Profile'!$D$20="NO","",IF(AND(CW126="",CZ126=""),"",SUM(CW126+CZ126)))</f>
        <v/>
      </c>
      <c r="DB126" s="68" t="str">
        <f>IF('School Profile'!$D$20="NO","",IF('Marks Entry'!AW126="","",'Marks Entry'!AW126))</f>
        <v/>
      </c>
      <c r="DC126" s="68" t="str">
        <f>IF('School Profile'!$D$20="NO","",IF('Marks Entry'!AX126="","",'Marks Entry'!AX126))</f>
        <v/>
      </c>
      <c r="DD126" s="515" t="str">
        <f>IF('School Profile'!$D$20="NO","",IF(AND(DB126="",DC126=""),"",SUM(DB126,DC126)))</f>
        <v/>
      </c>
      <c r="DE126" s="96" t="str">
        <f>IF('School Profile'!$D$20="NO","",IF(AND(DA126="",DD126=""),"",SUM(DA126,DD126)))</f>
        <v/>
      </c>
      <c r="DF126" s="532">
        <f t="shared" si="219"/>
        <v>0</v>
      </c>
      <c r="DG126" s="65">
        <f t="shared" si="220"/>
        <v>0</v>
      </c>
      <c r="DH126" s="66" t="str">
        <f t="shared" si="221"/>
        <v/>
      </c>
      <c r="DI126" s="65" t="str">
        <f t="shared" si="222"/>
        <v/>
      </c>
      <c r="DJ126" s="65" t="str">
        <f t="shared" si="223"/>
        <v/>
      </c>
      <c r="DK126" s="65" t="str">
        <f t="shared" si="224"/>
        <v/>
      </c>
      <c r="DL126" s="97" t="str">
        <f t="shared" si="264"/>
        <v/>
      </c>
      <c r="DM126" s="97" t="str">
        <f t="shared" si="265"/>
        <v/>
      </c>
      <c r="DN126" s="97" t="str">
        <f t="shared" si="266"/>
        <v/>
      </c>
      <c r="DO126" s="97" t="str">
        <f t="shared" si="267"/>
        <v/>
      </c>
      <c r="DP126" s="97" t="str">
        <f t="shared" si="268"/>
        <v/>
      </c>
      <c r="DQ126" s="97" t="str">
        <f t="shared" si="269"/>
        <v/>
      </c>
      <c r="DR126" s="97" t="str">
        <f t="shared" si="270"/>
        <v/>
      </c>
      <c r="DS126" s="98">
        <f t="shared" si="271"/>
        <v>0</v>
      </c>
      <c r="DT126" s="98">
        <f t="shared" si="272"/>
        <v>0</v>
      </c>
      <c r="DU126" s="98">
        <f t="shared" si="273"/>
        <v>0</v>
      </c>
      <c r="DV126" s="98">
        <f t="shared" si="274"/>
        <v>0</v>
      </c>
      <c r="DW126" s="98">
        <f t="shared" si="275"/>
        <v>0</v>
      </c>
      <c r="DX126" s="98" t="str">
        <f t="shared" si="276"/>
        <v/>
      </c>
      <c r="DY126" s="99" t="str">
        <f t="shared" si="277"/>
        <v/>
      </c>
      <c r="DZ126" s="74" t="str">
        <f>IF('Marks Entry'!AY126="","",'Marks Entry'!AY126)</f>
        <v/>
      </c>
      <c r="EA126" s="74" t="str">
        <f>IF('Marks Entry'!AZ126="","",'Marks Entry'!AZ126)</f>
        <v/>
      </c>
      <c r="EB126" s="74" t="str">
        <f>IF('Marks Entry'!BA126="","",'Marks Entry'!BA126)</f>
        <v/>
      </c>
      <c r="EC126" s="527" t="str">
        <f t="shared" si="225"/>
        <v/>
      </c>
      <c r="ED126" s="74" t="str">
        <f>IF('Marks Entry'!BB126="","",'Marks Entry'!BB126)</f>
        <v/>
      </c>
      <c r="EE126" s="528" t="str">
        <f t="shared" si="226"/>
        <v/>
      </c>
      <c r="EF126" s="74" t="str">
        <f>IF('Marks Entry'!BC126="","",'Marks Entry'!BC126)</f>
        <v/>
      </c>
      <c r="EG126" s="530" t="str">
        <f t="shared" si="227"/>
        <v/>
      </c>
      <c r="EH126" s="368" t="str">
        <f t="shared" si="278"/>
        <v/>
      </c>
      <c r="EI126" s="65">
        <f t="shared" si="279"/>
        <v>0</v>
      </c>
      <c r="EJ126" s="65">
        <f t="shared" si="280"/>
        <v>0</v>
      </c>
      <c r="EK126" s="66" t="str">
        <f t="shared" si="281"/>
        <v/>
      </c>
      <c r="EL126" s="74" t="str">
        <f>IF('Marks Entry'!BD126="","",'Marks Entry'!BD126)</f>
        <v/>
      </c>
      <c r="EM126" s="74" t="str">
        <f>IF('Marks Entry'!BE126="","",'Marks Entry'!BE126)</f>
        <v/>
      </c>
      <c r="EN126" s="74" t="str">
        <f>IF('Marks Entry'!BF126="","",'Marks Entry'!BF126)</f>
        <v/>
      </c>
      <c r="EO126" s="527" t="str">
        <f t="shared" si="228"/>
        <v/>
      </c>
      <c r="EP126" s="74" t="str">
        <f>IF('Marks Entry'!BG126="","",'Marks Entry'!BG126)</f>
        <v/>
      </c>
      <c r="EQ126" s="74" t="str">
        <f>IF('Marks Entry'!BH126="","",'Marks Entry'!BH126)</f>
        <v/>
      </c>
      <c r="ER126" s="528" t="str">
        <f t="shared" si="229"/>
        <v/>
      </c>
      <c r="ES126" s="529" t="str">
        <f t="shared" si="230"/>
        <v/>
      </c>
      <c r="ET126" s="74" t="str">
        <f>IF('Marks Entry'!BI126="","",'Marks Entry'!BI126)</f>
        <v/>
      </c>
      <c r="EU126" s="74" t="str">
        <f>IF('Marks Entry'!BJ126="","",'Marks Entry'!BJ126)</f>
        <v/>
      </c>
      <c r="EV126" s="528" t="str">
        <f t="shared" si="231"/>
        <v/>
      </c>
      <c r="EW126" s="530" t="str">
        <f t="shared" si="232"/>
        <v/>
      </c>
      <c r="EX126" s="368" t="str">
        <f t="shared" si="282"/>
        <v/>
      </c>
      <c r="EY126" s="65">
        <f t="shared" si="283"/>
        <v>0</v>
      </c>
      <c r="EZ126" s="65">
        <f t="shared" si="284"/>
        <v>0</v>
      </c>
      <c r="FA126" s="66" t="str">
        <f t="shared" si="285"/>
        <v/>
      </c>
      <c r="FB126" s="74" t="str">
        <f>IF('Marks Entry'!BK126="","",'Marks Entry'!BK126)</f>
        <v/>
      </c>
      <c r="FC126" s="74" t="str">
        <f>IF('Marks Entry'!BL126="","",'Marks Entry'!BL126)</f>
        <v/>
      </c>
      <c r="FD126" s="74" t="str">
        <f>IF('Marks Entry'!BM126="","",'Marks Entry'!BM126)</f>
        <v/>
      </c>
      <c r="FE126" s="74" t="str">
        <f>IF('Marks Entry'!BN126="","",'Marks Entry'!BN126)</f>
        <v/>
      </c>
      <c r="FF126" s="74" t="str">
        <f>IF('Marks Entry'!BO126="","",'Marks Entry'!BO126)</f>
        <v/>
      </c>
      <c r="FG126" s="74" t="str">
        <f>IF('Marks Entry'!BP126="","",'Marks Entry'!BP126)</f>
        <v/>
      </c>
      <c r="FH126" s="527" t="str">
        <f t="shared" si="233"/>
        <v/>
      </c>
      <c r="FI126" s="74" t="str">
        <f>IF('Marks Entry'!BQ126="","",'Marks Entry'!BQ126)</f>
        <v/>
      </c>
      <c r="FJ126" s="74" t="str">
        <f>IF('Marks Entry'!BR126="","",'Marks Entry'!BR126)</f>
        <v/>
      </c>
      <c r="FK126" s="528" t="str">
        <f t="shared" si="234"/>
        <v/>
      </c>
      <c r="FL126" s="529" t="str">
        <f t="shared" si="235"/>
        <v/>
      </c>
      <c r="FM126" s="74" t="str">
        <f>IF('Marks Entry'!BS126="","",'Marks Entry'!BS126)</f>
        <v/>
      </c>
      <c r="FN126" s="74" t="str">
        <f>IF('Marks Entry'!BT126="","",'Marks Entry'!BT126)</f>
        <v/>
      </c>
      <c r="FO126" s="528" t="str">
        <f t="shared" si="236"/>
        <v/>
      </c>
      <c r="FP126" s="530" t="str">
        <f t="shared" si="237"/>
        <v/>
      </c>
      <c r="FQ126" s="368" t="str">
        <f t="shared" si="286"/>
        <v/>
      </c>
      <c r="FR126" s="65">
        <f t="shared" si="287"/>
        <v>0</v>
      </c>
      <c r="FS126" s="65">
        <f t="shared" si="288"/>
        <v>0</v>
      </c>
      <c r="FT126" s="66" t="str">
        <f t="shared" si="289"/>
        <v/>
      </c>
      <c r="FU126" s="74" t="str">
        <f>IF('Marks Entry'!BU126="","",'Marks Entry'!BU126)</f>
        <v/>
      </c>
      <c r="FV126" s="74" t="str">
        <f>IF('Marks Entry'!BV126="","",'Marks Entry'!BV126)</f>
        <v/>
      </c>
      <c r="FW126" s="74" t="str">
        <f>IF('Marks Entry'!BW126="","",'Marks Entry'!BW126)</f>
        <v/>
      </c>
      <c r="FX126" s="75" t="str">
        <f t="shared" si="238"/>
        <v/>
      </c>
      <c r="FY126" s="368" t="str">
        <f t="shared" si="290"/>
        <v/>
      </c>
      <c r="FZ126" s="65">
        <f t="shared" si="291"/>
        <v>0</v>
      </c>
      <c r="GA126" s="66">
        <f t="shared" si="292"/>
        <v>0</v>
      </c>
      <c r="GB126" s="66" t="str">
        <f t="shared" si="293"/>
        <v/>
      </c>
      <c r="GC126" s="74" t="str">
        <f>IF('Marks Entry'!BX126="","",'Marks Entry'!BX126)</f>
        <v/>
      </c>
      <c r="GD126" s="74" t="str">
        <f>IF('Marks Entry'!BY126="","",'Marks Entry'!BY126)</f>
        <v/>
      </c>
      <c r="GE126" s="74" t="str">
        <f>IF('Marks Entry'!BZ126="","",'Marks Entry'!BZ126)</f>
        <v/>
      </c>
      <c r="GF126" s="75" t="str">
        <f t="shared" si="294"/>
        <v/>
      </c>
      <c r="GG126" s="368" t="str">
        <f t="shared" si="295"/>
        <v/>
      </c>
      <c r="GH126" s="65">
        <f t="shared" si="296"/>
        <v>0</v>
      </c>
      <c r="GI126" s="66">
        <f t="shared" si="297"/>
        <v>0</v>
      </c>
      <c r="GJ126" s="66" t="str">
        <f t="shared" si="298"/>
        <v/>
      </c>
      <c r="GK126" s="100" t="str">
        <f>IF(AND(F126="",B126=""),"",IF('Student DATA Entry'!M123="","",'Student DATA Entry'!M123))</f>
        <v/>
      </c>
      <c r="GL126" s="101" t="str">
        <f>IF(AND(B126="",F126=""),"",IF('Student DATA Entry'!N123="","",'Student DATA Entry'!N123))</f>
        <v/>
      </c>
      <c r="GM126" s="581" t="str">
        <f t="shared" si="299"/>
        <v/>
      </c>
      <c r="GN126" s="94" t="str">
        <f t="shared" si="300"/>
        <v/>
      </c>
      <c r="GO126" s="94" t="str">
        <f t="shared" si="301"/>
        <v/>
      </c>
      <c r="GP126" s="102" t="str">
        <f t="shared" si="330"/>
        <v/>
      </c>
      <c r="GQ126" s="94" t="str">
        <f t="shared" si="302"/>
        <v/>
      </c>
      <c r="GR126" s="103" t="str">
        <f t="shared" si="303"/>
        <v/>
      </c>
      <c r="GS126" s="102" t="str">
        <f t="shared" si="331"/>
        <v/>
      </c>
      <c r="GT126" s="104" t="str">
        <f t="shared" si="304"/>
        <v/>
      </c>
      <c r="GU126" s="94" t="str">
        <f>IF('Marks Entry'!V126=1,GT126,"")</f>
        <v/>
      </c>
      <c r="GV126" s="94" t="str">
        <f>IF('Marks Entry'!V126=2,GT126,"")</f>
        <v/>
      </c>
      <c r="GW126" s="94" t="str">
        <f>IF('Marks Entry'!V126=3,GT126,"")</f>
        <v/>
      </c>
      <c r="GX126" s="94" t="str">
        <f>IF('Marks Entry'!V126=4,GT126,"")</f>
        <v/>
      </c>
      <c r="GY126" s="94" t="str">
        <f>IF('Marks Entry'!V126=5,GT126,"")</f>
        <v/>
      </c>
      <c r="GZ126" s="94" t="str">
        <f t="shared" si="305"/>
        <v/>
      </c>
      <c r="HA126" s="105" t="str">
        <f t="shared" si="332"/>
        <v/>
      </c>
      <c r="HB126" s="94" t="str">
        <f t="shared" si="306"/>
        <v/>
      </c>
      <c r="HC126" s="94" t="str">
        <f t="shared" si="307"/>
        <v/>
      </c>
      <c r="HD126" s="105" t="str">
        <f t="shared" si="333"/>
        <v/>
      </c>
      <c r="HE126" s="94" t="str">
        <f t="shared" si="308"/>
        <v/>
      </c>
      <c r="HF126" s="94" t="str">
        <f t="shared" si="309"/>
        <v/>
      </c>
      <c r="HG126" s="105" t="str">
        <f t="shared" si="334"/>
        <v/>
      </c>
      <c r="HH126" s="94" t="str">
        <f t="shared" si="310"/>
        <v/>
      </c>
      <c r="HI126" s="94" t="str">
        <f t="shared" si="311"/>
        <v/>
      </c>
      <c r="HJ126" s="105" t="str">
        <f t="shared" si="335"/>
        <v/>
      </c>
      <c r="HK126" s="94" t="str">
        <f t="shared" si="312"/>
        <v/>
      </c>
      <c r="HL126" s="94" t="str">
        <f t="shared" si="313"/>
        <v/>
      </c>
      <c r="HM126" s="105" t="str">
        <f t="shared" si="336"/>
        <v/>
      </c>
      <c r="HN126" s="367" t="str">
        <f t="shared" si="314"/>
        <v xml:space="preserve">      </v>
      </c>
      <c r="HO126" s="418" t="str">
        <f t="shared" si="337"/>
        <v xml:space="preserve">      </v>
      </c>
      <c r="HP126" s="367" t="str">
        <f t="shared" si="315"/>
        <v xml:space="preserve">      </v>
      </c>
      <c r="HQ126" s="107" t="str">
        <f t="shared" si="316"/>
        <v xml:space="preserve">      </v>
      </c>
      <c r="HR126" s="366" t="str">
        <f t="shared" si="317"/>
        <v xml:space="preserve">      </v>
      </c>
      <c r="HS126" s="544" t="str">
        <f t="shared" si="338"/>
        <v/>
      </c>
      <c r="HT126" s="542" t="str">
        <f t="shared" si="318"/>
        <v/>
      </c>
      <c r="HU126" s="541" t="str">
        <f t="shared" si="319"/>
        <v/>
      </c>
      <c r="HV126" s="540" t="str">
        <f t="shared" si="320"/>
        <v/>
      </c>
      <c r="HW126" s="537" t="str">
        <f t="shared" si="321"/>
        <v/>
      </c>
      <c r="HX126" s="539" t="str">
        <f t="shared" si="322"/>
        <v/>
      </c>
      <c r="HY126" s="553" t="str">
        <f>IFERROR(IF(OR(HS126="SUPPLEMENTARY",HS126="RE-EXAM"),'Supp. Result Entry'!AQ124,""),"")</f>
        <v/>
      </c>
      <c r="HZ126" s="538" t="str">
        <f t="shared" si="323"/>
        <v/>
      </c>
      <c r="IA126" s="415" t="str">
        <f t="shared" si="324"/>
        <v/>
      </c>
      <c r="IB126" s="415" t="str">
        <f>IF(AND(HZ126="",IA126=""),"",IF(OR(HS126="SUPPLEMENTARY",HS126="RE-EXAM"),'Supp. Result Entry'!AQ124,HS126))</f>
        <v/>
      </c>
      <c r="IC126" s="87"/>
      <c r="IS126" s="109" t="str">
        <f>IF('Supp. Result Entry'!T124="","",'Supp. Result Entry'!$T$4)</f>
        <v/>
      </c>
      <c r="IT126" s="110" t="str">
        <f>IF('Supp. Result Entry'!W124="","",'Supp. Result Entry'!$W$4)</f>
        <v/>
      </c>
      <c r="IU126" s="110" t="str">
        <f>IF('Supp. Result Entry'!Z124="","",'Supp. Result Entry'!$Z$4)</f>
        <v/>
      </c>
      <c r="IV126" s="110" t="str">
        <f>IF('Supp. Result Entry'!AC124="","",'Supp. Result Entry'!$AC$4)</f>
        <v/>
      </c>
      <c r="IW126" s="110" t="str">
        <f>IF('Supp. Result Entry'!AF124="","",'Supp. Result Entry'!$AF$4)</f>
        <v/>
      </c>
      <c r="IX126" s="110" t="str">
        <f>IF('Supp. Result Entry'!AI124="","",'Supp. Result Entry'!$AI$4)</f>
        <v/>
      </c>
      <c r="IY126" s="110" t="str">
        <f>IF('Supp. Result Entry'!AI124="","",'Supp. Result Entry'!$AL$4)</f>
        <v/>
      </c>
      <c r="IZ126" s="110" t="str">
        <f>IF('Supp. Result Entry'!U124="","",'Supp. Result Entry'!U124)</f>
        <v/>
      </c>
      <c r="JA126" s="110" t="str">
        <f>IF('Supp. Result Entry'!X124="","",'Supp. Result Entry'!X124)</f>
        <v/>
      </c>
      <c r="JB126" s="110" t="str">
        <f>IF('Supp. Result Entry'!AA124="","",'Supp. Result Entry'!AA124)</f>
        <v/>
      </c>
      <c r="JC126" s="110" t="str">
        <f>IF('Supp. Result Entry'!AD124="","",'Supp. Result Entry'!AD124)</f>
        <v/>
      </c>
      <c r="JD126" s="110" t="str">
        <f>IF('Supp. Result Entry'!AG124="","",'Supp. Result Entry'!AG124)</f>
        <v/>
      </c>
      <c r="JE126" s="110" t="str">
        <f>IF('Supp. Result Entry'!AJ124="","",'Supp. Result Entry'!AJ124)</f>
        <v/>
      </c>
      <c r="JF126" s="110" t="str">
        <f>IF('Supp. Result Entry'!AM124="","",'Supp. Result Entry'!AM124)</f>
        <v/>
      </c>
      <c r="JG126" s="110" t="str">
        <f>IF('Supp. Result Entry'!V124="","",'Supp. Result Entry'!V124)</f>
        <v/>
      </c>
      <c r="JH126" s="110" t="str">
        <f>IF('Supp. Result Entry'!Y124="","",'Supp. Result Entry'!Y124)</f>
        <v/>
      </c>
      <c r="JI126" s="110" t="str">
        <f>IF('Supp. Result Entry'!AB124="","",'Supp. Result Entry'!AB124)</f>
        <v/>
      </c>
      <c r="JJ126" s="110" t="str">
        <f>IF('Supp. Result Entry'!AE124="","",'Supp. Result Entry'!AE124)</f>
        <v/>
      </c>
      <c r="JK126" s="110" t="str">
        <f>IF('Supp. Result Entry'!AH124="","",'Supp. Result Entry'!AH124)</f>
        <v/>
      </c>
      <c r="JL126" s="110" t="str">
        <f>IF('Supp. Result Entry'!AK124="","",'Supp. Result Entry'!AK124)</f>
        <v/>
      </c>
      <c r="JM126" s="110" t="str">
        <f>IF('Supp. Result Entry'!AN124="","",'Supp. Result Entry'!AN124)</f>
        <v/>
      </c>
      <c r="JN126" s="110">
        <f>COUNTIF('Supp. Result Entry'!K124:Q124,"S")</f>
        <v>0</v>
      </c>
      <c r="JO126" s="110">
        <f t="shared" si="248"/>
        <v>0</v>
      </c>
      <c r="JP126" s="110">
        <f t="shared" si="325"/>
        <v>0</v>
      </c>
      <c r="JQ126" s="110" t="str">
        <f t="shared" si="249"/>
        <v/>
      </c>
      <c r="JR126" s="110" t="str">
        <f t="shared" si="250"/>
        <v/>
      </c>
      <c r="JS126" s="110" t="str">
        <f t="shared" si="251"/>
        <v/>
      </c>
      <c r="JT126" s="110" t="str">
        <f t="shared" si="252"/>
        <v/>
      </c>
      <c r="JU126" s="110" t="str">
        <f t="shared" si="253"/>
        <v/>
      </c>
      <c r="JV126" s="110" t="str">
        <f t="shared" si="254"/>
        <v/>
      </c>
      <c r="JW126" s="110" t="str">
        <f t="shared" si="255"/>
        <v/>
      </c>
      <c r="JX126" s="110" t="str">
        <f t="shared" si="326"/>
        <v/>
      </c>
      <c r="JY126" s="110" t="str">
        <f t="shared" si="327"/>
        <v/>
      </c>
      <c r="JZ126" s="110" t="str">
        <f t="shared" si="256"/>
        <v/>
      </c>
      <c r="KA126" s="108" t="str">
        <f t="shared" si="328"/>
        <v/>
      </c>
    </row>
    <row r="127" spans="1:287" s="108" customFormat="1" ht="21.95" customHeight="1">
      <c r="A127" s="89">
        <v>121</v>
      </c>
      <c r="B127" s="90" t="str">
        <f>IF('Marks Entry'!B127="","",'Marks Entry'!B127)</f>
        <v/>
      </c>
      <c r="C127" s="94" t="str">
        <f>IF('Marks Entry'!D127="","",'Marks Entry'!D127)</f>
        <v/>
      </c>
      <c r="D127" s="91" t="str">
        <f>IF('Marks Entry'!E127="","",'Marks Entry'!E127)</f>
        <v/>
      </c>
      <c r="E127" s="92" t="str">
        <f>IF('Marks Entry'!F127="","",'Marks Entry'!F127)</f>
        <v/>
      </c>
      <c r="F127" s="93" t="str">
        <f>IF('Marks Entry'!G127="","",'Marks Entry'!G127)</f>
        <v/>
      </c>
      <c r="G127" s="93" t="str">
        <f>IF('Marks Entry'!H127="","",'Marks Entry'!H127)</f>
        <v/>
      </c>
      <c r="H127" s="93" t="str">
        <f>IF('Marks Entry'!I127="","",'Marks Entry'!I127)</f>
        <v/>
      </c>
      <c r="I127" s="94" t="str">
        <f>IF('Marks Entry'!J127="","",'Marks Entry'!J127)</f>
        <v/>
      </c>
      <c r="J127" s="95" t="str">
        <f>IF('Marks Entry'!K127="","",'Marks Entry'!K127)</f>
        <v/>
      </c>
      <c r="K127" s="68" t="str">
        <f>IF('Marks Entry'!L127="","",'Marks Entry'!L127)</f>
        <v/>
      </c>
      <c r="L127" s="68" t="str">
        <f>IF('Marks Entry'!M127="","",'Marks Entry'!M127)</f>
        <v/>
      </c>
      <c r="M127" s="68" t="str">
        <f>IF('Marks Entry'!N127="","",'Marks Entry'!N127)</f>
        <v/>
      </c>
      <c r="N127" s="514" t="str">
        <f t="shared" si="257"/>
        <v/>
      </c>
      <c r="O127" s="68" t="str">
        <f>IF('Marks Entry'!O127="","",'Marks Entry'!O127)</f>
        <v/>
      </c>
      <c r="P127" s="515" t="str">
        <f t="shared" si="258"/>
        <v/>
      </c>
      <c r="Q127" s="68" t="str">
        <f>IF('Marks Entry'!P127="","",'Marks Entry'!P127)</f>
        <v/>
      </c>
      <c r="R127" s="96" t="str">
        <f t="shared" si="259"/>
        <v/>
      </c>
      <c r="S127" s="65">
        <f t="shared" si="260"/>
        <v>0</v>
      </c>
      <c r="T127" s="65">
        <f t="shared" si="261"/>
        <v>0</v>
      </c>
      <c r="U127" s="66" t="str">
        <f t="shared" si="171"/>
        <v/>
      </c>
      <c r="V127" s="65" t="str">
        <f t="shared" si="172"/>
        <v/>
      </c>
      <c r="W127" s="65" t="str">
        <f t="shared" si="262"/>
        <v/>
      </c>
      <c r="X127" s="65" t="str">
        <f t="shared" si="173"/>
        <v/>
      </c>
      <c r="Y127" s="68" t="str">
        <f>IF('Marks Entry'!Q127="","",'Marks Entry'!Q127)</f>
        <v/>
      </c>
      <c r="Z127" s="68" t="str">
        <f>IF('Marks Entry'!R127="","",'Marks Entry'!R127)</f>
        <v/>
      </c>
      <c r="AA127" s="68" t="str">
        <f>IF('Marks Entry'!S127="","",'Marks Entry'!S127)</f>
        <v/>
      </c>
      <c r="AB127" s="514" t="str">
        <f t="shared" si="174"/>
        <v/>
      </c>
      <c r="AC127" s="68" t="str">
        <f>IF('Marks Entry'!T127="","",'Marks Entry'!T127)</f>
        <v/>
      </c>
      <c r="AD127" s="515" t="str">
        <f t="shared" si="175"/>
        <v/>
      </c>
      <c r="AE127" s="68" t="str">
        <f>IF('Marks Entry'!U127="","",'Marks Entry'!U127)</f>
        <v/>
      </c>
      <c r="AF127" s="96" t="str">
        <f t="shared" si="176"/>
        <v/>
      </c>
      <c r="AG127" s="65">
        <f t="shared" si="177"/>
        <v>0</v>
      </c>
      <c r="AH127" s="65">
        <f t="shared" si="178"/>
        <v>0</v>
      </c>
      <c r="AI127" s="66" t="str">
        <f t="shared" si="179"/>
        <v/>
      </c>
      <c r="AJ127" s="65" t="str">
        <f t="shared" si="180"/>
        <v/>
      </c>
      <c r="AK127" s="65" t="str">
        <f t="shared" si="181"/>
        <v/>
      </c>
      <c r="AL127" s="65" t="str">
        <f t="shared" si="182"/>
        <v/>
      </c>
      <c r="AM127" s="524" t="str">
        <f>IF('Marks Entry'!V127="","",IF('Marks Entry'!V127=1,'School Profile'!$I$9,IF('Marks Entry'!V127=2,'School Profile'!$I$10,IF('Marks Entry'!V127=3,'School Profile'!$I$11,IF('Marks Entry'!V127=4,'School Profile'!$I$12,IF('Marks Entry'!V127=5,'School Profile'!$I$13,IF('Marks Entry'!V127=6,'School Profile'!$I$14,"")))))))</f>
        <v/>
      </c>
      <c r="AN127" s="68" t="str">
        <f>IF('Marks Entry'!W127="","",'Marks Entry'!W127)</f>
        <v/>
      </c>
      <c r="AO127" s="68" t="str">
        <f>IF('Marks Entry'!X127="","",'Marks Entry'!X127)</f>
        <v/>
      </c>
      <c r="AP127" s="68" t="str">
        <f>IF('Marks Entry'!Y127="","",'Marks Entry'!Y127)</f>
        <v/>
      </c>
      <c r="AQ127" s="514" t="str">
        <f t="shared" si="183"/>
        <v/>
      </c>
      <c r="AR127" s="68" t="str">
        <f>IF('Marks Entry'!Z127="","",'Marks Entry'!Z127)</f>
        <v/>
      </c>
      <c r="AS127" s="515" t="str">
        <f t="shared" si="184"/>
        <v/>
      </c>
      <c r="AT127" s="68" t="str">
        <f>IF('Marks Entry'!AA127="","",'Marks Entry'!AA127)</f>
        <v/>
      </c>
      <c r="AU127" s="96" t="str">
        <f t="shared" si="185"/>
        <v/>
      </c>
      <c r="AV127" s="65">
        <f t="shared" si="186"/>
        <v>0</v>
      </c>
      <c r="AW127" s="65">
        <f t="shared" si="187"/>
        <v>0</v>
      </c>
      <c r="AX127" s="66" t="str">
        <f t="shared" si="188"/>
        <v/>
      </c>
      <c r="AY127" s="65" t="str">
        <f t="shared" si="189"/>
        <v/>
      </c>
      <c r="AZ127" s="65" t="str">
        <f t="shared" si="190"/>
        <v/>
      </c>
      <c r="BA127" s="65" t="str">
        <f t="shared" si="191"/>
        <v/>
      </c>
      <c r="BB127" s="68" t="str">
        <f>IF('Marks Entry'!AB127="","",'Marks Entry'!AB127)</f>
        <v/>
      </c>
      <c r="BC127" s="68" t="str">
        <f>IF('Marks Entry'!AC127="","",'Marks Entry'!AC127)</f>
        <v/>
      </c>
      <c r="BD127" s="68" t="str">
        <f>IF('Marks Entry'!AD127="","",'Marks Entry'!AD127)</f>
        <v/>
      </c>
      <c r="BE127" s="514" t="str">
        <f t="shared" si="192"/>
        <v/>
      </c>
      <c r="BF127" s="68" t="str">
        <f>IF('Marks Entry'!AE127="","",'Marks Entry'!AE127)</f>
        <v/>
      </c>
      <c r="BG127" s="515" t="str">
        <f t="shared" si="193"/>
        <v/>
      </c>
      <c r="BH127" s="68" t="str">
        <f>IF('Marks Entry'!AF127="","",'Marks Entry'!AF127)</f>
        <v/>
      </c>
      <c r="BI127" s="96" t="str">
        <f t="shared" si="194"/>
        <v/>
      </c>
      <c r="BJ127" s="65">
        <f t="shared" si="195"/>
        <v>0</v>
      </c>
      <c r="BK127" s="65">
        <f t="shared" si="263"/>
        <v>0</v>
      </c>
      <c r="BL127" s="66" t="str">
        <f t="shared" si="196"/>
        <v/>
      </c>
      <c r="BM127" s="65" t="str">
        <f t="shared" si="197"/>
        <v/>
      </c>
      <c r="BN127" s="65" t="str">
        <f t="shared" si="198"/>
        <v/>
      </c>
      <c r="BO127" s="65" t="str">
        <f t="shared" si="199"/>
        <v/>
      </c>
      <c r="BP127" s="68" t="str">
        <f>IF('Marks Entry'!AG127="","",'Marks Entry'!AG127)</f>
        <v/>
      </c>
      <c r="BQ127" s="68" t="str">
        <f>IF('Marks Entry'!AH127="","",'Marks Entry'!AH127)</f>
        <v/>
      </c>
      <c r="BR127" s="68" t="str">
        <f>IF('Marks Entry'!AI127="","",'Marks Entry'!AI127)</f>
        <v/>
      </c>
      <c r="BS127" s="514" t="str">
        <f t="shared" si="200"/>
        <v/>
      </c>
      <c r="BT127" s="68" t="str">
        <f>IF('Marks Entry'!AJ127="","",'Marks Entry'!AJ127)</f>
        <v/>
      </c>
      <c r="BU127" s="515" t="str">
        <f t="shared" si="201"/>
        <v/>
      </c>
      <c r="BV127" s="68" t="str">
        <f>IF('Marks Entry'!AK127="","",'Marks Entry'!AK127)</f>
        <v/>
      </c>
      <c r="BW127" s="96" t="str">
        <f t="shared" si="202"/>
        <v/>
      </c>
      <c r="BX127" s="65">
        <f t="shared" si="203"/>
        <v>0</v>
      </c>
      <c r="BY127" s="65">
        <f t="shared" si="204"/>
        <v>0</v>
      </c>
      <c r="BZ127" s="66" t="str">
        <f t="shared" si="205"/>
        <v/>
      </c>
      <c r="CA127" s="65" t="str">
        <f t="shared" si="206"/>
        <v/>
      </c>
      <c r="CB127" s="65" t="str">
        <f t="shared" si="207"/>
        <v/>
      </c>
      <c r="CC127" s="65" t="str">
        <f t="shared" si="208"/>
        <v/>
      </c>
      <c r="CD127" s="66">
        <f t="shared" si="329"/>
        <v>0</v>
      </c>
      <c r="CE127" s="68" t="str">
        <f>IF('Marks Entry'!AL127="","",'Marks Entry'!AL127)</f>
        <v/>
      </c>
      <c r="CF127" s="68" t="str">
        <f>IF('Marks Entry'!AM127="","",'Marks Entry'!AM127)</f>
        <v/>
      </c>
      <c r="CG127" s="68" t="str">
        <f>IF('Marks Entry'!AN127="","",'Marks Entry'!AN127)</f>
        <v/>
      </c>
      <c r="CH127" s="514" t="str">
        <f t="shared" si="210"/>
        <v/>
      </c>
      <c r="CI127" s="68" t="str">
        <f>IF('Marks Entry'!AO127="","",'Marks Entry'!AO127)</f>
        <v/>
      </c>
      <c r="CJ127" s="515" t="str">
        <f t="shared" si="211"/>
        <v/>
      </c>
      <c r="CK127" s="68" t="str">
        <f>IF('Marks Entry'!AP127="","",'Marks Entry'!AP127)</f>
        <v/>
      </c>
      <c r="CL127" s="96" t="str">
        <f t="shared" si="212"/>
        <v/>
      </c>
      <c r="CM127" s="65">
        <f t="shared" si="213"/>
        <v>0</v>
      </c>
      <c r="CN127" s="65">
        <f t="shared" si="214"/>
        <v>0</v>
      </c>
      <c r="CO127" s="66" t="str">
        <f t="shared" si="215"/>
        <v/>
      </c>
      <c r="CP127" s="65" t="str">
        <f t="shared" si="216"/>
        <v/>
      </c>
      <c r="CQ127" s="65" t="str">
        <f t="shared" si="217"/>
        <v/>
      </c>
      <c r="CR127" s="65" t="str">
        <f t="shared" si="218"/>
        <v/>
      </c>
      <c r="CS127" s="616"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8" t="str">
        <f>IF('School Profile'!$D$20="NO","",IF('Marks Entry'!AR127="","",'Marks Entry'!AR127))</f>
        <v/>
      </c>
      <c r="CU127" s="68" t="str">
        <f>IF('School Profile'!$D$20="NO","",IF('Marks Entry'!AS127="","",'Marks Entry'!AS127))</f>
        <v/>
      </c>
      <c r="CV127" s="68" t="str">
        <f>IF('School Profile'!$D$20="NO","",IF('Marks Entry'!AT127="","",'Marks Entry'!AT127))</f>
        <v/>
      </c>
      <c r="CW127" s="514" t="str">
        <f>IF('School Profile'!$D$20="NO","",IF(AND(CT127="",CU127="",CV127=""),"",SUM(CT127:CV127)))</f>
        <v/>
      </c>
      <c r="CX127" s="68" t="str">
        <f>IF('School Profile'!$D$20="NO","",IF('Marks Entry'!AU127="","",'Marks Entry'!AU127))</f>
        <v/>
      </c>
      <c r="CY127" s="68" t="str">
        <f>IF('School Profile'!$D$20="NO","",IF('Marks Entry'!AV127="","",'Marks Entry'!AV127))</f>
        <v/>
      </c>
      <c r="CZ127" s="515" t="str">
        <f>IF('School Profile'!$D$20="NO","",IF(AND(CX127="",CY127=""),"",SUM(CX127,CY127)))</f>
        <v/>
      </c>
      <c r="DA127" s="69" t="str">
        <f>IF('School Profile'!$D$20="NO","",IF(AND(CW127="",CZ127=""),"",SUM(CW127+CZ127)))</f>
        <v/>
      </c>
      <c r="DB127" s="68" t="str">
        <f>IF('School Profile'!$D$20="NO","",IF('Marks Entry'!AW127="","",'Marks Entry'!AW127))</f>
        <v/>
      </c>
      <c r="DC127" s="68" t="str">
        <f>IF('School Profile'!$D$20="NO","",IF('Marks Entry'!AX127="","",'Marks Entry'!AX127))</f>
        <v/>
      </c>
      <c r="DD127" s="515" t="str">
        <f>IF('School Profile'!$D$20="NO","",IF(AND(DB127="",DC127=""),"",SUM(DB127,DC127)))</f>
        <v/>
      </c>
      <c r="DE127" s="96" t="str">
        <f>IF('School Profile'!$D$20="NO","",IF(AND(DA127="",DD127=""),"",SUM(DA127,DD127)))</f>
        <v/>
      </c>
      <c r="DF127" s="532">
        <f t="shared" si="219"/>
        <v>0</v>
      </c>
      <c r="DG127" s="65">
        <f t="shared" si="220"/>
        <v>0</v>
      </c>
      <c r="DH127" s="66" t="str">
        <f t="shared" si="221"/>
        <v/>
      </c>
      <c r="DI127" s="65" t="str">
        <f t="shared" si="222"/>
        <v/>
      </c>
      <c r="DJ127" s="65" t="str">
        <f t="shared" si="223"/>
        <v/>
      </c>
      <c r="DK127" s="65" t="str">
        <f t="shared" si="224"/>
        <v/>
      </c>
      <c r="DL127" s="97" t="str">
        <f t="shared" si="264"/>
        <v/>
      </c>
      <c r="DM127" s="97" t="str">
        <f t="shared" si="265"/>
        <v/>
      </c>
      <c r="DN127" s="97" t="str">
        <f t="shared" si="266"/>
        <v/>
      </c>
      <c r="DO127" s="97" t="str">
        <f t="shared" si="267"/>
        <v/>
      </c>
      <c r="DP127" s="97" t="str">
        <f t="shared" si="268"/>
        <v/>
      </c>
      <c r="DQ127" s="97" t="str">
        <f t="shared" si="269"/>
        <v/>
      </c>
      <c r="DR127" s="97" t="str">
        <f t="shared" si="270"/>
        <v/>
      </c>
      <c r="DS127" s="98">
        <f t="shared" si="271"/>
        <v>0</v>
      </c>
      <c r="DT127" s="98">
        <f t="shared" si="272"/>
        <v>0</v>
      </c>
      <c r="DU127" s="98">
        <f t="shared" si="273"/>
        <v>0</v>
      </c>
      <c r="DV127" s="98">
        <f t="shared" si="274"/>
        <v>0</v>
      </c>
      <c r="DW127" s="98">
        <f t="shared" si="275"/>
        <v>0</v>
      </c>
      <c r="DX127" s="98" t="str">
        <f t="shared" si="276"/>
        <v/>
      </c>
      <c r="DY127" s="99" t="str">
        <f t="shared" si="277"/>
        <v/>
      </c>
      <c r="DZ127" s="74" t="str">
        <f>IF('Marks Entry'!AY127="","",'Marks Entry'!AY127)</f>
        <v/>
      </c>
      <c r="EA127" s="74" t="str">
        <f>IF('Marks Entry'!AZ127="","",'Marks Entry'!AZ127)</f>
        <v/>
      </c>
      <c r="EB127" s="74" t="str">
        <f>IF('Marks Entry'!BA127="","",'Marks Entry'!BA127)</f>
        <v/>
      </c>
      <c r="EC127" s="527" t="str">
        <f t="shared" si="225"/>
        <v/>
      </c>
      <c r="ED127" s="74" t="str">
        <f>IF('Marks Entry'!BB127="","",'Marks Entry'!BB127)</f>
        <v/>
      </c>
      <c r="EE127" s="528" t="str">
        <f t="shared" si="226"/>
        <v/>
      </c>
      <c r="EF127" s="74" t="str">
        <f>IF('Marks Entry'!BC127="","",'Marks Entry'!BC127)</f>
        <v/>
      </c>
      <c r="EG127" s="530" t="str">
        <f t="shared" si="227"/>
        <v/>
      </c>
      <c r="EH127" s="368" t="str">
        <f t="shared" si="278"/>
        <v/>
      </c>
      <c r="EI127" s="65">
        <f t="shared" si="279"/>
        <v>0</v>
      </c>
      <c r="EJ127" s="65">
        <f t="shared" si="280"/>
        <v>0</v>
      </c>
      <c r="EK127" s="66" t="str">
        <f t="shared" si="281"/>
        <v/>
      </c>
      <c r="EL127" s="74" t="str">
        <f>IF('Marks Entry'!BD127="","",'Marks Entry'!BD127)</f>
        <v/>
      </c>
      <c r="EM127" s="74" t="str">
        <f>IF('Marks Entry'!BE127="","",'Marks Entry'!BE127)</f>
        <v/>
      </c>
      <c r="EN127" s="74" t="str">
        <f>IF('Marks Entry'!BF127="","",'Marks Entry'!BF127)</f>
        <v/>
      </c>
      <c r="EO127" s="527" t="str">
        <f t="shared" si="228"/>
        <v/>
      </c>
      <c r="EP127" s="74" t="str">
        <f>IF('Marks Entry'!BG127="","",'Marks Entry'!BG127)</f>
        <v/>
      </c>
      <c r="EQ127" s="74" t="str">
        <f>IF('Marks Entry'!BH127="","",'Marks Entry'!BH127)</f>
        <v/>
      </c>
      <c r="ER127" s="528" t="str">
        <f t="shared" si="229"/>
        <v/>
      </c>
      <c r="ES127" s="529" t="str">
        <f t="shared" si="230"/>
        <v/>
      </c>
      <c r="ET127" s="74" t="str">
        <f>IF('Marks Entry'!BI127="","",'Marks Entry'!BI127)</f>
        <v/>
      </c>
      <c r="EU127" s="74" t="str">
        <f>IF('Marks Entry'!BJ127="","",'Marks Entry'!BJ127)</f>
        <v/>
      </c>
      <c r="EV127" s="528" t="str">
        <f t="shared" si="231"/>
        <v/>
      </c>
      <c r="EW127" s="530" t="str">
        <f t="shared" si="232"/>
        <v/>
      </c>
      <c r="EX127" s="368" t="str">
        <f t="shared" si="282"/>
        <v/>
      </c>
      <c r="EY127" s="65">
        <f t="shared" si="283"/>
        <v>0</v>
      </c>
      <c r="EZ127" s="65">
        <f t="shared" si="284"/>
        <v>0</v>
      </c>
      <c r="FA127" s="66" t="str">
        <f t="shared" si="285"/>
        <v/>
      </c>
      <c r="FB127" s="74" t="str">
        <f>IF('Marks Entry'!BK127="","",'Marks Entry'!BK127)</f>
        <v/>
      </c>
      <c r="FC127" s="74" t="str">
        <f>IF('Marks Entry'!BL127="","",'Marks Entry'!BL127)</f>
        <v/>
      </c>
      <c r="FD127" s="74" t="str">
        <f>IF('Marks Entry'!BM127="","",'Marks Entry'!BM127)</f>
        <v/>
      </c>
      <c r="FE127" s="74" t="str">
        <f>IF('Marks Entry'!BN127="","",'Marks Entry'!BN127)</f>
        <v/>
      </c>
      <c r="FF127" s="74" t="str">
        <f>IF('Marks Entry'!BO127="","",'Marks Entry'!BO127)</f>
        <v/>
      </c>
      <c r="FG127" s="74" t="str">
        <f>IF('Marks Entry'!BP127="","",'Marks Entry'!BP127)</f>
        <v/>
      </c>
      <c r="FH127" s="527" t="str">
        <f t="shared" si="233"/>
        <v/>
      </c>
      <c r="FI127" s="74" t="str">
        <f>IF('Marks Entry'!BQ127="","",'Marks Entry'!BQ127)</f>
        <v/>
      </c>
      <c r="FJ127" s="74" t="str">
        <f>IF('Marks Entry'!BR127="","",'Marks Entry'!BR127)</f>
        <v/>
      </c>
      <c r="FK127" s="528" t="str">
        <f t="shared" si="234"/>
        <v/>
      </c>
      <c r="FL127" s="529" t="str">
        <f t="shared" si="235"/>
        <v/>
      </c>
      <c r="FM127" s="74" t="str">
        <f>IF('Marks Entry'!BS127="","",'Marks Entry'!BS127)</f>
        <v/>
      </c>
      <c r="FN127" s="74" t="str">
        <f>IF('Marks Entry'!BT127="","",'Marks Entry'!BT127)</f>
        <v/>
      </c>
      <c r="FO127" s="528" t="str">
        <f t="shared" si="236"/>
        <v/>
      </c>
      <c r="FP127" s="530" t="str">
        <f t="shared" si="237"/>
        <v/>
      </c>
      <c r="FQ127" s="368" t="str">
        <f t="shared" si="286"/>
        <v/>
      </c>
      <c r="FR127" s="65">
        <f t="shared" si="287"/>
        <v>0</v>
      </c>
      <c r="FS127" s="65">
        <f t="shared" si="288"/>
        <v>0</v>
      </c>
      <c r="FT127" s="66" t="str">
        <f t="shared" si="289"/>
        <v/>
      </c>
      <c r="FU127" s="74" t="str">
        <f>IF('Marks Entry'!BU127="","",'Marks Entry'!BU127)</f>
        <v/>
      </c>
      <c r="FV127" s="74" t="str">
        <f>IF('Marks Entry'!BV127="","",'Marks Entry'!BV127)</f>
        <v/>
      </c>
      <c r="FW127" s="74" t="str">
        <f>IF('Marks Entry'!BW127="","",'Marks Entry'!BW127)</f>
        <v/>
      </c>
      <c r="FX127" s="75" t="str">
        <f t="shared" si="238"/>
        <v/>
      </c>
      <c r="FY127" s="368" t="str">
        <f t="shared" si="290"/>
        <v/>
      </c>
      <c r="FZ127" s="65">
        <f t="shared" si="291"/>
        <v>0</v>
      </c>
      <c r="GA127" s="66">
        <f t="shared" si="292"/>
        <v>0</v>
      </c>
      <c r="GB127" s="66" t="str">
        <f t="shared" si="293"/>
        <v/>
      </c>
      <c r="GC127" s="74" t="str">
        <f>IF('Marks Entry'!BX127="","",'Marks Entry'!BX127)</f>
        <v/>
      </c>
      <c r="GD127" s="74" t="str">
        <f>IF('Marks Entry'!BY127="","",'Marks Entry'!BY127)</f>
        <v/>
      </c>
      <c r="GE127" s="74" t="str">
        <f>IF('Marks Entry'!BZ127="","",'Marks Entry'!BZ127)</f>
        <v/>
      </c>
      <c r="GF127" s="75" t="str">
        <f t="shared" si="294"/>
        <v/>
      </c>
      <c r="GG127" s="368" t="str">
        <f t="shared" si="295"/>
        <v/>
      </c>
      <c r="GH127" s="65">
        <f t="shared" si="296"/>
        <v>0</v>
      </c>
      <c r="GI127" s="66">
        <f t="shared" si="297"/>
        <v>0</v>
      </c>
      <c r="GJ127" s="66" t="str">
        <f t="shared" si="298"/>
        <v/>
      </c>
      <c r="GK127" s="100" t="str">
        <f>IF(AND(F127="",B127=""),"",IF('Student DATA Entry'!M124="","",'Student DATA Entry'!M124))</f>
        <v/>
      </c>
      <c r="GL127" s="101" t="str">
        <f>IF(AND(B127="",F127=""),"",IF('Student DATA Entry'!N124="","",'Student DATA Entry'!N124))</f>
        <v/>
      </c>
      <c r="GM127" s="581" t="str">
        <f t="shared" si="299"/>
        <v/>
      </c>
      <c r="GN127" s="94" t="str">
        <f t="shared" si="300"/>
        <v/>
      </c>
      <c r="GO127" s="94" t="str">
        <f t="shared" si="301"/>
        <v/>
      </c>
      <c r="GP127" s="102" t="str">
        <f t="shared" si="330"/>
        <v/>
      </c>
      <c r="GQ127" s="94" t="str">
        <f t="shared" si="302"/>
        <v/>
      </c>
      <c r="GR127" s="103" t="str">
        <f t="shared" si="303"/>
        <v/>
      </c>
      <c r="GS127" s="102" t="str">
        <f t="shared" si="331"/>
        <v/>
      </c>
      <c r="GT127" s="104" t="str">
        <f t="shared" si="304"/>
        <v/>
      </c>
      <c r="GU127" s="94" t="str">
        <f>IF('Marks Entry'!V127=1,GT127,"")</f>
        <v/>
      </c>
      <c r="GV127" s="94" t="str">
        <f>IF('Marks Entry'!V127=2,GT127,"")</f>
        <v/>
      </c>
      <c r="GW127" s="94" t="str">
        <f>IF('Marks Entry'!V127=3,GT127,"")</f>
        <v/>
      </c>
      <c r="GX127" s="94" t="str">
        <f>IF('Marks Entry'!V127=4,GT127,"")</f>
        <v/>
      </c>
      <c r="GY127" s="94" t="str">
        <f>IF('Marks Entry'!V127=5,GT127,"")</f>
        <v/>
      </c>
      <c r="GZ127" s="94" t="str">
        <f t="shared" si="305"/>
        <v/>
      </c>
      <c r="HA127" s="105" t="str">
        <f t="shared" si="332"/>
        <v/>
      </c>
      <c r="HB127" s="94" t="str">
        <f t="shared" si="306"/>
        <v/>
      </c>
      <c r="HC127" s="94" t="str">
        <f t="shared" si="307"/>
        <v/>
      </c>
      <c r="HD127" s="105" t="str">
        <f t="shared" si="333"/>
        <v/>
      </c>
      <c r="HE127" s="94" t="str">
        <f t="shared" si="308"/>
        <v/>
      </c>
      <c r="HF127" s="94" t="str">
        <f t="shared" si="309"/>
        <v/>
      </c>
      <c r="HG127" s="105" t="str">
        <f t="shared" si="334"/>
        <v/>
      </c>
      <c r="HH127" s="94" t="str">
        <f t="shared" si="310"/>
        <v/>
      </c>
      <c r="HI127" s="94" t="str">
        <f t="shared" si="311"/>
        <v/>
      </c>
      <c r="HJ127" s="105" t="str">
        <f t="shared" si="335"/>
        <v/>
      </c>
      <c r="HK127" s="94" t="str">
        <f t="shared" si="312"/>
        <v/>
      </c>
      <c r="HL127" s="94" t="str">
        <f t="shared" si="313"/>
        <v/>
      </c>
      <c r="HM127" s="105" t="str">
        <f t="shared" si="336"/>
        <v/>
      </c>
      <c r="HN127" s="367" t="str">
        <f t="shared" si="314"/>
        <v xml:space="preserve">      </v>
      </c>
      <c r="HO127" s="418" t="str">
        <f t="shared" si="337"/>
        <v xml:space="preserve">      </v>
      </c>
      <c r="HP127" s="367" t="str">
        <f t="shared" si="315"/>
        <v xml:space="preserve">      </v>
      </c>
      <c r="HQ127" s="107" t="str">
        <f t="shared" si="316"/>
        <v xml:space="preserve">      </v>
      </c>
      <c r="HR127" s="366" t="str">
        <f t="shared" si="317"/>
        <v xml:space="preserve">      </v>
      </c>
      <c r="HS127" s="544" t="str">
        <f t="shared" si="338"/>
        <v/>
      </c>
      <c r="HT127" s="542" t="str">
        <f t="shared" si="318"/>
        <v/>
      </c>
      <c r="HU127" s="541" t="str">
        <f t="shared" si="319"/>
        <v/>
      </c>
      <c r="HV127" s="540" t="str">
        <f t="shared" si="320"/>
        <v/>
      </c>
      <c r="HW127" s="537" t="str">
        <f t="shared" si="321"/>
        <v/>
      </c>
      <c r="HX127" s="539" t="str">
        <f t="shared" si="322"/>
        <v/>
      </c>
      <c r="HY127" s="553" t="str">
        <f>IFERROR(IF(OR(HS127="SUPPLEMENTARY",HS127="RE-EXAM"),'Supp. Result Entry'!AQ125,""),"")</f>
        <v/>
      </c>
      <c r="HZ127" s="538" t="str">
        <f t="shared" si="323"/>
        <v/>
      </c>
      <c r="IA127" s="415" t="str">
        <f t="shared" si="324"/>
        <v/>
      </c>
      <c r="IB127" s="415" t="str">
        <f>IF(AND(HZ127="",IA127=""),"",IF(OR(HS127="SUPPLEMENTARY",HS127="RE-EXAM"),'Supp. Result Entry'!AQ125,HS127))</f>
        <v/>
      </c>
      <c r="IC127" s="87"/>
      <c r="IS127" s="109" t="str">
        <f>IF('Supp. Result Entry'!T125="","",'Supp. Result Entry'!$T$4)</f>
        <v/>
      </c>
      <c r="IT127" s="110" t="str">
        <f>IF('Supp. Result Entry'!W125="","",'Supp. Result Entry'!$W$4)</f>
        <v/>
      </c>
      <c r="IU127" s="110" t="str">
        <f>IF('Supp. Result Entry'!Z125="","",'Supp. Result Entry'!$Z$4)</f>
        <v/>
      </c>
      <c r="IV127" s="110" t="str">
        <f>IF('Supp. Result Entry'!AC125="","",'Supp. Result Entry'!$AC$4)</f>
        <v/>
      </c>
      <c r="IW127" s="110" t="str">
        <f>IF('Supp. Result Entry'!AF125="","",'Supp. Result Entry'!$AF$4)</f>
        <v/>
      </c>
      <c r="IX127" s="110" t="str">
        <f>IF('Supp. Result Entry'!AI125="","",'Supp. Result Entry'!$AI$4)</f>
        <v/>
      </c>
      <c r="IY127" s="110" t="str">
        <f>IF('Supp. Result Entry'!AI125="","",'Supp. Result Entry'!$AL$4)</f>
        <v/>
      </c>
      <c r="IZ127" s="110" t="str">
        <f>IF('Supp. Result Entry'!U125="","",'Supp. Result Entry'!U125)</f>
        <v/>
      </c>
      <c r="JA127" s="110" t="str">
        <f>IF('Supp. Result Entry'!X125="","",'Supp. Result Entry'!X125)</f>
        <v/>
      </c>
      <c r="JB127" s="110" t="str">
        <f>IF('Supp. Result Entry'!AA125="","",'Supp. Result Entry'!AA125)</f>
        <v/>
      </c>
      <c r="JC127" s="110" t="str">
        <f>IF('Supp. Result Entry'!AD125="","",'Supp. Result Entry'!AD125)</f>
        <v/>
      </c>
      <c r="JD127" s="110" t="str">
        <f>IF('Supp. Result Entry'!AG125="","",'Supp. Result Entry'!AG125)</f>
        <v/>
      </c>
      <c r="JE127" s="110" t="str">
        <f>IF('Supp. Result Entry'!AJ125="","",'Supp. Result Entry'!AJ125)</f>
        <v/>
      </c>
      <c r="JF127" s="110" t="str">
        <f>IF('Supp. Result Entry'!AM125="","",'Supp. Result Entry'!AM125)</f>
        <v/>
      </c>
      <c r="JG127" s="110" t="str">
        <f>IF('Supp. Result Entry'!V125="","",'Supp. Result Entry'!V125)</f>
        <v/>
      </c>
      <c r="JH127" s="110" t="str">
        <f>IF('Supp. Result Entry'!Y125="","",'Supp. Result Entry'!Y125)</f>
        <v/>
      </c>
      <c r="JI127" s="110" t="str">
        <f>IF('Supp. Result Entry'!AB125="","",'Supp. Result Entry'!AB125)</f>
        <v/>
      </c>
      <c r="JJ127" s="110" t="str">
        <f>IF('Supp. Result Entry'!AE125="","",'Supp. Result Entry'!AE125)</f>
        <v/>
      </c>
      <c r="JK127" s="110" t="str">
        <f>IF('Supp. Result Entry'!AH125="","",'Supp. Result Entry'!AH125)</f>
        <v/>
      </c>
      <c r="JL127" s="110" t="str">
        <f>IF('Supp. Result Entry'!AK125="","",'Supp. Result Entry'!AK125)</f>
        <v/>
      </c>
      <c r="JM127" s="110" t="str">
        <f>IF('Supp. Result Entry'!AN125="","",'Supp. Result Entry'!AN125)</f>
        <v/>
      </c>
      <c r="JN127" s="110">
        <f>COUNTIF('Supp. Result Entry'!K125:Q125,"S")</f>
        <v>0</v>
      </c>
      <c r="JO127" s="110">
        <f t="shared" si="248"/>
        <v>0</v>
      </c>
      <c r="JP127" s="110">
        <f t="shared" si="325"/>
        <v>0</v>
      </c>
      <c r="JQ127" s="110" t="str">
        <f t="shared" si="249"/>
        <v/>
      </c>
      <c r="JR127" s="110" t="str">
        <f t="shared" si="250"/>
        <v/>
      </c>
      <c r="JS127" s="110" t="str">
        <f t="shared" si="251"/>
        <v/>
      </c>
      <c r="JT127" s="110" t="str">
        <f t="shared" si="252"/>
        <v/>
      </c>
      <c r="JU127" s="110" t="str">
        <f t="shared" si="253"/>
        <v/>
      </c>
      <c r="JV127" s="110" t="str">
        <f t="shared" si="254"/>
        <v/>
      </c>
      <c r="JW127" s="110" t="str">
        <f t="shared" si="255"/>
        <v/>
      </c>
      <c r="JX127" s="110" t="str">
        <f t="shared" si="326"/>
        <v/>
      </c>
      <c r="JY127" s="110" t="str">
        <f t="shared" si="327"/>
        <v/>
      </c>
      <c r="JZ127" s="110" t="str">
        <f t="shared" si="256"/>
        <v/>
      </c>
      <c r="KA127" s="108" t="str">
        <f t="shared" si="328"/>
        <v/>
      </c>
    </row>
    <row r="128" spans="1:287" s="108" customFormat="1" ht="21.95" customHeight="1">
      <c r="A128" s="89">
        <v>122</v>
      </c>
      <c r="B128" s="90" t="str">
        <f>IF('Marks Entry'!B128="","",'Marks Entry'!B128)</f>
        <v/>
      </c>
      <c r="C128" s="94" t="str">
        <f>IF('Marks Entry'!D128="","",'Marks Entry'!D128)</f>
        <v/>
      </c>
      <c r="D128" s="91" t="str">
        <f>IF('Marks Entry'!E128="","",'Marks Entry'!E128)</f>
        <v/>
      </c>
      <c r="E128" s="92" t="str">
        <f>IF('Marks Entry'!F128="","",'Marks Entry'!F128)</f>
        <v/>
      </c>
      <c r="F128" s="93" t="str">
        <f>IF('Marks Entry'!G128="","",'Marks Entry'!G128)</f>
        <v/>
      </c>
      <c r="G128" s="93" t="str">
        <f>IF('Marks Entry'!H128="","",'Marks Entry'!H128)</f>
        <v/>
      </c>
      <c r="H128" s="93" t="str">
        <f>IF('Marks Entry'!I128="","",'Marks Entry'!I128)</f>
        <v/>
      </c>
      <c r="I128" s="94" t="str">
        <f>IF('Marks Entry'!J128="","",'Marks Entry'!J128)</f>
        <v/>
      </c>
      <c r="J128" s="95" t="str">
        <f>IF('Marks Entry'!K128="","",'Marks Entry'!K128)</f>
        <v/>
      </c>
      <c r="K128" s="68" t="str">
        <f>IF('Marks Entry'!L128="","",'Marks Entry'!L128)</f>
        <v/>
      </c>
      <c r="L128" s="68" t="str">
        <f>IF('Marks Entry'!M128="","",'Marks Entry'!M128)</f>
        <v/>
      </c>
      <c r="M128" s="68" t="str">
        <f>IF('Marks Entry'!N128="","",'Marks Entry'!N128)</f>
        <v/>
      </c>
      <c r="N128" s="514" t="str">
        <f t="shared" si="257"/>
        <v/>
      </c>
      <c r="O128" s="68" t="str">
        <f>IF('Marks Entry'!O128="","",'Marks Entry'!O128)</f>
        <v/>
      </c>
      <c r="P128" s="515" t="str">
        <f t="shared" si="258"/>
        <v/>
      </c>
      <c r="Q128" s="68" t="str">
        <f>IF('Marks Entry'!P128="","",'Marks Entry'!P128)</f>
        <v/>
      </c>
      <c r="R128" s="96" t="str">
        <f t="shared" si="259"/>
        <v/>
      </c>
      <c r="S128" s="65">
        <f t="shared" si="260"/>
        <v>0</v>
      </c>
      <c r="T128" s="65">
        <f t="shared" si="261"/>
        <v>0</v>
      </c>
      <c r="U128" s="66" t="str">
        <f t="shared" si="171"/>
        <v/>
      </c>
      <c r="V128" s="65" t="str">
        <f t="shared" si="172"/>
        <v/>
      </c>
      <c r="W128" s="65" t="str">
        <f t="shared" si="262"/>
        <v/>
      </c>
      <c r="X128" s="65" t="str">
        <f t="shared" si="173"/>
        <v/>
      </c>
      <c r="Y128" s="68" t="str">
        <f>IF('Marks Entry'!Q128="","",'Marks Entry'!Q128)</f>
        <v/>
      </c>
      <c r="Z128" s="68" t="str">
        <f>IF('Marks Entry'!R128="","",'Marks Entry'!R128)</f>
        <v/>
      </c>
      <c r="AA128" s="68" t="str">
        <f>IF('Marks Entry'!S128="","",'Marks Entry'!S128)</f>
        <v/>
      </c>
      <c r="AB128" s="514" t="str">
        <f t="shared" si="174"/>
        <v/>
      </c>
      <c r="AC128" s="68" t="str">
        <f>IF('Marks Entry'!T128="","",'Marks Entry'!T128)</f>
        <v/>
      </c>
      <c r="AD128" s="515" t="str">
        <f t="shared" si="175"/>
        <v/>
      </c>
      <c r="AE128" s="68" t="str">
        <f>IF('Marks Entry'!U128="","",'Marks Entry'!U128)</f>
        <v/>
      </c>
      <c r="AF128" s="96" t="str">
        <f t="shared" si="176"/>
        <v/>
      </c>
      <c r="AG128" s="65">
        <f t="shared" si="177"/>
        <v>0</v>
      </c>
      <c r="AH128" s="65">
        <f t="shared" si="178"/>
        <v>0</v>
      </c>
      <c r="AI128" s="66" t="str">
        <f t="shared" si="179"/>
        <v/>
      </c>
      <c r="AJ128" s="65" t="str">
        <f t="shared" si="180"/>
        <v/>
      </c>
      <c r="AK128" s="65" t="str">
        <f t="shared" si="181"/>
        <v/>
      </c>
      <c r="AL128" s="65" t="str">
        <f t="shared" si="182"/>
        <v/>
      </c>
      <c r="AM128" s="524" t="str">
        <f>IF('Marks Entry'!V128="","",IF('Marks Entry'!V128=1,'School Profile'!$I$9,IF('Marks Entry'!V128=2,'School Profile'!$I$10,IF('Marks Entry'!V128=3,'School Profile'!$I$11,IF('Marks Entry'!V128=4,'School Profile'!$I$12,IF('Marks Entry'!V128=5,'School Profile'!$I$13,IF('Marks Entry'!V128=6,'School Profile'!$I$14,"")))))))</f>
        <v/>
      </c>
      <c r="AN128" s="68" t="str">
        <f>IF('Marks Entry'!W128="","",'Marks Entry'!W128)</f>
        <v/>
      </c>
      <c r="AO128" s="68" t="str">
        <f>IF('Marks Entry'!X128="","",'Marks Entry'!X128)</f>
        <v/>
      </c>
      <c r="AP128" s="68" t="str">
        <f>IF('Marks Entry'!Y128="","",'Marks Entry'!Y128)</f>
        <v/>
      </c>
      <c r="AQ128" s="514" t="str">
        <f t="shared" si="183"/>
        <v/>
      </c>
      <c r="AR128" s="68" t="str">
        <f>IF('Marks Entry'!Z128="","",'Marks Entry'!Z128)</f>
        <v/>
      </c>
      <c r="AS128" s="515" t="str">
        <f t="shared" si="184"/>
        <v/>
      </c>
      <c r="AT128" s="68" t="str">
        <f>IF('Marks Entry'!AA128="","",'Marks Entry'!AA128)</f>
        <v/>
      </c>
      <c r="AU128" s="96" t="str">
        <f t="shared" si="185"/>
        <v/>
      </c>
      <c r="AV128" s="65">
        <f t="shared" si="186"/>
        <v>0</v>
      </c>
      <c r="AW128" s="65">
        <f t="shared" si="187"/>
        <v>0</v>
      </c>
      <c r="AX128" s="66" t="str">
        <f t="shared" si="188"/>
        <v/>
      </c>
      <c r="AY128" s="65" t="str">
        <f t="shared" si="189"/>
        <v/>
      </c>
      <c r="AZ128" s="65" t="str">
        <f t="shared" si="190"/>
        <v/>
      </c>
      <c r="BA128" s="65" t="str">
        <f t="shared" si="191"/>
        <v/>
      </c>
      <c r="BB128" s="68" t="str">
        <f>IF('Marks Entry'!AB128="","",'Marks Entry'!AB128)</f>
        <v/>
      </c>
      <c r="BC128" s="68" t="str">
        <f>IF('Marks Entry'!AC128="","",'Marks Entry'!AC128)</f>
        <v/>
      </c>
      <c r="BD128" s="68" t="str">
        <f>IF('Marks Entry'!AD128="","",'Marks Entry'!AD128)</f>
        <v/>
      </c>
      <c r="BE128" s="514" t="str">
        <f t="shared" si="192"/>
        <v/>
      </c>
      <c r="BF128" s="68" t="str">
        <f>IF('Marks Entry'!AE128="","",'Marks Entry'!AE128)</f>
        <v/>
      </c>
      <c r="BG128" s="515" t="str">
        <f t="shared" si="193"/>
        <v/>
      </c>
      <c r="BH128" s="68" t="str">
        <f>IF('Marks Entry'!AF128="","",'Marks Entry'!AF128)</f>
        <v/>
      </c>
      <c r="BI128" s="96" t="str">
        <f t="shared" si="194"/>
        <v/>
      </c>
      <c r="BJ128" s="65">
        <f t="shared" si="195"/>
        <v>0</v>
      </c>
      <c r="BK128" s="65">
        <f t="shared" si="263"/>
        <v>0</v>
      </c>
      <c r="BL128" s="66" t="str">
        <f t="shared" si="196"/>
        <v/>
      </c>
      <c r="BM128" s="65" t="str">
        <f t="shared" si="197"/>
        <v/>
      </c>
      <c r="BN128" s="65" t="str">
        <f t="shared" si="198"/>
        <v/>
      </c>
      <c r="BO128" s="65" t="str">
        <f t="shared" si="199"/>
        <v/>
      </c>
      <c r="BP128" s="68" t="str">
        <f>IF('Marks Entry'!AG128="","",'Marks Entry'!AG128)</f>
        <v/>
      </c>
      <c r="BQ128" s="68" t="str">
        <f>IF('Marks Entry'!AH128="","",'Marks Entry'!AH128)</f>
        <v/>
      </c>
      <c r="BR128" s="68" t="str">
        <f>IF('Marks Entry'!AI128="","",'Marks Entry'!AI128)</f>
        <v/>
      </c>
      <c r="BS128" s="514" t="str">
        <f t="shared" si="200"/>
        <v/>
      </c>
      <c r="BT128" s="68" t="str">
        <f>IF('Marks Entry'!AJ128="","",'Marks Entry'!AJ128)</f>
        <v/>
      </c>
      <c r="BU128" s="515" t="str">
        <f t="shared" si="201"/>
        <v/>
      </c>
      <c r="BV128" s="68" t="str">
        <f>IF('Marks Entry'!AK128="","",'Marks Entry'!AK128)</f>
        <v/>
      </c>
      <c r="BW128" s="96" t="str">
        <f t="shared" si="202"/>
        <v/>
      </c>
      <c r="BX128" s="65">
        <f t="shared" si="203"/>
        <v>0</v>
      </c>
      <c r="BY128" s="65">
        <f t="shared" si="204"/>
        <v>0</v>
      </c>
      <c r="BZ128" s="66" t="str">
        <f t="shared" si="205"/>
        <v/>
      </c>
      <c r="CA128" s="65" t="str">
        <f t="shared" si="206"/>
        <v/>
      </c>
      <c r="CB128" s="65" t="str">
        <f t="shared" si="207"/>
        <v/>
      </c>
      <c r="CC128" s="65" t="str">
        <f t="shared" si="208"/>
        <v/>
      </c>
      <c r="CD128" s="66">
        <f t="shared" si="329"/>
        <v>0</v>
      </c>
      <c r="CE128" s="68" t="str">
        <f>IF('Marks Entry'!AL128="","",'Marks Entry'!AL128)</f>
        <v/>
      </c>
      <c r="CF128" s="68" t="str">
        <f>IF('Marks Entry'!AM128="","",'Marks Entry'!AM128)</f>
        <v/>
      </c>
      <c r="CG128" s="68" t="str">
        <f>IF('Marks Entry'!AN128="","",'Marks Entry'!AN128)</f>
        <v/>
      </c>
      <c r="CH128" s="514" t="str">
        <f t="shared" si="210"/>
        <v/>
      </c>
      <c r="CI128" s="68" t="str">
        <f>IF('Marks Entry'!AO128="","",'Marks Entry'!AO128)</f>
        <v/>
      </c>
      <c r="CJ128" s="515" t="str">
        <f t="shared" si="211"/>
        <v/>
      </c>
      <c r="CK128" s="68" t="str">
        <f>IF('Marks Entry'!AP128="","",'Marks Entry'!AP128)</f>
        <v/>
      </c>
      <c r="CL128" s="96" t="str">
        <f t="shared" si="212"/>
        <v/>
      </c>
      <c r="CM128" s="65">
        <f t="shared" si="213"/>
        <v>0</v>
      </c>
      <c r="CN128" s="65">
        <f t="shared" si="214"/>
        <v>0</v>
      </c>
      <c r="CO128" s="66" t="str">
        <f t="shared" si="215"/>
        <v/>
      </c>
      <c r="CP128" s="65" t="str">
        <f t="shared" si="216"/>
        <v/>
      </c>
      <c r="CQ128" s="65" t="str">
        <f t="shared" si="217"/>
        <v/>
      </c>
      <c r="CR128" s="65" t="str">
        <f t="shared" si="218"/>
        <v/>
      </c>
      <c r="CS128" s="616"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8" t="str">
        <f>IF('School Profile'!$D$20="NO","",IF('Marks Entry'!AR128="","",'Marks Entry'!AR128))</f>
        <v/>
      </c>
      <c r="CU128" s="68" t="str">
        <f>IF('School Profile'!$D$20="NO","",IF('Marks Entry'!AS128="","",'Marks Entry'!AS128))</f>
        <v/>
      </c>
      <c r="CV128" s="68" t="str">
        <f>IF('School Profile'!$D$20="NO","",IF('Marks Entry'!AT128="","",'Marks Entry'!AT128))</f>
        <v/>
      </c>
      <c r="CW128" s="514" t="str">
        <f>IF('School Profile'!$D$20="NO","",IF(AND(CT128="",CU128="",CV128=""),"",SUM(CT128:CV128)))</f>
        <v/>
      </c>
      <c r="CX128" s="68" t="str">
        <f>IF('School Profile'!$D$20="NO","",IF('Marks Entry'!AU128="","",'Marks Entry'!AU128))</f>
        <v/>
      </c>
      <c r="CY128" s="68" t="str">
        <f>IF('School Profile'!$D$20="NO","",IF('Marks Entry'!AV128="","",'Marks Entry'!AV128))</f>
        <v/>
      </c>
      <c r="CZ128" s="515" t="str">
        <f>IF('School Profile'!$D$20="NO","",IF(AND(CX128="",CY128=""),"",SUM(CX128,CY128)))</f>
        <v/>
      </c>
      <c r="DA128" s="69" t="str">
        <f>IF('School Profile'!$D$20="NO","",IF(AND(CW128="",CZ128=""),"",SUM(CW128+CZ128)))</f>
        <v/>
      </c>
      <c r="DB128" s="68" t="str">
        <f>IF('School Profile'!$D$20="NO","",IF('Marks Entry'!AW128="","",'Marks Entry'!AW128))</f>
        <v/>
      </c>
      <c r="DC128" s="68" t="str">
        <f>IF('School Profile'!$D$20="NO","",IF('Marks Entry'!AX128="","",'Marks Entry'!AX128))</f>
        <v/>
      </c>
      <c r="DD128" s="515" t="str">
        <f>IF('School Profile'!$D$20="NO","",IF(AND(DB128="",DC128=""),"",SUM(DB128,DC128)))</f>
        <v/>
      </c>
      <c r="DE128" s="96" t="str">
        <f>IF('School Profile'!$D$20="NO","",IF(AND(DA128="",DD128=""),"",SUM(DA128,DD128)))</f>
        <v/>
      </c>
      <c r="DF128" s="532">
        <f t="shared" si="219"/>
        <v>0</v>
      </c>
      <c r="DG128" s="65">
        <f t="shared" si="220"/>
        <v>0</v>
      </c>
      <c r="DH128" s="66" t="str">
        <f t="shared" si="221"/>
        <v/>
      </c>
      <c r="DI128" s="65" t="str">
        <f t="shared" si="222"/>
        <v/>
      </c>
      <c r="DJ128" s="65" t="str">
        <f t="shared" si="223"/>
        <v/>
      </c>
      <c r="DK128" s="65" t="str">
        <f t="shared" si="224"/>
        <v/>
      </c>
      <c r="DL128" s="97" t="str">
        <f t="shared" si="264"/>
        <v/>
      </c>
      <c r="DM128" s="97" t="str">
        <f t="shared" si="265"/>
        <v/>
      </c>
      <c r="DN128" s="97" t="str">
        <f t="shared" si="266"/>
        <v/>
      </c>
      <c r="DO128" s="97" t="str">
        <f t="shared" si="267"/>
        <v/>
      </c>
      <c r="DP128" s="97" t="str">
        <f t="shared" si="268"/>
        <v/>
      </c>
      <c r="DQ128" s="97" t="str">
        <f t="shared" si="269"/>
        <v/>
      </c>
      <c r="DR128" s="97" t="str">
        <f t="shared" si="270"/>
        <v/>
      </c>
      <c r="DS128" s="98">
        <f t="shared" si="271"/>
        <v>0</v>
      </c>
      <c r="DT128" s="98">
        <f t="shared" si="272"/>
        <v>0</v>
      </c>
      <c r="DU128" s="98">
        <f t="shared" si="273"/>
        <v>0</v>
      </c>
      <c r="DV128" s="98">
        <f t="shared" si="274"/>
        <v>0</v>
      </c>
      <c r="DW128" s="98">
        <f t="shared" si="275"/>
        <v>0</v>
      </c>
      <c r="DX128" s="98" t="str">
        <f t="shared" si="276"/>
        <v/>
      </c>
      <c r="DY128" s="99" t="str">
        <f t="shared" si="277"/>
        <v/>
      </c>
      <c r="DZ128" s="74" t="str">
        <f>IF('Marks Entry'!AY128="","",'Marks Entry'!AY128)</f>
        <v/>
      </c>
      <c r="EA128" s="74" t="str">
        <f>IF('Marks Entry'!AZ128="","",'Marks Entry'!AZ128)</f>
        <v/>
      </c>
      <c r="EB128" s="74" t="str">
        <f>IF('Marks Entry'!BA128="","",'Marks Entry'!BA128)</f>
        <v/>
      </c>
      <c r="EC128" s="527" t="str">
        <f t="shared" si="225"/>
        <v/>
      </c>
      <c r="ED128" s="74" t="str">
        <f>IF('Marks Entry'!BB128="","",'Marks Entry'!BB128)</f>
        <v/>
      </c>
      <c r="EE128" s="528" t="str">
        <f t="shared" si="226"/>
        <v/>
      </c>
      <c r="EF128" s="74" t="str">
        <f>IF('Marks Entry'!BC128="","",'Marks Entry'!BC128)</f>
        <v/>
      </c>
      <c r="EG128" s="530" t="str">
        <f t="shared" si="227"/>
        <v/>
      </c>
      <c r="EH128" s="368" t="str">
        <f t="shared" si="278"/>
        <v/>
      </c>
      <c r="EI128" s="65">
        <f t="shared" si="279"/>
        <v>0</v>
      </c>
      <c r="EJ128" s="65">
        <f t="shared" si="280"/>
        <v>0</v>
      </c>
      <c r="EK128" s="66" t="str">
        <f t="shared" si="281"/>
        <v/>
      </c>
      <c r="EL128" s="74" t="str">
        <f>IF('Marks Entry'!BD128="","",'Marks Entry'!BD128)</f>
        <v/>
      </c>
      <c r="EM128" s="74" t="str">
        <f>IF('Marks Entry'!BE128="","",'Marks Entry'!BE128)</f>
        <v/>
      </c>
      <c r="EN128" s="74" t="str">
        <f>IF('Marks Entry'!BF128="","",'Marks Entry'!BF128)</f>
        <v/>
      </c>
      <c r="EO128" s="527" t="str">
        <f t="shared" si="228"/>
        <v/>
      </c>
      <c r="EP128" s="74" t="str">
        <f>IF('Marks Entry'!BG128="","",'Marks Entry'!BG128)</f>
        <v/>
      </c>
      <c r="EQ128" s="74" t="str">
        <f>IF('Marks Entry'!BH128="","",'Marks Entry'!BH128)</f>
        <v/>
      </c>
      <c r="ER128" s="528" t="str">
        <f t="shared" si="229"/>
        <v/>
      </c>
      <c r="ES128" s="529" t="str">
        <f t="shared" si="230"/>
        <v/>
      </c>
      <c r="ET128" s="74" t="str">
        <f>IF('Marks Entry'!BI128="","",'Marks Entry'!BI128)</f>
        <v/>
      </c>
      <c r="EU128" s="74" t="str">
        <f>IF('Marks Entry'!BJ128="","",'Marks Entry'!BJ128)</f>
        <v/>
      </c>
      <c r="EV128" s="528" t="str">
        <f t="shared" si="231"/>
        <v/>
      </c>
      <c r="EW128" s="530" t="str">
        <f t="shared" si="232"/>
        <v/>
      </c>
      <c r="EX128" s="368" t="str">
        <f t="shared" si="282"/>
        <v/>
      </c>
      <c r="EY128" s="65">
        <f t="shared" si="283"/>
        <v>0</v>
      </c>
      <c r="EZ128" s="65">
        <f t="shared" si="284"/>
        <v>0</v>
      </c>
      <c r="FA128" s="66" t="str">
        <f t="shared" si="285"/>
        <v/>
      </c>
      <c r="FB128" s="74" t="str">
        <f>IF('Marks Entry'!BK128="","",'Marks Entry'!BK128)</f>
        <v/>
      </c>
      <c r="FC128" s="74" t="str">
        <f>IF('Marks Entry'!BL128="","",'Marks Entry'!BL128)</f>
        <v/>
      </c>
      <c r="FD128" s="74" t="str">
        <f>IF('Marks Entry'!BM128="","",'Marks Entry'!BM128)</f>
        <v/>
      </c>
      <c r="FE128" s="74" t="str">
        <f>IF('Marks Entry'!BN128="","",'Marks Entry'!BN128)</f>
        <v/>
      </c>
      <c r="FF128" s="74" t="str">
        <f>IF('Marks Entry'!BO128="","",'Marks Entry'!BO128)</f>
        <v/>
      </c>
      <c r="FG128" s="74" t="str">
        <f>IF('Marks Entry'!BP128="","",'Marks Entry'!BP128)</f>
        <v/>
      </c>
      <c r="FH128" s="527" t="str">
        <f t="shared" si="233"/>
        <v/>
      </c>
      <c r="FI128" s="74" t="str">
        <f>IF('Marks Entry'!BQ128="","",'Marks Entry'!BQ128)</f>
        <v/>
      </c>
      <c r="FJ128" s="74" t="str">
        <f>IF('Marks Entry'!BR128="","",'Marks Entry'!BR128)</f>
        <v/>
      </c>
      <c r="FK128" s="528" t="str">
        <f t="shared" si="234"/>
        <v/>
      </c>
      <c r="FL128" s="529" t="str">
        <f t="shared" si="235"/>
        <v/>
      </c>
      <c r="FM128" s="74" t="str">
        <f>IF('Marks Entry'!BS128="","",'Marks Entry'!BS128)</f>
        <v/>
      </c>
      <c r="FN128" s="74" t="str">
        <f>IF('Marks Entry'!BT128="","",'Marks Entry'!BT128)</f>
        <v/>
      </c>
      <c r="FO128" s="528" t="str">
        <f t="shared" si="236"/>
        <v/>
      </c>
      <c r="FP128" s="530" t="str">
        <f t="shared" si="237"/>
        <v/>
      </c>
      <c r="FQ128" s="368" t="str">
        <f t="shared" si="286"/>
        <v/>
      </c>
      <c r="FR128" s="65">
        <f t="shared" si="287"/>
        <v>0</v>
      </c>
      <c r="FS128" s="65">
        <f t="shared" si="288"/>
        <v>0</v>
      </c>
      <c r="FT128" s="66" t="str">
        <f t="shared" si="289"/>
        <v/>
      </c>
      <c r="FU128" s="74" t="str">
        <f>IF('Marks Entry'!BU128="","",'Marks Entry'!BU128)</f>
        <v/>
      </c>
      <c r="FV128" s="74" t="str">
        <f>IF('Marks Entry'!BV128="","",'Marks Entry'!BV128)</f>
        <v/>
      </c>
      <c r="FW128" s="74" t="str">
        <f>IF('Marks Entry'!BW128="","",'Marks Entry'!BW128)</f>
        <v/>
      </c>
      <c r="FX128" s="75" t="str">
        <f t="shared" si="238"/>
        <v/>
      </c>
      <c r="FY128" s="368" t="str">
        <f t="shared" si="290"/>
        <v/>
      </c>
      <c r="FZ128" s="65">
        <f t="shared" si="291"/>
        <v>0</v>
      </c>
      <c r="GA128" s="66">
        <f t="shared" si="292"/>
        <v>0</v>
      </c>
      <c r="GB128" s="66" t="str">
        <f t="shared" si="293"/>
        <v/>
      </c>
      <c r="GC128" s="74" t="str">
        <f>IF('Marks Entry'!BX128="","",'Marks Entry'!BX128)</f>
        <v/>
      </c>
      <c r="GD128" s="74" t="str">
        <f>IF('Marks Entry'!BY128="","",'Marks Entry'!BY128)</f>
        <v/>
      </c>
      <c r="GE128" s="74" t="str">
        <f>IF('Marks Entry'!BZ128="","",'Marks Entry'!BZ128)</f>
        <v/>
      </c>
      <c r="GF128" s="75" t="str">
        <f t="shared" si="294"/>
        <v/>
      </c>
      <c r="GG128" s="368" t="str">
        <f t="shared" si="295"/>
        <v/>
      </c>
      <c r="GH128" s="65">
        <f t="shared" si="296"/>
        <v>0</v>
      </c>
      <c r="GI128" s="66">
        <f t="shared" si="297"/>
        <v>0</v>
      </c>
      <c r="GJ128" s="66" t="str">
        <f t="shared" si="298"/>
        <v/>
      </c>
      <c r="GK128" s="100" t="str">
        <f>IF(AND(F128="",B128=""),"",IF('Student DATA Entry'!M125="","",'Student DATA Entry'!M125))</f>
        <v/>
      </c>
      <c r="GL128" s="101" t="str">
        <f>IF(AND(B128="",F128=""),"",IF('Student DATA Entry'!N125="","",'Student DATA Entry'!N125))</f>
        <v/>
      </c>
      <c r="GM128" s="581" t="str">
        <f t="shared" si="299"/>
        <v/>
      </c>
      <c r="GN128" s="94" t="str">
        <f t="shared" si="300"/>
        <v/>
      </c>
      <c r="GO128" s="94" t="str">
        <f t="shared" si="301"/>
        <v/>
      </c>
      <c r="GP128" s="102" t="str">
        <f t="shared" si="330"/>
        <v/>
      </c>
      <c r="GQ128" s="94" t="str">
        <f t="shared" si="302"/>
        <v/>
      </c>
      <c r="GR128" s="103" t="str">
        <f t="shared" si="303"/>
        <v/>
      </c>
      <c r="GS128" s="102" t="str">
        <f t="shared" si="331"/>
        <v/>
      </c>
      <c r="GT128" s="104" t="str">
        <f t="shared" si="304"/>
        <v/>
      </c>
      <c r="GU128" s="94" t="str">
        <f>IF('Marks Entry'!V128=1,GT128,"")</f>
        <v/>
      </c>
      <c r="GV128" s="94" t="str">
        <f>IF('Marks Entry'!V128=2,GT128,"")</f>
        <v/>
      </c>
      <c r="GW128" s="94" t="str">
        <f>IF('Marks Entry'!V128=3,GT128,"")</f>
        <v/>
      </c>
      <c r="GX128" s="94" t="str">
        <f>IF('Marks Entry'!V128=4,GT128,"")</f>
        <v/>
      </c>
      <c r="GY128" s="94" t="str">
        <f>IF('Marks Entry'!V128=5,GT128,"")</f>
        <v/>
      </c>
      <c r="GZ128" s="94" t="str">
        <f t="shared" si="305"/>
        <v/>
      </c>
      <c r="HA128" s="105" t="str">
        <f t="shared" si="332"/>
        <v/>
      </c>
      <c r="HB128" s="94" t="str">
        <f t="shared" si="306"/>
        <v/>
      </c>
      <c r="HC128" s="94" t="str">
        <f t="shared" si="307"/>
        <v/>
      </c>
      <c r="HD128" s="105" t="str">
        <f t="shared" si="333"/>
        <v/>
      </c>
      <c r="HE128" s="94" t="str">
        <f t="shared" si="308"/>
        <v/>
      </c>
      <c r="HF128" s="94" t="str">
        <f t="shared" si="309"/>
        <v/>
      </c>
      <c r="HG128" s="105" t="str">
        <f t="shared" si="334"/>
        <v/>
      </c>
      <c r="HH128" s="94" t="str">
        <f t="shared" si="310"/>
        <v/>
      </c>
      <c r="HI128" s="94" t="str">
        <f t="shared" si="311"/>
        <v/>
      </c>
      <c r="HJ128" s="105" t="str">
        <f t="shared" si="335"/>
        <v/>
      </c>
      <c r="HK128" s="94" t="str">
        <f t="shared" si="312"/>
        <v/>
      </c>
      <c r="HL128" s="94" t="str">
        <f t="shared" si="313"/>
        <v/>
      </c>
      <c r="HM128" s="105" t="str">
        <f t="shared" si="336"/>
        <v/>
      </c>
      <c r="HN128" s="367" t="str">
        <f t="shared" si="314"/>
        <v xml:space="preserve">      </v>
      </c>
      <c r="HO128" s="418" t="str">
        <f t="shared" si="337"/>
        <v xml:space="preserve">      </v>
      </c>
      <c r="HP128" s="367" t="str">
        <f t="shared" si="315"/>
        <v xml:space="preserve">      </v>
      </c>
      <c r="HQ128" s="107" t="str">
        <f t="shared" si="316"/>
        <v xml:space="preserve">      </v>
      </c>
      <c r="HR128" s="366" t="str">
        <f t="shared" si="317"/>
        <v xml:space="preserve">      </v>
      </c>
      <c r="HS128" s="544" t="str">
        <f t="shared" si="338"/>
        <v/>
      </c>
      <c r="HT128" s="542" t="str">
        <f t="shared" si="318"/>
        <v/>
      </c>
      <c r="HU128" s="541" t="str">
        <f t="shared" si="319"/>
        <v/>
      </c>
      <c r="HV128" s="540" t="str">
        <f t="shared" si="320"/>
        <v/>
      </c>
      <c r="HW128" s="537" t="str">
        <f t="shared" si="321"/>
        <v/>
      </c>
      <c r="HX128" s="539" t="str">
        <f t="shared" si="322"/>
        <v/>
      </c>
      <c r="HY128" s="553" t="str">
        <f>IFERROR(IF(OR(HS128="SUPPLEMENTARY",HS128="RE-EXAM"),'Supp. Result Entry'!AQ126,""),"")</f>
        <v/>
      </c>
      <c r="HZ128" s="538" t="str">
        <f t="shared" si="323"/>
        <v/>
      </c>
      <c r="IA128" s="415" t="str">
        <f t="shared" si="324"/>
        <v/>
      </c>
      <c r="IB128" s="415" t="str">
        <f>IF(AND(HZ128="",IA128=""),"",IF(OR(HS128="SUPPLEMENTARY",HS128="RE-EXAM"),'Supp. Result Entry'!AQ126,HS128))</f>
        <v/>
      </c>
      <c r="IC128" s="87"/>
      <c r="IS128" s="109" t="str">
        <f>IF('Supp. Result Entry'!T126="","",'Supp. Result Entry'!$T$4)</f>
        <v/>
      </c>
      <c r="IT128" s="110" t="str">
        <f>IF('Supp. Result Entry'!W126="","",'Supp. Result Entry'!$W$4)</f>
        <v/>
      </c>
      <c r="IU128" s="110" t="str">
        <f>IF('Supp. Result Entry'!Z126="","",'Supp. Result Entry'!$Z$4)</f>
        <v/>
      </c>
      <c r="IV128" s="110" t="str">
        <f>IF('Supp. Result Entry'!AC126="","",'Supp. Result Entry'!$AC$4)</f>
        <v/>
      </c>
      <c r="IW128" s="110" t="str">
        <f>IF('Supp. Result Entry'!AF126="","",'Supp. Result Entry'!$AF$4)</f>
        <v/>
      </c>
      <c r="IX128" s="110" t="str">
        <f>IF('Supp. Result Entry'!AI126="","",'Supp. Result Entry'!$AI$4)</f>
        <v/>
      </c>
      <c r="IY128" s="110" t="str">
        <f>IF('Supp. Result Entry'!AI126="","",'Supp. Result Entry'!$AL$4)</f>
        <v/>
      </c>
      <c r="IZ128" s="110" t="str">
        <f>IF('Supp. Result Entry'!U126="","",'Supp. Result Entry'!U126)</f>
        <v/>
      </c>
      <c r="JA128" s="110" t="str">
        <f>IF('Supp. Result Entry'!X126="","",'Supp. Result Entry'!X126)</f>
        <v/>
      </c>
      <c r="JB128" s="110" t="str">
        <f>IF('Supp. Result Entry'!AA126="","",'Supp. Result Entry'!AA126)</f>
        <v/>
      </c>
      <c r="JC128" s="110" t="str">
        <f>IF('Supp. Result Entry'!AD126="","",'Supp. Result Entry'!AD126)</f>
        <v/>
      </c>
      <c r="JD128" s="110" t="str">
        <f>IF('Supp. Result Entry'!AG126="","",'Supp. Result Entry'!AG126)</f>
        <v/>
      </c>
      <c r="JE128" s="110" t="str">
        <f>IF('Supp. Result Entry'!AJ126="","",'Supp. Result Entry'!AJ126)</f>
        <v/>
      </c>
      <c r="JF128" s="110" t="str">
        <f>IF('Supp. Result Entry'!AM126="","",'Supp. Result Entry'!AM126)</f>
        <v/>
      </c>
      <c r="JG128" s="110" t="str">
        <f>IF('Supp. Result Entry'!V126="","",'Supp. Result Entry'!V126)</f>
        <v/>
      </c>
      <c r="JH128" s="110" t="str">
        <f>IF('Supp. Result Entry'!Y126="","",'Supp. Result Entry'!Y126)</f>
        <v/>
      </c>
      <c r="JI128" s="110" t="str">
        <f>IF('Supp. Result Entry'!AB126="","",'Supp. Result Entry'!AB126)</f>
        <v/>
      </c>
      <c r="JJ128" s="110" t="str">
        <f>IF('Supp. Result Entry'!AE126="","",'Supp. Result Entry'!AE126)</f>
        <v/>
      </c>
      <c r="JK128" s="110" t="str">
        <f>IF('Supp. Result Entry'!AH126="","",'Supp. Result Entry'!AH126)</f>
        <v/>
      </c>
      <c r="JL128" s="110" t="str">
        <f>IF('Supp. Result Entry'!AK126="","",'Supp. Result Entry'!AK126)</f>
        <v/>
      </c>
      <c r="JM128" s="110" t="str">
        <f>IF('Supp. Result Entry'!AN126="","",'Supp. Result Entry'!AN126)</f>
        <v/>
      </c>
      <c r="JN128" s="110">
        <f>COUNTIF('Supp. Result Entry'!K126:Q126,"S")</f>
        <v>0</v>
      </c>
      <c r="JO128" s="110">
        <f t="shared" si="248"/>
        <v>0</v>
      </c>
      <c r="JP128" s="110">
        <f t="shared" si="325"/>
        <v>0</v>
      </c>
      <c r="JQ128" s="110" t="str">
        <f t="shared" si="249"/>
        <v/>
      </c>
      <c r="JR128" s="110" t="str">
        <f t="shared" si="250"/>
        <v/>
      </c>
      <c r="JS128" s="110" t="str">
        <f t="shared" si="251"/>
        <v/>
      </c>
      <c r="JT128" s="110" t="str">
        <f t="shared" si="252"/>
        <v/>
      </c>
      <c r="JU128" s="110" t="str">
        <f t="shared" si="253"/>
        <v/>
      </c>
      <c r="JV128" s="110" t="str">
        <f t="shared" si="254"/>
        <v/>
      </c>
      <c r="JW128" s="110" t="str">
        <f t="shared" si="255"/>
        <v/>
      </c>
      <c r="JX128" s="110" t="str">
        <f t="shared" si="326"/>
        <v/>
      </c>
      <c r="JY128" s="110" t="str">
        <f t="shared" si="327"/>
        <v/>
      </c>
      <c r="JZ128" s="110" t="str">
        <f t="shared" si="256"/>
        <v/>
      </c>
      <c r="KA128" s="108" t="str">
        <f t="shared" si="328"/>
        <v/>
      </c>
    </row>
    <row r="129" spans="1:287" s="108" customFormat="1" ht="21.95" customHeight="1">
      <c r="A129" s="89">
        <v>123</v>
      </c>
      <c r="B129" s="90" t="str">
        <f>IF('Marks Entry'!B129="","",'Marks Entry'!B129)</f>
        <v/>
      </c>
      <c r="C129" s="94" t="str">
        <f>IF('Marks Entry'!D129="","",'Marks Entry'!D129)</f>
        <v/>
      </c>
      <c r="D129" s="91" t="str">
        <f>IF('Marks Entry'!E129="","",'Marks Entry'!E129)</f>
        <v/>
      </c>
      <c r="E129" s="92" t="str">
        <f>IF('Marks Entry'!F129="","",'Marks Entry'!F129)</f>
        <v/>
      </c>
      <c r="F129" s="93" t="str">
        <f>IF('Marks Entry'!G129="","",'Marks Entry'!G129)</f>
        <v/>
      </c>
      <c r="G129" s="93" t="str">
        <f>IF('Marks Entry'!H129="","",'Marks Entry'!H129)</f>
        <v/>
      </c>
      <c r="H129" s="93" t="str">
        <f>IF('Marks Entry'!I129="","",'Marks Entry'!I129)</f>
        <v/>
      </c>
      <c r="I129" s="94" t="str">
        <f>IF('Marks Entry'!J129="","",'Marks Entry'!J129)</f>
        <v/>
      </c>
      <c r="J129" s="95" t="str">
        <f>IF('Marks Entry'!K129="","",'Marks Entry'!K129)</f>
        <v/>
      </c>
      <c r="K129" s="68" t="str">
        <f>IF('Marks Entry'!L129="","",'Marks Entry'!L129)</f>
        <v/>
      </c>
      <c r="L129" s="68" t="str">
        <f>IF('Marks Entry'!M129="","",'Marks Entry'!M129)</f>
        <v/>
      </c>
      <c r="M129" s="68" t="str">
        <f>IF('Marks Entry'!N129="","",'Marks Entry'!N129)</f>
        <v/>
      </c>
      <c r="N129" s="514" t="str">
        <f t="shared" si="257"/>
        <v/>
      </c>
      <c r="O129" s="68" t="str">
        <f>IF('Marks Entry'!O129="","",'Marks Entry'!O129)</f>
        <v/>
      </c>
      <c r="P129" s="515" t="str">
        <f t="shared" si="258"/>
        <v/>
      </c>
      <c r="Q129" s="68" t="str">
        <f>IF('Marks Entry'!P129="","",'Marks Entry'!P129)</f>
        <v/>
      </c>
      <c r="R129" s="96" t="str">
        <f t="shared" si="259"/>
        <v/>
      </c>
      <c r="S129" s="65">
        <f t="shared" si="260"/>
        <v>0</v>
      </c>
      <c r="T129" s="65">
        <f t="shared" si="261"/>
        <v>0</v>
      </c>
      <c r="U129" s="66" t="str">
        <f t="shared" si="171"/>
        <v/>
      </c>
      <c r="V129" s="65" t="str">
        <f t="shared" si="172"/>
        <v/>
      </c>
      <c r="W129" s="65" t="str">
        <f t="shared" si="262"/>
        <v/>
      </c>
      <c r="X129" s="65" t="str">
        <f t="shared" si="173"/>
        <v/>
      </c>
      <c r="Y129" s="68" t="str">
        <f>IF('Marks Entry'!Q129="","",'Marks Entry'!Q129)</f>
        <v/>
      </c>
      <c r="Z129" s="68" t="str">
        <f>IF('Marks Entry'!R129="","",'Marks Entry'!R129)</f>
        <v/>
      </c>
      <c r="AA129" s="68" t="str">
        <f>IF('Marks Entry'!S129="","",'Marks Entry'!S129)</f>
        <v/>
      </c>
      <c r="AB129" s="514" t="str">
        <f t="shared" si="174"/>
        <v/>
      </c>
      <c r="AC129" s="68" t="str">
        <f>IF('Marks Entry'!T129="","",'Marks Entry'!T129)</f>
        <v/>
      </c>
      <c r="AD129" s="515" t="str">
        <f t="shared" si="175"/>
        <v/>
      </c>
      <c r="AE129" s="68" t="str">
        <f>IF('Marks Entry'!U129="","",'Marks Entry'!U129)</f>
        <v/>
      </c>
      <c r="AF129" s="96" t="str">
        <f t="shared" si="176"/>
        <v/>
      </c>
      <c r="AG129" s="65">
        <f t="shared" si="177"/>
        <v>0</v>
      </c>
      <c r="AH129" s="65">
        <f t="shared" si="178"/>
        <v>0</v>
      </c>
      <c r="AI129" s="66" t="str">
        <f t="shared" si="179"/>
        <v/>
      </c>
      <c r="AJ129" s="65" t="str">
        <f t="shared" si="180"/>
        <v/>
      </c>
      <c r="AK129" s="65" t="str">
        <f t="shared" si="181"/>
        <v/>
      </c>
      <c r="AL129" s="65" t="str">
        <f t="shared" si="182"/>
        <v/>
      </c>
      <c r="AM129" s="524" t="str">
        <f>IF('Marks Entry'!V129="","",IF('Marks Entry'!V129=1,'School Profile'!$I$9,IF('Marks Entry'!V129=2,'School Profile'!$I$10,IF('Marks Entry'!V129=3,'School Profile'!$I$11,IF('Marks Entry'!V129=4,'School Profile'!$I$12,IF('Marks Entry'!V129=5,'School Profile'!$I$13,IF('Marks Entry'!V129=6,'School Profile'!$I$14,"")))))))</f>
        <v/>
      </c>
      <c r="AN129" s="68" t="str">
        <f>IF('Marks Entry'!W129="","",'Marks Entry'!W129)</f>
        <v/>
      </c>
      <c r="AO129" s="68" t="str">
        <f>IF('Marks Entry'!X129="","",'Marks Entry'!X129)</f>
        <v/>
      </c>
      <c r="AP129" s="68" t="str">
        <f>IF('Marks Entry'!Y129="","",'Marks Entry'!Y129)</f>
        <v/>
      </c>
      <c r="AQ129" s="514" t="str">
        <f t="shared" si="183"/>
        <v/>
      </c>
      <c r="AR129" s="68" t="str">
        <f>IF('Marks Entry'!Z129="","",'Marks Entry'!Z129)</f>
        <v/>
      </c>
      <c r="AS129" s="515" t="str">
        <f t="shared" si="184"/>
        <v/>
      </c>
      <c r="AT129" s="68" t="str">
        <f>IF('Marks Entry'!AA129="","",'Marks Entry'!AA129)</f>
        <v/>
      </c>
      <c r="AU129" s="96" t="str">
        <f t="shared" si="185"/>
        <v/>
      </c>
      <c r="AV129" s="65">
        <f t="shared" si="186"/>
        <v>0</v>
      </c>
      <c r="AW129" s="65">
        <f t="shared" si="187"/>
        <v>0</v>
      </c>
      <c r="AX129" s="66" t="str">
        <f t="shared" si="188"/>
        <v/>
      </c>
      <c r="AY129" s="65" t="str">
        <f t="shared" si="189"/>
        <v/>
      </c>
      <c r="AZ129" s="65" t="str">
        <f t="shared" si="190"/>
        <v/>
      </c>
      <c r="BA129" s="65" t="str">
        <f t="shared" si="191"/>
        <v/>
      </c>
      <c r="BB129" s="68" t="str">
        <f>IF('Marks Entry'!AB129="","",'Marks Entry'!AB129)</f>
        <v/>
      </c>
      <c r="BC129" s="68" t="str">
        <f>IF('Marks Entry'!AC129="","",'Marks Entry'!AC129)</f>
        <v/>
      </c>
      <c r="BD129" s="68" t="str">
        <f>IF('Marks Entry'!AD129="","",'Marks Entry'!AD129)</f>
        <v/>
      </c>
      <c r="BE129" s="514" t="str">
        <f t="shared" si="192"/>
        <v/>
      </c>
      <c r="BF129" s="68" t="str">
        <f>IF('Marks Entry'!AE129="","",'Marks Entry'!AE129)</f>
        <v/>
      </c>
      <c r="BG129" s="515" t="str">
        <f t="shared" si="193"/>
        <v/>
      </c>
      <c r="BH129" s="68" t="str">
        <f>IF('Marks Entry'!AF129="","",'Marks Entry'!AF129)</f>
        <v/>
      </c>
      <c r="BI129" s="96" t="str">
        <f t="shared" si="194"/>
        <v/>
      </c>
      <c r="BJ129" s="65">
        <f t="shared" si="195"/>
        <v>0</v>
      </c>
      <c r="BK129" s="65">
        <f t="shared" si="263"/>
        <v>0</v>
      </c>
      <c r="BL129" s="66" t="str">
        <f t="shared" si="196"/>
        <v/>
      </c>
      <c r="BM129" s="65" t="str">
        <f t="shared" si="197"/>
        <v/>
      </c>
      <c r="BN129" s="65" t="str">
        <f t="shared" si="198"/>
        <v/>
      </c>
      <c r="BO129" s="65" t="str">
        <f t="shared" si="199"/>
        <v/>
      </c>
      <c r="BP129" s="68" t="str">
        <f>IF('Marks Entry'!AG129="","",'Marks Entry'!AG129)</f>
        <v/>
      </c>
      <c r="BQ129" s="68" t="str">
        <f>IF('Marks Entry'!AH129="","",'Marks Entry'!AH129)</f>
        <v/>
      </c>
      <c r="BR129" s="68" t="str">
        <f>IF('Marks Entry'!AI129="","",'Marks Entry'!AI129)</f>
        <v/>
      </c>
      <c r="BS129" s="514" t="str">
        <f t="shared" si="200"/>
        <v/>
      </c>
      <c r="BT129" s="68" t="str">
        <f>IF('Marks Entry'!AJ129="","",'Marks Entry'!AJ129)</f>
        <v/>
      </c>
      <c r="BU129" s="515" t="str">
        <f t="shared" si="201"/>
        <v/>
      </c>
      <c r="BV129" s="68" t="str">
        <f>IF('Marks Entry'!AK129="","",'Marks Entry'!AK129)</f>
        <v/>
      </c>
      <c r="BW129" s="96" t="str">
        <f t="shared" si="202"/>
        <v/>
      </c>
      <c r="BX129" s="65">
        <f t="shared" si="203"/>
        <v>0</v>
      </c>
      <c r="BY129" s="65">
        <f t="shared" si="204"/>
        <v>0</v>
      </c>
      <c r="BZ129" s="66" t="str">
        <f t="shared" si="205"/>
        <v/>
      </c>
      <c r="CA129" s="65" t="str">
        <f t="shared" si="206"/>
        <v/>
      </c>
      <c r="CB129" s="65" t="str">
        <f t="shared" si="207"/>
        <v/>
      </c>
      <c r="CC129" s="65" t="str">
        <f t="shared" si="208"/>
        <v/>
      </c>
      <c r="CD129" s="66">
        <f t="shared" si="329"/>
        <v>0</v>
      </c>
      <c r="CE129" s="68" t="str">
        <f>IF('Marks Entry'!AL129="","",'Marks Entry'!AL129)</f>
        <v/>
      </c>
      <c r="CF129" s="68" t="str">
        <f>IF('Marks Entry'!AM129="","",'Marks Entry'!AM129)</f>
        <v/>
      </c>
      <c r="CG129" s="68" t="str">
        <f>IF('Marks Entry'!AN129="","",'Marks Entry'!AN129)</f>
        <v/>
      </c>
      <c r="CH129" s="514" t="str">
        <f t="shared" si="210"/>
        <v/>
      </c>
      <c r="CI129" s="68" t="str">
        <f>IF('Marks Entry'!AO129="","",'Marks Entry'!AO129)</f>
        <v/>
      </c>
      <c r="CJ129" s="515" t="str">
        <f t="shared" si="211"/>
        <v/>
      </c>
      <c r="CK129" s="68" t="str">
        <f>IF('Marks Entry'!AP129="","",'Marks Entry'!AP129)</f>
        <v/>
      </c>
      <c r="CL129" s="96" t="str">
        <f t="shared" si="212"/>
        <v/>
      </c>
      <c r="CM129" s="65">
        <f t="shared" si="213"/>
        <v>0</v>
      </c>
      <c r="CN129" s="65">
        <f t="shared" si="214"/>
        <v>0</v>
      </c>
      <c r="CO129" s="66" t="str">
        <f t="shared" si="215"/>
        <v/>
      </c>
      <c r="CP129" s="65" t="str">
        <f t="shared" si="216"/>
        <v/>
      </c>
      <c r="CQ129" s="65" t="str">
        <f t="shared" si="217"/>
        <v/>
      </c>
      <c r="CR129" s="65" t="str">
        <f t="shared" si="218"/>
        <v/>
      </c>
      <c r="CS129" s="616"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8" t="str">
        <f>IF('School Profile'!$D$20="NO","",IF('Marks Entry'!AR129="","",'Marks Entry'!AR129))</f>
        <v/>
      </c>
      <c r="CU129" s="68" t="str">
        <f>IF('School Profile'!$D$20="NO","",IF('Marks Entry'!AS129="","",'Marks Entry'!AS129))</f>
        <v/>
      </c>
      <c r="CV129" s="68" t="str">
        <f>IF('School Profile'!$D$20="NO","",IF('Marks Entry'!AT129="","",'Marks Entry'!AT129))</f>
        <v/>
      </c>
      <c r="CW129" s="514" t="str">
        <f>IF('School Profile'!$D$20="NO","",IF(AND(CT129="",CU129="",CV129=""),"",SUM(CT129:CV129)))</f>
        <v/>
      </c>
      <c r="CX129" s="68" t="str">
        <f>IF('School Profile'!$D$20="NO","",IF('Marks Entry'!AU129="","",'Marks Entry'!AU129))</f>
        <v/>
      </c>
      <c r="CY129" s="68" t="str">
        <f>IF('School Profile'!$D$20="NO","",IF('Marks Entry'!AV129="","",'Marks Entry'!AV129))</f>
        <v/>
      </c>
      <c r="CZ129" s="515" t="str">
        <f>IF('School Profile'!$D$20="NO","",IF(AND(CX129="",CY129=""),"",SUM(CX129,CY129)))</f>
        <v/>
      </c>
      <c r="DA129" s="69" t="str">
        <f>IF('School Profile'!$D$20="NO","",IF(AND(CW129="",CZ129=""),"",SUM(CW129+CZ129)))</f>
        <v/>
      </c>
      <c r="DB129" s="68" t="str">
        <f>IF('School Profile'!$D$20="NO","",IF('Marks Entry'!AW129="","",'Marks Entry'!AW129))</f>
        <v/>
      </c>
      <c r="DC129" s="68" t="str">
        <f>IF('School Profile'!$D$20="NO","",IF('Marks Entry'!AX129="","",'Marks Entry'!AX129))</f>
        <v/>
      </c>
      <c r="DD129" s="515" t="str">
        <f>IF('School Profile'!$D$20="NO","",IF(AND(DB129="",DC129=""),"",SUM(DB129,DC129)))</f>
        <v/>
      </c>
      <c r="DE129" s="96" t="str">
        <f>IF('School Profile'!$D$20="NO","",IF(AND(DA129="",DD129=""),"",SUM(DA129,DD129)))</f>
        <v/>
      </c>
      <c r="DF129" s="532">
        <f t="shared" si="219"/>
        <v>0</v>
      </c>
      <c r="DG129" s="65">
        <f t="shared" si="220"/>
        <v>0</v>
      </c>
      <c r="DH129" s="66" t="str">
        <f t="shared" si="221"/>
        <v/>
      </c>
      <c r="DI129" s="65" t="str">
        <f t="shared" si="222"/>
        <v/>
      </c>
      <c r="DJ129" s="65" t="str">
        <f t="shared" si="223"/>
        <v/>
      </c>
      <c r="DK129" s="65" t="str">
        <f t="shared" si="224"/>
        <v/>
      </c>
      <c r="DL129" s="97" t="str">
        <f t="shared" si="264"/>
        <v/>
      </c>
      <c r="DM129" s="97" t="str">
        <f t="shared" si="265"/>
        <v/>
      </c>
      <c r="DN129" s="97" t="str">
        <f t="shared" si="266"/>
        <v/>
      </c>
      <c r="DO129" s="97" t="str">
        <f t="shared" si="267"/>
        <v/>
      </c>
      <c r="DP129" s="97" t="str">
        <f t="shared" si="268"/>
        <v/>
      </c>
      <c r="DQ129" s="97" t="str">
        <f t="shared" si="269"/>
        <v/>
      </c>
      <c r="DR129" s="97" t="str">
        <f t="shared" si="270"/>
        <v/>
      </c>
      <c r="DS129" s="98">
        <f t="shared" si="271"/>
        <v>0</v>
      </c>
      <c r="DT129" s="98">
        <f t="shared" si="272"/>
        <v>0</v>
      </c>
      <c r="DU129" s="98">
        <f t="shared" si="273"/>
        <v>0</v>
      </c>
      <c r="DV129" s="98">
        <f t="shared" si="274"/>
        <v>0</v>
      </c>
      <c r="DW129" s="98">
        <f t="shared" si="275"/>
        <v>0</v>
      </c>
      <c r="DX129" s="98" t="str">
        <f t="shared" si="276"/>
        <v/>
      </c>
      <c r="DY129" s="99" t="str">
        <f t="shared" si="277"/>
        <v/>
      </c>
      <c r="DZ129" s="74" t="str">
        <f>IF('Marks Entry'!AY129="","",'Marks Entry'!AY129)</f>
        <v/>
      </c>
      <c r="EA129" s="74" t="str">
        <f>IF('Marks Entry'!AZ129="","",'Marks Entry'!AZ129)</f>
        <v/>
      </c>
      <c r="EB129" s="74" t="str">
        <f>IF('Marks Entry'!BA129="","",'Marks Entry'!BA129)</f>
        <v/>
      </c>
      <c r="EC129" s="527" t="str">
        <f t="shared" si="225"/>
        <v/>
      </c>
      <c r="ED129" s="74" t="str">
        <f>IF('Marks Entry'!BB129="","",'Marks Entry'!BB129)</f>
        <v/>
      </c>
      <c r="EE129" s="528" t="str">
        <f t="shared" si="226"/>
        <v/>
      </c>
      <c r="EF129" s="74" t="str">
        <f>IF('Marks Entry'!BC129="","",'Marks Entry'!BC129)</f>
        <v/>
      </c>
      <c r="EG129" s="530" t="str">
        <f t="shared" si="227"/>
        <v/>
      </c>
      <c r="EH129" s="368" t="str">
        <f t="shared" si="278"/>
        <v/>
      </c>
      <c r="EI129" s="65">
        <f t="shared" si="279"/>
        <v>0</v>
      </c>
      <c r="EJ129" s="65">
        <f t="shared" si="280"/>
        <v>0</v>
      </c>
      <c r="EK129" s="66" t="str">
        <f t="shared" si="281"/>
        <v/>
      </c>
      <c r="EL129" s="74" t="str">
        <f>IF('Marks Entry'!BD129="","",'Marks Entry'!BD129)</f>
        <v/>
      </c>
      <c r="EM129" s="74" t="str">
        <f>IF('Marks Entry'!BE129="","",'Marks Entry'!BE129)</f>
        <v/>
      </c>
      <c r="EN129" s="74" t="str">
        <f>IF('Marks Entry'!BF129="","",'Marks Entry'!BF129)</f>
        <v/>
      </c>
      <c r="EO129" s="527" t="str">
        <f t="shared" si="228"/>
        <v/>
      </c>
      <c r="EP129" s="74" t="str">
        <f>IF('Marks Entry'!BG129="","",'Marks Entry'!BG129)</f>
        <v/>
      </c>
      <c r="EQ129" s="74" t="str">
        <f>IF('Marks Entry'!BH129="","",'Marks Entry'!BH129)</f>
        <v/>
      </c>
      <c r="ER129" s="528" t="str">
        <f t="shared" si="229"/>
        <v/>
      </c>
      <c r="ES129" s="529" t="str">
        <f t="shared" si="230"/>
        <v/>
      </c>
      <c r="ET129" s="74" t="str">
        <f>IF('Marks Entry'!BI129="","",'Marks Entry'!BI129)</f>
        <v/>
      </c>
      <c r="EU129" s="74" t="str">
        <f>IF('Marks Entry'!BJ129="","",'Marks Entry'!BJ129)</f>
        <v/>
      </c>
      <c r="EV129" s="528" t="str">
        <f t="shared" si="231"/>
        <v/>
      </c>
      <c r="EW129" s="530" t="str">
        <f t="shared" si="232"/>
        <v/>
      </c>
      <c r="EX129" s="368" t="str">
        <f t="shared" si="282"/>
        <v/>
      </c>
      <c r="EY129" s="65">
        <f t="shared" si="283"/>
        <v>0</v>
      </c>
      <c r="EZ129" s="65">
        <f t="shared" si="284"/>
        <v>0</v>
      </c>
      <c r="FA129" s="66" t="str">
        <f t="shared" si="285"/>
        <v/>
      </c>
      <c r="FB129" s="74" t="str">
        <f>IF('Marks Entry'!BK129="","",'Marks Entry'!BK129)</f>
        <v/>
      </c>
      <c r="FC129" s="74" t="str">
        <f>IF('Marks Entry'!BL129="","",'Marks Entry'!BL129)</f>
        <v/>
      </c>
      <c r="FD129" s="74" t="str">
        <f>IF('Marks Entry'!BM129="","",'Marks Entry'!BM129)</f>
        <v/>
      </c>
      <c r="FE129" s="74" t="str">
        <f>IF('Marks Entry'!BN129="","",'Marks Entry'!BN129)</f>
        <v/>
      </c>
      <c r="FF129" s="74" t="str">
        <f>IF('Marks Entry'!BO129="","",'Marks Entry'!BO129)</f>
        <v/>
      </c>
      <c r="FG129" s="74" t="str">
        <f>IF('Marks Entry'!BP129="","",'Marks Entry'!BP129)</f>
        <v/>
      </c>
      <c r="FH129" s="527" t="str">
        <f t="shared" si="233"/>
        <v/>
      </c>
      <c r="FI129" s="74" t="str">
        <f>IF('Marks Entry'!BQ129="","",'Marks Entry'!BQ129)</f>
        <v/>
      </c>
      <c r="FJ129" s="74" t="str">
        <f>IF('Marks Entry'!BR129="","",'Marks Entry'!BR129)</f>
        <v/>
      </c>
      <c r="FK129" s="528" t="str">
        <f t="shared" si="234"/>
        <v/>
      </c>
      <c r="FL129" s="529" t="str">
        <f t="shared" si="235"/>
        <v/>
      </c>
      <c r="FM129" s="74" t="str">
        <f>IF('Marks Entry'!BS129="","",'Marks Entry'!BS129)</f>
        <v/>
      </c>
      <c r="FN129" s="74" t="str">
        <f>IF('Marks Entry'!BT129="","",'Marks Entry'!BT129)</f>
        <v/>
      </c>
      <c r="FO129" s="528" t="str">
        <f t="shared" si="236"/>
        <v/>
      </c>
      <c r="FP129" s="530" t="str">
        <f t="shared" si="237"/>
        <v/>
      </c>
      <c r="FQ129" s="368" t="str">
        <f t="shared" si="286"/>
        <v/>
      </c>
      <c r="FR129" s="65">
        <f t="shared" si="287"/>
        <v>0</v>
      </c>
      <c r="FS129" s="65">
        <f t="shared" si="288"/>
        <v>0</v>
      </c>
      <c r="FT129" s="66" t="str">
        <f t="shared" si="289"/>
        <v/>
      </c>
      <c r="FU129" s="74" t="str">
        <f>IF('Marks Entry'!BU129="","",'Marks Entry'!BU129)</f>
        <v/>
      </c>
      <c r="FV129" s="74" t="str">
        <f>IF('Marks Entry'!BV129="","",'Marks Entry'!BV129)</f>
        <v/>
      </c>
      <c r="FW129" s="74" t="str">
        <f>IF('Marks Entry'!BW129="","",'Marks Entry'!BW129)</f>
        <v/>
      </c>
      <c r="FX129" s="75" t="str">
        <f t="shared" si="238"/>
        <v/>
      </c>
      <c r="FY129" s="368" t="str">
        <f t="shared" si="290"/>
        <v/>
      </c>
      <c r="FZ129" s="65">
        <f t="shared" si="291"/>
        <v>0</v>
      </c>
      <c r="GA129" s="66">
        <f t="shared" si="292"/>
        <v>0</v>
      </c>
      <c r="GB129" s="66" t="str">
        <f t="shared" si="293"/>
        <v/>
      </c>
      <c r="GC129" s="74" t="str">
        <f>IF('Marks Entry'!BX129="","",'Marks Entry'!BX129)</f>
        <v/>
      </c>
      <c r="GD129" s="74" t="str">
        <f>IF('Marks Entry'!BY129="","",'Marks Entry'!BY129)</f>
        <v/>
      </c>
      <c r="GE129" s="74" t="str">
        <f>IF('Marks Entry'!BZ129="","",'Marks Entry'!BZ129)</f>
        <v/>
      </c>
      <c r="GF129" s="75" t="str">
        <f t="shared" si="294"/>
        <v/>
      </c>
      <c r="GG129" s="368" t="str">
        <f t="shared" si="295"/>
        <v/>
      </c>
      <c r="GH129" s="65">
        <f t="shared" si="296"/>
        <v>0</v>
      </c>
      <c r="GI129" s="66">
        <f t="shared" si="297"/>
        <v>0</v>
      </c>
      <c r="GJ129" s="66" t="str">
        <f t="shared" si="298"/>
        <v/>
      </c>
      <c r="GK129" s="100" t="str">
        <f>IF(AND(F129="",B129=""),"",IF('Student DATA Entry'!M126="","",'Student DATA Entry'!M126))</f>
        <v/>
      </c>
      <c r="GL129" s="101" t="str">
        <f>IF(AND(B129="",F129=""),"",IF('Student DATA Entry'!N126="","",'Student DATA Entry'!N126))</f>
        <v/>
      </c>
      <c r="GM129" s="581" t="str">
        <f t="shared" si="299"/>
        <v/>
      </c>
      <c r="GN129" s="94" t="str">
        <f t="shared" si="300"/>
        <v/>
      </c>
      <c r="GO129" s="94" t="str">
        <f t="shared" si="301"/>
        <v/>
      </c>
      <c r="GP129" s="102" t="str">
        <f t="shared" si="330"/>
        <v/>
      </c>
      <c r="GQ129" s="94" t="str">
        <f t="shared" si="302"/>
        <v/>
      </c>
      <c r="GR129" s="103" t="str">
        <f t="shared" si="303"/>
        <v/>
      </c>
      <c r="GS129" s="102" t="str">
        <f t="shared" si="331"/>
        <v/>
      </c>
      <c r="GT129" s="104" t="str">
        <f t="shared" si="304"/>
        <v/>
      </c>
      <c r="GU129" s="94" t="str">
        <f>IF('Marks Entry'!V129=1,GT129,"")</f>
        <v/>
      </c>
      <c r="GV129" s="94" t="str">
        <f>IF('Marks Entry'!V129=2,GT129,"")</f>
        <v/>
      </c>
      <c r="GW129" s="94" t="str">
        <f>IF('Marks Entry'!V129=3,GT129,"")</f>
        <v/>
      </c>
      <c r="GX129" s="94" t="str">
        <f>IF('Marks Entry'!V129=4,GT129,"")</f>
        <v/>
      </c>
      <c r="GY129" s="94" t="str">
        <f>IF('Marks Entry'!V129=5,GT129,"")</f>
        <v/>
      </c>
      <c r="GZ129" s="94" t="str">
        <f t="shared" si="305"/>
        <v/>
      </c>
      <c r="HA129" s="105" t="str">
        <f t="shared" si="332"/>
        <v/>
      </c>
      <c r="HB129" s="94" t="str">
        <f t="shared" si="306"/>
        <v/>
      </c>
      <c r="HC129" s="94" t="str">
        <f t="shared" si="307"/>
        <v/>
      </c>
      <c r="HD129" s="105" t="str">
        <f t="shared" si="333"/>
        <v/>
      </c>
      <c r="HE129" s="94" t="str">
        <f t="shared" si="308"/>
        <v/>
      </c>
      <c r="HF129" s="94" t="str">
        <f t="shared" si="309"/>
        <v/>
      </c>
      <c r="HG129" s="105" t="str">
        <f t="shared" si="334"/>
        <v/>
      </c>
      <c r="HH129" s="94" t="str">
        <f t="shared" si="310"/>
        <v/>
      </c>
      <c r="HI129" s="94" t="str">
        <f t="shared" si="311"/>
        <v/>
      </c>
      <c r="HJ129" s="105" t="str">
        <f t="shared" si="335"/>
        <v/>
      </c>
      <c r="HK129" s="94" t="str">
        <f t="shared" si="312"/>
        <v/>
      </c>
      <c r="HL129" s="94" t="str">
        <f t="shared" si="313"/>
        <v/>
      </c>
      <c r="HM129" s="105" t="str">
        <f t="shared" si="336"/>
        <v/>
      </c>
      <c r="HN129" s="367" t="str">
        <f t="shared" si="314"/>
        <v xml:space="preserve">      </v>
      </c>
      <c r="HO129" s="418" t="str">
        <f t="shared" si="337"/>
        <v xml:space="preserve">      </v>
      </c>
      <c r="HP129" s="367" t="str">
        <f t="shared" si="315"/>
        <v xml:space="preserve">      </v>
      </c>
      <c r="HQ129" s="107" t="str">
        <f t="shared" si="316"/>
        <v xml:space="preserve">      </v>
      </c>
      <c r="HR129" s="366" t="str">
        <f t="shared" si="317"/>
        <v xml:space="preserve">      </v>
      </c>
      <c r="HS129" s="544" t="str">
        <f t="shared" si="338"/>
        <v/>
      </c>
      <c r="HT129" s="542" t="str">
        <f t="shared" si="318"/>
        <v/>
      </c>
      <c r="HU129" s="541" t="str">
        <f t="shared" si="319"/>
        <v/>
      </c>
      <c r="HV129" s="540" t="str">
        <f t="shared" si="320"/>
        <v/>
      </c>
      <c r="HW129" s="537" t="str">
        <f t="shared" si="321"/>
        <v/>
      </c>
      <c r="HX129" s="539" t="str">
        <f t="shared" si="322"/>
        <v/>
      </c>
      <c r="HY129" s="553" t="str">
        <f>IFERROR(IF(OR(HS129="SUPPLEMENTARY",HS129="RE-EXAM"),'Supp. Result Entry'!AQ127,""),"")</f>
        <v/>
      </c>
      <c r="HZ129" s="538" t="str">
        <f t="shared" si="323"/>
        <v/>
      </c>
      <c r="IA129" s="415" t="str">
        <f t="shared" si="324"/>
        <v/>
      </c>
      <c r="IB129" s="415" t="str">
        <f>IF(AND(HZ129="",IA129=""),"",IF(OR(HS129="SUPPLEMENTARY",HS129="RE-EXAM"),'Supp. Result Entry'!AQ127,HS129))</f>
        <v/>
      </c>
      <c r="IC129" s="87"/>
      <c r="IS129" s="109" t="str">
        <f>IF('Supp. Result Entry'!T127="","",'Supp. Result Entry'!$T$4)</f>
        <v/>
      </c>
      <c r="IT129" s="110" t="str">
        <f>IF('Supp. Result Entry'!W127="","",'Supp. Result Entry'!$W$4)</f>
        <v/>
      </c>
      <c r="IU129" s="110" t="str">
        <f>IF('Supp. Result Entry'!Z127="","",'Supp. Result Entry'!$Z$4)</f>
        <v/>
      </c>
      <c r="IV129" s="110" t="str">
        <f>IF('Supp. Result Entry'!AC127="","",'Supp. Result Entry'!$AC$4)</f>
        <v/>
      </c>
      <c r="IW129" s="110" t="str">
        <f>IF('Supp. Result Entry'!AF127="","",'Supp. Result Entry'!$AF$4)</f>
        <v/>
      </c>
      <c r="IX129" s="110" t="str">
        <f>IF('Supp. Result Entry'!AI127="","",'Supp. Result Entry'!$AI$4)</f>
        <v/>
      </c>
      <c r="IY129" s="110" t="str">
        <f>IF('Supp. Result Entry'!AI127="","",'Supp. Result Entry'!$AL$4)</f>
        <v/>
      </c>
      <c r="IZ129" s="110" t="str">
        <f>IF('Supp. Result Entry'!U127="","",'Supp. Result Entry'!U127)</f>
        <v/>
      </c>
      <c r="JA129" s="110" t="str">
        <f>IF('Supp. Result Entry'!X127="","",'Supp. Result Entry'!X127)</f>
        <v/>
      </c>
      <c r="JB129" s="110" t="str">
        <f>IF('Supp. Result Entry'!AA127="","",'Supp. Result Entry'!AA127)</f>
        <v/>
      </c>
      <c r="JC129" s="110" t="str">
        <f>IF('Supp. Result Entry'!AD127="","",'Supp. Result Entry'!AD127)</f>
        <v/>
      </c>
      <c r="JD129" s="110" t="str">
        <f>IF('Supp. Result Entry'!AG127="","",'Supp. Result Entry'!AG127)</f>
        <v/>
      </c>
      <c r="JE129" s="110" t="str">
        <f>IF('Supp. Result Entry'!AJ127="","",'Supp. Result Entry'!AJ127)</f>
        <v/>
      </c>
      <c r="JF129" s="110" t="str">
        <f>IF('Supp. Result Entry'!AM127="","",'Supp. Result Entry'!AM127)</f>
        <v/>
      </c>
      <c r="JG129" s="110" t="str">
        <f>IF('Supp. Result Entry'!V127="","",'Supp. Result Entry'!V127)</f>
        <v/>
      </c>
      <c r="JH129" s="110" t="str">
        <f>IF('Supp. Result Entry'!Y127="","",'Supp. Result Entry'!Y127)</f>
        <v/>
      </c>
      <c r="JI129" s="110" t="str">
        <f>IF('Supp. Result Entry'!AB127="","",'Supp. Result Entry'!AB127)</f>
        <v/>
      </c>
      <c r="JJ129" s="110" t="str">
        <f>IF('Supp. Result Entry'!AE127="","",'Supp. Result Entry'!AE127)</f>
        <v/>
      </c>
      <c r="JK129" s="110" t="str">
        <f>IF('Supp. Result Entry'!AH127="","",'Supp. Result Entry'!AH127)</f>
        <v/>
      </c>
      <c r="JL129" s="110" t="str">
        <f>IF('Supp. Result Entry'!AK127="","",'Supp. Result Entry'!AK127)</f>
        <v/>
      </c>
      <c r="JM129" s="110" t="str">
        <f>IF('Supp. Result Entry'!AN127="","",'Supp. Result Entry'!AN127)</f>
        <v/>
      </c>
      <c r="JN129" s="110">
        <f>COUNTIF('Supp. Result Entry'!K127:Q127,"S")</f>
        <v>0</v>
      </c>
      <c r="JO129" s="110">
        <f t="shared" si="248"/>
        <v>0</v>
      </c>
      <c r="JP129" s="110">
        <f t="shared" si="325"/>
        <v>0</v>
      </c>
      <c r="JQ129" s="110" t="str">
        <f t="shared" si="249"/>
        <v/>
      </c>
      <c r="JR129" s="110" t="str">
        <f t="shared" si="250"/>
        <v/>
      </c>
      <c r="JS129" s="110" t="str">
        <f t="shared" si="251"/>
        <v/>
      </c>
      <c r="JT129" s="110" t="str">
        <f t="shared" si="252"/>
        <v/>
      </c>
      <c r="JU129" s="110" t="str">
        <f t="shared" si="253"/>
        <v/>
      </c>
      <c r="JV129" s="110" t="str">
        <f t="shared" si="254"/>
        <v/>
      </c>
      <c r="JW129" s="110" t="str">
        <f t="shared" si="255"/>
        <v/>
      </c>
      <c r="JX129" s="110" t="str">
        <f t="shared" si="326"/>
        <v/>
      </c>
      <c r="JY129" s="110" t="str">
        <f t="shared" si="327"/>
        <v/>
      </c>
      <c r="JZ129" s="110" t="str">
        <f t="shared" si="256"/>
        <v/>
      </c>
      <c r="KA129" s="108" t="str">
        <f t="shared" si="328"/>
        <v/>
      </c>
    </row>
    <row r="130" spans="1:287" s="108" customFormat="1" ht="21.95" customHeight="1">
      <c r="A130" s="89">
        <v>124</v>
      </c>
      <c r="B130" s="90" t="str">
        <f>IF('Marks Entry'!B130="","",'Marks Entry'!B130)</f>
        <v/>
      </c>
      <c r="C130" s="94" t="str">
        <f>IF('Marks Entry'!D130="","",'Marks Entry'!D130)</f>
        <v/>
      </c>
      <c r="D130" s="91" t="str">
        <f>IF('Marks Entry'!E130="","",'Marks Entry'!E130)</f>
        <v/>
      </c>
      <c r="E130" s="92" t="str">
        <f>IF('Marks Entry'!F130="","",'Marks Entry'!F130)</f>
        <v/>
      </c>
      <c r="F130" s="93" t="str">
        <f>IF('Marks Entry'!G130="","",'Marks Entry'!G130)</f>
        <v/>
      </c>
      <c r="G130" s="93" t="str">
        <f>IF('Marks Entry'!H130="","",'Marks Entry'!H130)</f>
        <v/>
      </c>
      <c r="H130" s="93" t="str">
        <f>IF('Marks Entry'!I130="","",'Marks Entry'!I130)</f>
        <v/>
      </c>
      <c r="I130" s="94" t="str">
        <f>IF('Marks Entry'!J130="","",'Marks Entry'!J130)</f>
        <v/>
      </c>
      <c r="J130" s="95" t="str">
        <f>IF('Marks Entry'!K130="","",'Marks Entry'!K130)</f>
        <v/>
      </c>
      <c r="K130" s="68" t="str">
        <f>IF('Marks Entry'!L130="","",'Marks Entry'!L130)</f>
        <v/>
      </c>
      <c r="L130" s="68" t="str">
        <f>IF('Marks Entry'!M130="","",'Marks Entry'!M130)</f>
        <v/>
      </c>
      <c r="M130" s="68" t="str">
        <f>IF('Marks Entry'!N130="","",'Marks Entry'!N130)</f>
        <v/>
      </c>
      <c r="N130" s="514" t="str">
        <f t="shared" si="257"/>
        <v/>
      </c>
      <c r="O130" s="68" t="str">
        <f>IF('Marks Entry'!O130="","",'Marks Entry'!O130)</f>
        <v/>
      </c>
      <c r="P130" s="515" t="str">
        <f t="shared" si="258"/>
        <v/>
      </c>
      <c r="Q130" s="68" t="str">
        <f>IF('Marks Entry'!P130="","",'Marks Entry'!P130)</f>
        <v/>
      </c>
      <c r="R130" s="96" t="str">
        <f t="shared" si="259"/>
        <v/>
      </c>
      <c r="S130" s="65">
        <f t="shared" si="260"/>
        <v>0</v>
      </c>
      <c r="T130" s="65">
        <f t="shared" si="261"/>
        <v>0</v>
      </c>
      <c r="U130" s="66" t="str">
        <f t="shared" si="171"/>
        <v/>
      </c>
      <c r="V130" s="65" t="str">
        <f t="shared" si="172"/>
        <v/>
      </c>
      <c r="W130" s="65" t="str">
        <f t="shared" si="262"/>
        <v/>
      </c>
      <c r="X130" s="65" t="str">
        <f t="shared" si="173"/>
        <v/>
      </c>
      <c r="Y130" s="68" t="str">
        <f>IF('Marks Entry'!Q130="","",'Marks Entry'!Q130)</f>
        <v/>
      </c>
      <c r="Z130" s="68" t="str">
        <f>IF('Marks Entry'!R130="","",'Marks Entry'!R130)</f>
        <v/>
      </c>
      <c r="AA130" s="68" t="str">
        <f>IF('Marks Entry'!S130="","",'Marks Entry'!S130)</f>
        <v/>
      </c>
      <c r="AB130" s="514" t="str">
        <f t="shared" si="174"/>
        <v/>
      </c>
      <c r="AC130" s="68" t="str">
        <f>IF('Marks Entry'!T130="","",'Marks Entry'!T130)</f>
        <v/>
      </c>
      <c r="AD130" s="515" t="str">
        <f t="shared" si="175"/>
        <v/>
      </c>
      <c r="AE130" s="68" t="str">
        <f>IF('Marks Entry'!U130="","",'Marks Entry'!U130)</f>
        <v/>
      </c>
      <c r="AF130" s="96" t="str">
        <f t="shared" si="176"/>
        <v/>
      </c>
      <c r="AG130" s="65">
        <f t="shared" si="177"/>
        <v>0</v>
      </c>
      <c r="AH130" s="65">
        <f t="shared" si="178"/>
        <v>0</v>
      </c>
      <c r="AI130" s="66" t="str">
        <f t="shared" si="179"/>
        <v/>
      </c>
      <c r="AJ130" s="65" t="str">
        <f t="shared" si="180"/>
        <v/>
      </c>
      <c r="AK130" s="65" t="str">
        <f t="shared" si="181"/>
        <v/>
      </c>
      <c r="AL130" s="65" t="str">
        <f t="shared" si="182"/>
        <v/>
      </c>
      <c r="AM130" s="524" t="str">
        <f>IF('Marks Entry'!V130="","",IF('Marks Entry'!V130=1,'School Profile'!$I$9,IF('Marks Entry'!V130=2,'School Profile'!$I$10,IF('Marks Entry'!V130=3,'School Profile'!$I$11,IF('Marks Entry'!V130=4,'School Profile'!$I$12,IF('Marks Entry'!V130=5,'School Profile'!$I$13,IF('Marks Entry'!V130=6,'School Profile'!$I$14,"")))))))</f>
        <v/>
      </c>
      <c r="AN130" s="68" t="str">
        <f>IF('Marks Entry'!W130="","",'Marks Entry'!W130)</f>
        <v/>
      </c>
      <c r="AO130" s="68" t="str">
        <f>IF('Marks Entry'!X130="","",'Marks Entry'!X130)</f>
        <v/>
      </c>
      <c r="AP130" s="68" t="str">
        <f>IF('Marks Entry'!Y130="","",'Marks Entry'!Y130)</f>
        <v/>
      </c>
      <c r="AQ130" s="514" t="str">
        <f t="shared" si="183"/>
        <v/>
      </c>
      <c r="AR130" s="68" t="str">
        <f>IF('Marks Entry'!Z130="","",'Marks Entry'!Z130)</f>
        <v/>
      </c>
      <c r="AS130" s="515" t="str">
        <f t="shared" si="184"/>
        <v/>
      </c>
      <c r="AT130" s="68" t="str">
        <f>IF('Marks Entry'!AA130="","",'Marks Entry'!AA130)</f>
        <v/>
      </c>
      <c r="AU130" s="96" t="str">
        <f t="shared" si="185"/>
        <v/>
      </c>
      <c r="AV130" s="65">
        <f t="shared" si="186"/>
        <v>0</v>
      </c>
      <c r="AW130" s="65">
        <f t="shared" si="187"/>
        <v>0</v>
      </c>
      <c r="AX130" s="66" t="str">
        <f t="shared" si="188"/>
        <v/>
      </c>
      <c r="AY130" s="65" t="str">
        <f t="shared" si="189"/>
        <v/>
      </c>
      <c r="AZ130" s="65" t="str">
        <f t="shared" si="190"/>
        <v/>
      </c>
      <c r="BA130" s="65" t="str">
        <f t="shared" si="191"/>
        <v/>
      </c>
      <c r="BB130" s="68" t="str">
        <f>IF('Marks Entry'!AB130="","",'Marks Entry'!AB130)</f>
        <v/>
      </c>
      <c r="BC130" s="68" t="str">
        <f>IF('Marks Entry'!AC130="","",'Marks Entry'!AC130)</f>
        <v/>
      </c>
      <c r="BD130" s="68" t="str">
        <f>IF('Marks Entry'!AD130="","",'Marks Entry'!AD130)</f>
        <v/>
      </c>
      <c r="BE130" s="514" t="str">
        <f t="shared" si="192"/>
        <v/>
      </c>
      <c r="BF130" s="68" t="str">
        <f>IF('Marks Entry'!AE130="","",'Marks Entry'!AE130)</f>
        <v/>
      </c>
      <c r="BG130" s="515" t="str">
        <f t="shared" si="193"/>
        <v/>
      </c>
      <c r="BH130" s="68" t="str">
        <f>IF('Marks Entry'!AF130="","",'Marks Entry'!AF130)</f>
        <v/>
      </c>
      <c r="BI130" s="96" t="str">
        <f t="shared" si="194"/>
        <v/>
      </c>
      <c r="BJ130" s="65">
        <f t="shared" si="195"/>
        <v>0</v>
      </c>
      <c r="BK130" s="65">
        <f t="shared" si="263"/>
        <v>0</v>
      </c>
      <c r="BL130" s="66" t="str">
        <f t="shared" si="196"/>
        <v/>
      </c>
      <c r="BM130" s="65" t="str">
        <f t="shared" si="197"/>
        <v/>
      </c>
      <c r="BN130" s="65" t="str">
        <f t="shared" si="198"/>
        <v/>
      </c>
      <c r="BO130" s="65" t="str">
        <f t="shared" si="199"/>
        <v/>
      </c>
      <c r="BP130" s="68" t="str">
        <f>IF('Marks Entry'!AG130="","",'Marks Entry'!AG130)</f>
        <v/>
      </c>
      <c r="BQ130" s="68" t="str">
        <f>IF('Marks Entry'!AH130="","",'Marks Entry'!AH130)</f>
        <v/>
      </c>
      <c r="BR130" s="68" t="str">
        <f>IF('Marks Entry'!AI130="","",'Marks Entry'!AI130)</f>
        <v/>
      </c>
      <c r="BS130" s="514" t="str">
        <f t="shared" si="200"/>
        <v/>
      </c>
      <c r="BT130" s="68" t="str">
        <f>IF('Marks Entry'!AJ130="","",'Marks Entry'!AJ130)</f>
        <v/>
      </c>
      <c r="BU130" s="515" t="str">
        <f t="shared" si="201"/>
        <v/>
      </c>
      <c r="BV130" s="68" t="str">
        <f>IF('Marks Entry'!AK130="","",'Marks Entry'!AK130)</f>
        <v/>
      </c>
      <c r="BW130" s="96" t="str">
        <f t="shared" si="202"/>
        <v/>
      </c>
      <c r="BX130" s="65">
        <f t="shared" si="203"/>
        <v>0</v>
      </c>
      <c r="BY130" s="65">
        <f t="shared" si="204"/>
        <v>0</v>
      </c>
      <c r="BZ130" s="66" t="str">
        <f t="shared" si="205"/>
        <v/>
      </c>
      <c r="CA130" s="65" t="str">
        <f t="shared" si="206"/>
        <v/>
      </c>
      <c r="CB130" s="65" t="str">
        <f t="shared" si="207"/>
        <v/>
      </c>
      <c r="CC130" s="65" t="str">
        <f t="shared" si="208"/>
        <v/>
      </c>
      <c r="CD130" s="66">
        <f t="shared" si="329"/>
        <v>0</v>
      </c>
      <c r="CE130" s="68" t="str">
        <f>IF('Marks Entry'!AL130="","",'Marks Entry'!AL130)</f>
        <v/>
      </c>
      <c r="CF130" s="68" t="str">
        <f>IF('Marks Entry'!AM130="","",'Marks Entry'!AM130)</f>
        <v/>
      </c>
      <c r="CG130" s="68" t="str">
        <f>IF('Marks Entry'!AN130="","",'Marks Entry'!AN130)</f>
        <v/>
      </c>
      <c r="CH130" s="514" t="str">
        <f t="shared" si="210"/>
        <v/>
      </c>
      <c r="CI130" s="68" t="str">
        <f>IF('Marks Entry'!AO130="","",'Marks Entry'!AO130)</f>
        <v/>
      </c>
      <c r="CJ130" s="515" t="str">
        <f t="shared" si="211"/>
        <v/>
      </c>
      <c r="CK130" s="68" t="str">
        <f>IF('Marks Entry'!AP130="","",'Marks Entry'!AP130)</f>
        <v/>
      </c>
      <c r="CL130" s="96" t="str">
        <f t="shared" si="212"/>
        <v/>
      </c>
      <c r="CM130" s="65">
        <f t="shared" si="213"/>
        <v>0</v>
      </c>
      <c r="CN130" s="65">
        <f t="shared" si="214"/>
        <v>0</v>
      </c>
      <c r="CO130" s="66" t="str">
        <f t="shared" si="215"/>
        <v/>
      </c>
      <c r="CP130" s="65" t="str">
        <f t="shared" si="216"/>
        <v/>
      </c>
      <c r="CQ130" s="65" t="str">
        <f t="shared" si="217"/>
        <v/>
      </c>
      <c r="CR130" s="65" t="str">
        <f t="shared" si="218"/>
        <v/>
      </c>
      <c r="CS130" s="616"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8" t="str">
        <f>IF('School Profile'!$D$20="NO","",IF('Marks Entry'!AR130="","",'Marks Entry'!AR130))</f>
        <v/>
      </c>
      <c r="CU130" s="68" t="str">
        <f>IF('School Profile'!$D$20="NO","",IF('Marks Entry'!AS130="","",'Marks Entry'!AS130))</f>
        <v/>
      </c>
      <c r="CV130" s="68" t="str">
        <f>IF('School Profile'!$D$20="NO","",IF('Marks Entry'!AT130="","",'Marks Entry'!AT130))</f>
        <v/>
      </c>
      <c r="CW130" s="514" t="str">
        <f>IF('School Profile'!$D$20="NO","",IF(AND(CT130="",CU130="",CV130=""),"",SUM(CT130:CV130)))</f>
        <v/>
      </c>
      <c r="CX130" s="68" t="str">
        <f>IF('School Profile'!$D$20="NO","",IF('Marks Entry'!AU130="","",'Marks Entry'!AU130))</f>
        <v/>
      </c>
      <c r="CY130" s="68" t="str">
        <f>IF('School Profile'!$D$20="NO","",IF('Marks Entry'!AV130="","",'Marks Entry'!AV130))</f>
        <v/>
      </c>
      <c r="CZ130" s="515" t="str">
        <f>IF('School Profile'!$D$20="NO","",IF(AND(CX130="",CY130=""),"",SUM(CX130,CY130)))</f>
        <v/>
      </c>
      <c r="DA130" s="69" t="str">
        <f>IF('School Profile'!$D$20="NO","",IF(AND(CW130="",CZ130=""),"",SUM(CW130+CZ130)))</f>
        <v/>
      </c>
      <c r="DB130" s="68" t="str">
        <f>IF('School Profile'!$D$20="NO","",IF('Marks Entry'!AW130="","",'Marks Entry'!AW130))</f>
        <v/>
      </c>
      <c r="DC130" s="68" t="str">
        <f>IF('School Profile'!$D$20="NO","",IF('Marks Entry'!AX130="","",'Marks Entry'!AX130))</f>
        <v/>
      </c>
      <c r="DD130" s="515" t="str">
        <f>IF('School Profile'!$D$20="NO","",IF(AND(DB130="",DC130=""),"",SUM(DB130,DC130)))</f>
        <v/>
      </c>
      <c r="DE130" s="96" t="str">
        <f>IF('School Profile'!$D$20="NO","",IF(AND(DA130="",DD130=""),"",SUM(DA130,DD130)))</f>
        <v/>
      </c>
      <c r="DF130" s="532">
        <f t="shared" si="219"/>
        <v>0</v>
      </c>
      <c r="DG130" s="65">
        <f t="shared" si="220"/>
        <v>0</v>
      </c>
      <c r="DH130" s="66" t="str">
        <f t="shared" si="221"/>
        <v/>
      </c>
      <c r="DI130" s="65" t="str">
        <f t="shared" si="222"/>
        <v/>
      </c>
      <c r="DJ130" s="65" t="str">
        <f t="shared" si="223"/>
        <v/>
      </c>
      <c r="DK130" s="65" t="str">
        <f t="shared" si="224"/>
        <v/>
      </c>
      <c r="DL130" s="97" t="str">
        <f t="shared" si="264"/>
        <v/>
      </c>
      <c r="DM130" s="97" t="str">
        <f t="shared" si="265"/>
        <v/>
      </c>
      <c r="DN130" s="97" t="str">
        <f t="shared" si="266"/>
        <v/>
      </c>
      <c r="DO130" s="97" t="str">
        <f t="shared" si="267"/>
        <v/>
      </c>
      <c r="DP130" s="97" t="str">
        <f t="shared" si="268"/>
        <v/>
      </c>
      <c r="DQ130" s="97" t="str">
        <f t="shared" si="269"/>
        <v/>
      </c>
      <c r="DR130" s="97" t="str">
        <f t="shared" si="270"/>
        <v/>
      </c>
      <c r="DS130" s="98">
        <f t="shared" si="271"/>
        <v>0</v>
      </c>
      <c r="DT130" s="98">
        <f t="shared" si="272"/>
        <v>0</v>
      </c>
      <c r="DU130" s="98">
        <f t="shared" si="273"/>
        <v>0</v>
      </c>
      <c r="DV130" s="98">
        <f t="shared" si="274"/>
        <v>0</v>
      </c>
      <c r="DW130" s="98">
        <f t="shared" si="275"/>
        <v>0</v>
      </c>
      <c r="DX130" s="98" t="str">
        <f t="shared" si="276"/>
        <v/>
      </c>
      <c r="DY130" s="99" t="str">
        <f t="shared" si="277"/>
        <v/>
      </c>
      <c r="DZ130" s="74" t="str">
        <f>IF('Marks Entry'!AY130="","",'Marks Entry'!AY130)</f>
        <v/>
      </c>
      <c r="EA130" s="74" t="str">
        <f>IF('Marks Entry'!AZ130="","",'Marks Entry'!AZ130)</f>
        <v/>
      </c>
      <c r="EB130" s="74" t="str">
        <f>IF('Marks Entry'!BA130="","",'Marks Entry'!BA130)</f>
        <v/>
      </c>
      <c r="EC130" s="527" t="str">
        <f t="shared" si="225"/>
        <v/>
      </c>
      <c r="ED130" s="74" t="str">
        <f>IF('Marks Entry'!BB130="","",'Marks Entry'!BB130)</f>
        <v/>
      </c>
      <c r="EE130" s="528" t="str">
        <f t="shared" si="226"/>
        <v/>
      </c>
      <c r="EF130" s="74" t="str">
        <f>IF('Marks Entry'!BC130="","",'Marks Entry'!BC130)</f>
        <v/>
      </c>
      <c r="EG130" s="530" t="str">
        <f t="shared" si="227"/>
        <v/>
      </c>
      <c r="EH130" s="368" t="str">
        <f t="shared" si="278"/>
        <v/>
      </c>
      <c r="EI130" s="65">
        <f t="shared" si="279"/>
        <v>0</v>
      </c>
      <c r="EJ130" s="65">
        <f t="shared" si="280"/>
        <v>0</v>
      </c>
      <c r="EK130" s="66" t="str">
        <f t="shared" si="281"/>
        <v/>
      </c>
      <c r="EL130" s="74" t="str">
        <f>IF('Marks Entry'!BD130="","",'Marks Entry'!BD130)</f>
        <v/>
      </c>
      <c r="EM130" s="74" t="str">
        <f>IF('Marks Entry'!BE130="","",'Marks Entry'!BE130)</f>
        <v/>
      </c>
      <c r="EN130" s="74" t="str">
        <f>IF('Marks Entry'!BF130="","",'Marks Entry'!BF130)</f>
        <v/>
      </c>
      <c r="EO130" s="527" t="str">
        <f t="shared" si="228"/>
        <v/>
      </c>
      <c r="EP130" s="74" t="str">
        <f>IF('Marks Entry'!BG130="","",'Marks Entry'!BG130)</f>
        <v/>
      </c>
      <c r="EQ130" s="74" t="str">
        <f>IF('Marks Entry'!BH130="","",'Marks Entry'!BH130)</f>
        <v/>
      </c>
      <c r="ER130" s="528" t="str">
        <f t="shared" si="229"/>
        <v/>
      </c>
      <c r="ES130" s="529" t="str">
        <f t="shared" si="230"/>
        <v/>
      </c>
      <c r="ET130" s="74" t="str">
        <f>IF('Marks Entry'!BI130="","",'Marks Entry'!BI130)</f>
        <v/>
      </c>
      <c r="EU130" s="74" t="str">
        <f>IF('Marks Entry'!BJ130="","",'Marks Entry'!BJ130)</f>
        <v/>
      </c>
      <c r="EV130" s="528" t="str">
        <f t="shared" si="231"/>
        <v/>
      </c>
      <c r="EW130" s="530" t="str">
        <f t="shared" si="232"/>
        <v/>
      </c>
      <c r="EX130" s="368" t="str">
        <f t="shared" si="282"/>
        <v/>
      </c>
      <c r="EY130" s="65">
        <f t="shared" si="283"/>
        <v>0</v>
      </c>
      <c r="EZ130" s="65">
        <f t="shared" si="284"/>
        <v>0</v>
      </c>
      <c r="FA130" s="66" t="str">
        <f t="shared" si="285"/>
        <v/>
      </c>
      <c r="FB130" s="74" t="str">
        <f>IF('Marks Entry'!BK130="","",'Marks Entry'!BK130)</f>
        <v/>
      </c>
      <c r="FC130" s="74" t="str">
        <f>IF('Marks Entry'!BL130="","",'Marks Entry'!BL130)</f>
        <v/>
      </c>
      <c r="FD130" s="74" t="str">
        <f>IF('Marks Entry'!BM130="","",'Marks Entry'!BM130)</f>
        <v/>
      </c>
      <c r="FE130" s="74" t="str">
        <f>IF('Marks Entry'!BN130="","",'Marks Entry'!BN130)</f>
        <v/>
      </c>
      <c r="FF130" s="74" t="str">
        <f>IF('Marks Entry'!BO130="","",'Marks Entry'!BO130)</f>
        <v/>
      </c>
      <c r="FG130" s="74" t="str">
        <f>IF('Marks Entry'!BP130="","",'Marks Entry'!BP130)</f>
        <v/>
      </c>
      <c r="FH130" s="527" t="str">
        <f t="shared" si="233"/>
        <v/>
      </c>
      <c r="FI130" s="74" t="str">
        <f>IF('Marks Entry'!BQ130="","",'Marks Entry'!BQ130)</f>
        <v/>
      </c>
      <c r="FJ130" s="74" t="str">
        <f>IF('Marks Entry'!BR130="","",'Marks Entry'!BR130)</f>
        <v/>
      </c>
      <c r="FK130" s="528" t="str">
        <f t="shared" si="234"/>
        <v/>
      </c>
      <c r="FL130" s="529" t="str">
        <f t="shared" si="235"/>
        <v/>
      </c>
      <c r="FM130" s="74" t="str">
        <f>IF('Marks Entry'!BS130="","",'Marks Entry'!BS130)</f>
        <v/>
      </c>
      <c r="FN130" s="74" t="str">
        <f>IF('Marks Entry'!BT130="","",'Marks Entry'!BT130)</f>
        <v/>
      </c>
      <c r="FO130" s="528" t="str">
        <f t="shared" si="236"/>
        <v/>
      </c>
      <c r="FP130" s="530" t="str">
        <f t="shared" si="237"/>
        <v/>
      </c>
      <c r="FQ130" s="368" t="str">
        <f t="shared" si="286"/>
        <v/>
      </c>
      <c r="FR130" s="65">
        <f t="shared" si="287"/>
        <v>0</v>
      </c>
      <c r="FS130" s="65">
        <f t="shared" si="288"/>
        <v>0</v>
      </c>
      <c r="FT130" s="66" t="str">
        <f t="shared" si="289"/>
        <v/>
      </c>
      <c r="FU130" s="74" t="str">
        <f>IF('Marks Entry'!BU130="","",'Marks Entry'!BU130)</f>
        <v/>
      </c>
      <c r="FV130" s="74" t="str">
        <f>IF('Marks Entry'!BV130="","",'Marks Entry'!BV130)</f>
        <v/>
      </c>
      <c r="FW130" s="74" t="str">
        <f>IF('Marks Entry'!BW130="","",'Marks Entry'!BW130)</f>
        <v/>
      </c>
      <c r="FX130" s="75" t="str">
        <f t="shared" si="238"/>
        <v/>
      </c>
      <c r="FY130" s="368" t="str">
        <f t="shared" si="290"/>
        <v/>
      </c>
      <c r="FZ130" s="65">
        <f t="shared" si="291"/>
        <v>0</v>
      </c>
      <c r="GA130" s="66">
        <f t="shared" si="292"/>
        <v>0</v>
      </c>
      <c r="GB130" s="66" t="str">
        <f t="shared" si="293"/>
        <v/>
      </c>
      <c r="GC130" s="74" t="str">
        <f>IF('Marks Entry'!BX130="","",'Marks Entry'!BX130)</f>
        <v/>
      </c>
      <c r="GD130" s="74" t="str">
        <f>IF('Marks Entry'!BY130="","",'Marks Entry'!BY130)</f>
        <v/>
      </c>
      <c r="GE130" s="74" t="str">
        <f>IF('Marks Entry'!BZ130="","",'Marks Entry'!BZ130)</f>
        <v/>
      </c>
      <c r="GF130" s="75" t="str">
        <f t="shared" si="294"/>
        <v/>
      </c>
      <c r="GG130" s="368" t="str">
        <f t="shared" si="295"/>
        <v/>
      </c>
      <c r="GH130" s="65">
        <f t="shared" si="296"/>
        <v>0</v>
      </c>
      <c r="GI130" s="66">
        <f t="shared" si="297"/>
        <v>0</v>
      </c>
      <c r="GJ130" s="66" t="str">
        <f t="shared" si="298"/>
        <v/>
      </c>
      <c r="GK130" s="100" t="str">
        <f>IF(AND(F130="",B130=""),"",IF('Student DATA Entry'!M127="","",'Student DATA Entry'!M127))</f>
        <v/>
      </c>
      <c r="GL130" s="101" t="str">
        <f>IF(AND(B130="",F130=""),"",IF('Student DATA Entry'!N127="","",'Student DATA Entry'!N127))</f>
        <v/>
      </c>
      <c r="GM130" s="581" t="str">
        <f t="shared" si="299"/>
        <v/>
      </c>
      <c r="GN130" s="94" t="str">
        <f t="shared" si="300"/>
        <v/>
      </c>
      <c r="GO130" s="94" t="str">
        <f t="shared" si="301"/>
        <v/>
      </c>
      <c r="GP130" s="102" t="str">
        <f t="shared" si="330"/>
        <v/>
      </c>
      <c r="GQ130" s="94" t="str">
        <f t="shared" si="302"/>
        <v/>
      </c>
      <c r="GR130" s="103" t="str">
        <f t="shared" si="303"/>
        <v/>
      </c>
      <c r="GS130" s="102" t="str">
        <f t="shared" si="331"/>
        <v/>
      </c>
      <c r="GT130" s="104" t="str">
        <f t="shared" si="304"/>
        <v/>
      </c>
      <c r="GU130" s="94" t="str">
        <f>IF('Marks Entry'!V130=1,GT130,"")</f>
        <v/>
      </c>
      <c r="GV130" s="94" t="str">
        <f>IF('Marks Entry'!V130=2,GT130,"")</f>
        <v/>
      </c>
      <c r="GW130" s="94" t="str">
        <f>IF('Marks Entry'!V130=3,GT130,"")</f>
        <v/>
      </c>
      <c r="GX130" s="94" t="str">
        <f>IF('Marks Entry'!V130=4,GT130,"")</f>
        <v/>
      </c>
      <c r="GY130" s="94" t="str">
        <f>IF('Marks Entry'!V130=5,GT130,"")</f>
        <v/>
      </c>
      <c r="GZ130" s="94" t="str">
        <f t="shared" si="305"/>
        <v/>
      </c>
      <c r="HA130" s="105" t="str">
        <f t="shared" si="332"/>
        <v/>
      </c>
      <c r="HB130" s="94" t="str">
        <f t="shared" si="306"/>
        <v/>
      </c>
      <c r="HC130" s="94" t="str">
        <f t="shared" si="307"/>
        <v/>
      </c>
      <c r="HD130" s="105" t="str">
        <f t="shared" si="333"/>
        <v/>
      </c>
      <c r="HE130" s="94" t="str">
        <f t="shared" si="308"/>
        <v/>
      </c>
      <c r="HF130" s="94" t="str">
        <f t="shared" si="309"/>
        <v/>
      </c>
      <c r="HG130" s="105" t="str">
        <f t="shared" si="334"/>
        <v/>
      </c>
      <c r="HH130" s="94" t="str">
        <f t="shared" si="310"/>
        <v/>
      </c>
      <c r="HI130" s="94" t="str">
        <f t="shared" si="311"/>
        <v/>
      </c>
      <c r="HJ130" s="105" t="str">
        <f t="shared" si="335"/>
        <v/>
      </c>
      <c r="HK130" s="94" t="str">
        <f t="shared" si="312"/>
        <v/>
      </c>
      <c r="HL130" s="94" t="str">
        <f t="shared" si="313"/>
        <v/>
      </c>
      <c r="HM130" s="105" t="str">
        <f t="shared" si="336"/>
        <v/>
      </c>
      <c r="HN130" s="367" t="str">
        <f t="shared" si="314"/>
        <v xml:space="preserve">      </v>
      </c>
      <c r="HO130" s="418" t="str">
        <f t="shared" si="337"/>
        <v xml:space="preserve">      </v>
      </c>
      <c r="HP130" s="367" t="str">
        <f t="shared" si="315"/>
        <v xml:space="preserve">      </v>
      </c>
      <c r="HQ130" s="107" t="str">
        <f t="shared" si="316"/>
        <v xml:space="preserve">      </v>
      </c>
      <c r="HR130" s="366" t="str">
        <f t="shared" si="317"/>
        <v xml:space="preserve">      </v>
      </c>
      <c r="HS130" s="544" t="str">
        <f t="shared" si="338"/>
        <v/>
      </c>
      <c r="HT130" s="542" t="str">
        <f t="shared" si="318"/>
        <v/>
      </c>
      <c r="HU130" s="541" t="str">
        <f t="shared" si="319"/>
        <v/>
      </c>
      <c r="HV130" s="540" t="str">
        <f t="shared" si="320"/>
        <v/>
      </c>
      <c r="HW130" s="537" t="str">
        <f t="shared" si="321"/>
        <v/>
      </c>
      <c r="HX130" s="539" t="str">
        <f t="shared" si="322"/>
        <v/>
      </c>
      <c r="HY130" s="553" t="str">
        <f>IFERROR(IF(OR(HS130="SUPPLEMENTARY",HS130="RE-EXAM"),'Supp. Result Entry'!AQ128,""),"")</f>
        <v/>
      </c>
      <c r="HZ130" s="538" t="str">
        <f t="shared" si="323"/>
        <v/>
      </c>
      <c r="IA130" s="415" t="str">
        <f t="shared" si="324"/>
        <v/>
      </c>
      <c r="IB130" s="415" t="str">
        <f>IF(AND(HZ130="",IA130=""),"",IF(OR(HS130="SUPPLEMENTARY",HS130="RE-EXAM"),'Supp. Result Entry'!AQ128,HS130))</f>
        <v/>
      </c>
      <c r="IC130" s="87"/>
      <c r="IS130" s="109" t="str">
        <f>IF('Supp. Result Entry'!T128="","",'Supp. Result Entry'!$T$4)</f>
        <v/>
      </c>
      <c r="IT130" s="110" t="str">
        <f>IF('Supp. Result Entry'!W128="","",'Supp. Result Entry'!$W$4)</f>
        <v/>
      </c>
      <c r="IU130" s="110" t="str">
        <f>IF('Supp. Result Entry'!Z128="","",'Supp. Result Entry'!$Z$4)</f>
        <v/>
      </c>
      <c r="IV130" s="110" t="str">
        <f>IF('Supp. Result Entry'!AC128="","",'Supp. Result Entry'!$AC$4)</f>
        <v/>
      </c>
      <c r="IW130" s="110" t="str">
        <f>IF('Supp. Result Entry'!AF128="","",'Supp. Result Entry'!$AF$4)</f>
        <v/>
      </c>
      <c r="IX130" s="110" t="str">
        <f>IF('Supp. Result Entry'!AI128="","",'Supp. Result Entry'!$AI$4)</f>
        <v/>
      </c>
      <c r="IY130" s="110" t="str">
        <f>IF('Supp. Result Entry'!AI128="","",'Supp. Result Entry'!$AL$4)</f>
        <v/>
      </c>
      <c r="IZ130" s="110" t="str">
        <f>IF('Supp. Result Entry'!U128="","",'Supp. Result Entry'!U128)</f>
        <v/>
      </c>
      <c r="JA130" s="110" t="str">
        <f>IF('Supp. Result Entry'!X128="","",'Supp. Result Entry'!X128)</f>
        <v/>
      </c>
      <c r="JB130" s="110" t="str">
        <f>IF('Supp. Result Entry'!AA128="","",'Supp. Result Entry'!AA128)</f>
        <v/>
      </c>
      <c r="JC130" s="110" t="str">
        <f>IF('Supp. Result Entry'!AD128="","",'Supp. Result Entry'!AD128)</f>
        <v/>
      </c>
      <c r="JD130" s="110" t="str">
        <f>IF('Supp. Result Entry'!AG128="","",'Supp. Result Entry'!AG128)</f>
        <v/>
      </c>
      <c r="JE130" s="110" t="str">
        <f>IF('Supp. Result Entry'!AJ128="","",'Supp. Result Entry'!AJ128)</f>
        <v/>
      </c>
      <c r="JF130" s="110" t="str">
        <f>IF('Supp. Result Entry'!AM128="","",'Supp. Result Entry'!AM128)</f>
        <v/>
      </c>
      <c r="JG130" s="110" t="str">
        <f>IF('Supp. Result Entry'!V128="","",'Supp. Result Entry'!V128)</f>
        <v/>
      </c>
      <c r="JH130" s="110" t="str">
        <f>IF('Supp. Result Entry'!Y128="","",'Supp. Result Entry'!Y128)</f>
        <v/>
      </c>
      <c r="JI130" s="110" t="str">
        <f>IF('Supp. Result Entry'!AB128="","",'Supp. Result Entry'!AB128)</f>
        <v/>
      </c>
      <c r="JJ130" s="110" t="str">
        <f>IF('Supp. Result Entry'!AE128="","",'Supp. Result Entry'!AE128)</f>
        <v/>
      </c>
      <c r="JK130" s="110" t="str">
        <f>IF('Supp. Result Entry'!AH128="","",'Supp. Result Entry'!AH128)</f>
        <v/>
      </c>
      <c r="JL130" s="110" t="str">
        <f>IF('Supp. Result Entry'!AK128="","",'Supp. Result Entry'!AK128)</f>
        <v/>
      </c>
      <c r="JM130" s="110" t="str">
        <f>IF('Supp. Result Entry'!AN128="","",'Supp. Result Entry'!AN128)</f>
        <v/>
      </c>
      <c r="JN130" s="110">
        <f>COUNTIF('Supp. Result Entry'!K128:Q128,"S")</f>
        <v>0</v>
      </c>
      <c r="JO130" s="110">
        <f t="shared" si="248"/>
        <v>0</v>
      </c>
      <c r="JP130" s="110">
        <f t="shared" si="325"/>
        <v>0</v>
      </c>
      <c r="JQ130" s="110" t="str">
        <f t="shared" si="249"/>
        <v/>
      </c>
      <c r="JR130" s="110" t="str">
        <f t="shared" si="250"/>
        <v/>
      </c>
      <c r="JS130" s="110" t="str">
        <f t="shared" si="251"/>
        <v/>
      </c>
      <c r="JT130" s="110" t="str">
        <f t="shared" si="252"/>
        <v/>
      </c>
      <c r="JU130" s="110" t="str">
        <f t="shared" si="253"/>
        <v/>
      </c>
      <c r="JV130" s="110" t="str">
        <f t="shared" si="254"/>
        <v/>
      </c>
      <c r="JW130" s="110" t="str">
        <f t="shared" si="255"/>
        <v/>
      </c>
      <c r="JX130" s="110" t="str">
        <f t="shared" si="326"/>
        <v/>
      </c>
      <c r="JY130" s="110" t="str">
        <f t="shared" si="327"/>
        <v/>
      </c>
      <c r="JZ130" s="110" t="str">
        <f t="shared" si="256"/>
        <v/>
      </c>
      <c r="KA130" s="108" t="str">
        <f t="shared" si="328"/>
        <v/>
      </c>
    </row>
    <row r="131" spans="1:287" s="108" customFormat="1" ht="21.95" customHeight="1">
      <c r="A131" s="89">
        <v>125</v>
      </c>
      <c r="B131" s="90" t="str">
        <f>IF('Marks Entry'!B131="","",'Marks Entry'!B131)</f>
        <v/>
      </c>
      <c r="C131" s="94" t="str">
        <f>IF('Marks Entry'!D131="","",'Marks Entry'!D131)</f>
        <v/>
      </c>
      <c r="D131" s="91" t="str">
        <f>IF('Marks Entry'!E131="","",'Marks Entry'!E131)</f>
        <v/>
      </c>
      <c r="E131" s="92" t="str">
        <f>IF('Marks Entry'!F131="","",'Marks Entry'!F131)</f>
        <v/>
      </c>
      <c r="F131" s="93" t="str">
        <f>IF('Marks Entry'!G131="","",'Marks Entry'!G131)</f>
        <v/>
      </c>
      <c r="G131" s="93" t="str">
        <f>IF('Marks Entry'!H131="","",'Marks Entry'!H131)</f>
        <v/>
      </c>
      <c r="H131" s="93" t="str">
        <f>IF('Marks Entry'!I131="","",'Marks Entry'!I131)</f>
        <v/>
      </c>
      <c r="I131" s="94" t="str">
        <f>IF('Marks Entry'!J131="","",'Marks Entry'!J131)</f>
        <v/>
      </c>
      <c r="J131" s="95" t="str">
        <f>IF('Marks Entry'!K131="","",'Marks Entry'!K131)</f>
        <v/>
      </c>
      <c r="K131" s="68" t="str">
        <f>IF('Marks Entry'!L131="","",'Marks Entry'!L131)</f>
        <v/>
      </c>
      <c r="L131" s="68" t="str">
        <f>IF('Marks Entry'!M131="","",'Marks Entry'!M131)</f>
        <v/>
      </c>
      <c r="M131" s="68" t="str">
        <f>IF('Marks Entry'!N131="","",'Marks Entry'!N131)</f>
        <v/>
      </c>
      <c r="N131" s="514" t="str">
        <f t="shared" si="257"/>
        <v/>
      </c>
      <c r="O131" s="68" t="str">
        <f>IF('Marks Entry'!O131="","",'Marks Entry'!O131)</f>
        <v/>
      </c>
      <c r="P131" s="515" t="str">
        <f t="shared" si="258"/>
        <v/>
      </c>
      <c r="Q131" s="68" t="str">
        <f>IF('Marks Entry'!P131="","",'Marks Entry'!P131)</f>
        <v/>
      </c>
      <c r="R131" s="96" t="str">
        <f t="shared" si="259"/>
        <v/>
      </c>
      <c r="S131" s="65">
        <f t="shared" si="260"/>
        <v>0</v>
      </c>
      <c r="T131" s="65">
        <f t="shared" si="261"/>
        <v>0</v>
      </c>
      <c r="U131" s="66" t="str">
        <f t="shared" si="171"/>
        <v/>
      </c>
      <c r="V131" s="65" t="str">
        <f t="shared" si="172"/>
        <v/>
      </c>
      <c r="W131" s="65" t="str">
        <f t="shared" si="262"/>
        <v/>
      </c>
      <c r="X131" s="65" t="str">
        <f t="shared" si="173"/>
        <v/>
      </c>
      <c r="Y131" s="68" t="str">
        <f>IF('Marks Entry'!Q131="","",'Marks Entry'!Q131)</f>
        <v/>
      </c>
      <c r="Z131" s="68" t="str">
        <f>IF('Marks Entry'!R131="","",'Marks Entry'!R131)</f>
        <v/>
      </c>
      <c r="AA131" s="68" t="str">
        <f>IF('Marks Entry'!S131="","",'Marks Entry'!S131)</f>
        <v/>
      </c>
      <c r="AB131" s="514" t="str">
        <f t="shared" si="174"/>
        <v/>
      </c>
      <c r="AC131" s="68" t="str">
        <f>IF('Marks Entry'!T131="","",'Marks Entry'!T131)</f>
        <v/>
      </c>
      <c r="AD131" s="515" t="str">
        <f t="shared" si="175"/>
        <v/>
      </c>
      <c r="AE131" s="68" t="str">
        <f>IF('Marks Entry'!U131="","",'Marks Entry'!U131)</f>
        <v/>
      </c>
      <c r="AF131" s="96" t="str">
        <f t="shared" si="176"/>
        <v/>
      </c>
      <c r="AG131" s="65">
        <f t="shared" si="177"/>
        <v>0</v>
      </c>
      <c r="AH131" s="65">
        <f t="shared" si="178"/>
        <v>0</v>
      </c>
      <c r="AI131" s="66" t="str">
        <f t="shared" si="179"/>
        <v/>
      </c>
      <c r="AJ131" s="65" t="str">
        <f t="shared" si="180"/>
        <v/>
      </c>
      <c r="AK131" s="65" t="str">
        <f t="shared" si="181"/>
        <v/>
      </c>
      <c r="AL131" s="65" t="str">
        <f t="shared" si="182"/>
        <v/>
      </c>
      <c r="AM131" s="524" t="str">
        <f>IF('Marks Entry'!V131="","",IF('Marks Entry'!V131=1,'School Profile'!$I$9,IF('Marks Entry'!V131=2,'School Profile'!$I$10,IF('Marks Entry'!V131=3,'School Profile'!$I$11,IF('Marks Entry'!V131=4,'School Profile'!$I$12,IF('Marks Entry'!V131=5,'School Profile'!$I$13,IF('Marks Entry'!V131=6,'School Profile'!$I$14,"")))))))</f>
        <v/>
      </c>
      <c r="AN131" s="68" t="str">
        <f>IF('Marks Entry'!W131="","",'Marks Entry'!W131)</f>
        <v/>
      </c>
      <c r="AO131" s="68" t="str">
        <f>IF('Marks Entry'!X131="","",'Marks Entry'!X131)</f>
        <v/>
      </c>
      <c r="AP131" s="68" t="str">
        <f>IF('Marks Entry'!Y131="","",'Marks Entry'!Y131)</f>
        <v/>
      </c>
      <c r="AQ131" s="514" t="str">
        <f t="shared" si="183"/>
        <v/>
      </c>
      <c r="AR131" s="68" t="str">
        <f>IF('Marks Entry'!Z131="","",'Marks Entry'!Z131)</f>
        <v/>
      </c>
      <c r="AS131" s="515" t="str">
        <f t="shared" si="184"/>
        <v/>
      </c>
      <c r="AT131" s="68" t="str">
        <f>IF('Marks Entry'!AA131="","",'Marks Entry'!AA131)</f>
        <v/>
      </c>
      <c r="AU131" s="96" t="str">
        <f t="shared" si="185"/>
        <v/>
      </c>
      <c r="AV131" s="65">
        <f t="shared" si="186"/>
        <v>0</v>
      </c>
      <c r="AW131" s="65">
        <f t="shared" si="187"/>
        <v>0</v>
      </c>
      <c r="AX131" s="66" t="str">
        <f t="shared" si="188"/>
        <v/>
      </c>
      <c r="AY131" s="65" t="str">
        <f t="shared" si="189"/>
        <v/>
      </c>
      <c r="AZ131" s="65" t="str">
        <f t="shared" si="190"/>
        <v/>
      </c>
      <c r="BA131" s="65" t="str">
        <f t="shared" si="191"/>
        <v/>
      </c>
      <c r="BB131" s="68" t="str">
        <f>IF('Marks Entry'!AB131="","",'Marks Entry'!AB131)</f>
        <v/>
      </c>
      <c r="BC131" s="68" t="str">
        <f>IF('Marks Entry'!AC131="","",'Marks Entry'!AC131)</f>
        <v/>
      </c>
      <c r="BD131" s="68" t="str">
        <f>IF('Marks Entry'!AD131="","",'Marks Entry'!AD131)</f>
        <v/>
      </c>
      <c r="BE131" s="514" t="str">
        <f t="shared" si="192"/>
        <v/>
      </c>
      <c r="BF131" s="68" t="str">
        <f>IF('Marks Entry'!AE131="","",'Marks Entry'!AE131)</f>
        <v/>
      </c>
      <c r="BG131" s="515" t="str">
        <f t="shared" si="193"/>
        <v/>
      </c>
      <c r="BH131" s="68" t="str">
        <f>IF('Marks Entry'!AF131="","",'Marks Entry'!AF131)</f>
        <v/>
      </c>
      <c r="BI131" s="96" t="str">
        <f t="shared" si="194"/>
        <v/>
      </c>
      <c r="BJ131" s="65">
        <f t="shared" si="195"/>
        <v>0</v>
      </c>
      <c r="BK131" s="65">
        <f t="shared" si="263"/>
        <v>0</v>
      </c>
      <c r="BL131" s="66" t="str">
        <f t="shared" si="196"/>
        <v/>
      </c>
      <c r="BM131" s="65" t="str">
        <f t="shared" si="197"/>
        <v/>
      </c>
      <c r="BN131" s="65" t="str">
        <f t="shared" si="198"/>
        <v/>
      </c>
      <c r="BO131" s="65" t="str">
        <f t="shared" si="199"/>
        <v/>
      </c>
      <c r="BP131" s="68" t="str">
        <f>IF('Marks Entry'!AG131="","",'Marks Entry'!AG131)</f>
        <v/>
      </c>
      <c r="BQ131" s="68" t="str">
        <f>IF('Marks Entry'!AH131="","",'Marks Entry'!AH131)</f>
        <v/>
      </c>
      <c r="BR131" s="68" t="str">
        <f>IF('Marks Entry'!AI131="","",'Marks Entry'!AI131)</f>
        <v/>
      </c>
      <c r="BS131" s="514" t="str">
        <f t="shared" si="200"/>
        <v/>
      </c>
      <c r="BT131" s="68" t="str">
        <f>IF('Marks Entry'!AJ131="","",'Marks Entry'!AJ131)</f>
        <v/>
      </c>
      <c r="BU131" s="515" t="str">
        <f t="shared" si="201"/>
        <v/>
      </c>
      <c r="BV131" s="68" t="str">
        <f>IF('Marks Entry'!AK131="","",'Marks Entry'!AK131)</f>
        <v/>
      </c>
      <c r="BW131" s="96" t="str">
        <f t="shared" si="202"/>
        <v/>
      </c>
      <c r="BX131" s="65">
        <f t="shared" si="203"/>
        <v>0</v>
      </c>
      <c r="BY131" s="65">
        <f t="shared" si="204"/>
        <v>0</v>
      </c>
      <c r="BZ131" s="66" t="str">
        <f t="shared" si="205"/>
        <v/>
      </c>
      <c r="CA131" s="65" t="str">
        <f t="shared" si="206"/>
        <v/>
      </c>
      <c r="CB131" s="65" t="str">
        <f t="shared" si="207"/>
        <v/>
      </c>
      <c r="CC131" s="65" t="str">
        <f t="shared" si="208"/>
        <v/>
      </c>
      <c r="CD131" s="66">
        <f t="shared" si="329"/>
        <v>0</v>
      </c>
      <c r="CE131" s="68" t="str">
        <f>IF('Marks Entry'!AL131="","",'Marks Entry'!AL131)</f>
        <v/>
      </c>
      <c r="CF131" s="68" t="str">
        <f>IF('Marks Entry'!AM131="","",'Marks Entry'!AM131)</f>
        <v/>
      </c>
      <c r="CG131" s="68" t="str">
        <f>IF('Marks Entry'!AN131="","",'Marks Entry'!AN131)</f>
        <v/>
      </c>
      <c r="CH131" s="514" t="str">
        <f t="shared" si="210"/>
        <v/>
      </c>
      <c r="CI131" s="68" t="str">
        <f>IF('Marks Entry'!AO131="","",'Marks Entry'!AO131)</f>
        <v/>
      </c>
      <c r="CJ131" s="515" t="str">
        <f t="shared" si="211"/>
        <v/>
      </c>
      <c r="CK131" s="68" t="str">
        <f>IF('Marks Entry'!AP131="","",'Marks Entry'!AP131)</f>
        <v/>
      </c>
      <c r="CL131" s="96" t="str">
        <f t="shared" si="212"/>
        <v/>
      </c>
      <c r="CM131" s="65">
        <f t="shared" si="213"/>
        <v>0</v>
      </c>
      <c r="CN131" s="65">
        <f t="shared" si="214"/>
        <v>0</v>
      </c>
      <c r="CO131" s="66" t="str">
        <f t="shared" si="215"/>
        <v/>
      </c>
      <c r="CP131" s="65" t="str">
        <f t="shared" si="216"/>
        <v/>
      </c>
      <c r="CQ131" s="65" t="str">
        <f t="shared" si="217"/>
        <v/>
      </c>
      <c r="CR131" s="65" t="str">
        <f t="shared" si="218"/>
        <v/>
      </c>
      <c r="CS131" s="616"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8" t="str">
        <f>IF('School Profile'!$D$20="NO","",IF('Marks Entry'!AR131="","",'Marks Entry'!AR131))</f>
        <v/>
      </c>
      <c r="CU131" s="68" t="str">
        <f>IF('School Profile'!$D$20="NO","",IF('Marks Entry'!AS131="","",'Marks Entry'!AS131))</f>
        <v/>
      </c>
      <c r="CV131" s="68" t="str">
        <f>IF('School Profile'!$D$20="NO","",IF('Marks Entry'!AT131="","",'Marks Entry'!AT131))</f>
        <v/>
      </c>
      <c r="CW131" s="514" t="str">
        <f>IF('School Profile'!$D$20="NO","",IF(AND(CT131="",CU131="",CV131=""),"",SUM(CT131:CV131)))</f>
        <v/>
      </c>
      <c r="CX131" s="68" t="str">
        <f>IF('School Profile'!$D$20="NO","",IF('Marks Entry'!AU131="","",'Marks Entry'!AU131))</f>
        <v/>
      </c>
      <c r="CY131" s="68" t="str">
        <f>IF('School Profile'!$D$20="NO","",IF('Marks Entry'!AV131="","",'Marks Entry'!AV131))</f>
        <v/>
      </c>
      <c r="CZ131" s="515" t="str">
        <f>IF('School Profile'!$D$20="NO","",IF(AND(CX131="",CY131=""),"",SUM(CX131,CY131)))</f>
        <v/>
      </c>
      <c r="DA131" s="69" t="str">
        <f>IF('School Profile'!$D$20="NO","",IF(AND(CW131="",CZ131=""),"",SUM(CW131+CZ131)))</f>
        <v/>
      </c>
      <c r="DB131" s="68" t="str">
        <f>IF('School Profile'!$D$20="NO","",IF('Marks Entry'!AW131="","",'Marks Entry'!AW131))</f>
        <v/>
      </c>
      <c r="DC131" s="68" t="str">
        <f>IF('School Profile'!$D$20="NO","",IF('Marks Entry'!AX131="","",'Marks Entry'!AX131))</f>
        <v/>
      </c>
      <c r="DD131" s="515" t="str">
        <f>IF('School Profile'!$D$20="NO","",IF(AND(DB131="",DC131=""),"",SUM(DB131,DC131)))</f>
        <v/>
      </c>
      <c r="DE131" s="96" t="str">
        <f>IF('School Profile'!$D$20="NO","",IF(AND(DA131="",DD131=""),"",SUM(DA131,DD131)))</f>
        <v/>
      </c>
      <c r="DF131" s="532">
        <f t="shared" si="219"/>
        <v>0</v>
      </c>
      <c r="DG131" s="65">
        <f t="shared" si="220"/>
        <v>0</v>
      </c>
      <c r="DH131" s="66" t="str">
        <f t="shared" si="221"/>
        <v/>
      </c>
      <c r="DI131" s="65" t="str">
        <f t="shared" si="222"/>
        <v/>
      </c>
      <c r="DJ131" s="65" t="str">
        <f t="shared" si="223"/>
        <v/>
      </c>
      <c r="DK131" s="65" t="str">
        <f t="shared" si="224"/>
        <v/>
      </c>
      <c r="DL131" s="97" t="str">
        <f t="shared" si="264"/>
        <v/>
      </c>
      <c r="DM131" s="97" t="str">
        <f t="shared" si="265"/>
        <v/>
      </c>
      <c r="DN131" s="97" t="str">
        <f t="shared" si="266"/>
        <v/>
      </c>
      <c r="DO131" s="97" t="str">
        <f t="shared" si="267"/>
        <v/>
      </c>
      <c r="DP131" s="97" t="str">
        <f t="shared" si="268"/>
        <v/>
      </c>
      <c r="DQ131" s="97" t="str">
        <f t="shared" si="269"/>
        <v/>
      </c>
      <c r="DR131" s="97" t="str">
        <f t="shared" si="270"/>
        <v/>
      </c>
      <c r="DS131" s="98">
        <f t="shared" si="271"/>
        <v>0</v>
      </c>
      <c r="DT131" s="98">
        <f t="shared" si="272"/>
        <v>0</v>
      </c>
      <c r="DU131" s="98">
        <f t="shared" si="273"/>
        <v>0</v>
      </c>
      <c r="DV131" s="98">
        <f t="shared" si="274"/>
        <v>0</v>
      </c>
      <c r="DW131" s="98">
        <f t="shared" si="275"/>
        <v>0</v>
      </c>
      <c r="DX131" s="98" t="str">
        <f t="shared" si="276"/>
        <v/>
      </c>
      <c r="DY131" s="99" t="str">
        <f t="shared" si="277"/>
        <v/>
      </c>
      <c r="DZ131" s="74" t="str">
        <f>IF('Marks Entry'!AY131="","",'Marks Entry'!AY131)</f>
        <v/>
      </c>
      <c r="EA131" s="74" t="str">
        <f>IF('Marks Entry'!AZ131="","",'Marks Entry'!AZ131)</f>
        <v/>
      </c>
      <c r="EB131" s="74" t="str">
        <f>IF('Marks Entry'!BA131="","",'Marks Entry'!BA131)</f>
        <v/>
      </c>
      <c r="EC131" s="527" t="str">
        <f t="shared" si="225"/>
        <v/>
      </c>
      <c r="ED131" s="74" t="str">
        <f>IF('Marks Entry'!BB131="","",'Marks Entry'!BB131)</f>
        <v/>
      </c>
      <c r="EE131" s="528" t="str">
        <f t="shared" si="226"/>
        <v/>
      </c>
      <c r="EF131" s="74" t="str">
        <f>IF('Marks Entry'!BC131="","",'Marks Entry'!BC131)</f>
        <v/>
      </c>
      <c r="EG131" s="530" t="str">
        <f t="shared" si="227"/>
        <v/>
      </c>
      <c r="EH131" s="368" t="str">
        <f t="shared" si="278"/>
        <v/>
      </c>
      <c r="EI131" s="65">
        <f t="shared" si="279"/>
        <v>0</v>
      </c>
      <c r="EJ131" s="65">
        <f t="shared" si="280"/>
        <v>0</v>
      </c>
      <c r="EK131" s="66" t="str">
        <f t="shared" si="281"/>
        <v/>
      </c>
      <c r="EL131" s="74" t="str">
        <f>IF('Marks Entry'!BD131="","",'Marks Entry'!BD131)</f>
        <v/>
      </c>
      <c r="EM131" s="74" t="str">
        <f>IF('Marks Entry'!BE131="","",'Marks Entry'!BE131)</f>
        <v/>
      </c>
      <c r="EN131" s="74" t="str">
        <f>IF('Marks Entry'!BF131="","",'Marks Entry'!BF131)</f>
        <v/>
      </c>
      <c r="EO131" s="527" t="str">
        <f t="shared" si="228"/>
        <v/>
      </c>
      <c r="EP131" s="74" t="str">
        <f>IF('Marks Entry'!BG131="","",'Marks Entry'!BG131)</f>
        <v/>
      </c>
      <c r="EQ131" s="74" t="str">
        <f>IF('Marks Entry'!BH131="","",'Marks Entry'!BH131)</f>
        <v/>
      </c>
      <c r="ER131" s="528" t="str">
        <f t="shared" si="229"/>
        <v/>
      </c>
      <c r="ES131" s="529" t="str">
        <f t="shared" si="230"/>
        <v/>
      </c>
      <c r="ET131" s="74" t="str">
        <f>IF('Marks Entry'!BI131="","",'Marks Entry'!BI131)</f>
        <v/>
      </c>
      <c r="EU131" s="74" t="str">
        <f>IF('Marks Entry'!BJ131="","",'Marks Entry'!BJ131)</f>
        <v/>
      </c>
      <c r="EV131" s="528" t="str">
        <f t="shared" si="231"/>
        <v/>
      </c>
      <c r="EW131" s="530" t="str">
        <f t="shared" si="232"/>
        <v/>
      </c>
      <c r="EX131" s="368" t="str">
        <f t="shared" si="282"/>
        <v/>
      </c>
      <c r="EY131" s="65">
        <f t="shared" si="283"/>
        <v>0</v>
      </c>
      <c r="EZ131" s="65">
        <f t="shared" si="284"/>
        <v>0</v>
      </c>
      <c r="FA131" s="66" t="str">
        <f t="shared" si="285"/>
        <v/>
      </c>
      <c r="FB131" s="74" t="str">
        <f>IF('Marks Entry'!BK131="","",'Marks Entry'!BK131)</f>
        <v/>
      </c>
      <c r="FC131" s="74" t="str">
        <f>IF('Marks Entry'!BL131="","",'Marks Entry'!BL131)</f>
        <v/>
      </c>
      <c r="FD131" s="74" t="str">
        <f>IF('Marks Entry'!BM131="","",'Marks Entry'!BM131)</f>
        <v/>
      </c>
      <c r="FE131" s="74" t="str">
        <f>IF('Marks Entry'!BN131="","",'Marks Entry'!BN131)</f>
        <v/>
      </c>
      <c r="FF131" s="74" t="str">
        <f>IF('Marks Entry'!BO131="","",'Marks Entry'!BO131)</f>
        <v/>
      </c>
      <c r="FG131" s="74" t="str">
        <f>IF('Marks Entry'!BP131="","",'Marks Entry'!BP131)</f>
        <v/>
      </c>
      <c r="FH131" s="527" t="str">
        <f t="shared" si="233"/>
        <v/>
      </c>
      <c r="FI131" s="74" t="str">
        <f>IF('Marks Entry'!BQ131="","",'Marks Entry'!BQ131)</f>
        <v/>
      </c>
      <c r="FJ131" s="74" t="str">
        <f>IF('Marks Entry'!BR131="","",'Marks Entry'!BR131)</f>
        <v/>
      </c>
      <c r="FK131" s="528" t="str">
        <f t="shared" si="234"/>
        <v/>
      </c>
      <c r="FL131" s="529" t="str">
        <f t="shared" si="235"/>
        <v/>
      </c>
      <c r="FM131" s="74" t="str">
        <f>IF('Marks Entry'!BS131="","",'Marks Entry'!BS131)</f>
        <v/>
      </c>
      <c r="FN131" s="74" t="str">
        <f>IF('Marks Entry'!BT131="","",'Marks Entry'!BT131)</f>
        <v/>
      </c>
      <c r="FO131" s="528" t="str">
        <f t="shared" si="236"/>
        <v/>
      </c>
      <c r="FP131" s="530" t="str">
        <f t="shared" si="237"/>
        <v/>
      </c>
      <c r="FQ131" s="368" t="str">
        <f t="shared" si="286"/>
        <v/>
      </c>
      <c r="FR131" s="65">
        <f t="shared" si="287"/>
        <v>0</v>
      </c>
      <c r="FS131" s="65">
        <f t="shared" si="288"/>
        <v>0</v>
      </c>
      <c r="FT131" s="66" t="str">
        <f t="shared" si="289"/>
        <v/>
      </c>
      <c r="FU131" s="74" t="str">
        <f>IF('Marks Entry'!BU131="","",'Marks Entry'!BU131)</f>
        <v/>
      </c>
      <c r="FV131" s="74" t="str">
        <f>IF('Marks Entry'!BV131="","",'Marks Entry'!BV131)</f>
        <v/>
      </c>
      <c r="FW131" s="74" t="str">
        <f>IF('Marks Entry'!BW131="","",'Marks Entry'!BW131)</f>
        <v/>
      </c>
      <c r="FX131" s="75" t="str">
        <f t="shared" si="238"/>
        <v/>
      </c>
      <c r="FY131" s="368" t="str">
        <f t="shared" si="290"/>
        <v/>
      </c>
      <c r="FZ131" s="65">
        <f t="shared" si="291"/>
        <v>0</v>
      </c>
      <c r="GA131" s="66">
        <f t="shared" si="292"/>
        <v>0</v>
      </c>
      <c r="GB131" s="66" t="str">
        <f t="shared" si="293"/>
        <v/>
      </c>
      <c r="GC131" s="74" t="str">
        <f>IF('Marks Entry'!BX131="","",'Marks Entry'!BX131)</f>
        <v/>
      </c>
      <c r="GD131" s="74" t="str">
        <f>IF('Marks Entry'!BY131="","",'Marks Entry'!BY131)</f>
        <v/>
      </c>
      <c r="GE131" s="74" t="str">
        <f>IF('Marks Entry'!BZ131="","",'Marks Entry'!BZ131)</f>
        <v/>
      </c>
      <c r="GF131" s="75" t="str">
        <f t="shared" si="294"/>
        <v/>
      </c>
      <c r="GG131" s="368" t="str">
        <f t="shared" si="295"/>
        <v/>
      </c>
      <c r="GH131" s="65">
        <f t="shared" si="296"/>
        <v>0</v>
      </c>
      <c r="GI131" s="66">
        <f t="shared" si="297"/>
        <v>0</v>
      </c>
      <c r="GJ131" s="66" t="str">
        <f t="shared" si="298"/>
        <v/>
      </c>
      <c r="GK131" s="100" t="str">
        <f>IF(AND(F131="",B131=""),"",IF('Student DATA Entry'!M128="","",'Student DATA Entry'!M128))</f>
        <v/>
      </c>
      <c r="GL131" s="101" t="str">
        <f>IF(AND(B131="",F131=""),"",IF('Student DATA Entry'!N128="","",'Student DATA Entry'!N128))</f>
        <v/>
      </c>
      <c r="GM131" s="581" t="str">
        <f t="shared" si="299"/>
        <v/>
      </c>
      <c r="GN131" s="94" t="str">
        <f t="shared" si="300"/>
        <v/>
      </c>
      <c r="GO131" s="94" t="str">
        <f t="shared" si="301"/>
        <v/>
      </c>
      <c r="GP131" s="102" t="str">
        <f t="shared" si="330"/>
        <v/>
      </c>
      <c r="GQ131" s="94" t="str">
        <f t="shared" si="302"/>
        <v/>
      </c>
      <c r="GR131" s="103" t="str">
        <f t="shared" si="303"/>
        <v/>
      </c>
      <c r="GS131" s="102" t="str">
        <f t="shared" si="331"/>
        <v/>
      </c>
      <c r="GT131" s="104" t="str">
        <f t="shared" si="304"/>
        <v/>
      </c>
      <c r="GU131" s="94" t="str">
        <f>IF('Marks Entry'!V131=1,GT131,"")</f>
        <v/>
      </c>
      <c r="GV131" s="94" t="str">
        <f>IF('Marks Entry'!V131=2,GT131,"")</f>
        <v/>
      </c>
      <c r="GW131" s="94" t="str">
        <f>IF('Marks Entry'!V131=3,GT131,"")</f>
        <v/>
      </c>
      <c r="GX131" s="94" t="str">
        <f>IF('Marks Entry'!V131=4,GT131,"")</f>
        <v/>
      </c>
      <c r="GY131" s="94" t="str">
        <f>IF('Marks Entry'!V131=5,GT131,"")</f>
        <v/>
      </c>
      <c r="GZ131" s="94" t="str">
        <f t="shared" si="305"/>
        <v/>
      </c>
      <c r="HA131" s="105" t="str">
        <f t="shared" si="332"/>
        <v/>
      </c>
      <c r="HB131" s="94" t="str">
        <f t="shared" si="306"/>
        <v/>
      </c>
      <c r="HC131" s="94" t="str">
        <f t="shared" si="307"/>
        <v/>
      </c>
      <c r="HD131" s="105" t="str">
        <f t="shared" si="333"/>
        <v/>
      </c>
      <c r="HE131" s="94" t="str">
        <f t="shared" si="308"/>
        <v/>
      </c>
      <c r="HF131" s="94" t="str">
        <f t="shared" si="309"/>
        <v/>
      </c>
      <c r="HG131" s="105" t="str">
        <f t="shared" si="334"/>
        <v/>
      </c>
      <c r="HH131" s="94" t="str">
        <f t="shared" si="310"/>
        <v/>
      </c>
      <c r="HI131" s="94" t="str">
        <f t="shared" si="311"/>
        <v/>
      </c>
      <c r="HJ131" s="105" t="str">
        <f t="shared" si="335"/>
        <v/>
      </c>
      <c r="HK131" s="94" t="str">
        <f t="shared" si="312"/>
        <v/>
      </c>
      <c r="HL131" s="94" t="str">
        <f t="shared" si="313"/>
        <v/>
      </c>
      <c r="HM131" s="105" t="str">
        <f t="shared" si="336"/>
        <v/>
      </c>
      <c r="HN131" s="367" t="str">
        <f t="shared" si="314"/>
        <v xml:space="preserve">      </v>
      </c>
      <c r="HO131" s="418" t="str">
        <f t="shared" si="337"/>
        <v xml:space="preserve">      </v>
      </c>
      <c r="HP131" s="367" t="str">
        <f t="shared" si="315"/>
        <v xml:space="preserve">      </v>
      </c>
      <c r="HQ131" s="107" t="str">
        <f t="shared" si="316"/>
        <v xml:space="preserve">      </v>
      </c>
      <c r="HR131" s="366" t="str">
        <f t="shared" si="317"/>
        <v xml:space="preserve">      </v>
      </c>
      <c r="HS131" s="544" t="str">
        <f t="shared" si="338"/>
        <v/>
      </c>
      <c r="HT131" s="542" t="str">
        <f t="shared" si="318"/>
        <v/>
      </c>
      <c r="HU131" s="541" t="str">
        <f t="shared" si="319"/>
        <v/>
      </c>
      <c r="HV131" s="540" t="str">
        <f t="shared" si="320"/>
        <v/>
      </c>
      <c r="HW131" s="537" t="str">
        <f t="shared" si="321"/>
        <v/>
      </c>
      <c r="HX131" s="539" t="str">
        <f t="shared" si="322"/>
        <v/>
      </c>
      <c r="HY131" s="553" t="str">
        <f>IFERROR(IF(OR(HS131="SUPPLEMENTARY",HS131="RE-EXAM"),'Supp. Result Entry'!AQ129,""),"")</f>
        <v/>
      </c>
      <c r="HZ131" s="538" t="str">
        <f t="shared" si="323"/>
        <v/>
      </c>
      <c r="IA131" s="415" t="str">
        <f t="shared" si="324"/>
        <v/>
      </c>
      <c r="IB131" s="415" t="str">
        <f>IF(AND(HZ131="",IA131=""),"",IF(OR(HS131="SUPPLEMENTARY",HS131="RE-EXAM"),'Supp. Result Entry'!AQ129,HS131))</f>
        <v/>
      </c>
      <c r="IC131" s="87"/>
      <c r="IS131" s="109" t="str">
        <f>IF('Supp. Result Entry'!T129="","",'Supp. Result Entry'!$T$4)</f>
        <v/>
      </c>
      <c r="IT131" s="110" t="str">
        <f>IF('Supp. Result Entry'!W129="","",'Supp. Result Entry'!$W$4)</f>
        <v/>
      </c>
      <c r="IU131" s="110" t="str">
        <f>IF('Supp. Result Entry'!Z129="","",'Supp. Result Entry'!$Z$4)</f>
        <v/>
      </c>
      <c r="IV131" s="110" t="str">
        <f>IF('Supp. Result Entry'!AC129="","",'Supp. Result Entry'!$AC$4)</f>
        <v/>
      </c>
      <c r="IW131" s="110" t="str">
        <f>IF('Supp. Result Entry'!AF129="","",'Supp. Result Entry'!$AF$4)</f>
        <v/>
      </c>
      <c r="IX131" s="110" t="str">
        <f>IF('Supp. Result Entry'!AI129="","",'Supp. Result Entry'!$AI$4)</f>
        <v/>
      </c>
      <c r="IY131" s="110" t="str">
        <f>IF('Supp. Result Entry'!AI129="","",'Supp. Result Entry'!$AL$4)</f>
        <v/>
      </c>
      <c r="IZ131" s="110" t="str">
        <f>IF('Supp. Result Entry'!U129="","",'Supp. Result Entry'!U129)</f>
        <v/>
      </c>
      <c r="JA131" s="110" t="str">
        <f>IF('Supp. Result Entry'!X129="","",'Supp. Result Entry'!X129)</f>
        <v/>
      </c>
      <c r="JB131" s="110" t="str">
        <f>IF('Supp. Result Entry'!AA129="","",'Supp. Result Entry'!AA129)</f>
        <v/>
      </c>
      <c r="JC131" s="110" t="str">
        <f>IF('Supp. Result Entry'!AD129="","",'Supp. Result Entry'!AD129)</f>
        <v/>
      </c>
      <c r="JD131" s="110" t="str">
        <f>IF('Supp. Result Entry'!AG129="","",'Supp. Result Entry'!AG129)</f>
        <v/>
      </c>
      <c r="JE131" s="110" t="str">
        <f>IF('Supp. Result Entry'!AJ129="","",'Supp. Result Entry'!AJ129)</f>
        <v/>
      </c>
      <c r="JF131" s="110" t="str">
        <f>IF('Supp. Result Entry'!AM129="","",'Supp. Result Entry'!AM129)</f>
        <v/>
      </c>
      <c r="JG131" s="110" t="str">
        <f>IF('Supp. Result Entry'!V129="","",'Supp. Result Entry'!V129)</f>
        <v/>
      </c>
      <c r="JH131" s="110" t="str">
        <f>IF('Supp. Result Entry'!Y129="","",'Supp. Result Entry'!Y129)</f>
        <v/>
      </c>
      <c r="JI131" s="110" t="str">
        <f>IF('Supp. Result Entry'!AB129="","",'Supp. Result Entry'!AB129)</f>
        <v/>
      </c>
      <c r="JJ131" s="110" t="str">
        <f>IF('Supp. Result Entry'!AE129="","",'Supp. Result Entry'!AE129)</f>
        <v/>
      </c>
      <c r="JK131" s="110" t="str">
        <f>IF('Supp. Result Entry'!AH129="","",'Supp. Result Entry'!AH129)</f>
        <v/>
      </c>
      <c r="JL131" s="110" t="str">
        <f>IF('Supp. Result Entry'!AK129="","",'Supp. Result Entry'!AK129)</f>
        <v/>
      </c>
      <c r="JM131" s="110" t="str">
        <f>IF('Supp. Result Entry'!AN129="","",'Supp. Result Entry'!AN129)</f>
        <v/>
      </c>
      <c r="JN131" s="110">
        <f>COUNTIF('Supp. Result Entry'!K129:Q129,"S")</f>
        <v>0</v>
      </c>
      <c r="JO131" s="110">
        <f t="shared" si="248"/>
        <v>0</v>
      </c>
      <c r="JP131" s="110">
        <f t="shared" si="325"/>
        <v>0</v>
      </c>
      <c r="JQ131" s="110" t="str">
        <f t="shared" si="249"/>
        <v/>
      </c>
      <c r="JR131" s="110" t="str">
        <f t="shared" si="250"/>
        <v/>
      </c>
      <c r="JS131" s="110" t="str">
        <f t="shared" si="251"/>
        <v/>
      </c>
      <c r="JT131" s="110" t="str">
        <f t="shared" si="252"/>
        <v/>
      </c>
      <c r="JU131" s="110" t="str">
        <f t="shared" si="253"/>
        <v/>
      </c>
      <c r="JV131" s="110" t="str">
        <f t="shared" si="254"/>
        <v/>
      </c>
      <c r="JW131" s="110" t="str">
        <f t="shared" si="255"/>
        <v/>
      </c>
      <c r="JX131" s="110" t="str">
        <f t="shared" si="326"/>
        <v/>
      </c>
      <c r="JY131" s="110" t="str">
        <f t="shared" si="327"/>
        <v/>
      </c>
      <c r="JZ131" s="110" t="str">
        <f t="shared" si="256"/>
        <v/>
      </c>
      <c r="KA131" s="108" t="str">
        <f t="shared" si="328"/>
        <v/>
      </c>
    </row>
    <row r="132" spans="1:287" s="108" customFormat="1" ht="21.95" customHeight="1">
      <c r="A132" s="89">
        <v>126</v>
      </c>
      <c r="B132" s="90" t="str">
        <f>IF('Marks Entry'!B132="","",'Marks Entry'!B132)</f>
        <v/>
      </c>
      <c r="C132" s="94" t="str">
        <f>IF('Marks Entry'!D132="","",'Marks Entry'!D132)</f>
        <v/>
      </c>
      <c r="D132" s="91" t="str">
        <f>IF('Marks Entry'!E132="","",'Marks Entry'!E132)</f>
        <v/>
      </c>
      <c r="E132" s="92" t="str">
        <f>IF('Marks Entry'!F132="","",'Marks Entry'!F132)</f>
        <v/>
      </c>
      <c r="F132" s="93" t="str">
        <f>IF('Marks Entry'!G132="","",'Marks Entry'!G132)</f>
        <v/>
      </c>
      <c r="G132" s="93" t="str">
        <f>IF('Marks Entry'!H132="","",'Marks Entry'!H132)</f>
        <v/>
      </c>
      <c r="H132" s="93" t="str">
        <f>IF('Marks Entry'!I132="","",'Marks Entry'!I132)</f>
        <v/>
      </c>
      <c r="I132" s="94" t="str">
        <f>IF('Marks Entry'!J132="","",'Marks Entry'!J132)</f>
        <v/>
      </c>
      <c r="J132" s="95" t="str">
        <f>IF('Marks Entry'!K132="","",'Marks Entry'!K132)</f>
        <v/>
      </c>
      <c r="K132" s="68" t="str">
        <f>IF('Marks Entry'!L132="","",'Marks Entry'!L132)</f>
        <v/>
      </c>
      <c r="L132" s="68" t="str">
        <f>IF('Marks Entry'!M132="","",'Marks Entry'!M132)</f>
        <v/>
      </c>
      <c r="M132" s="68" t="str">
        <f>IF('Marks Entry'!N132="","",'Marks Entry'!N132)</f>
        <v/>
      </c>
      <c r="N132" s="514" t="str">
        <f t="shared" si="257"/>
        <v/>
      </c>
      <c r="O132" s="68" t="str">
        <f>IF('Marks Entry'!O132="","",'Marks Entry'!O132)</f>
        <v/>
      </c>
      <c r="P132" s="515" t="str">
        <f t="shared" si="258"/>
        <v/>
      </c>
      <c r="Q132" s="68" t="str">
        <f>IF('Marks Entry'!P132="","",'Marks Entry'!P132)</f>
        <v/>
      </c>
      <c r="R132" s="96" t="str">
        <f t="shared" si="259"/>
        <v/>
      </c>
      <c r="S132" s="65">
        <f t="shared" si="260"/>
        <v>0</v>
      </c>
      <c r="T132" s="65">
        <f t="shared" si="261"/>
        <v>0</v>
      </c>
      <c r="U132" s="66" t="str">
        <f t="shared" si="171"/>
        <v/>
      </c>
      <c r="V132" s="65" t="str">
        <f t="shared" si="172"/>
        <v/>
      </c>
      <c r="W132" s="65" t="str">
        <f t="shared" si="262"/>
        <v/>
      </c>
      <c r="X132" s="65" t="str">
        <f t="shared" si="173"/>
        <v/>
      </c>
      <c r="Y132" s="68" t="str">
        <f>IF('Marks Entry'!Q132="","",'Marks Entry'!Q132)</f>
        <v/>
      </c>
      <c r="Z132" s="68" t="str">
        <f>IF('Marks Entry'!R132="","",'Marks Entry'!R132)</f>
        <v/>
      </c>
      <c r="AA132" s="68" t="str">
        <f>IF('Marks Entry'!S132="","",'Marks Entry'!S132)</f>
        <v/>
      </c>
      <c r="AB132" s="514" t="str">
        <f t="shared" si="174"/>
        <v/>
      </c>
      <c r="AC132" s="68" t="str">
        <f>IF('Marks Entry'!T132="","",'Marks Entry'!T132)</f>
        <v/>
      </c>
      <c r="AD132" s="515" t="str">
        <f t="shared" si="175"/>
        <v/>
      </c>
      <c r="AE132" s="68" t="str">
        <f>IF('Marks Entry'!U132="","",'Marks Entry'!U132)</f>
        <v/>
      </c>
      <c r="AF132" s="96" t="str">
        <f t="shared" si="176"/>
        <v/>
      </c>
      <c r="AG132" s="65">
        <f t="shared" si="177"/>
        <v>0</v>
      </c>
      <c r="AH132" s="65">
        <f t="shared" si="178"/>
        <v>0</v>
      </c>
      <c r="AI132" s="66" t="str">
        <f t="shared" si="179"/>
        <v/>
      </c>
      <c r="AJ132" s="65" t="str">
        <f t="shared" si="180"/>
        <v/>
      </c>
      <c r="AK132" s="65" t="str">
        <f t="shared" si="181"/>
        <v/>
      </c>
      <c r="AL132" s="65" t="str">
        <f t="shared" si="182"/>
        <v/>
      </c>
      <c r="AM132" s="524" t="str">
        <f>IF('Marks Entry'!V132="","",IF('Marks Entry'!V132=1,'School Profile'!$I$9,IF('Marks Entry'!V132=2,'School Profile'!$I$10,IF('Marks Entry'!V132=3,'School Profile'!$I$11,IF('Marks Entry'!V132=4,'School Profile'!$I$12,IF('Marks Entry'!V132=5,'School Profile'!$I$13,IF('Marks Entry'!V132=6,'School Profile'!$I$14,"")))))))</f>
        <v/>
      </c>
      <c r="AN132" s="68" t="str">
        <f>IF('Marks Entry'!W132="","",'Marks Entry'!W132)</f>
        <v/>
      </c>
      <c r="AO132" s="68" t="str">
        <f>IF('Marks Entry'!X132="","",'Marks Entry'!X132)</f>
        <v/>
      </c>
      <c r="AP132" s="68" t="str">
        <f>IF('Marks Entry'!Y132="","",'Marks Entry'!Y132)</f>
        <v/>
      </c>
      <c r="AQ132" s="514" t="str">
        <f t="shared" si="183"/>
        <v/>
      </c>
      <c r="AR132" s="68" t="str">
        <f>IF('Marks Entry'!Z132="","",'Marks Entry'!Z132)</f>
        <v/>
      </c>
      <c r="AS132" s="515" t="str">
        <f t="shared" si="184"/>
        <v/>
      </c>
      <c r="AT132" s="68" t="str">
        <f>IF('Marks Entry'!AA132="","",'Marks Entry'!AA132)</f>
        <v/>
      </c>
      <c r="AU132" s="96" t="str">
        <f t="shared" si="185"/>
        <v/>
      </c>
      <c r="AV132" s="65">
        <f t="shared" si="186"/>
        <v>0</v>
      </c>
      <c r="AW132" s="65">
        <f t="shared" si="187"/>
        <v>0</v>
      </c>
      <c r="AX132" s="66" t="str">
        <f t="shared" si="188"/>
        <v/>
      </c>
      <c r="AY132" s="65" t="str">
        <f t="shared" si="189"/>
        <v/>
      </c>
      <c r="AZ132" s="65" t="str">
        <f t="shared" si="190"/>
        <v/>
      </c>
      <c r="BA132" s="65" t="str">
        <f t="shared" si="191"/>
        <v/>
      </c>
      <c r="BB132" s="68" t="str">
        <f>IF('Marks Entry'!AB132="","",'Marks Entry'!AB132)</f>
        <v/>
      </c>
      <c r="BC132" s="68" t="str">
        <f>IF('Marks Entry'!AC132="","",'Marks Entry'!AC132)</f>
        <v/>
      </c>
      <c r="BD132" s="68" t="str">
        <f>IF('Marks Entry'!AD132="","",'Marks Entry'!AD132)</f>
        <v/>
      </c>
      <c r="BE132" s="514" t="str">
        <f t="shared" si="192"/>
        <v/>
      </c>
      <c r="BF132" s="68" t="str">
        <f>IF('Marks Entry'!AE132="","",'Marks Entry'!AE132)</f>
        <v/>
      </c>
      <c r="BG132" s="515" t="str">
        <f t="shared" si="193"/>
        <v/>
      </c>
      <c r="BH132" s="68" t="str">
        <f>IF('Marks Entry'!AF132="","",'Marks Entry'!AF132)</f>
        <v/>
      </c>
      <c r="BI132" s="96" t="str">
        <f t="shared" si="194"/>
        <v/>
      </c>
      <c r="BJ132" s="65">
        <f t="shared" si="195"/>
        <v>0</v>
      </c>
      <c r="BK132" s="65">
        <f t="shared" si="263"/>
        <v>0</v>
      </c>
      <c r="BL132" s="66" t="str">
        <f t="shared" si="196"/>
        <v/>
      </c>
      <c r="BM132" s="65" t="str">
        <f t="shared" si="197"/>
        <v/>
      </c>
      <c r="BN132" s="65" t="str">
        <f t="shared" si="198"/>
        <v/>
      </c>
      <c r="BO132" s="65" t="str">
        <f t="shared" si="199"/>
        <v/>
      </c>
      <c r="BP132" s="68" t="str">
        <f>IF('Marks Entry'!AG132="","",'Marks Entry'!AG132)</f>
        <v/>
      </c>
      <c r="BQ132" s="68" t="str">
        <f>IF('Marks Entry'!AH132="","",'Marks Entry'!AH132)</f>
        <v/>
      </c>
      <c r="BR132" s="68" t="str">
        <f>IF('Marks Entry'!AI132="","",'Marks Entry'!AI132)</f>
        <v/>
      </c>
      <c r="BS132" s="514" t="str">
        <f t="shared" si="200"/>
        <v/>
      </c>
      <c r="BT132" s="68" t="str">
        <f>IF('Marks Entry'!AJ132="","",'Marks Entry'!AJ132)</f>
        <v/>
      </c>
      <c r="BU132" s="515" t="str">
        <f t="shared" si="201"/>
        <v/>
      </c>
      <c r="BV132" s="68" t="str">
        <f>IF('Marks Entry'!AK132="","",'Marks Entry'!AK132)</f>
        <v/>
      </c>
      <c r="BW132" s="96" t="str">
        <f t="shared" si="202"/>
        <v/>
      </c>
      <c r="BX132" s="65">
        <f t="shared" si="203"/>
        <v>0</v>
      </c>
      <c r="BY132" s="65">
        <f t="shared" si="204"/>
        <v>0</v>
      </c>
      <c r="BZ132" s="66" t="str">
        <f t="shared" si="205"/>
        <v/>
      </c>
      <c r="CA132" s="65" t="str">
        <f t="shared" si="206"/>
        <v/>
      </c>
      <c r="CB132" s="65" t="str">
        <f t="shared" si="207"/>
        <v/>
      </c>
      <c r="CC132" s="65" t="str">
        <f t="shared" si="208"/>
        <v/>
      </c>
      <c r="CD132" s="66">
        <f t="shared" si="329"/>
        <v>0</v>
      </c>
      <c r="CE132" s="68" t="str">
        <f>IF('Marks Entry'!AL132="","",'Marks Entry'!AL132)</f>
        <v/>
      </c>
      <c r="CF132" s="68" t="str">
        <f>IF('Marks Entry'!AM132="","",'Marks Entry'!AM132)</f>
        <v/>
      </c>
      <c r="CG132" s="68" t="str">
        <f>IF('Marks Entry'!AN132="","",'Marks Entry'!AN132)</f>
        <v/>
      </c>
      <c r="CH132" s="514" t="str">
        <f t="shared" si="210"/>
        <v/>
      </c>
      <c r="CI132" s="68" t="str">
        <f>IF('Marks Entry'!AO132="","",'Marks Entry'!AO132)</f>
        <v/>
      </c>
      <c r="CJ132" s="515" t="str">
        <f t="shared" si="211"/>
        <v/>
      </c>
      <c r="CK132" s="68" t="str">
        <f>IF('Marks Entry'!AP132="","",'Marks Entry'!AP132)</f>
        <v/>
      </c>
      <c r="CL132" s="96" t="str">
        <f t="shared" si="212"/>
        <v/>
      </c>
      <c r="CM132" s="65">
        <f t="shared" si="213"/>
        <v>0</v>
      </c>
      <c r="CN132" s="65">
        <f t="shared" si="214"/>
        <v>0</v>
      </c>
      <c r="CO132" s="66" t="str">
        <f t="shared" si="215"/>
        <v/>
      </c>
      <c r="CP132" s="65" t="str">
        <f t="shared" si="216"/>
        <v/>
      </c>
      <c r="CQ132" s="65" t="str">
        <f t="shared" si="217"/>
        <v/>
      </c>
      <c r="CR132" s="65" t="str">
        <f t="shared" si="218"/>
        <v/>
      </c>
      <c r="CS132" s="616"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8" t="str">
        <f>IF('School Profile'!$D$20="NO","",IF('Marks Entry'!AR132="","",'Marks Entry'!AR132))</f>
        <v/>
      </c>
      <c r="CU132" s="68" t="str">
        <f>IF('School Profile'!$D$20="NO","",IF('Marks Entry'!AS132="","",'Marks Entry'!AS132))</f>
        <v/>
      </c>
      <c r="CV132" s="68" t="str">
        <f>IF('School Profile'!$D$20="NO","",IF('Marks Entry'!AT132="","",'Marks Entry'!AT132))</f>
        <v/>
      </c>
      <c r="CW132" s="514" t="str">
        <f>IF('School Profile'!$D$20="NO","",IF(AND(CT132="",CU132="",CV132=""),"",SUM(CT132:CV132)))</f>
        <v/>
      </c>
      <c r="CX132" s="68" t="str">
        <f>IF('School Profile'!$D$20="NO","",IF('Marks Entry'!AU132="","",'Marks Entry'!AU132))</f>
        <v/>
      </c>
      <c r="CY132" s="68" t="str">
        <f>IF('School Profile'!$D$20="NO","",IF('Marks Entry'!AV132="","",'Marks Entry'!AV132))</f>
        <v/>
      </c>
      <c r="CZ132" s="515" t="str">
        <f>IF('School Profile'!$D$20="NO","",IF(AND(CX132="",CY132=""),"",SUM(CX132,CY132)))</f>
        <v/>
      </c>
      <c r="DA132" s="69" t="str">
        <f>IF('School Profile'!$D$20="NO","",IF(AND(CW132="",CZ132=""),"",SUM(CW132+CZ132)))</f>
        <v/>
      </c>
      <c r="DB132" s="68" t="str">
        <f>IF('School Profile'!$D$20="NO","",IF('Marks Entry'!AW132="","",'Marks Entry'!AW132))</f>
        <v/>
      </c>
      <c r="DC132" s="68" t="str">
        <f>IF('School Profile'!$D$20="NO","",IF('Marks Entry'!AX132="","",'Marks Entry'!AX132))</f>
        <v/>
      </c>
      <c r="DD132" s="515" t="str">
        <f>IF('School Profile'!$D$20="NO","",IF(AND(DB132="",DC132=""),"",SUM(DB132,DC132)))</f>
        <v/>
      </c>
      <c r="DE132" s="96" t="str">
        <f>IF('School Profile'!$D$20="NO","",IF(AND(DA132="",DD132=""),"",SUM(DA132,DD132)))</f>
        <v/>
      </c>
      <c r="DF132" s="532">
        <f t="shared" si="219"/>
        <v>0</v>
      </c>
      <c r="DG132" s="65">
        <f t="shared" si="220"/>
        <v>0</v>
      </c>
      <c r="DH132" s="66" t="str">
        <f t="shared" si="221"/>
        <v/>
      </c>
      <c r="DI132" s="65" t="str">
        <f t="shared" si="222"/>
        <v/>
      </c>
      <c r="DJ132" s="65" t="str">
        <f t="shared" si="223"/>
        <v/>
      </c>
      <c r="DK132" s="65" t="str">
        <f t="shared" si="224"/>
        <v/>
      </c>
      <c r="DL132" s="97" t="str">
        <f t="shared" si="264"/>
        <v/>
      </c>
      <c r="DM132" s="97" t="str">
        <f t="shared" si="265"/>
        <v/>
      </c>
      <c r="DN132" s="97" t="str">
        <f t="shared" si="266"/>
        <v/>
      </c>
      <c r="DO132" s="97" t="str">
        <f t="shared" si="267"/>
        <v/>
      </c>
      <c r="DP132" s="97" t="str">
        <f t="shared" si="268"/>
        <v/>
      </c>
      <c r="DQ132" s="97" t="str">
        <f t="shared" si="269"/>
        <v/>
      </c>
      <c r="DR132" s="97" t="str">
        <f t="shared" si="270"/>
        <v/>
      </c>
      <c r="DS132" s="98">
        <f t="shared" si="271"/>
        <v>0</v>
      </c>
      <c r="DT132" s="98">
        <f t="shared" si="272"/>
        <v>0</v>
      </c>
      <c r="DU132" s="98">
        <f t="shared" si="273"/>
        <v>0</v>
      </c>
      <c r="DV132" s="98">
        <f t="shared" si="274"/>
        <v>0</v>
      </c>
      <c r="DW132" s="98">
        <f t="shared" si="275"/>
        <v>0</v>
      </c>
      <c r="DX132" s="98" t="str">
        <f t="shared" si="276"/>
        <v/>
      </c>
      <c r="DY132" s="99" t="str">
        <f t="shared" si="277"/>
        <v/>
      </c>
      <c r="DZ132" s="74" t="str">
        <f>IF('Marks Entry'!AY132="","",'Marks Entry'!AY132)</f>
        <v/>
      </c>
      <c r="EA132" s="74" t="str">
        <f>IF('Marks Entry'!AZ132="","",'Marks Entry'!AZ132)</f>
        <v/>
      </c>
      <c r="EB132" s="74" t="str">
        <f>IF('Marks Entry'!BA132="","",'Marks Entry'!BA132)</f>
        <v/>
      </c>
      <c r="EC132" s="527" t="str">
        <f t="shared" si="225"/>
        <v/>
      </c>
      <c r="ED132" s="74" t="str">
        <f>IF('Marks Entry'!BB132="","",'Marks Entry'!BB132)</f>
        <v/>
      </c>
      <c r="EE132" s="528" t="str">
        <f t="shared" si="226"/>
        <v/>
      </c>
      <c r="EF132" s="74" t="str">
        <f>IF('Marks Entry'!BC132="","",'Marks Entry'!BC132)</f>
        <v/>
      </c>
      <c r="EG132" s="530" t="str">
        <f t="shared" si="227"/>
        <v/>
      </c>
      <c r="EH132" s="368" t="str">
        <f t="shared" si="278"/>
        <v/>
      </c>
      <c r="EI132" s="65">
        <f t="shared" si="279"/>
        <v>0</v>
      </c>
      <c r="EJ132" s="65">
        <f t="shared" si="280"/>
        <v>0</v>
      </c>
      <c r="EK132" s="66" t="str">
        <f t="shared" si="281"/>
        <v/>
      </c>
      <c r="EL132" s="74" t="str">
        <f>IF('Marks Entry'!BD132="","",'Marks Entry'!BD132)</f>
        <v/>
      </c>
      <c r="EM132" s="74" t="str">
        <f>IF('Marks Entry'!BE132="","",'Marks Entry'!BE132)</f>
        <v/>
      </c>
      <c r="EN132" s="74" t="str">
        <f>IF('Marks Entry'!BF132="","",'Marks Entry'!BF132)</f>
        <v/>
      </c>
      <c r="EO132" s="527" t="str">
        <f t="shared" si="228"/>
        <v/>
      </c>
      <c r="EP132" s="74" t="str">
        <f>IF('Marks Entry'!BG132="","",'Marks Entry'!BG132)</f>
        <v/>
      </c>
      <c r="EQ132" s="74" t="str">
        <f>IF('Marks Entry'!BH132="","",'Marks Entry'!BH132)</f>
        <v/>
      </c>
      <c r="ER132" s="528" t="str">
        <f t="shared" si="229"/>
        <v/>
      </c>
      <c r="ES132" s="529" t="str">
        <f t="shared" si="230"/>
        <v/>
      </c>
      <c r="ET132" s="74" t="str">
        <f>IF('Marks Entry'!BI132="","",'Marks Entry'!BI132)</f>
        <v/>
      </c>
      <c r="EU132" s="74" t="str">
        <f>IF('Marks Entry'!BJ132="","",'Marks Entry'!BJ132)</f>
        <v/>
      </c>
      <c r="EV132" s="528" t="str">
        <f t="shared" si="231"/>
        <v/>
      </c>
      <c r="EW132" s="530" t="str">
        <f t="shared" si="232"/>
        <v/>
      </c>
      <c r="EX132" s="368" t="str">
        <f t="shared" si="282"/>
        <v/>
      </c>
      <c r="EY132" s="65">
        <f t="shared" si="283"/>
        <v>0</v>
      </c>
      <c r="EZ132" s="65">
        <f t="shared" si="284"/>
        <v>0</v>
      </c>
      <c r="FA132" s="66" t="str">
        <f t="shared" si="285"/>
        <v/>
      </c>
      <c r="FB132" s="74" t="str">
        <f>IF('Marks Entry'!BK132="","",'Marks Entry'!BK132)</f>
        <v/>
      </c>
      <c r="FC132" s="74" t="str">
        <f>IF('Marks Entry'!BL132="","",'Marks Entry'!BL132)</f>
        <v/>
      </c>
      <c r="FD132" s="74" t="str">
        <f>IF('Marks Entry'!BM132="","",'Marks Entry'!BM132)</f>
        <v/>
      </c>
      <c r="FE132" s="74" t="str">
        <f>IF('Marks Entry'!BN132="","",'Marks Entry'!BN132)</f>
        <v/>
      </c>
      <c r="FF132" s="74" t="str">
        <f>IF('Marks Entry'!BO132="","",'Marks Entry'!BO132)</f>
        <v/>
      </c>
      <c r="FG132" s="74" t="str">
        <f>IF('Marks Entry'!BP132="","",'Marks Entry'!BP132)</f>
        <v/>
      </c>
      <c r="FH132" s="527" t="str">
        <f t="shared" si="233"/>
        <v/>
      </c>
      <c r="FI132" s="74" t="str">
        <f>IF('Marks Entry'!BQ132="","",'Marks Entry'!BQ132)</f>
        <v/>
      </c>
      <c r="FJ132" s="74" t="str">
        <f>IF('Marks Entry'!BR132="","",'Marks Entry'!BR132)</f>
        <v/>
      </c>
      <c r="FK132" s="528" t="str">
        <f t="shared" si="234"/>
        <v/>
      </c>
      <c r="FL132" s="529" t="str">
        <f t="shared" si="235"/>
        <v/>
      </c>
      <c r="FM132" s="74" t="str">
        <f>IF('Marks Entry'!BS132="","",'Marks Entry'!BS132)</f>
        <v/>
      </c>
      <c r="FN132" s="74" t="str">
        <f>IF('Marks Entry'!BT132="","",'Marks Entry'!BT132)</f>
        <v/>
      </c>
      <c r="FO132" s="528" t="str">
        <f t="shared" si="236"/>
        <v/>
      </c>
      <c r="FP132" s="530" t="str">
        <f t="shared" si="237"/>
        <v/>
      </c>
      <c r="FQ132" s="368" t="str">
        <f t="shared" si="286"/>
        <v/>
      </c>
      <c r="FR132" s="65">
        <f t="shared" si="287"/>
        <v>0</v>
      </c>
      <c r="FS132" s="65">
        <f t="shared" si="288"/>
        <v>0</v>
      </c>
      <c r="FT132" s="66" t="str">
        <f t="shared" si="289"/>
        <v/>
      </c>
      <c r="FU132" s="74" t="str">
        <f>IF('Marks Entry'!BU132="","",'Marks Entry'!BU132)</f>
        <v/>
      </c>
      <c r="FV132" s="74" t="str">
        <f>IF('Marks Entry'!BV132="","",'Marks Entry'!BV132)</f>
        <v/>
      </c>
      <c r="FW132" s="74" t="str">
        <f>IF('Marks Entry'!BW132="","",'Marks Entry'!BW132)</f>
        <v/>
      </c>
      <c r="FX132" s="75" t="str">
        <f t="shared" si="238"/>
        <v/>
      </c>
      <c r="FY132" s="368" t="str">
        <f t="shared" si="290"/>
        <v/>
      </c>
      <c r="FZ132" s="65">
        <f t="shared" si="291"/>
        <v>0</v>
      </c>
      <c r="GA132" s="66">
        <f t="shared" si="292"/>
        <v>0</v>
      </c>
      <c r="GB132" s="66" t="str">
        <f t="shared" si="293"/>
        <v/>
      </c>
      <c r="GC132" s="74" t="str">
        <f>IF('Marks Entry'!BX132="","",'Marks Entry'!BX132)</f>
        <v/>
      </c>
      <c r="GD132" s="74" t="str">
        <f>IF('Marks Entry'!BY132="","",'Marks Entry'!BY132)</f>
        <v/>
      </c>
      <c r="GE132" s="74" t="str">
        <f>IF('Marks Entry'!BZ132="","",'Marks Entry'!BZ132)</f>
        <v/>
      </c>
      <c r="GF132" s="75" t="str">
        <f t="shared" si="294"/>
        <v/>
      </c>
      <c r="GG132" s="368" t="str">
        <f t="shared" si="295"/>
        <v/>
      </c>
      <c r="GH132" s="65">
        <f t="shared" si="296"/>
        <v>0</v>
      </c>
      <c r="GI132" s="66">
        <f t="shared" si="297"/>
        <v>0</v>
      </c>
      <c r="GJ132" s="66" t="str">
        <f t="shared" si="298"/>
        <v/>
      </c>
      <c r="GK132" s="100" t="str">
        <f>IF(AND(F132="",B132=""),"",IF('Student DATA Entry'!M129="","",'Student DATA Entry'!M129))</f>
        <v/>
      </c>
      <c r="GL132" s="101" t="str">
        <f>IF(AND(B132="",F132=""),"",IF('Student DATA Entry'!N129="","",'Student DATA Entry'!N129))</f>
        <v/>
      </c>
      <c r="GM132" s="581" t="str">
        <f t="shared" si="299"/>
        <v/>
      </c>
      <c r="GN132" s="94" t="str">
        <f t="shared" si="300"/>
        <v/>
      </c>
      <c r="GO132" s="94" t="str">
        <f t="shared" si="301"/>
        <v/>
      </c>
      <c r="GP132" s="102" t="str">
        <f t="shared" si="330"/>
        <v/>
      </c>
      <c r="GQ132" s="94" t="str">
        <f t="shared" si="302"/>
        <v/>
      </c>
      <c r="GR132" s="103" t="str">
        <f t="shared" si="303"/>
        <v/>
      </c>
      <c r="GS132" s="102" t="str">
        <f t="shared" si="331"/>
        <v/>
      </c>
      <c r="GT132" s="104" t="str">
        <f t="shared" si="304"/>
        <v/>
      </c>
      <c r="GU132" s="94" t="str">
        <f>IF('Marks Entry'!V132=1,GT132,"")</f>
        <v/>
      </c>
      <c r="GV132" s="94" t="str">
        <f>IF('Marks Entry'!V132=2,GT132,"")</f>
        <v/>
      </c>
      <c r="GW132" s="94" t="str">
        <f>IF('Marks Entry'!V132=3,GT132,"")</f>
        <v/>
      </c>
      <c r="GX132" s="94" t="str">
        <f>IF('Marks Entry'!V132=4,GT132,"")</f>
        <v/>
      </c>
      <c r="GY132" s="94" t="str">
        <f>IF('Marks Entry'!V132=5,GT132,"")</f>
        <v/>
      </c>
      <c r="GZ132" s="94" t="str">
        <f t="shared" si="305"/>
        <v/>
      </c>
      <c r="HA132" s="105" t="str">
        <f t="shared" si="332"/>
        <v/>
      </c>
      <c r="HB132" s="94" t="str">
        <f t="shared" si="306"/>
        <v/>
      </c>
      <c r="HC132" s="94" t="str">
        <f t="shared" si="307"/>
        <v/>
      </c>
      <c r="HD132" s="105" t="str">
        <f t="shared" si="333"/>
        <v/>
      </c>
      <c r="HE132" s="94" t="str">
        <f t="shared" si="308"/>
        <v/>
      </c>
      <c r="HF132" s="94" t="str">
        <f t="shared" si="309"/>
        <v/>
      </c>
      <c r="HG132" s="105" t="str">
        <f t="shared" si="334"/>
        <v/>
      </c>
      <c r="HH132" s="94" t="str">
        <f t="shared" si="310"/>
        <v/>
      </c>
      <c r="HI132" s="94" t="str">
        <f t="shared" si="311"/>
        <v/>
      </c>
      <c r="HJ132" s="105" t="str">
        <f t="shared" si="335"/>
        <v/>
      </c>
      <c r="HK132" s="94" t="str">
        <f t="shared" si="312"/>
        <v/>
      </c>
      <c r="HL132" s="94" t="str">
        <f t="shared" si="313"/>
        <v/>
      </c>
      <c r="HM132" s="105" t="str">
        <f t="shared" si="336"/>
        <v/>
      </c>
      <c r="HN132" s="367" t="str">
        <f t="shared" si="314"/>
        <v xml:space="preserve">      </v>
      </c>
      <c r="HO132" s="418" t="str">
        <f t="shared" si="337"/>
        <v xml:space="preserve">      </v>
      </c>
      <c r="HP132" s="367" t="str">
        <f t="shared" si="315"/>
        <v xml:space="preserve">      </v>
      </c>
      <c r="HQ132" s="107" t="str">
        <f t="shared" si="316"/>
        <v xml:space="preserve">      </v>
      </c>
      <c r="HR132" s="366" t="str">
        <f t="shared" si="317"/>
        <v xml:space="preserve">      </v>
      </c>
      <c r="HS132" s="544" t="str">
        <f t="shared" si="338"/>
        <v/>
      </c>
      <c r="HT132" s="542" t="str">
        <f t="shared" si="318"/>
        <v/>
      </c>
      <c r="HU132" s="541" t="str">
        <f t="shared" si="319"/>
        <v/>
      </c>
      <c r="HV132" s="540" t="str">
        <f t="shared" si="320"/>
        <v/>
      </c>
      <c r="HW132" s="537" t="str">
        <f t="shared" si="321"/>
        <v/>
      </c>
      <c r="HX132" s="539" t="str">
        <f t="shared" si="322"/>
        <v/>
      </c>
      <c r="HY132" s="553" t="str">
        <f>IFERROR(IF(OR(HS132="SUPPLEMENTARY",HS132="RE-EXAM"),'Supp. Result Entry'!AQ130,""),"")</f>
        <v/>
      </c>
      <c r="HZ132" s="538" t="str">
        <f t="shared" si="323"/>
        <v/>
      </c>
      <c r="IA132" s="415" t="str">
        <f t="shared" si="324"/>
        <v/>
      </c>
      <c r="IB132" s="415" t="str">
        <f>IF(AND(HZ132="",IA132=""),"",IF(OR(HS132="SUPPLEMENTARY",HS132="RE-EXAM"),'Supp. Result Entry'!AQ130,HS132))</f>
        <v/>
      </c>
      <c r="IC132" s="87"/>
      <c r="IS132" s="109" t="str">
        <f>IF('Supp. Result Entry'!T130="","",'Supp. Result Entry'!$T$4)</f>
        <v/>
      </c>
      <c r="IT132" s="110" t="str">
        <f>IF('Supp. Result Entry'!W130="","",'Supp. Result Entry'!$W$4)</f>
        <v/>
      </c>
      <c r="IU132" s="110" t="str">
        <f>IF('Supp. Result Entry'!Z130="","",'Supp. Result Entry'!$Z$4)</f>
        <v/>
      </c>
      <c r="IV132" s="110" t="str">
        <f>IF('Supp. Result Entry'!AC130="","",'Supp. Result Entry'!$AC$4)</f>
        <v/>
      </c>
      <c r="IW132" s="110" t="str">
        <f>IF('Supp. Result Entry'!AF130="","",'Supp. Result Entry'!$AF$4)</f>
        <v/>
      </c>
      <c r="IX132" s="110" t="str">
        <f>IF('Supp. Result Entry'!AI130="","",'Supp. Result Entry'!$AI$4)</f>
        <v/>
      </c>
      <c r="IY132" s="110" t="str">
        <f>IF('Supp. Result Entry'!AI130="","",'Supp. Result Entry'!$AL$4)</f>
        <v/>
      </c>
      <c r="IZ132" s="110" t="str">
        <f>IF('Supp. Result Entry'!U130="","",'Supp. Result Entry'!U130)</f>
        <v/>
      </c>
      <c r="JA132" s="110" t="str">
        <f>IF('Supp. Result Entry'!X130="","",'Supp. Result Entry'!X130)</f>
        <v/>
      </c>
      <c r="JB132" s="110" t="str">
        <f>IF('Supp. Result Entry'!AA130="","",'Supp. Result Entry'!AA130)</f>
        <v/>
      </c>
      <c r="JC132" s="110" t="str">
        <f>IF('Supp. Result Entry'!AD130="","",'Supp. Result Entry'!AD130)</f>
        <v/>
      </c>
      <c r="JD132" s="110" t="str">
        <f>IF('Supp. Result Entry'!AG130="","",'Supp. Result Entry'!AG130)</f>
        <v/>
      </c>
      <c r="JE132" s="110" t="str">
        <f>IF('Supp. Result Entry'!AJ130="","",'Supp. Result Entry'!AJ130)</f>
        <v/>
      </c>
      <c r="JF132" s="110" t="str">
        <f>IF('Supp. Result Entry'!AM130="","",'Supp. Result Entry'!AM130)</f>
        <v/>
      </c>
      <c r="JG132" s="110" t="str">
        <f>IF('Supp. Result Entry'!V130="","",'Supp. Result Entry'!V130)</f>
        <v/>
      </c>
      <c r="JH132" s="110" t="str">
        <f>IF('Supp. Result Entry'!Y130="","",'Supp. Result Entry'!Y130)</f>
        <v/>
      </c>
      <c r="JI132" s="110" t="str">
        <f>IF('Supp. Result Entry'!AB130="","",'Supp. Result Entry'!AB130)</f>
        <v/>
      </c>
      <c r="JJ132" s="110" t="str">
        <f>IF('Supp. Result Entry'!AE130="","",'Supp. Result Entry'!AE130)</f>
        <v/>
      </c>
      <c r="JK132" s="110" t="str">
        <f>IF('Supp. Result Entry'!AH130="","",'Supp. Result Entry'!AH130)</f>
        <v/>
      </c>
      <c r="JL132" s="110" t="str">
        <f>IF('Supp. Result Entry'!AK130="","",'Supp. Result Entry'!AK130)</f>
        <v/>
      </c>
      <c r="JM132" s="110" t="str">
        <f>IF('Supp. Result Entry'!AN130="","",'Supp. Result Entry'!AN130)</f>
        <v/>
      </c>
      <c r="JN132" s="110">
        <f>COUNTIF('Supp. Result Entry'!K130:Q130,"S")</f>
        <v>0</v>
      </c>
      <c r="JO132" s="110">
        <f t="shared" si="248"/>
        <v>0</v>
      </c>
      <c r="JP132" s="110">
        <f t="shared" si="325"/>
        <v>0</v>
      </c>
      <c r="JQ132" s="110" t="str">
        <f t="shared" si="249"/>
        <v/>
      </c>
      <c r="JR132" s="110" t="str">
        <f t="shared" si="250"/>
        <v/>
      </c>
      <c r="JS132" s="110" t="str">
        <f t="shared" si="251"/>
        <v/>
      </c>
      <c r="JT132" s="110" t="str">
        <f t="shared" si="252"/>
        <v/>
      </c>
      <c r="JU132" s="110" t="str">
        <f t="shared" si="253"/>
        <v/>
      </c>
      <c r="JV132" s="110" t="str">
        <f t="shared" si="254"/>
        <v/>
      </c>
      <c r="JW132" s="110" t="str">
        <f t="shared" si="255"/>
        <v/>
      </c>
      <c r="JX132" s="110" t="str">
        <f t="shared" si="326"/>
        <v/>
      </c>
      <c r="JY132" s="110" t="str">
        <f t="shared" si="327"/>
        <v/>
      </c>
      <c r="JZ132" s="110" t="str">
        <f t="shared" si="256"/>
        <v/>
      </c>
      <c r="KA132" s="108" t="str">
        <f t="shared" si="328"/>
        <v/>
      </c>
    </row>
    <row r="133" spans="1:287" s="108" customFormat="1" ht="21.95" customHeight="1">
      <c r="A133" s="89">
        <v>127</v>
      </c>
      <c r="B133" s="90" t="str">
        <f>IF('Marks Entry'!B133="","",'Marks Entry'!B133)</f>
        <v/>
      </c>
      <c r="C133" s="94" t="str">
        <f>IF('Marks Entry'!D133="","",'Marks Entry'!D133)</f>
        <v/>
      </c>
      <c r="D133" s="91" t="str">
        <f>IF('Marks Entry'!E133="","",'Marks Entry'!E133)</f>
        <v/>
      </c>
      <c r="E133" s="92" t="str">
        <f>IF('Marks Entry'!F133="","",'Marks Entry'!F133)</f>
        <v/>
      </c>
      <c r="F133" s="93" t="str">
        <f>IF('Marks Entry'!G133="","",'Marks Entry'!G133)</f>
        <v/>
      </c>
      <c r="G133" s="93" t="str">
        <f>IF('Marks Entry'!H133="","",'Marks Entry'!H133)</f>
        <v/>
      </c>
      <c r="H133" s="93" t="str">
        <f>IF('Marks Entry'!I133="","",'Marks Entry'!I133)</f>
        <v/>
      </c>
      <c r="I133" s="94" t="str">
        <f>IF('Marks Entry'!J133="","",'Marks Entry'!J133)</f>
        <v/>
      </c>
      <c r="J133" s="95" t="str">
        <f>IF('Marks Entry'!K133="","",'Marks Entry'!K133)</f>
        <v/>
      </c>
      <c r="K133" s="68" t="str">
        <f>IF('Marks Entry'!L133="","",'Marks Entry'!L133)</f>
        <v/>
      </c>
      <c r="L133" s="68" t="str">
        <f>IF('Marks Entry'!M133="","",'Marks Entry'!M133)</f>
        <v/>
      </c>
      <c r="M133" s="68" t="str">
        <f>IF('Marks Entry'!N133="","",'Marks Entry'!N133)</f>
        <v/>
      </c>
      <c r="N133" s="514" t="str">
        <f t="shared" si="257"/>
        <v/>
      </c>
      <c r="O133" s="68" t="str">
        <f>IF('Marks Entry'!O133="","",'Marks Entry'!O133)</f>
        <v/>
      </c>
      <c r="P133" s="515" t="str">
        <f t="shared" si="258"/>
        <v/>
      </c>
      <c r="Q133" s="68" t="str">
        <f>IF('Marks Entry'!P133="","",'Marks Entry'!P133)</f>
        <v/>
      </c>
      <c r="R133" s="96" t="str">
        <f t="shared" si="259"/>
        <v/>
      </c>
      <c r="S133" s="65">
        <f t="shared" si="260"/>
        <v>0</v>
      </c>
      <c r="T133" s="65">
        <f t="shared" si="261"/>
        <v>0</v>
      </c>
      <c r="U133" s="66" t="str">
        <f t="shared" si="171"/>
        <v/>
      </c>
      <c r="V133" s="65" t="str">
        <f t="shared" si="172"/>
        <v/>
      </c>
      <c r="W133" s="65" t="str">
        <f t="shared" si="262"/>
        <v/>
      </c>
      <c r="X133" s="65" t="str">
        <f t="shared" si="173"/>
        <v/>
      </c>
      <c r="Y133" s="68" t="str">
        <f>IF('Marks Entry'!Q133="","",'Marks Entry'!Q133)</f>
        <v/>
      </c>
      <c r="Z133" s="68" t="str">
        <f>IF('Marks Entry'!R133="","",'Marks Entry'!R133)</f>
        <v/>
      </c>
      <c r="AA133" s="68" t="str">
        <f>IF('Marks Entry'!S133="","",'Marks Entry'!S133)</f>
        <v/>
      </c>
      <c r="AB133" s="514" t="str">
        <f t="shared" si="174"/>
        <v/>
      </c>
      <c r="AC133" s="68" t="str">
        <f>IF('Marks Entry'!T133="","",'Marks Entry'!T133)</f>
        <v/>
      </c>
      <c r="AD133" s="515" t="str">
        <f t="shared" si="175"/>
        <v/>
      </c>
      <c r="AE133" s="68" t="str">
        <f>IF('Marks Entry'!U133="","",'Marks Entry'!U133)</f>
        <v/>
      </c>
      <c r="AF133" s="96" t="str">
        <f t="shared" si="176"/>
        <v/>
      </c>
      <c r="AG133" s="65">
        <f t="shared" si="177"/>
        <v>0</v>
      </c>
      <c r="AH133" s="65">
        <f t="shared" si="178"/>
        <v>0</v>
      </c>
      <c r="AI133" s="66" t="str">
        <f t="shared" si="179"/>
        <v/>
      </c>
      <c r="AJ133" s="65" t="str">
        <f t="shared" si="180"/>
        <v/>
      </c>
      <c r="AK133" s="65" t="str">
        <f t="shared" si="181"/>
        <v/>
      </c>
      <c r="AL133" s="65" t="str">
        <f t="shared" si="182"/>
        <v/>
      </c>
      <c r="AM133" s="524" t="str">
        <f>IF('Marks Entry'!V133="","",IF('Marks Entry'!V133=1,'School Profile'!$I$9,IF('Marks Entry'!V133=2,'School Profile'!$I$10,IF('Marks Entry'!V133=3,'School Profile'!$I$11,IF('Marks Entry'!V133=4,'School Profile'!$I$12,IF('Marks Entry'!V133=5,'School Profile'!$I$13,IF('Marks Entry'!V133=6,'School Profile'!$I$14,"")))))))</f>
        <v/>
      </c>
      <c r="AN133" s="68" t="str">
        <f>IF('Marks Entry'!W133="","",'Marks Entry'!W133)</f>
        <v/>
      </c>
      <c r="AO133" s="68" t="str">
        <f>IF('Marks Entry'!X133="","",'Marks Entry'!X133)</f>
        <v/>
      </c>
      <c r="AP133" s="68" t="str">
        <f>IF('Marks Entry'!Y133="","",'Marks Entry'!Y133)</f>
        <v/>
      </c>
      <c r="AQ133" s="514" t="str">
        <f t="shared" si="183"/>
        <v/>
      </c>
      <c r="AR133" s="68" t="str">
        <f>IF('Marks Entry'!Z133="","",'Marks Entry'!Z133)</f>
        <v/>
      </c>
      <c r="AS133" s="515" t="str">
        <f t="shared" si="184"/>
        <v/>
      </c>
      <c r="AT133" s="68" t="str">
        <f>IF('Marks Entry'!AA133="","",'Marks Entry'!AA133)</f>
        <v/>
      </c>
      <c r="AU133" s="96" t="str">
        <f t="shared" si="185"/>
        <v/>
      </c>
      <c r="AV133" s="65">
        <f t="shared" si="186"/>
        <v>0</v>
      </c>
      <c r="AW133" s="65">
        <f t="shared" si="187"/>
        <v>0</v>
      </c>
      <c r="AX133" s="66" t="str">
        <f t="shared" si="188"/>
        <v/>
      </c>
      <c r="AY133" s="65" t="str">
        <f t="shared" si="189"/>
        <v/>
      </c>
      <c r="AZ133" s="65" t="str">
        <f t="shared" si="190"/>
        <v/>
      </c>
      <c r="BA133" s="65" t="str">
        <f t="shared" si="191"/>
        <v/>
      </c>
      <c r="BB133" s="68" t="str">
        <f>IF('Marks Entry'!AB133="","",'Marks Entry'!AB133)</f>
        <v/>
      </c>
      <c r="BC133" s="68" t="str">
        <f>IF('Marks Entry'!AC133="","",'Marks Entry'!AC133)</f>
        <v/>
      </c>
      <c r="BD133" s="68" t="str">
        <f>IF('Marks Entry'!AD133="","",'Marks Entry'!AD133)</f>
        <v/>
      </c>
      <c r="BE133" s="514" t="str">
        <f t="shared" si="192"/>
        <v/>
      </c>
      <c r="BF133" s="68" t="str">
        <f>IF('Marks Entry'!AE133="","",'Marks Entry'!AE133)</f>
        <v/>
      </c>
      <c r="BG133" s="515" t="str">
        <f t="shared" si="193"/>
        <v/>
      </c>
      <c r="BH133" s="68" t="str">
        <f>IF('Marks Entry'!AF133="","",'Marks Entry'!AF133)</f>
        <v/>
      </c>
      <c r="BI133" s="96" t="str">
        <f t="shared" si="194"/>
        <v/>
      </c>
      <c r="BJ133" s="65">
        <f t="shared" si="195"/>
        <v>0</v>
      </c>
      <c r="BK133" s="65">
        <f t="shared" si="263"/>
        <v>0</v>
      </c>
      <c r="BL133" s="66" t="str">
        <f t="shared" si="196"/>
        <v/>
      </c>
      <c r="BM133" s="65" t="str">
        <f t="shared" si="197"/>
        <v/>
      </c>
      <c r="BN133" s="65" t="str">
        <f t="shared" si="198"/>
        <v/>
      </c>
      <c r="BO133" s="65" t="str">
        <f t="shared" si="199"/>
        <v/>
      </c>
      <c r="BP133" s="68" t="str">
        <f>IF('Marks Entry'!AG133="","",'Marks Entry'!AG133)</f>
        <v/>
      </c>
      <c r="BQ133" s="68" t="str">
        <f>IF('Marks Entry'!AH133="","",'Marks Entry'!AH133)</f>
        <v/>
      </c>
      <c r="BR133" s="68" t="str">
        <f>IF('Marks Entry'!AI133="","",'Marks Entry'!AI133)</f>
        <v/>
      </c>
      <c r="BS133" s="514" t="str">
        <f t="shared" si="200"/>
        <v/>
      </c>
      <c r="BT133" s="68" t="str">
        <f>IF('Marks Entry'!AJ133="","",'Marks Entry'!AJ133)</f>
        <v/>
      </c>
      <c r="BU133" s="515" t="str">
        <f t="shared" si="201"/>
        <v/>
      </c>
      <c r="BV133" s="68" t="str">
        <f>IF('Marks Entry'!AK133="","",'Marks Entry'!AK133)</f>
        <v/>
      </c>
      <c r="BW133" s="96" t="str">
        <f t="shared" si="202"/>
        <v/>
      </c>
      <c r="BX133" s="65">
        <f t="shared" si="203"/>
        <v>0</v>
      </c>
      <c r="BY133" s="65">
        <f t="shared" si="204"/>
        <v>0</v>
      </c>
      <c r="BZ133" s="66" t="str">
        <f t="shared" si="205"/>
        <v/>
      </c>
      <c r="CA133" s="65" t="str">
        <f t="shared" si="206"/>
        <v/>
      </c>
      <c r="CB133" s="65" t="str">
        <f t="shared" si="207"/>
        <v/>
      </c>
      <c r="CC133" s="65" t="str">
        <f t="shared" si="208"/>
        <v/>
      </c>
      <c r="CD133" s="66">
        <f t="shared" si="329"/>
        <v>0</v>
      </c>
      <c r="CE133" s="68" t="str">
        <f>IF('Marks Entry'!AL133="","",'Marks Entry'!AL133)</f>
        <v/>
      </c>
      <c r="CF133" s="68" t="str">
        <f>IF('Marks Entry'!AM133="","",'Marks Entry'!AM133)</f>
        <v/>
      </c>
      <c r="CG133" s="68" t="str">
        <f>IF('Marks Entry'!AN133="","",'Marks Entry'!AN133)</f>
        <v/>
      </c>
      <c r="CH133" s="514" t="str">
        <f t="shared" si="210"/>
        <v/>
      </c>
      <c r="CI133" s="68" t="str">
        <f>IF('Marks Entry'!AO133="","",'Marks Entry'!AO133)</f>
        <v/>
      </c>
      <c r="CJ133" s="515" t="str">
        <f t="shared" si="211"/>
        <v/>
      </c>
      <c r="CK133" s="68" t="str">
        <f>IF('Marks Entry'!AP133="","",'Marks Entry'!AP133)</f>
        <v/>
      </c>
      <c r="CL133" s="96" t="str">
        <f t="shared" si="212"/>
        <v/>
      </c>
      <c r="CM133" s="65">
        <f t="shared" si="213"/>
        <v>0</v>
      </c>
      <c r="CN133" s="65">
        <f t="shared" si="214"/>
        <v>0</v>
      </c>
      <c r="CO133" s="66" t="str">
        <f t="shared" si="215"/>
        <v/>
      </c>
      <c r="CP133" s="65" t="str">
        <f t="shared" si="216"/>
        <v/>
      </c>
      <c r="CQ133" s="65" t="str">
        <f t="shared" si="217"/>
        <v/>
      </c>
      <c r="CR133" s="65" t="str">
        <f t="shared" si="218"/>
        <v/>
      </c>
      <c r="CS133" s="616"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8" t="str">
        <f>IF('School Profile'!$D$20="NO","",IF('Marks Entry'!AR133="","",'Marks Entry'!AR133))</f>
        <v/>
      </c>
      <c r="CU133" s="68" t="str">
        <f>IF('School Profile'!$D$20="NO","",IF('Marks Entry'!AS133="","",'Marks Entry'!AS133))</f>
        <v/>
      </c>
      <c r="CV133" s="68" t="str">
        <f>IF('School Profile'!$D$20="NO","",IF('Marks Entry'!AT133="","",'Marks Entry'!AT133))</f>
        <v/>
      </c>
      <c r="CW133" s="514" t="str">
        <f>IF('School Profile'!$D$20="NO","",IF(AND(CT133="",CU133="",CV133=""),"",SUM(CT133:CV133)))</f>
        <v/>
      </c>
      <c r="CX133" s="68" t="str">
        <f>IF('School Profile'!$D$20="NO","",IF('Marks Entry'!AU133="","",'Marks Entry'!AU133))</f>
        <v/>
      </c>
      <c r="CY133" s="68" t="str">
        <f>IF('School Profile'!$D$20="NO","",IF('Marks Entry'!AV133="","",'Marks Entry'!AV133))</f>
        <v/>
      </c>
      <c r="CZ133" s="515" t="str">
        <f>IF('School Profile'!$D$20="NO","",IF(AND(CX133="",CY133=""),"",SUM(CX133,CY133)))</f>
        <v/>
      </c>
      <c r="DA133" s="69" t="str">
        <f>IF('School Profile'!$D$20="NO","",IF(AND(CW133="",CZ133=""),"",SUM(CW133+CZ133)))</f>
        <v/>
      </c>
      <c r="DB133" s="68" t="str">
        <f>IF('School Profile'!$D$20="NO","",IF('Marks Entry'!AW133="","",'Marks Entry'!AW133))</f>
        <v/>
      </c>
      <c r="DC133" s="68" t="str">
        <f>IF('School Profile'!$D$20="NO","",IF('Marks Entry'!AX133="","",'Marks Entry'!AX133))</f>
        <v/>
      </c>
      <c r="DD133" s="515" t="str">
        <f>IF('School Profile'!$D$20="NO","",IF(AND(DB133="",DC133=""),"",SUM(DB133,DC133)))</f>
        <v/>
      </c>
      <c r="DE133" s="96" t="str">
        <f>IF('School Profile'!$D$20="NO","",IF(AND(DA133="",DD133=""),"",SUM(DA133,DD133)))</f>
        <v/>
      </c>
      <c r="DF133" s="532">
        <f t="shared" si="219"/>
        <v>0</v>
      </c>
      <c r="DG133" s="65">
        <f t="shared" si="220"/>
        <v>0</v>
      </c>
      <c r="DH133" s="66" t="str">
        <f t="shared" si="221"/>
        <v/>
      </c>
      <c r="DI133" s="65" t="str">
        <f t="shared" si="222"/>
        <v/>
      </c>
      <c r="DJ133" s="65" t="str">
        <f t="shared" si="223"/>
        <v/>
      </c>
      <c r="DK133" s="65" t="str">
        <f t="shared" si="224"/>
        <v/>
      </c>
      <c r="DL133" s="97" t="str">
        <f t="shared" si="264"/>
        <v/>
      </c>
      <c r="DM133" s="97" t="str">
        <f t="shared" si="265"/>
        <v/>
      </c>
      <c r="DN133" s="97" t="str">
        <f t="shared" si="266"/>
        <v/>
      </c>
      <c r="DO133" s="97" t="str">
        <f t="shared" si="267"/>
        <v/>
      </c>
      <c r="DP133" s="97" t="str">
        <f t="shared" si="268"/>
        <v/>
      </c>
      <c r="DQ133" s="97" t="str">
        <f t="shared" si="269"/>
        <v/>
      </c>
      <c r="DR133" s="97" t="str">
        <f t="shared" si="270"/>
        <v/>
      </c>
      <c r="DS133" s="98">
        <f t="shared" si="271"/>
        <v>0</v>
      </c>
      <c r="DT133" s="98">
        <f t="shared" si="272"/>
        <v>0</v>
      </c>
      <c r="DU133" s="98">
        <f t="shared" si="273"/>
        <v>0</v>
      </c>
      <c r="DV133" s="98">
        <f t="shared" si="274"/>
        <v>0</v>
      </c>
      <c r="DW133" s="98">
        <f t="shared" si="275"/>
        <v>0</v>
      </c>
      <c r="DX133" s="98" t="str">
        <f t="shared" si="276"/>
        <v/>
      </c>
      <c r="DY133" s="99" t="str">
        <f t="shared" si="277"/>
        <v/>
      </c>
      <c r="DZ133" s="74" t="str">
        <f>IF('Marks Entry'!AY133="","",'Marks Entry'!AY133)</f>
        <v/>
      </c>
      <c r="EA133" s="74" t="str">
        <f>IF('Marks Entry'!AZ133="","",'Marks Entry'!AZ133)</f>
        <v/>
      </c>
      <c r="EB133" s="74" t="str">
        <f>IF('Marks Entry'!BA133="","",'Marks Entry'!BA133)</f>
        <v/>
      </c>
      <c r="EC133" s="527" t="str">
        <f t="shared" si="225"/>
        <v/>
      </c>
      <c r="ED133" s="74" t="str">
        <f>IF('Marks Entry'!BB133="","",'Marks Entry'!BB133)</f>
        <v/>
      </c>
      <c r="EE133" s="528" t="str">
        <f t="shared" si="226"/>
        <v/>
      </c>
      <c r="EF133" s="74" t="str">
        <f>IF('Marks Entry'!BC133="","",'Marks Entry'!BC133)</f>
        <v/>
      </c>
      <c r="EG133" s="530" t="str">
        <f t="shared" si="227"/>
        <v/>
      </c>
      <c r="EH133" s="368" t="str">
        <f t="shared" si="278"/>
        <v/>
      </c>
      <c r="EI133" s="65">
        <f t="shared" si="279"/>
        <v>0</v>
      </c>
      <c r="EJ133" s="65">
        <f t="shared" si="280"/>
        <v>0</v>
      </c>
      <c r="EK133" s="66" t="str">
        <f t="shared" si="281"/>
        <v/>
      </c>
      <c r="EL133" s="74" t="str">
        <f>IF('Marks Entry'!BD133="","",'Marks Entry'!BD133)</f>
        <v/>
      </c>
      <c r="EM133" s="74" t="str">
        <f>IF('Marks Entry'!BE133="","",'Marks Entry'!BE133)</f>
        <v/>
      </c>
      <c r="EN133" s="74" t="str">
        <f>IF('Marks Entry'!BF133="","",'Marks Entry'!BF133)</f>
        <v/>
      </c>
      <c r="EO133" s="527" t="str">
        <f t="shared" si="228"/>
        <v/>
      </c>
      <c r="EP133" s="74" t="str">
        <f>IF('Marks Entry'!BG133="","",'Marks Entry'!BG133)</f>
        <v/>
      </c>
      <c r="EQ133" s="74" t="str">
        <f>IF('Marks Entry'!BH133="","",'Marks Entry'!BH133)</f>
        <v/>
      </c>
      <c r="ER133" s="528" t="str">
        <f t="shared" si="229"/>
        <v/>
      </c>
      <c r="ES133" s="529" t="str">
        <f t="shared" si="230"/>
        <v/>
      </c>
      <c r="ET133" s="74" t="str">
        <f>IF('Marks Entry'!BI133="","",'Marks Entry'!BI133)</f>
        <v/>
      </c>
      <c r="EU133" s="74" t="str">
        <f>IF('Marks Entry'!BJ133="","",'Marks Entry'!BJ133)</f>
        <v/>
      </c>
      <c r="EV133" s="528" t="str">
        <f t="shared" si="231"/>
        <v/>
      </c>
      <c r="EW133" s="530" t="str">
        <f t="shared" si="232"/>
        <v/>
      </c>
      <c r="EX133" s="368" t="str">
        <f t="shared" si="282"/>
        <v/>
      </c>
      <c r="EY133" s="65">
        <f t="shared" si="283"/>
        <v>0</v>
      </c>
      <c r="EZ133" s="65">
        <f t="shared" si="284"/>
        <v>0</v>
      </c>
      <c r="FA133" s="66" t="str">
        <f t="shared" si="285"/>
        <v/>
      </c>
      <c r="FB133" s="74" t="str">
        <f>IF('Marks Entry'!BK133="","",'Marks Entry'!BK133)</f>
        <v/>
      </c>
      <c r="FC133" s="74" t="str">
        <f>IF('Marks Entry'!BL133="","",'Marks Entry'!BL133)</f>
        <v/>
      </c>
      <c r="FD133" s="74" t="str">
        <f>IF('Marks Entry'!BM133="","",'Marks Entry'!BM133)</f>
        <v/>
      </c>
      <c r="FE133" s="74" t="str">
        <f>IF('Marks Entry'!BN133="","",'Marks Entry'!BN133)</f>
        <v/>
      </c>
      <c r="FF133" s="74" t="str">
        <f>IF('Marks Entry'!BO133="","",'Marks Entry'!BO133)</f>
        <v/>
      </c>
      <c r="FG133" s="74" t="str">
        <f>IF('Marks Entry'!BP133="","",'Marks Entry'!BP133)</f>
        <v/>
      </c>
      <c r="FH133" s="527" t="str">
        <f t="shared" si="233"/>
        <v/>
      </c>
      <c r="FI133" s="74" t="str">
        <f>IF('Marks Entry'!BQ133="","",'Marks Entry'!BQ133)</f>
        <v/>
      </c>
      <c r="FJ133" s="74" t="str">
        <f>IF('Marks Entry'!BR133="","",'Marks Entry'!BR133)</f>
        <v/>
      </c>
      <c r="FK133" s="528" t="str">
        <f t="shared" si="234"/>
        <v/>
      </c>
      <c r="FL133" s="529" t="str">
        <f t="shared" si="235"/>
        <v/>
      </c>
      <c r="FM133" s="74" t="str">
        <f>IF('Marks Entry'!BS133="","",'Marks Entry'!BS133)</f>
        <v/>
      </c>
      <c r="FN133" s="74" t="str">
        <f>IF('Marks Entry'!BT133="","",'Marks Entry'!BT133)</f>
        <v/>
      </c>
      <c r="FO133" s="528" t="str">
        <f t="shared" si="236"/>
        <v/>
      </c>
      <c r="FP133" s="530" t="str">
        <f t="shared" si="237"/>
        <v/>
      </c>
      <c r="FQ133" s="368" t="str">
        <f t="shared" si="286"/>
        <v/>
      </c>
      <c r="FR133" s="65">
        <f t="shared" si="287"/>
        <v>0</v>
      </c>
      <c r="FS133" s="65">
        <f t="shared" si="288"/>
        <v>0</v>
      </c>
      <c r="FT133" s="66" t="str">
        <f t="shared" si="289"/>
        <v/>
      </c>
      <c r="FU133" s="74" t="str">
        <f>IF('Marks Entry'!BU133="","",'Marks Entry'!BU133)</f>
        <v/>
      </c>
      <c r="FV133" s="74" t="str">
        <f>IF('Marks Entry'!BV133="","",'Marks Entry'!BV133)</f>
        <v/>
      </c>
      <c r="FW133" s="74" t="str">
        <f>IF('Marks Entry'!BW133="","",'Marks Entry'!BW133)</f>
        <v/>
      </c>
      <c r="FX133" s="75" t="str">
        <f t="shared" si="238"/>
        <v/>
      </c>
      <c r="FY133" s="368" t="str">
        <f t="shared" si="290"/>
        <v/>
      </c>
      <c r="FZ133" s="65">
        <f t="shared" si="291"/>
        <v>0</v>
      </c>
      <c r="GA133" s="66">
        <f t="shared" si="292"/>
        <v>0</v>
      </c>
      <c r="GB133" s="66" t="str">
        <f t="shared" si="293"/>
        <v/>
      </c>
      <c r="GC133" s="74" t="str">
        <f>IF('Marks Entry'!BX133="","",'Marks Entry'!BX133)</f>
        <v/>
      </c>
      <c r="GD133" s="74" t="str">
        <f>IF('Marks Entry'!BY133="","",'Marks Entry'!BY133)</f>
        <v/>
      </c>
      <c r="GE133" s="74" t="str">
        <f>IF('Marks Entry'!BZ133="","",'Marks Entry'!BZ133)</f>
        <v/>
      </c>
      <c r="GF133" s="75" t="str">
        <f t="shared" si="294"/>
        <v/>
      </c>
      <c r="GG133" s="368" t="str">
        <f t="shared" si="295"/>
        <v/>
      </c>
      <c r="GH133" s="65">
        <f t="shared" si="296"/>
        <v>0</v>
      </c>
      <c r="GI133" s="66">
        <f t="shared" si="297"/>
        <v>0</v>
      </c>
      <c r="GJ133" s="66" t="str">
        <f t="shared" si="298"/>
        <v/>
      </c>
      <c r="GK133" s="100" t="str">
        <f>IF(AND(F133="",B133=""),"",IF('Student DATA Entry'!M130="","",'Student DATA Entry'!M130))</f>
        <v/>
      </c>
      <c r="GL133" s="101" t="str">
        <f>IF(AND(B133="",F133=""),"",IF('Student DATA Entry'!N130="","",'Student DATA Entry'!N130))</f>
        <v/>
      </c>
      <c r="GM133" s="581" t="str">
        <f t="shared" si="299"/>
        <v/>
      </c>
      <c r="GN133" s="94" t="str">
        <f t="shared" si="300"/>
        <v/>
      </c>
      <c r="GO133" s="94" t="str">
        <f t="shared" si="301"/>
        <v/>
      </c>
      <c r="GP133" s="102" t="str">
        <f t="shared" si="330"/>
        <v/>
      </c>
      <c r="GQ133" s="94" t="str">
        <f t="shared" si="302"/>
        <v/>
      </c>
      <c r="GR133" s="103" t="str">
        <f t="shared" si="303"/>
        <v/>
      </c>
      <c r="GS133" s="102" t="str">
        <f t="shared" si="331"/>
        <v/>
      </c>
      <c r="GT133" s="104" t="str">
        <f t="shared" si="304"/>
        <v/>
      </c>
      <c r="GU133" s="94" t="str">
        <f>IF('Marks Entry'!V133=1,GT133,"")</f>
        <v/>
      </c>
      <c r="GV133" s="94" t="str">
        <f>IF('Marks Entry'!V133=2,GT133,"")</f>
        <v/>
      </c>
      <c r="GW133" s="94" t="str">
        <f>IF('Marks Entry'!V133=3,GT133,"")</f>
        <v/>
      </c>
      <c r="GX133" s="94" t="str">
        <f>IF('Marks Entry'!V133=4,GT133,"")</f>
        <v/>
      </c>
      <c r="GY133" s="94" t="str">
        <f>IF('Marks Entry'!V133=5,GT133,"")</f>
        <v/>
      </c>
      <c r="GZ133" s="94" t="str">
        <f t="shared" si="305"/>
        <v/>
      </c>
      <c r="HA133" s="105" t="str">
        <f t="shared" si="332"/>
        <v/>
      </c>
      <c r="HB133" s="94" t="str">
        <f t="shared" si="306"/>
        <v/>
      </c>
      <c r="HC133" s="94" t="str">
        <f t="shared" si="307"/>
        <v/>
      </c>
      <c r="HD133" s="105" t="str">
        <f t="shared" si="333"/>
        <v/>
      </c>
      <c r="HE133" s="94" t="str">
        <f t="shared" si="308"/>
        <v/>
      </c>
      <c r="HF133" s="94" t="str">
        <f t="shared" si="309"/>
        <v/>
      </c>
      <c r="HG133" s="105" t="str">
        <f t="shared" si="334"/>
        <v/>
      </c>
      <c r="HH133" s="94" t="str">
        <f t="shared" si="310"/>
        <v/>
      </c>
      <c r="HI133" s="94" t="str">
        <f t="shared" si="311"/>
        <v/>
      </c>
      <c r="HJ133" s="105" t="str">
        <f t="shared" si="335"/>
        <v/>
      </c>
      <c r="HK133" s="94" t="str">
        <f t="shared" si="312"/>
        <v/>
      </c>
      <c r="HL133" s="94" t="str">
        <f t="shared" si="313"/>
        <v/>
      </c>
      <c r="HM133" s="105" t="str">
        <f t="shared" si="336"/>
        <v/>
      </c>
      <c r="HN133" s="367" t="str">
        <f t="shared" si="314"/>
        <v xml:space="preserve">      </v>
      </c>
      <c r="HO133" s="418" t="str">
        <f t="shared" si="337"/>
        <v xml:space="preserve">      </v>
      </c>
      <c r="HP133" s="367" t="str">
        <f t="shared" si="315"/>
        <v xml:space="preserve">      </v>
      </c>
      <c r="HQ133" s="107" t="str">
        <f t="shared" si="316"/>
        <v xml:space="preserve">      </v>
      </c>
      <c r="HR133" s="366" t="str">
        <f t="shared" si="317"/>
        <v xml:space="preserve">      </v>
      </c>
      <c r="HS133" s="544" t="str">
        <f t="shared" si="338"/>
        <v/>
      </c>
      <c r="HT133" s="542" t="str">
        <f t="shared" si="318"/>
        <v/>
      </c>
      <c r="HU133" s="541" t="str">
        <f t="shared" si="319"/>
        <v/>
      </c>
      <c r="HV133" s="540" t="str">
        <f t="shared" si="320"/>
        <v/>
      </c>
      <c r="HW133" s="537" t="str">
        <f t="shared" si="321"/>
        <v/>
      </c>
      <c r="HX133" s="539" t="str">
        <f t="shared" si="322"/>
        <v/>
      </c>
      <c r="HY133" s="553" t="str">
        <f>IFERROR(IF(OR(HS133="SUPPLEMENTARY",HS133="RE-EXAM"),'Supp. Result Entry'!AQ131,""),"")</f>
        <v/>
      </c>
      <c r="HZ133" s="538" t="str">
        <f t="shared" si="323"/>
        <v/>
      </c>
      <c r="IA133" s="415" t="str">
        <f t="shared" si="324"/>
        <v/>
      </c>
      <c r="IB133" s="415" t="str">
        <f>IF(AND(HZ133="",IA133=""),"",IF(OR(HS133="SUPPLEMENTARY",HS133="RE-EXAM"),'Supp. Result Entry'!AQ131,HS133))</f>
        <v/>
      </c>
      <c r="IC133" s="87"/>
      <c r="IS133" s="109" t="str">
        <f>IF('Supp. Result Entry'!T131="","",'Supp. Result Entry'!$T$4)</f>
        <v/>
      </c>
      <c r="IT133" s="110" t="str">
        <f>IF('Supp. Result Entry'!W131="","",'Supp. Result Entry'!$W$4)</f>
        <v/>
      </c>
      <c r="IU133" s="110" t="str">
        <f>IF('Supp. Result Entry'!Z131="","",'Supp. Result Entry'!$Z$4)</f>
        <v/>
      </c>
      <c r="IV133" s="110" t="str">
        <f>IF('Supp. Result Entry'!AC131="","",'Supp. Result Entry'!$AC$4)</f>
        <v/>
      </c>
      <c r="IW133" s="110" t="str">
        <f>IF('Supp. Result Entry'!AF131="","",'Supp. Result Entry'!$AF$4)</f>
        <v/>
      </c>
      <c r="IX133" s="110" t="str">
        <f>IF('Supp. Result Entry'!AI131="","",'Supp. Result Entry'!$AI$4)</f>
        <v/>
      </c>
      <c r="IY133" s="110" t="str">
        <f>IF('Supp. Result Entry'!AI131="","",'Supp. Result Entry'!$AL$4)</f>
        <v/>
      </c>
      <c r="IZ133" s="110" t="str">
        <f>IF('Supp. Result Entry'!U131="","",'Supp. Result Entry'!U131)</f>
        <v/>
      </c>
      <c r="JA133" s="110" t="str">
        <f>IF('Supp. Result Entry'!X131="","",'Supp. Result Entry'!X131)</f>
        <v/>
      </c>
      <c r="JB133" s="110" t="str">
        <f>IF('Supp. Result Entry'!AA131="","",'Supp. Result Entry'!AA131)</f>
        <v/>
      </c>
      <c r="JC133" s="110" t="str">
        <f>IF('Supp. Result Entry'!AD131="","",'Supp. Result Entry'!AD131)</f>
        <v/>
      </c>
      <c r="JD133" s="110" t="str">
        <f>IF('Supp. Result Entry'!AG131="","",'Supp. Result Entry'!AG131)</f>
        <v/>
      </c>
      <c r="JE133" s="110" t="str">
        <f>IF('Supp. Result Entry'!AJ131="","",'Supp. Result Entry'!AJ131)</f>
        <v/>
      </c>
      <c r="JF133" s="110" t="str">
        <f>IF('Supp. Result Entry'!AM131="","",'Supp. Result Entry'!AM131)</f>
        <v/>
      </c>
      <c r="JG133" s="110" t="str">
        <f>IF('Supp. Result Entry'!V131="","",'Supp. Result Entry'!V131)</f>
        <v/>
      </c>
      <c r="JH133" s="110" t="str">
        <f>IF('Supp. Result Entry'!Y131="","",'Supp. Result Entry'!Y131)</f>
        <v/>
      </c>
      <c r="JI133" s="110" t="str">
        <f>IF('Supp. Result Entry'!AB131="","",'Supp. Result Entry'!AB131)</f>
        <v/>
      </c>
      <c r="JJ133" s="110" t="str">
        <f>IF('Supp. Result Entry'!AE131="","",'Supp. Result Entry'!AE131)</f>
        <v/>
      </c>
      <c r="JK133" s="110" t="str">
        <f>IF('Supp. Result Entry'!AH131="","",'Supp. Result Entry'!AH131)</f>
        <v/>
      </c>
      <c r="JL133" s="110" t="str">
        <f>IF('Supp. Result Entry'!AK131="","",'Supp. Result Entry'!AK131)</f>
        <v/>
      </c>
      <c r="JM133" s="110" t="str">
        <f>IF('Supp. Result Entry'!AN131="","",'Supp. Result Entry'!AN131)</f>
        <v/>
      </c>
      <c r="JN133" s="110">
        <f>COUNTIF('Supp. Result Entry'!K131:Q131,"S")</f>
        <v>0</v>
      </c>
      <c r="JO133" s="110">
        <f t="shared" si="248"/>
        <v>0</v>
      </c>
      <c r="JP133" s="110">
        <f t="shared" si="325"/>
        <v>0</v>
      </c>
      <c r="JQ133" s="110" t="str">
        <f t="shared" si="249"/>
        <v/>
      </c>
      <c r="JR133" s="110" t="str">
        <f t="shared" si="250"/>
        <v/>
      </c>
      <c r="JS133" s="110" t="str">
        <f t="shared" si="251"/>
        <v/>
      </c>
      <c r="JT133" s="110" t="str">
        <f t="shared" si="252"/>
        <v/>
      </c>
      <c r="JU133" s="110" t="str">
        <f t="shared" si="253"/>
        <v/>
      </c>
      <c r="JV133" s="110" t="str">
        <f t="shared" si="254"/>
        <v/>
      </c>
      <c r="JW133" s="110" t="str">
        <f t="shared" si="255"/>
        <v/>
      </c>
      <c r="JX133" s="110" t="str">
        <f t="shared" si="326"/>
        <v/>
      </c>
      <c r="JY133" s="110" t="str">
        <f t="shared" si="327"/>
        <v/>
      </c>
      <c r="JZ133" s="110" t="str">
        <f t="shared" si="256"/>
        <v/>
      </c>
      <c r="KA133" s="108" t="str">
        <f t="shared" si="328"/>
        <v/>
      </c>
    </row>
    <row r="134" spans="1:287" s="108" customFormat="1" ht="21.95" customHeight="1">
      <c r="A134" s="89">
        <v>128</v>
      </c>
      <c r="B134" s="90" t="str">
        <f>IF('Marks Entry'!B134="","",'Marks Entry'!B134)</f>
        <v/>
      </c>
      <c r="C134" s="94" t="str">
        <f>IF('Marks Entry'!D134="","",'Marks Entry'!D134)</f>
        <v/>
      </c>
      <c r="D134" s="91" t="str">
        <f>IF('Marks Entry'!E134="","",'Marks Entry'!E134)</f>
        <v/>
      </c>
      <c r="E134" s="92" t="str">
        <f>IF('Marks Entry'!F134="","",'Marks Entry'!F134)</f>
        <v/>
      </c>
      <c r="F134" s="93" t="str">
        <f>IF('Marks Entry'!G134="","",'Marks Entry'!G134)</f>
        <v/>
      </c>
      <c r="G134" s="93" t="str">
        <f>IF('Marks Entry'!H134="","",'Marks Entry'!H134)</f>
        <v/>
      </c>
      <c r="H134" s="93" t="str">
        <f>IF('Marks Entry'!I134="","",'Marks Entry'!I134)</f>
        <v/>
      </c>
      <c r="I134" s="94" t="str">
        <f>IF('Marks Entry'!J134="","",'Marks Entry'!J134)</f>
        <v/>
      </c>
      <c r="J134" s="95" t="str">
        <f>IF('Marks Entry'!K134="","",'Marks Entry'!K134)</f>
        <v/>
      </c>
      <c r="K134" s="68" t="str">
        <f>IF('Marks Entry'!L134="","",'Marks Entry'!L134)</f>
        <v/>
      </c>
      <c r="L134" s="68" t="str">
        <f>IF('Marks Entry'!M134="","",'Marks Entry'!M134)</f>
        <v/>
      </c>
      <c r="M134" s="68" t="str">
        <f>IF('Marks Entry'!N134="","",'Marks Entry'!N134)</f>
        <v/>
      </c>
      <c r="N134" s="514" t="str">
        <f t="shared" si="257"/>
        <v/>
      </c>
      <c r="O134" s="68" t="str">
        <f>IF('Marks Entry'!O134="","",'Marks Entry'!O134)</f>
        <v/>
      </c>
      <c r="P134" s="515" t="str">
        <f t="shared" si="258"/>
        <v/>
      </c>
      <c r="Q134" s="68" t="str">
        <f>IF('Marks Entry'!P134="","",'Marks Entry'!P134)</f>
        <v/>
      </c>
      <c r="R134" s="96" t="str">
        <f t="shared" si="259"/>
        <v/>
      </c>
      <c r="S134" s="65">
        <f t="shared" si="260"/>
        <v>0</v>
      </c>
      <c r="T134" s="65">
        <f t="shared" si="261"/>
        <v>0</v>
      </c>
      <c r="U134" s="66" t="str">
        <f t="shared" si="171"/>
        <v/>
      </c>
      <c r="V134" s="65" t="str">
        <f t="shared" si="172"/>
        <v/>
      </c>
      <c r="W134" s="65" t="str">
        <f t="shared" si="262"/>
        <v/>
      </c>
      <c r="X134" s="65" t="str">
        <f t="shared" si="173"/>
        <v/>
      </c>
      <c r="Y134" s="68" t="str">
        <f>IF('Marks Entry'!Q134="","",'Marks Entry'!Q134)</f>
        <v/>
      </c>
      <c r="Z134" s="68" t="str">
        <f>IF('Marks Entry'!R134="","",'Marks Entry'!R134)</f>
        <v/>
      </c>
      <c r="AA134" s="68" t="str">
        <f>IF('Marks Entry'!S134="","",'Marks Entry'!S134)</f>
        <v/>
      </c>
      <c r="AB134" s="514" t="str">
        <f t="shared" si="174"/>
        <v/>
      </c>
      <c r="AC134" s="68" t="str">
        <f>IF('Marks Entry'!T134="","",'Marks Entry'!T134)</f>
        <v/>
      </c>
      <c r="AD134" s="515" t="str">
        <f t="shared" si="175"/>
        <v/>
      </c>
      <c r="AE134" s="68" t="str">
        <f>IF('Marks Entry'!U134="","",'Marks Entry'!U134)</f>
        <v/>
      </c>
      <c r="AF134" s="96" t="str">
        <f t="shared" si="176"/>
        <v/>
      </c>
      <c r="AG134" s="65">
        <f t="shared" si="177"/>
        <v>0</v>
      </c>
      <c r="AH134" s="65">
        <f t="shared" si="178"/>
        <v>0</v>
      </c>
      <c r="AI134" s="66" t="str">
        <f t="shared" si="179"/>
        <v/>
      </c>
      <c r="AJ134" s="65" t="str">
        <f t="shared" si="180"/>
        <v/>
      </c>
      <c r="AK134" s="65" t="str">
        <f t="shared" si="181"/>
        <v/>
      </c>
      <c r="AL134" s="65" t="str">
        <f t="shared" si="182"/>
        <v/>
      </c>
      <c r="AM134" s="524" t="str">
        <f>IF('Marks Entry'!V134="","",IF('Marks Entry'!V134=1,'School Profile'!$I$9,IF('Marks Entry'!V134=2,'School Profile'!$I$10,IF('Marks Entry'!V134=3,'School Profile'!$I$11,IF('Marks Entry'!V134=4,'School Profile'!$I$12,IF('Marks Entry'!V134=5,'School Profile'!$I$13,IF('Marks Entry'!V134=6,'School Profile'!$I$14,"")))))))</f>
        <v/>
      </c>
      <c r="AN134" s="68" t="str">
        <f>IF('Marks Entry'!W134="","",'Marks Entry'!W134)</f>
        <v/>
      </c>
      <c r="AO134" s="68" t="str">
        <f>IF('Marks Entry'!X134="","",'Marks Entry'!X134)</f>
        <v/>
      </c>
      <c r="AP134" s="68" t="str">
        <f>IF('Marks Entry'!Y134="","",'Marks Entry'!Y134)</f>
        <v/>
      </c>
      <c r="AQ134" s="514" t="str">
        <f t="shared" si="183"/>
        <v/>
      </c>
      <c r="AR134" s="68" t="str">
        <f>IF('Marks Entry'!Z134="","",'Marks Entry'!Z134)</f>
        <v/>
      </c>
      <c r="AS134" s="515" t="str">
        <f t="shared" si="184"/>
        <v/>
      </c>
      <c r="AT134" s="68" t="str">
        <f>IF('Marks Entry'!AA134="","",'Marks Entry'!AA134)</f>
        <v/>
      </c>
      <c r="AU134" s="96" t="str">
        <f t="shared" si="185"/>
        <v/>
      </c>
      <c r="AV134" s="65">
        <f t="shared" si="186"/>
        <v>0</v>
      </c>
      <c r="AW134" s="65">
        <f t="shared" si="187"/>
        <v>0</v>
      </c>
      <c r="AX134" s="66" t="str">
        <f t="shared" si="188"/>
        <v/>
      </c>
      <c r="AY134" s="65" t="str">
        <f t="shared" si="189"/>
        <v/>
      </c>
      <c r="AZ134" s="65" t="str">
        <f t="shared" si="190"/>
        <v/>
      </c>
      <c r="BA134" s="65" t="str">
        <f t="shared" si="191"/>
        <v/>
      </c>
      <c r="BB134" s="68" t="str">
        <f>IF('Marks Entry'!AB134="","",'Marks Entry'!AB134)</f>
        <v/>
      </c>
      <c r="BC134" s="68" t="str">
        <f>IF('Marks Entry'!AC134="","",'Marks Entry'!AC134)</f>
        <v/>
      </c>
      <c r="BD134" s="68" t="str">
        <f>IF('Marks Entry'!AD134="","",'Marks Entry'!AD134)</f>
        <v/>
      </c>
      <c r="BE134" s="514" t="str">
        <f t="shared" si="192"/>
        <v/>
      </c>
      <c r="BF134" s="68" t="str">
        <f>IF('Marks Entry'!AE134="","",'Marks Entry'!AE134)</f>
        <v/>
      </c>
      <c r="BG134" s="515" t="str">
        <f t="shared" si="193"/>
        <v/>
      </c>
      <c r="BH134" s="68" t="str">
        <f>IF('Marks Entry'!AF134="","",'Marks Entry'!AF134)</f>
        <v/>
      </c>
      <c r="BI134" s="96" t="str">
        <f t="shared" si="194"/>
        <v/>
      </c>
      <c r="BJ134" s="65">
        <f t="shared" si="195"/>
        <v>0</v>
      </c>
      <c r="BK134" s="65">
        <f t="shared" si="263"/>
        <v>0</v>
      </c>
      <c r="BL134" s="66" t="str">
        <f t="shared" si="196"/>
        <v/>
      </c>
      <c r="BM134" s="65" t="str">
        <f t="shared" si="197"/>
        <v/>
      </c>
      <c r="BN134" s="65" t="str">
        <f t="shared" si="198"/>
        <v/>
      </c>
      <c r="BO134" s="65" t="str">
        <f t="shared" si="199"/>
        <v/>
      </c>
      <c r="BP134" s="68" t="str">
        <f>IF('Marks Entry'!AG134="","",'Marks Entry'!AG134)</f>
        <v/>
      </c>
      <c r="BQ134" s="68" t="str">
        <f>IF('Marks Entry'!AH134="","",'Marks Entry'!AH134)</f>
        <v/>
      </c>
      <c r="BR134" s="68" t="str">
        <f>IF('Marks Entry'!AI134="","",'Marks Entry'!AI134)</f>
        <v/>
      </c>
      <c r="BS134" s="514" t="str">
        <f t="shared" si="200"/>
        <v/>
      </c>
      <c r="BT134" s="68" t="str">
        <f>IF('Marks Entry'!AJ134="","",'Marks Entry'!AJ134)</f>
        <v/>
      </c>
      <c r="BU134" s="515" t="str">
        <f t="shared" si="201"/>
        <v/>
      </c>
      <c r="BV134" s="68" t="str">
        <f>IF('Marks Entry'!AK134="","",'Marks Entry'!AK134)</f>
        <v/>
      </c>
      <c r="BW134" s="96" t="str">
        <f t="shared" si="202"/>
        <v/>
      </c>
      <c r="BX134" s="65">
        <f t="shared" si="203"/>
        <v>0</v>
      </c>
      <c r="BY134" s="65">
        <f t="shared" si="204"/>
        <v>0</v>
      </c>
      <c r="BZ134" s="66" t="str">
        <f t="shared" si="205"/>
        <v/>
      </c>
      <c r="CA134" s="65" t="str">
        <f t="shared" si="206"/>
        <v/>
      </c>
      <c r="CB134" s="65" t="str">
        <f t="shared" si="207"/>
        <v/>
      </c>
      <c r="CC134" s="65" t="str">
        <f t="shared" si="208"/>
        <v/>
      </c>
      <c r="CD134" s="66">
        <f t="shared" si="329"/>
        <v>0</v>
      </c>
      <c r="CE134" s="68" t="str">
        <f>IF('Marks Entry'!AL134="","",'Marks Entry'!AL134)</f>
        <v/>
      </c>
      <c r="CF134" s="68" t="str">
        <f>IF('Marks Entry'!AM134="","",'Marks Entry'!AM134)</f>
        <v/>
      </c>
      <c r="CG134" s="68" t="str">
        <f>IF('Marks Entry'!AN134="","",'Marks Entry'!AN134)</f>
        <v/>
      </c>
      <c r="CH134" s="514" t="str">
        <f t="shared" si="210"/>
        <v/>
      </c>
      <c r="CI134" s="68" t="str">
        <f>IF('Marks Entry'!AO134="","",'Marks Entry'!AO134)</f>
        <v/>
      </c>
      <c r="CJ134" s="515" t="str">
        <f t="shared" si="211"/>
        <v/>
      </c>
      <c r="CK134" s="68" t="str">
        <f>IF('Marks Entry'!AP134="","",'Marks Entry'!AP134)</f>
        <v/>
      </c>
      <c r="CL134" s="96" t="str">
        <f t="shared" si="212"/>
        <v/>
      </c>
      <c r="CM134" s="65">
        <f t="shared" si="213"/>
        <v>0</v>
      </c>
      <c r="CN134" s="65">
        <f t="shared" si="214"/>
        <v>0</v>
      </c>
      <c r="CO134" s="66" t="str">
        <f t="shared" si="215"/>
        <v/>
      </c>
      <c r="CP134" s="65" t="str">
        <f t="shared" si="216"/>
        <v/>
      </c>
      <c r="CQ134" s="65" t="str">
        <f t="shared" si="217"/>
        <v/>
      </c>
      <c r="CR134" s="65" t="str">
        <f t="shared" si="218"/>
        <v/>
      </c>
      <c r="CS134" s="616"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8" t="str">
        <f>IF('School Profile'!$D$20="NO","",IF('Marks Entry'!AR134="","",'Marks Entry'!AR134))</f>
        <v/>
      </c>
      <c r="CU134" s="68" t="str">
        <f>IF('School Profile'!$D$20="NO","",IF('Marks Entry'!AS134="","",'Marks Entry'!AS134))</f>
        <v/>
      </c>
      <c r="CV134" s="68" t="str">
        <f>IF('School Profile'!$D$20="NO","",IF('Marks Entry'!AT134="","",'Marks Entry'!AT134))</f>
        <v/>
      </c>
      <c r="CW134" s="514" t="str">
        <f>IF('School Profile'!$D$20="NO","",IF(AND(CT134="",CU134="",CV134=""),"",SUM(CT134:CV134)))</f>
        <v/>
      </c>
      <c r="CX134" s="68" t="str">
        <f>IF('School Profile'!$D$20="NO","",IF('Marks Entry'!AU134="","",'Marks Entry'!AU134))</f>
        <v/>
      </c>
      <c r="CY134" s="68" t="str">
        <f>IF('School Profile'!$D$20="NO","",IF('Marks Entry'!AV134="","",'Marks Entry'!AV134))</f>
        <v/>
      </c>
      <c r="CZ134" s="515" t="str">
        <f>IF('School Profile'!$D$20="NO","",IF(AND(CX134="",CY134=""),"",SUM(CX134,CY134)))</f>
        <v/>
      </c>
      <c r="DA134" s="69" t="str">
        <f>IF('School Profile'!$D$20="NO","",IF(AND(CW134="",CZ134=""),"",SUM(CW134+CZ134)))</f>
        <v/>
      </c>
      <c r="DB134" s="68" t="str">
        <f>IF('School Profile'!$D$20="NO","",IF('Marks Entry'!AW134="","",'Marks Entry'!AW134))</f>
        <v/>
      </c>
      <c r="DC134" s="68" t="str">
        <f>IF('School Profile'!$D$20="NO","",IF('Marks Entry'!AX134="","",'Marks Entry'!AX134))</f>
        <v/>
      </c>
      <c r="DD134" s="515" t="str">
        <f>IF('School Profile'!$D$20="NO","",IF(AND(DB134="",DC134=""),"",SUM(DB134,DC134)))</f>
        <v/>
      </c>
      <c r="DE134" s="96" t="str">
        <f>IF('School Profile'!$D$20="NO","",IF(AND(DA134="",DD134=""),"",SUM(DA134,DD134)))</f>
        <v/>
      </c>
      <c r="DF134" s="532">
        <f t="shared" si="219"/>
        <v>0</v>
      </c>
      <c r="DG134" s="65">
        <f t="shared" si="220"/>
        <v>0</v>
      </c>
      <c r="DH134" s="66" t="str">
        <f t="shared" si="221"/>
        <v/>
      </c>
      <c r="DI134" s="65" t="str">
        <f t="shared" si="222"/>
        <v/>
      </c>
      <c r="DJ134" s="65" t="str">
        <f t="shared" si="223"/>
        <v/>
      </c>
      <c r="DK134" s="65" t="str">
        <f t="shared" si="224"/>
        <v/>
      </c>
      <c r="DL134" s="97" t="str">
        <f t="shared" si="264"/>
        <v/>
      </c>
      <c r="DM134" s="97" t="str">
        <f t="shared" si="265"/>
        <v/>
      </c>
      <c r="DN134" s="97" t="str">
        <f t="shared" si="266"/>
        <v/>
      </c>
      <c r="DO134" s="97" t="str">
        <f t="shared" si="267"/>
        <v/>
      </c>
      <c r="DP134" s="97" t="str">
        <f t="shared" si="268"/>
        <v/>
      </c>
      <c r="DQ134" s="97" t="str">
        <f t="shared" si="269"/>
        <v/>
      </c>
      <c r="DR134" s="97" t="str">
        <f t="shared" si="270"/>
        <v/>
      </c>
      <c r="DS134" s="98">
        <f t="shared" si="271"/>
        <v>0</v>
      </c>
      <c r="DT134" s="98">
        <f t="shared" si="272"/>
        <v>0</v>
      </c>
      <c r="DU134" s="98">
        <f t="shared" si="273"/>
        <v>0</v>
      </c>
      <c r="DV134" s="98">
        <f t="shared" si="274"/>
        <v>0</v>
      </c>
      <c r="DW134" s="98">
        <f t="shared" si="275"/>
        <v>0</v>
      </c>
      <c r="DX134" s="98" t="str">
        <f t="shared" si="276"/>
        <v/>
      </c>
      <c r="DY134" s="99" t="str">
        <f t="shared" si="277"/>
        <v/>
      </c>
      <c r="DZ134" s="74" t="str">
        <f>IF('Marks Entry'!AY134="","",'Marks Entry'!AY134)</f>
        <v/>
      </c>
      <c r="EA134" s="74" t="str">
        <f>IF('Marks Entry'!AZ134="","",'Marks Entry'!AZ134)</f>
        <v/>
      </c>
      <c r="EB134" s="74" t="str">
        <f>IF('Marks Entry'!BA134="","",'Marks Entry'!BA134)</f>
        <v/>
      </c>
      <c r="EC134" s="527" t="str">
        <f t="shared" si="225"/>
        <v/>
      </c>
      <c r="ED134" s="74" t="str">
        <f>IF('Marks Entry'!BB134="","",'Marks Entry'!BB134)</f>
        <v/>
      </c>
      <c r="EE134" s="528" t="str">
        <f t="shared" si="226"/>
        <v/>
      </c>
      <c r="EF134" s="74" t="str">
        <f>IF('Marks Entry'!BC134="","",'Marks Entry'!BC134)</f>
        <v/>
      </c>
      <c r="EG134" s="530" t="str">
        <f t="shared" si="227"/>
        <v/>
      </c>
      <c r="EH134" s="368" t="str">
        <f t="shared" si="278"/>
        <v/>
      </c>
      <c r="EI134" s="65">
        <f t="shared" si="279"/>
        <v>0</v>
      </c>
      <c r="EJ134" s="65">
        <f t="shared" si="280"/>
        <v>0</v>
      </c>
      <c r="EK134" s="66" t="str">
        <f t="shared" si="281"/>
        <v/>
      </c>
      <c r="EL134" s="74" t="str">
        <f>IF('Marks Entry'!BD134="","",'Marks Entry'!BD134)</f>
        <v/>
      </c>
      <c r="EM134" s="74" t="str">
        <f>IF('Marks Entry'!BE134="","",'Marks Entry'!BE134)</f>
        <v/>
      </c>
      <c r="EN134" s="74" t="str">
        <f>IF('Marks Entry'!BF134="","",'Marks Entry'!BF134)</f>
        <v/>
      </c>
      <c r="EO134" s="527" t="str">
        <f t="shared" si="228"/>
        <v/>
      </c>
      <c r="EP134" s="74" t="str">
        <f>IF('Marks Entry'!BG134="","",'Marks Entry'!BG134)</f>
        <v/>
      </c>
      <c r="EQ134" s="74" t="str">
        <f>IF('Marks Entry'!BH134="","",'Marks Entry'!BH134)</f>
        <v/>
      </c>
      <c r="ER134" s="528" t="str">
        <f t="shared" si="229"/>
        <v/>
      </c>
      <c r="ES134" s="529" t="str">
        <f t="shared" si="230"/>
        <v/>
      </c>
      <c r="ET134" s="74" t="str">
        <f>IF('Marks Entry'!BI134="","",'Marks Entry'!BI134)</f>
        <v/>
      </c>
      <c r="EU134" s="74" t="str">
        <f>IF('Marks Entry'!BJ134="","",'Marks Entry'!BJ134)</f>
        <v/>
      </c>
      <c r="EV134" s="528" t="str">
        <f t="shared" si="231"/>
        <v/>
      </c>
      <c r="EW134" s="530" t="str">
        <f t="shared" si="232"/>
        <v/>
      </c>
      <c r="EX134" s="368" t="str">
        <f t="shared" si="282"/>
        <v/>
      </c>
      <c r="EY134" s="65">
        <f t="shared" si="283"/>
        <v>0</v>
      </c>
      <c r="EZ134" s="65">
        <f t="shared" si="284"/>
        <v>0</v>
      </c>
      <c r="FA134" s="66" t="str">
        <f t="shared" si="285"/>
        <v/>
      </c>
      <c r="FB134" s="74" t="str">
        <f>IF('Marks Entry'!BK134="","",'Marks Entry'!BK134)</f>
        <v/>
      </c>
      <c r="FC134" s="74" t="str">
        <f>IF('Marks Entry'!BL134="","",'Marks Entry'!BL134)</f>
        <v/>
      </c>
      <c r="FD134" s="74" t="str">
        <f>IF('Marks Entry'!BM134="","",'Marks Entry'!BM134)</f>
        <v/>
      </c>
      <c r="FE134" s="74" t="str">
        <f>IF('Marks Entry'!BN134="","",'Marks Entry'!BN134)</f>
        <v/>
      </c>
      <c r="FF134" s="74" t="str">
        <f>IF('Marks Entry'!BO134="","",'Marks Entry'!BO134)</f>
        <v/>
      </c>
      <c r="FG134" s="74" t="str">
        <f>IF('Marks Entry'!BP134="","",'Marks Entry'!BP134)</f>
        <v/>
      </c>
      <c r="FH134" s="527" t="str">
        <f t="shared" si="233"/>
        <v/>
      </c>
      <c r="FI134" s="74" t="str">
        <f>IF('Marks Entry'!BQ134="","",'Marks Entry'!BQ134)</f>
        <v/>
      </c>
      <c r="FJ134" s="74" t="str">
        <f>IF('Marks Entry'!BR134="","",'Marks Entry'!BR134)</f>
        <v/>
      </c>
      <c r="FK134" s="528" t="str">
        <f t="shared" si="234"/>
        <v/>
      </c>
      <c r="FL134" s="529" t="str">
        <f t="shared" si="235"/>
        <v/>
      </c>
      <c r="FM134" s="74" t="str">
        <f>IF('Marks Entry'!BS134="","",'Marks Entry'!BS134)</f>
        <v/>
      </c>
      <c r="FN134" s="74" t="str">
        <f>IF('Marks Entry'!BT134="","",'Marks Entry'!BT134)</f>
        <v/>
      </c>
      <c r="FO134" s="528" t="str">
        <f t="shared" si="236"/>
        <v/>
      </c>
      <c r="FP134" s="530" t="str">
        <f t="shared" si="237"/>
        <v/>
      </c>
      <c r="FQ134" s="368" t="str">
        <f t="shared" si="286"/>
        <v/>
      </c>
      <c r="FR134" s="65">
        <f t="shared" si="287"/>
        <v>0</v>
      </c>
      <c r="FS134" s="65">
        <f t="shared" si="288"/>
        <v>0</v>
      </c>
      <c r="FT134" s="66" t="str">
        <f t="shared" si="289"/>
        <v/>
      </c>
      <c r="FU134" s="74" t="str">
        <f>IF('Marks Entry'!BU134="","",'Marks Entry'!BU134)</f>
        <v/>
      </c>
      <c r="FV134" s="74" t="str">
        <f>IF('Marks Entry'!BV134="","",'Marks Entry'!BV134)</f>
        <v/>
      </c>
      <c r="FW134" s="74" t="str">
        <f>IF('Marks Entry'!BW134="","",'Marks Entry'!BW134)</f>
        <v/>
      </c>
      <c r="FX134" s="75" t="str">
        <f t="shared" si="238"/>
        <v/>
      </c>
      <c r="FY134" s="368" t="str">
        <f t="shared" si="290"/>
        <v/>
      </c>
      <c r="FZ134" s="65">
        <f t="shared" si="291"/>
        <v>0</v>
      </c>
      <c r="GA134" s="66">
        <f t="shared" si="292"/>
        <v>0</v>
      </c>
      <c r="GB134" s="66" t="str">
        <f t="shared" si="293"/>
        <v/>
      </c>
      <c r="GC134" s="74" t="str">
        <f>IF('Marks Entry'!BX134="","",'Marks Entry'!BX134)</f>
        <v/>
      </c>
      <c r="GD134" s="74" t="str">
        <f>IF('Marks Entry'!BY134="","",'Marks Entry'!BY134)</f>
        <v/>
      </c>
      <c r="GE134" s="74" t="str">
        <f>IF('Marks Entry'!BZ134="","",'Marks Entry'!BZ134)</f>
        <v/>
      </c>
      <c r="GF134" s="75" t="str">
        <f t="shared" si="294"/>
        <v/>
      </c>
      <c r="GG134" s="368" t="str">
        <f t="shared" si="295"/>
        <v/>
      </c>
      <c r="GH134" s="65">
        <f t="shared" si="296"/>
        <v>0</v>
      </c>
      <c r="GI134" s="66">
        <f t="shared" si="297"/>
        <v>0</v>
      </c>
      <c r="GJ134" s="66" t="str">
        <f t="shared" si="298"/>
        <v/>
      </c>
      <c r="GK134" s="100" t="str">
        <f>IF(AND(F134="",B134=""),"",IF('Student DATA Entry'!M131="","",'Student DATA Entry'!M131))</f>
        <v/>
      </c>
      <c r="GL134" s="101" t="str">
        <f>IF(AND(B134="",F134=""),"",IF('Student DATA Entry'!N131="","",'Student DATA Entry'!N131))</f>
        <v/>
      </c>
      <c r="GM134" s="581" t="str">
        <f t="shared" si="299"/>
        <v/>
      </c>
      <c r="GN134" s="94" t="str">
        <f t="shared" si="300"/>
        <v/>
      </c>
      <c r="GO134" s="94" t="str">
        <f t="shared" si="301"/>
        <v/>
      </c>
      <c r="GP134" s="102" t="str">
        <f t="shared" si="330"/>
        <v/>
      </c>
      <c r="GQ134" s="94" t="str">
        <f t="shared" si="302"/>
        <v/>
      </c>
      <c r="GR134" s="103" t="str">
        <f t="shared" si="303"/>
        <v/>
      </c>
      <c r="GS134" s="102" t="str">
        <f t="shared" si="331"/>
        <v/>
      </c>
      <c r="GT134" s="104" t="str">
        <f t="shared" si="304"/>
        <v/>
      </c>
      <c r="GU134" s="94" t="str">
        <f>IF('Marks Entry'!V134=1,GT134,"")</f>
        <v/>
      </c>
      <c r="GV134" s="94" t="str">
        <f>IF('Marks Entry'!V134=2,GT134,"")</f>
        <v/>
      </c>
      <c r="GW134" s="94" t="str">
        <f>IF('Marks Entry'!V134=3,GT134,"")</f>
        <v/>
      </c>
      <c r="GX134" s="94" t="str">
        <f>IF('Marks Entry'!V134=4,GT134,"")</f>
        <v/>
      </c>
      <c r="GY134" s="94" t="str">
        <f>IF('Marks Entry'!V134=5,GT134,"")</f>
        <v/>
      </c>
      <c r="GZ134" s="94" t="str">
        <f t="shared" si="305"/>
        <v/>
      </c>
      <c r="HA134" s="105" t="str">
        <f t="shared" si="332"/>
        <v/>
      </c>
      <c r="HB134" s="94" t="str">
        <f t="shared" si="306"/>
        <v/>
      </c>
      <c r="HC134" s="94" t="str">
        <f t="shared" si="307"/>
        <v/>
      </c>
      <c r="HD134" s="105" t="str">
        <f t="shared" si="333"/>
        <v/>
      </c>
      <c r="HE134" s="94" t="str">
        <f t="shared" si="308"/>
        <v/>
      </c>
      <c r="HF134" s="94" t="str">
        <f t="shared" si="309"/>
        <v/>
      </c>
      <c r="HG134" s="105" t="str">
        <f t="shared" si="334"/>
        <v/>
      </c>
      <c r="HH134" s="94" t="str">
        <f t="shared" si="310"/>
        <v/>
      </c>
      <c r="HI134" s="94" t="str">
        <f t="shared" si="311"/>
        <v/>
      </c>
      <c r="HJ134" s="105" t="str">
        <f t="shared" si="335"/>
        <v/>
      </c>
      <c r="HK134" s="94" t="str">
        <f t="shared" si="312"/>
        <v/>
      </c>
      <c r="HL134" s="94" t="str">
        <f t="shared" si="313"/>
        <v/>
      </c>
      <c r="HM134" s="105" t="str">
        <f t="shared" si="336"/>
        <v/>
      </c>
      <c r="HN134" s="367" t="str">
        <f t="shared" si="314"/>
        <v xml:space="preserve">      </v>
      </c>
      <c r="HO134" s="418" t="str">
        <f t="shared" si="337"/>
        <v xml:space="preserve">      </v>
      </c>
      <c r="HP134" s="367" t="str">
        <f t="shared" si="315"/>
        <v xml:space="preserve">      </v>
      </c>
      <c r="HQ134" s="107" t="str">
        <f t="shared" si="316"/>
        <v xml:space="preserve">      </v>
      </c>
      <c r="HR134" s="366" t="str">
        <f t="shared" si="317"/>
        <v xml:space="preserve">      </v>
      </c>
      <c r="HS134" s="544" t="str">
        <f t="shared" si="338"/>
        <v/>
      </c>
      <c r="HT134" s="542" t="str">
        <f t="shared" si="318"/>
        <v/>
      </c>
      <c r="HU134" s="541" t="str">
        <f t="shared" si="319"/>
        <v/>
      </c>
      <c r="HV134" s="540" t="str">
        <f t="shared" si="320"/>
        <v/>
      </c>
      <c r="HW134" s="537" t="str">
        <f t="shared" si="321"/>
        <v/>
      </c>
      <c r="HX134" s="539" t="str">
        <f t="shared" si="322"/>
        <v/>
      </c>
      <c r="HY134" s="553" t="str">
        <f>IFERROR(IF(OR(HS134="SUPPLEMENTARY",HS134="RE-EXAM"),'Supp. Result Entry'!AQ132,""),"")</f>
        <v/>
      </c>
      <c r="HZ134" s="538" t="str">
        <f t="shared" si="323"/>
        <v/>
      </c>
      <c r="IA134" s="415" t="str">
        <f t="shared" si="324"/>
        <v/>
      </c>
      <c r="IB134" s="415" t="str">
        <f>IF(AND(HZ134="",IA134=""),"",IF(OR(HS134="SUPPLEMENTARY",HS134="RE-EXAM"),'Supp. Result Entry'!AQ132,HS134))</f>
        <v/>
      </c>
      <c r="IC134" s="87"/>
      <c r="IS134" s="109" t="str">
        <f>IF('Supp. Result Entry'!T132="","",'Supp. Result Entry'!$T$4)</f>
        <v/>
      </c>
      <c r="IT134" s="110" t="str">
        <f>IF('Supp. Result Entry'!W132="","",'Supp. Result Entry'!$W$4)</f>
        <v/>
      </c>
      <c r="IU134" s="110" t="str">
        <f>IF('Supp. Result Entry'!Z132="","",'Supp. Result Entry'!$Z$4)</f>
        <v/>
      </c>
      <c r="IV134" s="110" t="str">
        <f>IF('Supp. Result Entry'!AC132="","",'Supp. Result Entry'!$AC$4)</f>
        <v/>
      </c>
      <c r="IW134" s="110" t="str">
        <f>IF('Supp. Result Entry'!AF132="","",'Supp. Result Entry'!$AF$4)</f>
        <v/>
      </c>
      <c r="IX134" s="110" t="str">
        <f>IF('Supp. Result Entry'!AI132="","",'Supp. Result Entry'!$AI$4)</f>
        <v/>
      </c>
      <c r="IY134" s="110" t="str">
        <f>IF('Supp. Result Entry'!AI132="","",'Supp. Result Entry'!$AL$4)</f>
        <v/>
      </c>
      <c r="IZ134" s="110" t="str">
        <f>IF('Supp. Result Entry'!U132="","",'Supp. Result Entry'!U132)</f>
        <v/>
      </c>
      <c r="JA134" s="110" t="str">
        <f>IF('Supp. Result Entry'!X132="","",'Supp. Result Entry'!X132)</f>
        <v/>
      </c>
      <c r="JB134" s="110" t="str">
        <f>IF('Supp. Result Entry'!AA132="","",'Supp. Result Entry'!AA132)</f>
        <v/>
      </c>
      <c r="JC134" s="110" t="str">
        <f>IF('Supp. Result Entry'!AD132="","",'Supp. Result Entry'!AD132)</f>
        <v/>
      </c>
      <c r="JD134" s="110" t="str">
        <f>IF('Supp. Result Entry'!AG132="","",'Supp. Result Entry'!AG132)</f>
        <v/>
      </c>
      <c r="JE134" s="110" t="str">
        <f>IF('Supp. Result Entry'!AJ132="","",'Supp. Result Entry'!AJ132)</f>
        <v/>
      </c>
      <c r="JF134" s="110" t="str">
        <f>IF('Supp. Result Entry'!AM132="","",'Supp. Result Entry'!AM132)</f>
        <v/>
      </c>
      <c r="JG134" s="110" t="str">
        <f>IF('Supp. Result Entry'!V132="","",'Supp. Result Entry'!V132)</f>
        <v/>
      </c>
      <c r="JH134" s="110" t="str">
        <f>IF('Supp. Result Entry'!Y132="","",'Supp. Result Entry'!Y132)</f>
        <v/>
      </c>
      <c r="JI134" s="110" t="str">
        <f>IF('Supp. Result Entry'!AB132="","",'Supp. Result Entry'!AB132)</f>
        <v/>
      </c>
      <c r="JJ134" s="110" t="str">
        <f>IF('Supp. Result Entry'!AE132="","",'Supp. Result Entry'!AE132)</f>
        <v/>
      </c>
      <c r="JK134" s="110" t="str">
        <f>IF('Supp. Result Entry'!AH132="","",'Supp. Result Entry'!AH132)</f>
        <v/>
      </c>
      <c r="JL134" s="110" t="str">
        <f>IF('Supp. Result Entry'!AK132="","",'Supp. Result Entry'!AK132)</f>
        <v/>
      </c>
      <c r="JM134" s="110" t="str">
        <f>IF('Supp. Result Entry'!AN132="","",'Supp. Result Entry'!AN132)</f>
        <v/>
      </c>
      <c r="JN134" s="110">
        <f>COUNTIF('Supp. Result Entry'!K132:Q132,"S")</f>
        <v>0</v>
      </c>
      <c r="JO134" s="110">
        <f t="shared" si="248"/>
        <v>0</v>
      </c>
      <c r="JP134" s="110">
        <f t="shared" si="325"/>
        <v>0</v>
      </c>
      <c r="JQ134" s="110" t="str">
        <f t="shared" si="249"/>
        <v/>
      </c>
      <c r="JR134" s="110" t="str">
        <f t="shared" si="250"/>
        <v/>
      </c>
      <c r="JS134" s="110" t="str">
        <f t="shared" si="251"/>
        <v/>
      </c>
      <c r="JT134" s="110" t="str">
        <f t="shared" si="252"/>
        <v/>
      </c>
      <c r="JU134" s="110" t="str">
        <f t="shared" si="253"/>
        <v/>
      </c>
      <c r="JV134" s="110" t="str">
        <f t="shared" si="254"/>
        <v/>
      </c>
      <c r="JW134" s="110" t="str">
        <f t="shared" si="255"/>
        <v/>
      </c>
      <c r="JX134" s="110" t="str">
        <f t="shared" si="326"/>
        <v/>
      </c>
      <c r="JY134" s="110" t="str">
        <f t="shared" si="327"/>
        <v/>
      </c>
      <c r="JZ134" s="110" t="str">
        <f t="shared" si="256"/>
        <v/>
      </c>
      <c r="KA134" s="108" t="str">
        <f t="shared" si="328"/>
        <v/>
      </c>
    </row>
    <row r="135" spans="1:287" s="108" customFormat="1" ht="21.95" customHeight="1">
      <c r="A135" s="89">
        <v>129</v>
      </c>
      <c r="B135" s="90" t="str">
        <f>IF('Marks Entry'!B135="","",'Marks Entry'!B135)</f>
        <v/>
      </c>
      <c r="C135" s="94" t="str">
        <f>IF('Marks Entry'!D135="","",'Marks Entry'!D135)</f>
        <v/>
      </c>
      <c r="D135" s="91" t="str">
        <f>IF('Marks Entry'!E135="","",'Marks Entry'!E135)</f>
        <v/>
      </c>
      <c r="E135" s="92" t="str">
        <f>IF('Marks Entry'!F135="","",'Marks Entry'!F135)</f>
        <v/>
      </c>
      <c r="F135" s="93" t="str">
        <f>IF('Marks Entry'!G135="","",'Marks Entry'!G135)</f>
        <v/>
      </c>
      <c r="G135" s="93" t="str">
        <f>IF('Marks Entry'!H135="","",'Marks Entry'!H135)</f>
        <v/>
      </c>
      <c r="H135" s="93" t="str">
        <f>IF('Marks Entry'!I135="","",'Marks Entry'!I135)</f>
        <v/>
      </c>
      <c r="I135" s="94" t="str">
        <f>IF('Marks Entry'!J135="","",'Marks Entry'!J135)</f>
        <v/>
      </c>
      <c r="J135" s="95" t="str">
        <f>IF('Marks Entry'!K135="","",'Marks Entry'!K135)</f>
        <v/>
      </c>
      <c r="K135" s="68" t="str">
        <f>IF('Marks Entry'!L135="","",'Marks Entry'!L135)</f>
        <v/>
      </c>
      <c r="L135" s="68" t="str">
        <f>IF('Marks Entry'!M135="","",'Marks Entry'!M135)</f>
        <v/>
      </c>
      <c r="M135" s="68" t="str">
        <f>IF('Marks Entry'!N135="","",'Marks Entry'!N135)</f>
        <v/>
      </c>
      <c r="N135" s="514" t="str">
        <f t="shared" si="257"/>
        <v/>
      </c>
      <c r="O135" s="68" t="str">
        <f>IF('Marks Entry'!O135="","",'Marks Entry'!O135)</f>
        <v/>
      </c>
      <c r="P135" s="515" t="str">
        <f t="shared" si="258"/>
        <v/>
      </c>
      <c r="Q135" s="68" t="str">
        <f>IF('Marks Entry'!P135="","",'Marks Entry'!P135)</f>
        <v/>
      </c>
      <c r="R135" s="96" t="str">
        <f t="shared" si="259"/>
        <v/>
      </c>
      <c r="S135" s="65">
        <f t="shared" si="260"/>
        <v>0</v>
      </c>
      <c r="T135" s="65">
        <f t="shared" si="261"/>
        <v>0</v>
      </c>
      <c r="U135" s="66" t="str">
        <f t="shared" ref="U135:U198" si="339">IF(AND(K135="",L135="",M135="",O135="",Q135=""),"",IF(AND(L135="",K135="",M135=""),170-S135-T135,IF(AND(O135=""),130-S135-T135,IF(Q135="",100-S135-T135,200-S135-T135))))</f>
        <v/>
      </c>
      <c r="V135" s="65"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5" t="str">
        <f t="shared" si="262"/>
        <v/>
      </c>
      <c r="X135" s="65" t="str">
        <f t="shared" ref="X135:X198" si="341">IF(OR(W135="",W135=0,W135="S",W135="RE",W135="F",W135="AB"),W135,IF(R135&gt;=75%*U135,"D",IF(R135&gt;=60%*U135,"I",IF(R135&gt;=48%*U135,"II",IF(R135&gt;=36%*U135,"III",W135)))))</f>
        <v/>
      </c>
      <c r="Y135" s="68" t="str">
        <f>IF('Marks Entry'!Q135="","",'Marks Entry'!Q135)</f>
        <v/>
      </c>
      <c r="Z135" s="68" t="str">
        <f>IF('Marks Entry'!R135="","",'Marks Entry'!R135)</f>
        <v/>
      </c>
      <c r="AA135" s="68" t="str">
        <f>IF('Marks Entry'!S135="","",'Marks Entry'!S135)</f>
        <v/>
      </c>
      <c r="AB135" s="514" t="str">
        <f t="shared" ref="AB135:AB198" si="342">IF(AND(Y135="",Z135="",AA135=""),"",SUM(Y135:AA135))</f>
        <v/>
      </c>
      <c r="AC135" s="68" t="str">
        <f>IF('Marks Entry'!T135="","",'Marks Entry'!T135)</f>
        <v/>
      </c>
      <c r="AD135" s="515" t="str">
        <f t="shared" ref="AD135:AD198" si="343">IF(AND(AB135="",AC135=""),"",SUM(AB135,AC135))</f>
        <v/>
      </c>
      <c r="AE135" s="68" t="str">
        <f>IF('Marks Entry'!U135="","",'Marks Entry'!U135)</f>
        <v/>
      </c>
      <c r="AF135" s="96" t="str">
        <f t="shared" ref="AF135:AF198" si="344">IF(AND(AE135="",AD135=""),"",SUM(AD135,AE135))</f>
        <v/>
      </c>
      <c r="AG135" s="65">
        <f t="shared" ref="AG135:AG198" si="345">COUNTIF(Y135:AA135,"NA")*10</f>
        <v>0</v>
      </c>
      <c r="AH135" s="65">
        <f t="shared" ref="AH135:AH198" si="346">(COUNTIF(Y135:AA135,"ML")*10)+(COUNTIF(AC135,"ML")*70)+(COUNTIF(AE135,"ML")*100)</f>
        <v>0</v>
      </c>
      <c r="AI135" s="66" t="str">
        <f t="shared" ref="AI135:AI198" si="347">IF(AND(Y135="",Z135="",AA135="",AC135="",AE135=""),"",IF(AND(Z135="",Y135="",AA135=""),170-AG135-AH135,IF(AND(AC135=""),130-AG135-AH135,IF(AE135="",100-AG135-AH135,200-AG135-AH135))))</f>
        <v/>
      </c>
      <c r="AJ135" s="65"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5" t="str">
        <f t="shared" ref="AK135:AK198" si="349">IF(OR($B135="NSO",$B135="",AE135=""),"",IF(OR(AJ135="AB",AE135="ab"),"AB",IF(AE135="ML","RE",IF(AE135&lt;20%*$AE$6,"F",IF(AND(AF135&gt;=36%*AI135,AE135&gt;=20),"P",IF(AND(AF135&gt;=34%*AI135,AH135=0,AE135&gt;=20),"G2",IF(AND(AF135&gt;=31%*AI135,AH135=0,AE135&gt;=20),"G1",IF(AF135&gt;=25%*AI135,"S","F"))))))))</f>
        <v/>
      </c>
      <c r="AL135" s="65" t="str">
        <f t="shared" ref="AL135:AL198" si="350">IF(OR(AK135="",AK135=0,AK135="S",AK135="RE",AK135="F",AK135="AB"),AK135,IF(AF135&gt;=75%*AI135,"D",IF(AF135&gt;=60%*AI135,"I",IF(AF135&gt;=48%*AI135,"II",IF(AF135&gt;=36%*AI135,"III",AK135)))))</f>
        <v/>
      </c>
      <c r="AM135" s="524" t="str">
        <f>IF('Marks Entry'!V135="","",IF('Marks Entry'!V135=1,'School Profile'!$I$9,IF('Marks Entry'!V135=2,'School Profile'!$I$10,IF('Marks Entry'!V135=3,'School Profile'!$I$11,IF('Marks Entry'!V135=4,'School Profile'!$I$12,IF('Marks Entry'!V135=5,'School Profile'!$I$13,IF('Marks Entry'!V135=6,'School Profile'!$I$14,"")))))))</f>
        <v/>
      </c>
      <c r="AN135" s="68" t="str">
        <f>IF('Marks Entry'!W135="","",'Marks Entry'!W135)</f>
        <v/>
      </c>
      <c r="AO135" s="68" t="str">
        <f>IF('Marks Entry'!X135="","",'Marks Entry'!X135)</f>
        <v/>
      </c>
      <c r="AP135" s="68" t="str">
        <f>IF('Marks Entry'!Y135="","",'Marks Entry'!Y135)</f>
        <v/>
      </c>
      <c r="AQ135" s="514" t="str">
        <f t="shared" ref="AQ135:AQ198" si="351">IF(AND(AN135="",AO135="",AP135=""),"",SUM(AN135:AP135))</f>
        <v/>
      </c>
      <c r="AR135" s="68" t="str">
        <f>IF('Marks Entry'!Z135="","",'Marks Entry'!Z135)</f>
        <v/>
      </c>
      <c r="AS135" s="515" t="str">
        <f t="shared" ref="AS135:AS198" si="352">IF(AND(AQ135="",AR135=""),"",SUM(AQ135,AR135))</f>
        <v/>
      </c>
      <c r="AT135" s="68" t="str">
        <f>IF('Marks Entry'!AA135="","",'Marks Entry'!AA135)</f>
        <v/>
      </c>
      <c r="AU135" s="96" t="str">
        <f t="shared" ref="AU135:AU198" si="353">IF(AND(AT135="",AS135=""),"",SUM(AS135,AT135))</f>
        <v/>
      </c>
      <c r="AV135" s="65">
        <f t="shared" ref="AV135:AV198" si="354">COUNTIF(AN135:AP135,"NA")*10</f>
        <v>0</v>
      </c>
      <c r="AW135" s="65">
        <f t="shared" ref="AW135:AW198" si="355">(COUNTIF(AN135:AP135,"ML")*10)+(COUNTIF(AR135,"ML")*70)+(COUNTIF(AT135,"ML")*100)</f>
        <v>0</v>
      </c>
      <c r="AX135" s="66" t="str">
        <f t="shared" ref="AX135:AX198" si="356">IF(AND(AN135="",AO135="",AP135="",AR135="",AT135=""),"",IF(AND(AO135="",AN135="",AP135=""),170-AV135-AW135,IF(AND(AR135=""),130-AV135-AW135,IF(AT135="",100-AV135-AW135,200-AV135-AW135))))</f>
        <v/>
      </c>
      <c r="AY135" s="65"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5" t="str">
        <f t="shared" ref="AZ135:AZ198" si="358">IF(OR($B135="NSO",$B135="",AT135=""),"",IF(OR(AY135="AB",AT135="ab"),"AB",IF(AT135="ML","RE",IF(AT135&lt;20%*$AT$6,"F",IF(AND(AU135&gt;=36%*AX135,AT135&gt;=20),"P",IF(AND(AU135&gt;=34%*AX135,AW135=0,AT135&gt;=20),"G2",IF(AND(AU135&gt;=31%*AX135,AW135=0,AT135&gt;=20),"G1",IF(AU135&gt;=25%*AX135,"S","F"))))))))</f>
        <v/>
      </c>
      <c r="BA135" s="65" t="str">
        <f t="shared" ref="BA135:BA198" si="359">IF(OR(AZ135="",AZ135=0,AZ135="S",AZ135="RE",AZ135="F",AZ135="AB"),AZ135,IF(AU135&gt;=75%*AX135,"D",IF(AU135&gt;=60%*AX135,"I",IF(AU135&gt;=48%*AX135,"II",IF(AU135&gt;=36%*AX135,"III",AZ135)))))</f>
        <v/>
      </c>
      <c r="BB135" s="68" t="str">
        <f>IF('Marks Entry'!AB135="","",'Marks Entry'!AB135)</f>
        <v/>
      </c>
      <c r="BC135" s="68" t="str">
        <f>IF('Marks Entry'!AC135="","",'Marks Entry'!AC135)</f>
        <v/>
      </c>
      <c r="BD135" s="68" t="str">
        <f>IF('Marks Entry'!AD135="","",'Marks Entry'!AD135)</f>
        <v/>
      </c>
      <c r="BE135" s="514" t="str">
        <f t="shared" ref="BE135:BE198" si="360">IF(AND(BB135="",BC135="",BD135=""),"",SUM(BB135:BD135))</f>
        <v/>
      </c>
      <c r="BF135" s="68" t="str">
        <f>IF('Marks Entry'!AE135="","",'Marks Entry'!AE135)</f>
        <v/>
      </c>
      <c r="BG135" s="515" t="str">
        <f t="shared" ref="BG135:BG198" si="361">IF(AND(BE135="",BF135=""),"",SUM(BE135,BF135))</f>
        <v/>
      </c>
      <c r="BH135" s="68" t="str">
        <f>IF('Marks Entry'!AF135="","",'Marks Entry'!AF135)</f>
        <v/>
      </c>
      <c r="BI135" s="96" t="str">
        <f t="shared" ref="BI135:BI198" si="362">IF(AND(BH135="",BG135=""),"",SUM(BG135,BH135))</f>
        <v/>
      </c>
      <c r="BJ135" s="65">
        <f t="shared" ref="BJ135:BJ198" si="363">COUNTIF(BB135:BD135,"NA")*10</f>
        <v>0</v>
      </c>
      <c r="BK135" s="65">
        <f t="shared" si="263"/>
        <v>0</v>
      </c>
      <c r="BL135" s="66" t="str">
        <f t="shared" ref="BL135:BL198" si="364">IF(AND(BB135="",BC135="",BD135="",BF135="",BH135=""),"",IF(AND(BC135="",BB135="",BD135=""),170-BJ135-BK135,IF(AND(BF135=""),130-BJ135-BK135,IF(BH135="",100-BJ135-BK135,200-BJ135-BK135))))</f>
        <v/>
      </c>
      <c r="BM135" s="65"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5" t="str">
        <f t="shared" ref="BN135:BN198" si="366">IF(OR($B135="NSO",$B135="",BH135=""),"",IF(OR(BM135="AB",BH135="ab"),"AB",IF(BH135="ML","RE",IF(BH135&lt;20%*$BH$6,"F",IF(AND(BI135&gt;=36%*BL135,BH135&gt;=20),"P",IF(AND(BI135&gt;=34%*BL135,BK135=0,BH135&gt;=20),"G2",IF(AND(BI135&gt;=31%*BL135,BK135=0,BH135&gt;=20),"G1",IF(BI135&gt;=25%*BL135,"S","F"))))))))</f>
        <v/>
      </c>
      <c r="BO135" s="65" t="str">
        <f t="shared" ref="BO135:BO198" si="367">IF(OR(BN135="",BN135=0,BN135="S",BN135="RE",BN135="F",BN135="AB"),BN135,IF(BI135&gt;=75%*BL135,"D",IF(BI135&gt;=60%*BL135,"I",IF(BI135&gt;=48%*BL135,"II",IF(BI135&gt;=36%*BL135,"III",BN135)))))</f>
        <v/>
      </c>
      <c r="BP135" s="68" t="str">
        <f>IF('Marks Entry'!AG135="","",'Marks Entry'!AG135)</f>
        <v/>
      </c>
      <c r="BQ135" s="68" t="str">
        <f>IF('Marks Entry'!AH135="","",'Marks Entry'!AH135)</f>
        <v/>
      </c>
      <c r="BR135" s="68" t="str">
        <f>IF('Marks Entry'!AI135="","",'Marks Entry'!AI135)</f>
        <v/>
      </c>
      <c r="BS135" s="514" t="str">
        <f t="shared" ref="BS135:BS198" si="368">IF(AND(BP135="",BQ135="",BR135=""),"",SUM(BP135:BR135))</f>
        <v/>
      </c>
      <c r="BT135" s="68" t="str">
        <f>IF('Marks Entry'!AJ135="","",'Marks Entry'!AJ135)</f>
        <v/>
      </c>
      <c r="BU135" s="515" t="str">
        <f t="shared" ref="BU135:BU198" si="369">IF(AND(BS135="",BT135=""),"",SUM(BS135,BT135))</f>
        <v/>
      </c>
      <c r="BV135" s="68" t="str">
        <f>IF('Marks Entry'!AK135="","",'Marks Entry'!AK135)</f>
        <v/>
      </c>
      <c r="BW135" s="96" t="str">
        <f t="shared" ref="BW135:BW198" si="370">IF(AND(BV135="",BU135=""),"",SUM(BU135,BV135))</f>
        <v/>
      </c>
      <c r="BX135" s="65">
        <f t="shared" ref="BX135:BX198" si="371">COUNTIF(BP135:BR135,"NA")*10</f>
        <v>0</v>
      </c>
      <c r="BY135" s="65">
        <f t="shared" ref="BY135:BY198" si="372">(COUNTIF(BP135:BR135,"ML")*10)+(COUNTIF(BT135,"ML")*70)+(COUNTIF(BV135,"ML")*100)</f>
        <v>0</v>
      </c>
      <c r="BZ135" s="66" t="str">
        <f t="shared" ref="BZ135:BZ198" si="373">IF(AND(BP135="",BQ135="",BR135="",BT135="",BV135=""),"",IF(AND(BQ135="",BP135="",BR135=""),170-BX135-BY135,IF(AND(BT135=""),130-BX135-BY135,IF(BV135="",100-BX135-BY135,200-BX135-BY135))))</f>
        <v/>
      </c>
      <c r="CA135" s="65"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5" t="str">
        <f t="shared" ref="CB135:CB198" si="375">IF(OR($B135="NSO",$B135="",BV135=""),"",IF(OR(CA135="AB",BV135="ab"),"AB",IF(BV135="ML","RE",IF(BV135&lt;20%*$BV$6,"F",IF(AND(BW135&gt;=36%*BZ135,BV135&gt;=20),"P",IF(AND(BW135&gt;=34%*BZ135,BY135=0,BV135&gt;=20),"G2",IF(AND(BW135&gt;=31%*BZ135,BY135=0,BV135&gt;=20),"G1",IF(BW135&gt;=25%*BZ135,"S","F"))))))))</f>
        <v/>
      </c>
      <c r="CC135" s="65" t="str">
        <f t="shared" ref="CC135:CC198" si="376">IF(OR(CB135="",CB135=0,CB135="S",CB135="RE",CB135="F",CB135="AB"),CB135,IF(BW135&gt;=75%*BZ135,"D",IF(BW135&gt;=60%*BZ135,"I",IF(BW135&gt;=48%*BZ135,"II",IF(BW135&gt;=36%*BZ135,"III",CB135)))))</f>
        <v/>
      </c>
      <c r="CD135" s="66">
        <f t="shared" ref="CD135:CD166" si="377">SUM(S135,T135,AG135,AH135,AV135,AW135,BJ135,BK135,BX135,BY135,CM135,CN135)</f>
        <v>0</v>
      </c>
      <c r="CE135" s="68" t="str">
        <f>IF('Marks Entry'!AL135="","",'Marks Entry'!AL135)</f>
        <v/>
      </c>
      <c r="CF135" s="68" t="str">
        <f>IF('Marks Entry'!AM135="","",'Marks Entry'!AM135)</f>
        <v/>
      </c>
      <c r="CG135" s="68" t="str">
        <f>IF('Marks Entry'!AN135="","",'Marks Entry'!AN135)</f>
        <v/>
      </c>
      <c r="CH135" s="514" t="str">
        <f t="shared" ref="CH135:CH198" si="378">IF(AND(CE135="",CF135="",CG135=""),"",SUM(CE135:CG135))</f>
        <v/>
      </c>
      <c r="CI135" s="68" t="str">
        <f>IF('Marks Entry'!AO135="","",'Marks Entry'!AO135)</f>
        <v/>
      </c>
      <c r="CJ135" s="515" t="str">
        <f t="shared" ref="CJ135:CJ198" si="379">IF(AND(CH135="",CI135=""),"",SUM(CH135,CI135))</f>
        <v/>
      </c>
      <c r="CK135" s="68" t="str">
        <f>IF('Marks Entry'!AP135="","",'Marks Entry'!AP135)</f>
        <v/>
      </c>
      <c r="CL135" s="96" t="str">
        <f t="shared" ref="CL135:CL198" si="380">IF(AND(CK135="",CJ135=""),"",SUM(CJ135,CK135))</f>
        <v/>
      </c>
      <c r="CM135" s="65">
        <f t="shared" ref="CM135:CM198" si="381">COUNTIF(CE135:CG135,"NA")*10</f>
        <v>0</v>
      </c>
      <c r="CN135" s="65">
        <f t="shared" ref="CN135:CN198" si="382">(COUNTIF(CE135:CG135,"ML")*10)+(COUNTIF(CI135,"ML")*70)+(COUNTIF(CK135,"ML")*100)</f>
        <v>0</v>
      </c>
      <c r="CO135" s="66" t="str">
        <f t="shared" ref="CO135:CO198" si="383">IF(AND(CE135="",CF135="",CG135="",CI135="",CK135=""),"",IF(AND(CF135="",CE135="",CG135=""),170-CM135-CN135,IF(AND(CI135=""),130-CM135-CN135,IF(CK135="",100-CM135-CN135,200-CM135-CN135))))</f>
        <v/>
      </c>
      <c r="CP135" s="65"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5" t="str">
        <f t="shared" ref="CQ135:CQ198" si="385">IF(OR($B135="NSO",$B135="",CK135=""),"",IF(OR(CP135="AB",CK135="ab"),"AB",IF(CK135="ML","RE",IF(CK135&lt;20%*$CK$6,"F",IF(AND(CL135&gt;=36%*CO135,CK135&gt;=20),"P",IF(AND(CL135&gt;=34%*CO135,CN135=0,CK135&gt;=20),"G2",IF(AND(CL135&gt;=31%*CO135,CN135=0,CK135&gt;=20),"G1",IF(CL135&gt;=25%*CO135,"S","F"))))))))</f>
        <v/>
      </c>
      <c r="CR135" s="65" t="str">
        <f t="shared" ref="CR135:CR198" si="386">IF(OR(CQ135="",CQ135=0,CQ135="S",CQ135="RE",CQ135="F",CQ135="AB"),CQ135,IF(CL135&gt;=75%*CO135,"D",IF(CL135&gt;=60%*CO135,"I",IF(CL135&gt;=48%*CO135,"II",IF(CL135&gt;=36%*CO135,"III",CQ135)))))</f>
        <v/>
      </c>
      <c r="CS135" s="616"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8" t="str">
        <f>IF('School Profile'!$D$20="NO","",IF('Marks Entry'!AR135="","",'Marks Entry'!AR135))</f>
        <v/>
      </c>
      <c r="CU135" s="68" t="str">
        <f>IF('School Profile'!$D$20="NO","",IF('Marks Entry'!AS135="","",'Marks Entry'!AS135))</f>
        <v/>
      </c>
      <c r="CV135" s="68" t="str">
        <f>IF('School Profile'!$D$20="NO","",IF('Marks Entry'!AT135="","",'Marks Entry'!AT135))</f>
        <v/>
      </c>
      <c r="CW135" s="514" t="str">
        <f>IF('School Profile'!$D$20="NO","",IF(AND(CT135="",CU135="",CV135=""),"",SUM(CT135:CV135)))</f>
        <v/>
      </c>
      <c r="CX135" s="68" t="str">
        <f>IF('School Profile'!$D$20="NO","",IF('Marks Entry'!AU135="","",'Marks Entry'!AU135))</f>
        <v/>
      </c>
      <c r="CY135" s="68" t="str">
        <f>IF('School Profile'!$D$20="NO","",IF('Marks Entry'!AV135="","",'Marks Entry'!AV135))</f>
        <v/>
      </c>
      <c r="CZ135" s="515" t="str">
        <f>IF('School Profile'!$D$20="NO","",IF(AND(CX135="",CY135=""),"",SUM(CX135,CY135)))</f>
        <v/>
      </c>
      <c r="DA135" s="69" t="str">
        <f>IF('School Profile'!$D$20="NO","",IF(AND(CW135="",CZ135=""),"",SUM(CW135+CZ135)))</f>
        <v/>
      </c>
      <c r="DB135" s="68" t="str">
        <f>IF('School Profile'!$D$20="NO","",IF('Marks Entry'!AW135="","",'Marks Entry'!AW135))</f>
        <v/>
      </c>
      <c r="DC135" s="68" t="str">
        <f>IF('School Profile'!$D$20="NO","",IF('Marks Entry'!AX135="","",'Marks Entry'!AX135))</f>
        <v/>
      </c>
      <c r="DD135" s="515" t="str">
        <f>IF('School Profile'!$D$20="NO","",IF(AND(DB135="",DC135=""),"",SUM(DB135,DC135)))</f>
        <v/>
      </c>
      <c r="DE135" s="96" t="str">
        <f>IF('School Profile'!$D$20="NO","",IF(AND(DA135="",DD135=""),"",SUM(DA135,DD135)))</f>
        <v/>
      </c>
      <c r="DF135" s="532">
        <f t="shared" ref="DF135:DF198" si="387">COUNTIF(CX135:CZ135,"NA")*10</f>
        <v>0</v>
      </c>
      <c r="DG135" s="65">
        <f t="shared" ref="DG135:DG198" si="388">(COUNTIF(CX135:CZ135,"ML")*10)+(COUNTIF(DB135,"ML")*70)+(COUNTIF(DD135,"ML")*100)</f>
        <v>0</v>
      </c>
      <c r="DH135" s="66" t="str">
        <f t="shared" ref="DH135:DH198" si="389">IF(AND(CX135="",CY135="",CZ135="",DB135="",DD135=""),"",IF(AND(CY135="",CX135="",CZ135=""),170-DF135-DG135,IF(AND(DB135=""),130-DF135-DG135,IF(DD135="",100-DF135-DG135,200-DF135-DG135))))</f>
        <v/>
      </c>
      <c r="DI135" s="65"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5" t="str">
        <f t="shared" ref="DJ135:DJ198" si="391">IF(OR($B135="NSO",$B135="",DD135=""),"",IF(OR(DI135="AB",DD135="ab"),"AB",IF(DD135="ML","RE",IF(DD135&lt;20%*$DD$6,"F",IF(AND(DE135&gt;=36%*DH135,DD135&gt;=20),"P",IF(AND(DE135&gt;=34%*DH135,DG135=0,DD135&gt;=20),"G2",IF(AND(DE135&gt;=31%*DH135,DG135=0,DD135&gt;=20),"G1",IF(DE135&gt;=25%*DH135,"S","F"))))))))</f>
        <v/>
      </c>
      <c r="DK135" s="65" t="str">
        <f t="shared" ref="DK135:DK198" si="392">IF(OR(DJ135="",DJ135=0,DJ135="S",DJ135="RE",DJ135="F",DJ135="AB"),DJ135,IF(DE135&gt;=75%*DH135,"D",IF(DE135&gt;=60%*DH135,"I",IF(DE135&gt;=48%*DH135,"II",IF(DE135&gt;=36%*DH135,"III",DJ135)))))</f>
        <v/>
      </c>
      <c r="DL135" s="97" t="str">
        <f t="shared" si="264"/>
        <v/>
      </c>
      <c r="DM135" s="97" t="str">
        <f t="shared" si="265"/>
        <v/>
      </c>
      <c r="DN135" s="97" t="str">
        <f t="shared" si="266"/>
        <v/>
      </c>
      <c r="DO135" s="97" t="str">
        <f t="shared" si="267"/>
        <v/>
      </c>
      <c r="DP135" s="97" t="str">
        <f t="shared" si="268"/>
        <v/>
      </c>
      <c r="DQ135" s="97" t="str">
        <f t="shared" si="269"/>
        <v/>
      </c>
      <c r="DR135" s="97" t="str">
        <f t="shared" si="270"/>
        <v/>
      </c>
      <c r="DS135" s="98">
        <f t="shared" si="271"/>
        <v>0</v>
      </c>
      <c r="DT135" s="98">
        <f t="shared" si="272"/>
        <v>0</v>
      </c>
      <c r="DU135" s="98">
        <f t="shared" si="273"/>
        <v>0</v>
      </c>
      <c r="DV135" s="98">
        <f t="shared" si="274"/>
        <v>0</v>
      </c>
      <c r="DW135" s="98">
        <f t="shared" si="275"/>
        <v>0</v>
      </c>
      <c r="DX135" s="98" t="str">
        <f t="shared" si="276"/>
        <v/>
      </c>
      <c r="DY135" s="99" t="str">
        <f t="shared" si="277"/>
        <v/>
      </c>
      <c r="DZ135" s="74" t="str">
        <f>IF('Marks Entry'!AY135="","",'Marks Entry'!AY135)</f>
        <v/>
      </c>
      <c r="EA135" s="74" t="str">
        <f>IF('Marks Entry'!AZ135="","",'Marks Entry'!AZ135)</f>
        <v/>
      </c>
      <c r="EB135" s="74" t="str">
        <f>IF('Marks Entry'!BA135="","",'Marks Entry'!BA135)</f>
        <v/>
      </c>
      <c r="EC135" s="527" t="str">
        <f t="shared" ref="EC135:EC198" si="393">IF(AND(DZ135="",EA135="",EB135=""),"",SUM(DZ135:EB135))</f>
        <v/>
      </c>
      <c r="ED135" s="74" t="str">
        <f>IF('Marks Entry'!BB135="","",'Marks Entry'!BB135)</f>
        <v/>
      </c>
      <c r="EE135" s="528" t="str">
        <f t="shared" ref="EE135:EE198" si="394">IF(AND(EC135="",ED135=""),"",SUM(EC135,ED135))</f>
        <v/>
      </c>
      <c r="EF135" s="74" t="str">
        <f>IF('Marks Entry'!BC135="","",'Marks Entry'!BC135)</f>
        <v/>
      </c>
      <c r="EG135" s="530" t="str">
        <f t="shared" ref="EG135:EG198" si="395">IF(AND(EF135="",EE135=""),"",SUM(EE135,EF135))</f>
        <v/>
      </c>
      <c r="EH135" s="368" t="str">
        <f t="shared" si="278"/>
        <v/>
      </c>
      <c r="EI135" s="65">
        <f t="shared" si="279"/>
        <v>0</v>
      </c>
      <c r="EJ135" s="65">
        <f t="shared" si="280"/>
        <v>0</v>
      </c>
      <c r="EK135" s="66" t="str">
        <f t="shared" si="281"/>
        <v/>
      </c>
      <c r="EL135" s="74" t="str">
        <f>IF('Marks Entry'!BD135="","",'Marks Entry'!BD135)</f>
        <v/>
      </c>
      <c r="EM135" s="74" t="str">
        <f>IF('Marks Entry'!BE135="","",'Marks Entry'!BE135)</f>
        <v/>
      </c>
      <c r="EN135" s="74" t="str">
        <f>IF('Marks Entry'!BF135="","",'Marks Entry'!BF135)</f>
        <v/>
      </c>
      <c r="EO135" s="527" t="str">
        <f t="shared" ref="EO135:EO198" si="396">IF(AND(EL135="",EM135="",EN135=""),"",SUM(EL135:EN135))</f>
        <v/>
      </c>
      <c r="EP135" s="74" t="str">
        <f>IF('Marks Entry'!BG135="","",'Marks Entry'!BG135)</f>
        <v/>
      </c>
      <c r="EQ135" s="74" t="str">
        <f>IF('Marks Entry'!BH135="","",'Marks Entry'!BH135)</f>
        <v/>
      </c>
      <c r="ER135" s="528" t="str">
        <f t="shared" ref="ER135:ER198" si="397">IF(AND(EP135="",EQ135=""),"",SUM(EP135,EQ135))</f>
        <v/>
      </c>
      <c r="ES135" s="529" t="str">
        <f t="shared" ref="ES135:ES198" si="398">IF(AND(EO135="",ER135=""),"",SUM(EO135+ER135))</f>
        <v/>
      </c>
      <c r="ET135" s="74" t="str">
        <f>IF('Marks Entry'!BI135="","",'Marks Entry'!BI135)</f>
        <v/>
      </c>
      <c r="EU135" s="74" t="str">
        <f>IF('Marks Entry'!BJ135="","",'Marks Entry'!BJ135)</f>
        <v/>
      </c>
      <c r="EV135" s="528" t="str">
        <f t="shared" ref="EV135:EV198" si="399">IF(AND(ET135="",EU135=""),"",SUM(ET135,EU135))</f>
        <v/>
      </c>
      <c r="EW135" s="530" t="str">
        <f t="shared" ref="EW135:EW198" si="400">IF(AND(ES135="",EV135=""),"",SUM(ES135,EV135))</f>
        <v/>
      </c>
      <c r="EX135" s="368" t="str">
        <f t="shared" si="282"/>
        <v/>
      </c>
      <c r="EY135" s="65">
        <f t="shared" si="283"/>
        <v>0</v>
      </c>
      <c r="EZ135" s="65">
        <f t="shared" si="284"/>
        <v>0</v>
      </c>
      <c r="FA135" s="66" t="str">
        <f t="shared" si="285"/>
        <v/>
      </c>
      <c r="FB135" s="74" t="str">
        <f>IF('Marks Entry'!BK135="","",'Marks Entry'!BK135)</f>
        <v/>
      </c>
      <c r="FC135" s="74" t="str">
        <f>IF('Marks Entry'!BL135="","",'Marks Entry'!BL135)</f>
        <v/>
      </c>
      <c r="FD135" s="74" t="str">
        <f>IF('Marks Entry'!BM135="","",'Marks Entry'!BM135)</f>
        <v/>
      </c>
      <c r="FE135" s="74" t="str">
        <f>IF('Marks Entry'!BN135="","",'Marks Entry'!BN135)</f>
        <v/>
      </c>
      <c r="FF135" s="74" t="str">
        <f>IF('Marks Entry'!BO135="","",'Marks Entry'!BO135)</f>
        <v/>
      </c>
      <c r="FG135" s="74" t="str">
        <f>IF('Marks Entry'!BP135="","",'Marks Entry'!BP135)</f>
        <v/>
      </c>
      <c r="FH135" s="527" t="str">
        <f t="shared" ref="FH135:FH198" si="401">IF(AND(FB135="",FC135="",FE135="",FF135="",FG135=""),"",SUM(FB135:FG135))</f>
        <v/>
      </c>
      <c r="FI135" s="74" t="str">
        <f>IF('Marks Entry'!BQ135="","",'Marks Entry'!BQ135)</f>
        <v/>
      </c>
      <c r="FJ135" s="74" t="str">
        <f>IF('Marks Entry'!BR135="","",'Marks Entry'!BR135)</f>
        <v/>
      </c>
      <c r="FK135" s="528" t="str">
        <f t="shared" ref="FK135:FK198" si="402">IF(AND(FI135="",FJ135=""),"",SUM(FI135,FJ135))</f>
        <v/>
      </c>
      <c r="FL135" s="529" t="str">
        <f t="shared" ref="FL135:FL198" si="403">IF(AND(FH135="",FK135=""),"",SUM(FH135+FK135))</f>
        <v/>
      </c>
      <c r="FM135" s="74" t="str">
        <f>IF('Marks Entry'!BS135="","",'Marks Entry'!BS135)</f>
        <v/>
      </c>
      <c r="FN135" s="74" t="str">
        <f>IF('Marks Entry'!BT135="","",'Marks Entry'!BT135)</f>
        <v/>
      </c>
      <c r="FO135" s="528" t="str">
        <f t="shared" ref="FO135:FO198" si="404">IF(AND(FM135="",FN135=""),"",SUM(FM135,FN135))</f>
        <v/>
      </c>
      <c r="FP135" s="530" t="str">
        <f t="shared" ref="FP135:FP198" si="405">IF(AND(FL135="",FO135=""),"",SUM(FL135,FO135))</f>
        <v/>
      </c>
      <c r="FQ135" s="368" t="str">
        <f t="shared" si="286"/>
        <v/>
      </c>
      <c r="FR135" s="65">
        <f t="shared" si="287"/>
        <v>0</v>
      </c>
      <c r="FS135" s="65">
        <f t="shared" si="288"/>
        <v>0</v>
      </c>
      <c r="FT135" s="66" t="str">
        <f t="shared" si="289"/>
        <v/>
      </c>
      <c r="FU135" s="74" t="str">
        <f>IF('Marks Entry'!BU135="","",'Marks Entry'!BU135)</f>
        <v/>
      </c>
      <c r="FV135" s="74" t="str">
        <f>IF('Marks Entry'!BV135="","",'Marks Entry'!BV135)</f>
        <v/>
      </c>
      <c r="FW135" s="74" t="str">
        <f>IF('Marks Entry'!BW135="","",'Marks Entry'!BW135)</f>
        <v/>
      </c>
      <c r="FX135" s="75" t="str">
        <f t="shared" ref="FX135:FX198" si="406">IF(AND(FU135="",FV135="",FW135=""),"",SUM(FU135,FV135,FW135))</f>
        <v/>
      </c>
      <c r="FY135" s="368" t="str">
        <f t="shared" si="290"/>
        <v/>
      </c>
      <c r="FZ135" s="65">
        <f t="shared" si="291"/>
        <v>0</v>
      </c>
      <c r="GA135" s="66">
        <f t="shared" si="292"/>
        <v>0</v>
      </c>
      <c r="GB135" s="66" t="str">
        <f t="shared" si="293"/>
        <v/>
      </c>
      <c r="GC135" s="74" t="str">
        <f>IF('Marks Entry'!BX135="","",'Marks Entry'!BX135)</f>
        <v/>
      </c>
      <c r="GD135" s="74" t="str">
        <f>IF('Marks Entry'!BY135="","",'Marks Entry'!BY135)</f>
        <v/>
      </c>
      <c r="GE135" s="74" t="str">
        <f>IF('Marks Entry'!BZ135="","",'Marks Entry'!BZ135)</f>
        <v/>
      </c>
      <c r="GF135" s="75" t="str">
        <f t="shared" si="294"/>
        <v/>
      </c>
      <c r="GG135" s="368" t="str">
        <f t="shared" si="295"/>
        <v/>
      </c>
      <c r="GH135" s="65">
        <f t="shared" si="296"/>
        <v>0</v>
      </c>
      <c r="GI135" s="66">
        <f t="shared" si="297"/>
        <v>0</v>
      </c>
      <c r="GJ135" s="66" t="str">
        <f t="shared" si="298"/>
        <v/>
      </c>
      <c r="GK135" s="100" t="str">
        <f>IF(AND(F135="",B135=""),"",IF('Student DATA Entry'!M132="","",'Student DATA Entry'!M132))</f>
        <v/>
      </c>
      <c r="GL135" s="101" t="str">
        <f>IF(AND(B135="",F135=""),"",IF('Student DATA Entry'!N132="","",'Student DATA Entry'!N132))</f>
        <v/>
      </c>
      <c r="GM135" s="581" t="str">
        <f t="shared" si="299"/>
        <v/>
      </c>
      <c r="GN135" s="94" t="str">
        <f t="shared" si="300"/>
        <v/>
      </c>
      <c r="GO135" s="94" t="str">
        <f t="shared" si="301"/>
        <v/>
      </c>
      <c r="GP135" s="102" t="str">
        <f t="shared" ref="GP135:GP166" si="407">IF(GN135="G",ROUNDUP(36%*U135-R135,0),"")</f>
        <v/>
      </c>
      <c r="GQ135" s="94" t="str">
        <f t="shared" si="302"/>
        <v/>
      </c>
      <c r="GR135" s="103" t="str">
        <f t="shared" si="303"/>
        <v/>
      </c>
      <c r="GS135" s="102" t="str">
        <f t="shared" ref="GS135:GS166" si="408">IF(GQ135="G",ROUNDUP(36%*AI135-AF135,0),"")</f>
        <v/>
      </c>
      <c r="GT135" s="104" t="str">
        <f t="shared" si="304"/>
        <v/>
      </c>
      <c r="GU135" s="94" t="str">
        <f>IF('Marks Entry'!V135=1,GT135,"")</f>
        <v/>
      </c>
      <c r="GV135" s="94" t="str">
        <f>IF('Marks Entry'!V135=2,GT135,"")</f>
        <v/>
      </c>
      <c r="GW135" s="94" t="str">
        <f>IF('Marks Entry'!V135=3,GT135,"")</f>
        <v/>
      </c>
      <c r="GX135" s="94" t="str">
        <f>IF('Marks Entry'!V135=4,GT135,"")</f>
        <v/>
      </c>
      <c r="GY135" s="94" t="str">
        <f>IF('Marks Entry'!V135=5,GT135,"")</f>
        <v/>
      </c>
      <c r="GZ135" s="94" t="str">
        <f t="shared" si="305"/>
        <v/>
      </c>
      <c r="HA135" s="105" t="str">
        <f t="shared" ref="HA135:HA166" si="409">IF(GT135="G",ROUNDUP(36%*AX135-AU135,0),"")</f>
        <v/>
      </c>
      <c r="HB135" s="94" t="str">
        <f t="shared" si="306"/>
        <v/>
      </c>
      <c r="HC135" s="94" t="str">
        <f t="shared" si="307"/>
        <v/>
      </c>
      <c r="HD135" s="105" t="str">
        <f t="shared" ref="HD135:HD166" si="410">IF(HB135="G",ROUNDUP(36%*BL135-BI135,0),"")</f>
        <v/>
      </c>
      <c r="HE135" s="94" t="str">
        <f t="shared" si="308"/>
        <v/>
      </c>
      <c r="HF135" s="94" t="str">
        <f t="shared" si="309"/>
        <v/>
      </c>
      <c r="HG135" s="105" t="str">
        <f t="shared" ref="HG135:HG166" si="411">IF(HE135="G",ROUNDUP(36%*BZ135-BW135,0),"")</f>
        <v/>
      </c>
      <c r="HH135" s="94" t="str">
        <f t="shared" si="310"/>
        <v/>
      </c>
      <c r="HI135" s="94" t="str">
        <f t="shared" si="311"/>
        <v/>
      </c>
      <c r="HJ135" s="105" t="str">
        <f t="shared" ref="HJ135:HJ166" si="412">IF(HH135="G",ROUNDUP(36%*CO135-CL135,0),"")</f>
        <v/>
      </c>
      <c r="HK135" s="94" t="str">
        <f t="shared" si="312"/>
        <v/>
      </c>
      <c r="HL135" s="94" t="str">
        <f t="shared" si="313"/>
        <v/>
      </c>
      <c r="HM135" s="105" t="str">
        <f t="shared" ref="HM135:HM166" si="413">IF(HK135="G",ROUNDUP(36%*DH135-DE135,0),"")</f>
        <v/>
      </c>
      <c r="HN135" s="367" t="str">
        <f t="shared" si="314"/>
        <v xml:space="preserve">      </v>
      </c>
      <c r="HO135" s="418" t="str">
        <f t="shared" ref="HO135:HO166" si="414">IF(COUNTIF(DL135:DR135,"F")&gt;0,"",CONCATENATE(IF(GN135="S",$GN$5,"")," ",IF(GQ135="S",$GQ$5,"")," ",IF(GU135="S",$GU$5,IF(GV135="S",$GV$5,IF(GW135="S",$GW$5,IF(GX135="S",$GX$5,IF(GY135="S",$GY$5,"")))))," ",IF(HB135="S",$HB$5,"")," ",IF(HE135="S",$HE$5,"")," ",IF(HH135="S",$HH$5,"")," ",IF(HK135="S",$HK$5,"")))</f>
        <v xml:space="preserve">      </v>
      </c>
      <c r="HP135" s="367" t="str">
        <f t="shared" si="315"/>
        <v xml:space="preserve">      </v>
      </c>
      <c r="HQ135" s="107" t="str">
        <f t="shared" si="316"/>
        <v xml:space="preserve">      </v>
      </c>
      <c r="HR135" s="366" t="str">
        <f t="shared" si="317"/>
        <v xml:space="preserve">      </v>
      </c>
      <c r="HS135" s="544" t="str">
        <f t="shared" ref="HS135:HS166" si="415">IF(B135="NSO","NSO",IF(AND(OR(DY135="PASS",DY135="BY GRACE PASS",DY135="RE-EXAM"),DX135="F"),"FAIL",IF(AND(OR(DY135="PASS",DY135="BY GRACE PASS"),DX135="RE"),"RE-EXAM",DY135)))</f>
        <v/>
      </c>
      <c r="HT135" s="542" t="str">
        <f t="shared" si="318"/>
        <v/>
      </c>
      <c r="HU135" s="541" t="str">
        <f t="shared" si="319"/>
        <v/>
      </c>
      <c r="HV135" s="540" t="str">
        <f t="shared" si="320"/>
        <v/>
      </c>
      <c r="HW135" s="537" t="str">
        <f t="shared" si="321"/>
        <v/>
      </c>
      <c r="HX135" s="539" t="str">
        <f t="shared" si="322"/>
        <v/>
      </c>
      <c r="HY135" s="553" t="str">
        <f>IFERROR(IF(OR(HS135="SUPPLEMENTARY",HS135="RE-EXAM"),'Supp. Result Entry'!AQ133,""),"")</f>
        <v/>
      </c>
      <c r="HZ135" s="538" t="str">
        <f t="shared" si="323"/>
        <v/>
      </c>
      <c r="IA135" s="415" t="str">
        <f t="shared" si="324"/>
        <v/>
      </c>
      <c r="IB135" s="415" t="str">
        <f>IF(AND(HZ135="",IA135=""),"",IF(OR(HS135="SUPPLEMENTARY",HS135="RE-EXAM"),'Supp. Result Entry'!AQ133,HS135))</f>
        <v/>
      </c>
      <c r="IC135" s="87"/>
      <c r="IS135" s="109" t="str">
        <f>IF('Supp. Result Entry'!T133="","",'Supp. Result Entry'!$T$4)</f>
        <v/>
      </c>
      <c r="IT135" s="110" t="str">
        <f>IF('Supp. Result Entry'!W133="","",'Supp. Result Entry'!$W$4)</f>
        <v/>
      </c>
      <c r="IU135" s="110" t="str">
        <f>IF('Supp. Result Entry'!Z133="","",'Supp. Result Entry'!$Z$4)</f>
        <v/>
      </c>
      <c r="IV135" s="110" t="str">
        <f>IF('Supp. Result Entry'!AC133="","",'Supp. Result Entry'!$AC$4)</f>
        <v/>
      </c>
      <c r="IW135" s="110" t="str">
        <f>IF('Supp. Result Entry'!AF133="","",'Supp. Result Entry'!$AF$4)</f>
        <v/>
      </c>
      <c r="IX135" s="110" t="str">
        <f>IF('Supp. Result Entry'!AI133="","",'Supp. Result Entry'!$AI$4)</f>
        <v/>
      </c>
      <c r="IY135" s="110" t="str">
        <f>IF('Supp. Result Entry'!AI133="","",'Supp. Result Entry'!$AL$4)</f>
        <v/>
      </c>
      <c r="IZ135" s="110" t="str">
        <f>IF('Supp. Result Entry'!U133="","",'Supp. Result Entry'!U133)</f>
        <v/>
      </c>
      <c r="JA135" s="110" t="str">
        <f>IF('Supp. Result Entry'!X133="","",'Supp. Result Entry'!X133)</f>
        <v/>
      </c>
      <c r="JB135" s="110" t="str">
        <f>IF('Supp. Result Entry'!AA133="","",'Supp. Result Entry'!AA133)</f>
        <v/>
      </c>
      <c r="JC135" s="110" t="str">
        <f>IF('Supp. Result Entry'!AD133="","",'Supp. Result Entry'!AD133)</f>
        <v/>
      </c>
      <c r="JD135" s="110" t="str">
        <f>IF('Supp. Result Entry'!AG133="","",'Supp. Result Entry'!AG133)</f>
        <v/>
      </c>
      <c r="JE135" s="110" t="str">
        <f>IF('Supp. Result Entry'!AJ133="","",'Supp. Result Entry'!AJ133)</f>
        <v/>
      </c>
      <c r="JF135" s="110" t="str">
        <f>IF('Supp. Result Entry'!AM133="","",'Supp. Result Entry'!AM133)</f>
        <v/>
      </c>
      <c r="JG135" s="110" t="str">
        <f>IF('Supp. Result Entry'!V133="","",'Supp. Result Entry'!V133)</f>
        <v/>
      </c>
      <c r="JH135" s="110" t="str">
        <f>IF('Supp. Result Entry'!Y133="","",'Supp. Result Entry'!Y133)</f>
        <v/>
      </c>
      <c r="JI135" s="110" t="str">
        <f>IF('Supp. Result Entry'!AB133="","",'Supp. Result Entry'!AB133)</f>
        <v/>
      </c>
      <c r="JJ135" s="110" t="str">
        <f>IF('Supp. Result Entry'!AE133="","",'Supp. Result Entry'!AE133)</f>
        <v/>
      </c>
      <c r="JK135" s="110" t="str">
        <f>IF('Supp. Result Entry'!AH133="","",'Supp. Result Entry'!AH133)</f>
        <v/>
      </c>
      <c r="JL135" s="110" t="str">
        <f>IF('Supp. Result Entry'!AK133="","",'Supp. Result Entry'!AK133)</f>
        <v/>
      </c>
      <c r="JM135" s="110" t="str">
        <f>IF('Supp. Result Entry'!AN133="","",'Supp. Result Entry'!AN133)</f>
        <v/>
      </c>
      <c r="JN135" s="110">
        <f>COUNTIF('Supp. Result Entry'!K133:Q133,"S")</f>
        <v>0</v>
      </c>
      <c r="JO135" s="110">
        <f t="shared" ref="JO135:JO198" si="416">COUNTIF(GN135:HM135,"RE")+COUNTIF(GN135:HM135,"REP")</f>
        <v>0</v>
      </c>
      <c r="JP135" s="110">
        <f t="shared" si="325"/>
        <v>0</v>
      </c>
      <c r="JQ135" s="110" t="str">
        <f t="shared" ref="JQ135:JQ198" si="417">IF(OR(JN135=0,JN135&lt;JP135),"",IF(OR(GN135="RE",GN135="REP"),SUM(R135,IZ135),IF(GN135="S",IZ135,R135)))</f>
        <v/>
      </c>
      <c r="JR135" s="110" t="str">
        <f t="shared" ref="JR135:JR198" si="418">IF(OR(JN135=0,JN135&lt;JP135),"",IF(OR(GQ135="RE",GQ135="REP"),SUM(AF135,JA135),IF(GQ135="S",JA135,AF135)))</f>
        <v/>
      </c>
      <c r="JS135" s="110" t="str">
        <f t="shared" ref="JS135:JS198" si="419">IF(OR(JN135=0,JN135&lt;JP135),"",IF(OR(GT135="RE",GT135="REP"),SUM(AU135,JB135),IF(GT135="S",JB135,AU135)))</f>
        <v/>
      </c>
      <c r="JT135" s="110" t="str">
        <f t="shared" ref="JT135:JT198" si="420">IF(OR(JN135=0,JN135&lt;JP135),"",IF(OR(HB135="RE",HB135="REP"),SUM(BI135,JC135),IF(HB135="S",JC135,BI135)))</f>
        <v/>
      </c>
      <c r="JU135" s="110" t="str">
        <f t="shared" ref="JU135:JU198" si="421">IF(OR(JN135=0,JN135&lt;JP135),"",IF(OR(HE135="RE",HE135="REP"),SUM(BW135,JD135),IF(HE135="S",JD135,BW135)))</f>
        <v/>
      </c>
      <c r="JV135" s="110" t="str">
        <f t="shared" ref="JV135:JV198" si="422">IF(OR(JN135=0,JN135&lt;JP135),"",IF(OR(HH135="RE",HH135="REP"),SUM(CL135,JE135),IF(HH135="S",JE135,CL135)))</f>
        <v/>
      </c>
      <c r="JW135" s="110" t="str">
        <f t="shared" ref="JW135:JW198" si="423">IF(OR(JN135=0,JN135&lt;JP135),"",IF(OR(HK135="RE",HK135="REP"),SUM(DE135,JF135),IF(HK135="S",JF135,DE135)))</f>
        <v/>
      </c>
      <c r="JX135" s="110" t="str">
        <f t="shared" si="326"/>
        <v/>
      </c>
      <c r="JY135" s="110" t="str">
        <f t="shared" si="327"/>
        <v/>
      </c>
      <c r="JZ135" s="110" t="str">
        <f t="shared" ref="JZ135:JZ198" si="424">IF(OR(JN135=0,JN135&lt;JP135),"",SUM(($R$6+$AF$6+$AU$6+$BI$6+$BW$6+$CL$6))-(JP135*100))</f>
        <v/>
      </c>
      <c r="KA135" s="108" t="str">
        <f t="shared" si="328"/>
        <v/>
      </c>
    </row>
    <row r="136" spans="1:287" s="108" customFormat="1" ht="21.95" customHeight="1">
      <c r="A136" s="89">
        <v>130</v>
      </c>
      <c r="B136" s="90" t="str">
        <f>IF('Marks Entry'!B136="","",'Marks Entry'!B136)</f>
        <v/>
      </c>
      <c r="C136" s="94" t="str">
        <f>IF('Marks Entry'!D136="","",'Marks Entry'!D136)</f>
        <v/>
      </c>
      <c r="D136" s="91" t="str">
        <f>IF('Marks Entry'!E136="","",'Marks Entry'!E136)</f>
        <v/>
      </c>
      <c r="E136" s="92" t="str">
        <f>IF('Marks Entry'!F136="","",'Marks Entry'!F136)</f>
        <v/>
      </c>
      <c r="F136" s="93" t="str">
        <f>IF('Marks Entry'!G136="","",'Marks Entry'!G136)</f>
        <v/>
      </c>
      <c r="G136" s="93" t="str">
        <f>IF('Marks Entry'!H136="","",'Marks Entry'!H136)</f>
        <v/>
      </c>
      <c r="H136" s="93" t="str">
        <f>IF('Marks Entry'!I136="","",'Marks Entry'!I136)</f>
        <v/>
      </c>
      <c r="I136" s="94" t="str">
        <f>IF('Marks Entry'!J136="","",'Marks Entry'!J136)</f>
        <v/>
      </c>
      <c r="J136" s="95" t="str">
        <f>IF('Marks Entry'!K136="","",'Marks Entry'!K136)</f>
        <v/>
      </c>
      <c r="K136" s="68" t="str">
        <f>IF('Marks Entry'!L136="","",'Marks Entry'!L136)</f>
        <v/>
      </c>
      <c r="L136" s="68" t="str">
        <f>IF('Marks Entry'!M136="","",'Marks Entry'!M136)</f>
        <v/>
      </c>
      <c r="M136" s="68" t="str">
        <f>IF('Marks Entry'!N136="","",'Marks Entry'!N136)</f>
        <v/>
      </c>
      <c r="N136" s="514" t="str">
        <f t="shared" ref="N136:N199" si="425">IF(AND(K136="",L136="",M136=""),"",IF(AND(K136="AB",L136="AB",M136="AB"),"AB",IF(AND(K136="ML",L136="ML",M136="ML"),"ML",SUM(K136:M136))))</f>
        <v/>
      </c>
      <c r="O136" s="68" t="str">
        <f>IF('Marks Entry'!O136="","",'Marks Entry'!O136)</f>
        <v/>
      </c>
      <c r="P136" s="515" t="str">
        <f t="shared" ref="P136:P199" si="426">IF(AND(N136="",O136=""),"",SUM(N136,O136))</f>
        <v/>
      </c>
      <c r="Q136" s="68" t="str">
        <f>IF('Marks Entry'!P136="","",'Marks Entry'!P136)</f>
        <v/>
      </c>
      <c r="R136" s="96" t="str">
        <f t="shared" ref="R136:R199" si="427">IF(AND(P136="",Q136=""),"",SUM(Q136,P136))</f>
        <v/>
      </c>
      <c r="S136" s="65">
        <f t="shared" ref="S136:S199" si="428">COUNTIF(K136:M136,"NA")*$K$6</f>
        <v>0</v>
      </c>
      <c r="T136" s="65">
        <f t="shared" ref="T136:T199" si="429">(COUNTIF(K136:M136,"ML")*$K$6)+(COUNTIF(O136,"ML")*$O$6)+(COUNTIF(Q136,"ML")*$Q$6)</f>
        <v>0</v>
      </c>
      <c r="U136" s="66" t="str">
        <f t="shared" si="339"/>
        <v/>
      </c>
      <c r="V136" s="65" t="str">
        <f t="shared" si="340"/>
        <v/>
      </c>
      <c r="W136" s="65" t="str">
        <f t="shared" ref="W136:W199" si="430">IF(OR($B136="NSO",$B136="",Q136=""),"",IF(OR(V136="AB",Q136="ab"),"AB",IF(Q136="ML","RE",IF(Q136&lt;20%*$Q$6,"F",IF(AND(R136&gt;=36%*U136,Q136&gt;=20%*$Q$6),"P",IF(AND(R136&gt;=34%*U136,T136=0,Q136&gt;=20%*$Q$6),"G2",IF(AND(R136&gt;=31%*U136,T136=0,Q136&gt;=20%*$Q$6),"G1",IF(R136&gt;=25%*U136,"S","F"))))))))</f>
        <v/>
      </c>
      <c r="X136" s="65" t="str">
        <f t="shared" si="341"/>
        <v/>
      </c>
      <c r="Y136" s="68" t="str">
        <f>IF('Marks Entry'!Q136="","",'Marks Entry'!Q136)</f>
        <v/>
      </c>
      <c r="Z136" s="68" t="str">
        <f>IF('Marks Entry'!R136="","",'Marks Entry'!R136)</f>
        <v/>
      </c>
      <c r="AA136" s="68" t="str">
        <f>IF('Marks Entry'!S136="","",'Marks Entry'!S136)</f>
        <v/>
      </c>
      <c r="AB136" s="514" t="str">
        <f t="shared" si="342"/>
        <v/>
      </c>
      <c r="AC136" s="68" t="str">
        <f>IF('Marks Entry'!T136="","",'Marks Entry'!T136)</f>
        <v/>
      </c>
      <c r="AD136" s="515" t="str">
        <f t="shared" si="343"/>
        <v/>
      </c>
      <c r="AE136" s="68" t="str">
        <f>IF('Marks Entry'!U136="","",'Marks Entry'!U136)</f>
        <v/>
      </c>
      <c r="AF136" s="96" t="str">
        <f t="shared" si="344"/>
        <v/>
      </c>
      <c r="AG136" s="65">
        <f t="shared" si="345"/>
        <v>0</v>
      </c>
      <c r="AH136" s="65">
        <f t="shared" si="346"/>
        <v>0</v>
      </c>
      <c r="AI136" s="66" t="str">
        <f t="shared" si="347"/>
        <v/>
      </c>
      <c r="AJ136" s="65" t="str">
        <f t="shared" si="348"/>
        <v/>
      </c>
      <c r="AK136" s="65" t="str">
        <f t="shared" si="349"/>
        <v/>
      </c>
      <c r="AL136" s="65" t="str">
        <f t="shared" si="350"/>
        <v/>
      </c>
      <c r="AM136" s="524" t="str">
        <f>IF('Marks Entry'!V136="","",IF('Marks Entry'!V136=1,'School Profile'!$I$9,IF('Marks Entry'!V136=2,'School Profile'!$I$10,IF('Marks Entry'!V136=3,'School Profile'!$I$11,IF('Marks Entry'!V136=4,'School Profile'!$I$12,IF('Marks Entry'!V136=5,'School Profile'!$I$13,IF('Marks Entry'!V136=6,'School Profile'!$I$14,"")))))))</f>
        <v/>
      </c>
      <c r="AN136" s="68" t="str">
        <f>IF('Marks Entry'!W136="","",'Marks Entry'!W136)</f>
        <v/>
      </c>
      <c r="AO136" s="68" t="str">
        <f>IF('Marks Entry'!X136="","",'Marks Entry'!X136)</f>
        <v/>
      </c>
      <c r="AP136" s="68" t="str">
        <f>IF('Marks Entry'!Y136="","",'Marks Entry'!Y136)</f>
        <v/>
      </c>
      <c r="AQ136" s="514" t="str">
        <f t="shared" si="351"/>
        <v/>
      </c>
      <c r="AR136" s="68" t="str">
        <f>IF('Marks Entry'!Z136="","",'Marks Entry'!Z136)</f>
        <v/>
      </c>
      <c r="AS136" s="515" t="str">
        <f t="shared" si="352"/>
        <v/>
      </c>
      <c r="AT136" s="68" t="str">
        <f>IF('Marks Entry'!AA136="","",'Marks Entry'!AA136)</f>
        <v/>
      </c>
      <c r="AU136" s="96" t="str">
        <f t="shared" si="353"/>
        <v/>
      </c>
      <c r="AV136" s="65">
        <f t="shared" si="354"/>
        <v>0</v>
      </c>
      <c r="AW136" s="65">
        <f t="shared" si="355"/>
        <v>0</v>
      </c>
      <c r="AX136" s="66" t="str">
        <f t="shared" si="356"/>
        <v/>
      </c>
      <c r="AY136" s="65" t="str">
        <f t="shared" si="357"/>
        <v/>
      </c>
      <c r="AZ136" s="65" t="str">
        <f t="shared" si="358"/>
        <v/>
      </c>
      <c r="BA136" s="65" t="str">
        <f t="shared" si="359"/>
        <v/>
      </c>
      <c r="BB136" s="68" t="str">
        <f>IF('Marks Entry'!AB136="","",'Marks Entry'!AB136)</f>
        <v/>
      </c>
      <c r="BC136" s="68" t="str">
        <f>IF('Marks Entry'!AC136="","",'Marks Entry'!AC136)</f>
        <v/>
      </c>
      <c r="BD136" s="68" t="str">
        <f>IF('Marks Entry'!AD136="","",'Marks Entry'!AD136)</f>
        <v/>
      </c>
      <c r="BE136" s="514" t="str">
        <f t="shared" si="360"/>
        <v/>
      </c>
      <c r="BF136" s="68" t="str">
        <f>IF('Marks Entry'!AE136="","",'Marks Entry'!AE136)</f>
        <v/>
      </c>
      <c r="BG136" s="515" t="str">
        <f t="shared" si="361"/>
        <v/>
      </c>
      <c r="BH136" s="68" t="str">
        <f>IF('Marks Entry'!AF136="","",'Marks Entry'!AF136)</f>
        <v/>
      </c>
      <c r="BI136" s="96" t="str">
        <f t="shared" si="362"/>
        <v/>
      </c>
      <c r="BJ136" s="65">
        <f t="shared" si="363"/>
        <v>0</v>
      </c>
      <c r="BK136" s="65">
        <f t="shared" ref="BK136:BK199" si="431">(COUNTIF(BB136:BD136,"ML")*10)+(COUNTIF(BF136,"ML")*$BF$6)+(COUNTIF(BH136,"ML")*$BH$6)</f>
        <v>0</v>
      </c>
      <c r="BL136" s="66" t="str">
        <f t="shared" si="364"/>
        <v/>
      </c>
      <c r="BM136" s="65" t="str">
        <f t="shared" si="365"/>
        <v/>
      </c>
      <c r="BN136" s="65" t="str">
        <f t="shared" si="366"/>
        <v/>
      </c>
      <c r="BO136" s="65" t="str">
        <f t="shared" si="367"/>
        <v/>
      </c>
      <c r="BP136" s="68" t="str">
        <f>IF('Marks Entry'!AG136="","",'Marks Entry'!AG136)</f>
        <v/>
      </c>
      <c r="BQ136" s="68" t="str">
        <f>IF('Marks Entry'!AH136="","",'Marks Entry'!AH136)</f>
        <v/>
      </c>
      <c r="BR136" s="68" t="str">
        <f>IF('Marks Entry'!AI136="","",'Marks Entry'!AI136)</f>
        <v/>
      </c>
      <c r="BS136" s="514" t="str">
        <f t="shared" si="368"/>
        <v/>
      </c>
      <c r="BT136" s="68" t="str">
        <f>IF('Marks Entry'!AJ136="","",'Marks Entry'!AJ136)</f>
        <v/>
      </c>
      <c r="BU136" s="515" t="str">
        <f t="shared" si="369"/>
        <v/>
      </c>
      <c r="BV136" s="68" t="str">
        <f>IF('Marks Entry'!AK136="","",'Marks Entry'!AK136)</f>
        <v/>
      </c>
      <c r="BW136" s="96" t="str">
        <f t="shared" si="370"/>
        <v/>
      </c>
      <c r="BX136" s="65">
        <f t="shared" si="371"/>
        <v>0</v>
      </c>
      <c r="BY136" s="65">
        <f t="shared" si="372"/>
        <v>0</v>
      </c>
      <c r="BZ136" s="66" t="str">
        <f t="shared" si="373"/>
        <v/>
      </c>
      <c r="CA136" s="65" t="str">
        <f t="shared" si="374"/>
        <v/>
      </c>
      <c r="CB136" s="65" t="str">
        <f t="shared" si="375"/>
        <v/>
      </c>
      <c r="CC136" s="65" t="str">
        <f t="shared" si="376"/>
        <v/>
      </c>
      <c r="CD136" s="66">
        <f t="shared" si="377"/>
        <v>0</v>
      </c>
      <c r="CE136" s="68" t="str">
        <f>IF('Marks Entry'!AL136="","",'Marks Entry'!AL136)</f>
        <v/>
      </c>
      <c r="CF136" s="68" t="str">
        <f>IF('Marks Entry'!AM136="","",'Marks Entry'!AM136)</f>
        <v/>
      </c>
      <c r="CG136" s="68" t="str">
        <f>IF('Marks Entry'!AN136="","",'Marks Entry'!AN136)</f>
        <v/>
      </c>
      <c r="CH136" s="514" t="str">
        <f t="shared" si="378"/>
        <v/>
      </c>
      <c r="CI136" s="68" t="str">
        <f>IF('Marks Entry'!AO136="","",'Marks Entry'!AO136)</f>
        <v/>
      </c>
      <c r="CJ136" s="515" t="str">
        <f t="shared" si="379"/>
        <v/>
      </c>
      <c r="CK136" s="68" t="str">
        <f>IF('Marks Entry'!AP136="","",'Marks Entry'!AP136)</f>
        <v/>
      </c>
      <c r="CL136" s="96" t="str">
        <f t="shared" si="380"/>
        <v/>
      </c>
      <c r="CM136" s="65">
        <f t="shared" si="381"/>
        <v>0</v>
      </c>
      <c r="CN136" s="65">
        <f t="shared" si="382"/>
        <v>0</v>
      </c>
      <c r="CO136" s="66" t="str">
        <f t="shared" si="383"/>
        <v/>
      </c>
      <c r="CP136" s="65" t="str">
        <f t="shared" si="384"/>
        <v/>
      </c>
      <c r="CQ136" s="65" t="str">
        <f t="shared" si="385"/>
        <v/>
      </c>
      <c r="CR136" s="65" t="str">
        <f t="shared" si="386"/>
        <v/>
      </c>
      <c r="CS136" s="616"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8" t="str">
        <f>IF('School Profile'!$D$20="NO","",IF('Marks Entry'!AR136="","",'Marks Entry'!AR136))</f>
        <v/>
      </c>
      <c r="CU136" s="68" t="str">
        <f>IF('School Profile'!$D$20="NO","",IF('Marks Entry'!AS136="","",'Marks Entry'!AS136))</f>
        <v/>
      </c>
      <c r="CV136" s="68" t="str">
        <f>IF('School Profile'!$D$20="NO","",IF('Marks Entry'!AT136="","",'Marks Entry'!AT136))</f>
        <v/>
      </c>
      <c r="CW136" s="514" t="str">
        <f>IF('School Profile'!$D$20="NO","",IF(AND(CT136="",CU136="",CV136=""),"",SUM(CT136:CV136)))</f>
        <v/>
      </c>
      <c r="CX136" s="68" t="str">
        <f>IF('School Profile'!$D$20="NO","",IF('Marks Entry'!AU136="","",'Marks Entry'!AU136))</f>
        <v/>
      </c>
      <c r="CY136" s="68" t="str">
        <f>IF('School Profile'!$D$20="NO","",IF('Marks Entry'!AV136="","",'Marks Entry'!AV136))</f>
        <v/>
      </c>
      <c r="CZ136" s="515" t="str">
        <f>IF('School Profile'!$D$20="NO","",IF(AND(CX136="",CY136=""),"",SUM(CX136,CY136)))</f>
        <v/>
      </c>
      <c r="DA136" s="69" t="str">
        <f>IF('School Profile'!$D$20="NO","",IF(AND(CW136="",CZ136=""),"",SUM(CW136+CZ136)))</f>
        <v/>
      </c>
      <c r="DB136" s="68" t="str">
        <f>IF('School Profile'!$D$20="NO","",IF('Marks Entry'!AW136="","",'Marks Entry'!AW136))</f>
        <v/>
      </c>
      <c r="DC136" s="68" t="str">
        <f>IF('School Profile'!$D$20="NO","",IF('Marks Entry'!AX136="","",'Marks Entry'!AX136))</f>
        <v/>
      </c>
      <c r="DD136" s="515" t="str">
        <f>IF('School Profile'!$D$20="NO","",IF(AND(DB136="",DC136=""),"",SUM(DB136,DC136)))</f>
        <v/>
      </c>
      <c r="DE136" s="96" t="str">
        <f>IF('School Profile'!$D$20="NO","",IF(AND(DA136="",DD136=""),"",SUM(DA136,DD136)))</f>
        <v/>
      </c>
      <c r="DF136" s="532">
        <f t="shared" si="387"/>
        <v>0</v>
      </c>
      <c r="DG136" s="65">
        <f t="shared" si="388"/>
        <v>0</v>
      </c>
      <c r="DH136" s="66" t="str">
        <f t="shared" si="389"/>
        <v/>
      </c>
      <c r="DI136" s="65" t="str">
        <f t="shared" si="390"/>
        <v/>
      </c>
      <c r="DJ136" s="65" t="str">
        <f t="shared" si="391"/>
        <v/>
      </c>
      <c r="DK136" s="65" t="str">
        <f t="shared" si="392"/>
        <v/>
      </c>
      <c r="DL136" s="97" t="str">
        <f t="shared" ref="DL136:DL199" si="432">X136</f>
        <v/>
      </c>
      <c r="DM136" s="97" t="str">
        <f t="shared" ref="DM136:DM199" si="433">AL136</f>
        <v/>
      </c>
      <c r="DN136" s="97" t="str">
        <f t="shared" ref="DN136:DN199" si="434">BA136</f>
        <v/>
      </c>
      <c r="DO136" s="97" t="str">
        <f t="shared" ref="DO136:DO199" si="435">BO136</f>
        <v/>
      </c>
      <c r="DP136" s="97" t="str">
        <f t="shared" ref="DP136:DP199" si="436">CC136</f>
        <v/>
      </c>
      <c r="DQ136" s="97" t="str">
        <f t="shared" ref="DQ136:DQ199" si="437">CR136</f>
        <v/>
      </c>
      <c r="DR136" s="97" t="str">
        <f t="shared" ref="DR136:DR199" si="438">DK136</f>
        <v/>
      </c>
      <c r="DS136" s="98">
        <f t="shared" ref="DS136:DS199" si="439">COUNTIF(DL136:DR136,"F")+COUNTIF(DL136:DR136,"AB")</f>
        <v>0</v>
      </c>
      <c r="DT136" s="98">
        <f t="shared" ref="DT136:DT199" si="440">COUNTIF(DL136:DR136,"S")</f>
        <v>0</v>
      </c>
      <c r="DU136" s="98">
        <f t="shared" ref="DU136:DU199" si="441">COUNTIF(DL136:DR136,"G1")</f>
        <v>0</v>
      </c>
      <c r="DV136" s="98">
        <f t="shared" ref="DV136:DV199" si="442">COUNTIF(DL136:DR136,"G2")</f>
        <v>0</v>
      </c>
      <c r="DW136" s="98">
        <f t="shared" ref="DW136:DW199" si="443">COUNTIF(DL136:DR136,"RE")+COUNTIF(DL136:DR136,"REP")</f>
        <v>0</v>
      </c>
      <c r="DX136" s="98" t="str">
        <f t="shared" ref="DX136:DX199" si="444">IF(OR(DK136="AB",DK136="F"),"F",IF(OR(DK136="RE"),"RE",""))</f>
        <v/>
      </c>
      <c r="DY136" s="99" t="str">
        <f t="shared" ref="DY136:DY199" si="445">IF(B136="NSO","NSO",IF(OR(B136="",B136=0,Q136="",AE136="",AT136="",BH136="",BV136="",CK136=""),"",IF(OR(DS136&gt;0,(DT136+DU136+DV136)&gt;2),"FAIL",IF(DW136&gt;0,"RE-EXAM",IF(OR(DT136&gt;0,DU136&gt;1),"SUPPLEMENTARY",IF(AND(DU136&gt;0,DV136&gt;0),"SUPPLEMENTARY",IF((DU136+DV136)&gt;0,"BY GRACE PASS","PASS")))))))</f>
        <v/>
      </c>
      <c r="DZ136" s="74" t="str">
        <f>IF('Marks Entry'!AY136="","",'Marks Entry'!AY136)</f>
        <v/>
      </c>
      <c r="EA136" s="74" t="str">
        <f>IF('Marks Entry'!AZ136="","",'Marks Entry'!AZ136)</f>
        <v/>
      </c>
      <c r="EB136" s="74" t="str">
        <f>IF('Marks Entry'!BA136="","",'Marks Entry'!BA136)</f>
        <v/>
      </c>
      <c r="EC136" s="527" t="str">
        <f t="shared" si="393"/>
        <v/>
      </c>
      <c r="ED136" s="74" t="str">
        <f>IF('Marks Entry'!BB136="","",'Marks Entry'!BB136)</f>
        <v/>
      </c>
      <c r="EE136" s="528" t="str">
        <f t="shared" si="394"/>
        <v/>
      </c>
      <c r="EF136" s="74" t="str">
        <f>IF('Marks Entry'!BC136="","",'Marks Entry'!BC136)</f>
        <v/>
      </c>
      <c r="EG136" s="530" t="str">
        <f t="shared" si="395"/>
        <v/>
      </c>
      <c r="EH136" s="368" t="str">
        <f t="shared" ref="EH136:EH199" si="446">IF(OR($B136="NSO",$B136=0,EG136=""),"",IF(OR(EG136="AB",EE136="AB",EF136="AB"),"AB",IF(AND(DY136="FAIL",(OR(EG136&lt;36%*EK136))),"D",IF(OR(EF136="ML",EF136&lt;20%*EF$6,EG136&lt;36%*EK136),"D",IF(EG136&gt;80%*EK136,"A",IF(EG136&gt;60%*EK136,"B",IF(EG136&gt;40%*EK136,"C","D")))))))</f>
        <v/>
      </c>
      <c r="EI136" s="65">
        <f t="shared" ref="EI136:EI199" si="447">COUNTIF(DZ136:EB136,"NA")*10</f>
        <v>0</v>
      </c>
      <c r="EJ136" s="65">
        <f t="shared" ref="EJ136:EJ199" si="448">(COUNTIF(DZ136:EB136,"ML")*10)+(COUNTIF(ED136,"ML")*70)+(COUNTIF(EF136,"ML")*100)</f>
        <v>0</v>
      </c>
      <c r="EK136" s="66" t="str">
        <f t="shared" ref="EK136:EK199" si="449">IF(OR($B136="NSO",$B136=0),"",IF(AND(DZ136="",EA136="",EC136="",EE136=""),"",IF(AND(EA136="",EC136="",ED136="",EE136="",EF136=""),($DZ$6)-EI136-EJ136,IF(AND(DZ136="",EC136="",ED136="",EE136="",EF136=""),($EA$6)-EI136-EJ136,IF(AND(EC136="",ED136="",EE136="",EF136=""),($DZ$6+$EA$6)-EI136-EJ136,IF(AND(EE136="",EF136=""),($EC$6+$ED$6)-EI136-EJ136,($EG$6)-EI136-EJ136))))))</f>
        <v/>
      </c>
      <c r="EL136" s="74" t="str">
        <f>IF('Marks Entry'!BD136="","",'Marks Entry'!BD136)</f>
        <v/>
      </c>
      <c r="EM136" s="74" t="str">
        <f>IF('Marks Entry'!BE136="","",'Marks Entry'!BE136)</f>
        <v/>
      </c>
      <c r="EN136" s="74" t="str">
        <f>IF('Marks Entry'!BF136="","",'Marks Entry'!BF136)</f>
        <v/>
      </c>
      <c r="EO136" s="527" t="str">
        <f t="shared" si="396"/>
        <v/>
      </c>
      <c r="EP136" s="74" t="str">
        <f>IF('Marks Entry'!BG136="","",'Marks Entry'!BG136)</f>
        <v/>
      </c>
      <c r="EQ136" s="74" t="str">
        <f>IF('Marks Entry'!BH136="","",'Marks Entry'!BH136)</f>
        <v/>
      </c>
      <c r="ER136" s="528" t="str">
        <f t="shared" si="397"/>
        <v/>
      </c>
      <c r="ES136" s="529" t="str">
        <f t="shared" si="398"/>
        <v/>
      </c>
      <c r="ET136" s="74" t="str">
        <f>IF('Marks Entry'!BI136="","",'Marks Entry'!BI136)</f>
        <v/>
      </c>
      <c r="EU136" s="74" t="str">
        <f>IF('Marks Entry'!BJ136="","",'Marks Entry'!BJ136)</f>
        <v/>
      </c>
      <c r="EV136" s="528" t="str">
        <f t="shared" si="399"/>
        <v/>
      </c>
      <c r="EW136" s="530" t="str">
        <f t="shared" si="400"/>
        <v/>
      </c>
      <c r="EX136" s="368" t="str">
        <f t="shared" ref="EX136:EX199" si="450">IF(OR($B136="NSO",$B136=0,EW136=""),"",IF(OR(ET136="AB",EU136="AB",EV136="AB"),"AB",IF(AND($DY136="FAIL",(OR(EW136&lt;36%*FA136))),"D",IF(OR(EV136="ML",EV136&lt;20%*EV$6,EW136&lt;36%*FA136),"D",IF(EW136&gt;80%*FA136,"A",IF(EW136&gt;60%*FA136,"B",IF(EW136&gt;40%*FA136,"C","D")))))))</f>
        <v/>
      </c>
      <c r="EY136" s="65">
        <f t="shared" ref="EY136:EY199" si="451">COUNTIF(EL136:EN136,"NA")*10</f>
        <v>0</v>
      </c>
      <c r="EZ136" s="65">
        <f t="shared" ref="EZ136:EZ199" si="452">(COUNTIF(EL136:EN136,"ML")*10)+(COUNTIF(ER136,"ML")*70)+(COUNTIF(EV136,"ML")*100)</f>
        <v>0</v>
      </c>
      <c r="FA136" s="66" t="str">
        <f t="shared" ref="FA136:FA199" si="453">IF(OR($B136="NSO",$B136=0),"",IF(AND(EL136="",EM136="",EP136="",ET136=""),"",IF(AND(EM136="",EP136="",EQ136="",ET136="",EU136=""),($EL$6)-EY136-EZ136,IF(AND(EL136="",EP136="",EQ136="",ET136="",EU136=""),($EM$6)-EY136-EZ136,IF(AND(EP136="",EQ136="",ET136="",EU136=""),($EL$6+$EM$6)-EY136-EZ136,IF(AND(ET136="",EU136=""),($EP$6+$EQ$6)-EY136-EZ136,($EW$6)-EY136-EZ136))))))</f>
        <v/>
      </c>
      <c r="FB136" s="74" t="str">
        <f>IF('Marks Entry'!BK136="","",'Marks Entry'!BK136)</f>
        <v/>
      </c>
      <c r="FC136" s="74" t="str">
        <f>IF('Marks Entry'!BL136="","",'Marks Entry'!BL136)</f>
        <v/>
      </c>
      <c r="FD136" s="74" t="str">
        <f>IF('Marks Entry'!BM136="","",'Marks Entry'!BM136)</f>
        <v/>
      </c>
      <c r="FE136" s="74" t="str">
        <f>IF('Marks Entry'!BN136="","",'Marks Entry'!BN136)</f>
        <v/>
      </c>
      <c r="FF136" s="74" t="str">
        <f>IF('Marks Entry'!BO136="","",'Marks Entry'!BO136)</f>
        <v/>
      </c>
      <c r="FG136" s="74" t="str">
        <f>IF('Marks Entry'!BP136="","",'Marks Entry'!BP136)</f>
        <v/>
      </c>
      <c r="FH136" s="527" t="str">
        <f t="shared" si="401"/>
        <v/>
      </c>
      <c r="FI136" s="74" t="str">
        <f>IF('Marks Entry'!BQ136="","",'Marks Entry'!BQ136)</f>
        <v/>
      </c>
      <c r="FJ136" s="74" t="str">
        <f>IF('Marks Entry'!BR136="","",'Marks Entry'!BR136)</f>
        <v/>
      </c>
      <c r="FK136" s="528" t="str">
        <f t="shared" si="402"/>
        <v/>
      </c>
      <c r="FL136" s="529" t="str">
        <f t="shared" si="403"/>
        <v/>
      </c>
      <c r="FM136" s="74" t="str">
        <f>IF('Marks Entry'!BS136="","",'Marks Entry'!BS136)</f>
        <v/>
      </c>
      <c r="FN136" s="74" t="str">
        <f>IF('Marks Entry'!BT136="","",'Marks Entry'!BT136)</f>
        <v/>
      </c>
      <c r="FO136" s="528" t="str">
        <f t="shared" si="404"/>
        <v/>
      </c>
      <c r="FP136" s="530" t="str">
        <f t="shared" si="405"/>
        <v/>
      </c>
      <c r="FQ136" s="368" t="str">
        <f t="shared" ref="FQ136:FQ199" si="454">IF(OR($B136="NSO",$B136=0,FP136=""),"",IF(OR(FM136="AB",FN136="AB",FO136="AB"),"AB",IF(AND($DY136="FAIL",(OR(FP136&lt;36%*FT136))),"D",IF(OR(FO136="ML",FO136&lt;20%*FO$6,FP136&lt;36%*FT136),"D",IF(FP136&gt;80%*FT136,"A",IF(FP136&gt;60%*FT136,"B",IF(FP136&gt;40%*FT136,"C","D")))))))</f>
        <v/>
      </c>
      <c r="FR136" s="65">
        <f t="shared" ref="FR136:FR199" si="455">COUNTIF(FB136,"NA")*10+COUNTIF(FD136,"NA")*10+COUNTIF(FF136,"NA")*10</f>
        <v>0</v>
      </c>
      <c r="FS136" s="65">
        <f t="shared" ref="FS136:FS199" si="456">(COUNTIF(FB136,"ML")*10)+(COUNTIF(FD136,"ML")*10)+(COUNTIF(FF136,"ML")*10)+(COUNTIF(FI136,"ML")*25)+(COUNTIF(FJ136,"ML")*15)+(COUNTIF(FM136,"ML")*30)+(COUNTIF(FN136,"ML")*70)</f>
        <v>0</v>
      </c>
      <c r="FT136" s="66" t="str">
        <f t="shared" ref="FT136:FT199" si="457">IF(OR($B136="NSO",$B136=0),"",IF(AND(FB136="",FD136="",FF136="",FI136="",FM136=""),"",IF(AND(FC136="",FI136="",FJ136="",FE136="",FN136=""),($FB$6)-FR136-FS136,IF(AND(FB136="",FI136="",FJ136="",FM136="",FN136=""),($FC$6)-FR136-FS136,IF(AND(FI136="",FJ136="",FM136="",FN136=""),($FB$6+$FC$6)-FR136-FS136,IF(AND(FM136="",FN136=""),($FI$6+$FJ$6)-FR136-FS136,($FP$6)-FR136-FS136))))))</f>
        <v/>
      </c>
      <c r="FU136" s="74" t="str">
        <f>IF('Marks Entry'!BU136="","",'Marks Entry'!BU136)</f>
        <v/>
      </c>
      <c r="FV136" s="74" t="str">
        <f>IF('Marks Entry'!BV136="","",'Marks Entry'!BV136)</f>
        <v/>
      </c>
      <c r="FW136" s="74" t="str">
        <f>IF('Marks Entry'!BW136="","",'Marks Entry'!BW136)</f>
        <v/>
      </c>
      <c r="FX136" s="75" t="str">
        <f t="shared" si="406"/>
        <v/>
      </c>
      <c r="FY136" s="368" t="str">
        <f t="shared" ref="FY136:FY199" si="458">IFERROR(IF(OR($B136="NSO",$B136=0,FX136=""),"",IF(OR(FU136="AB",FV136="AB",FW136="AB"),"AB",IF(AND($DY136="FAIL",(OR(FX136&lt;36%*GB136))),"D",IF(OR(FW136="ML",FX136&lt;20%*FX$6,FX136&lt;36%*GB136),"D",IF(FX136&gt;80%*GB136,"A",IF(FX136&gt;60%*GB136,"B",IF(FX136&gt;40%*GB136,"C","D"))))))),"")</f>
        <v/>
      </c>
      <c r="FZ136" s="65">
        <f t="shared" ref="FZ136:FZ199" si="459">COUNTIF(FU136,"NA")*25</f>
        <v>0</v>
      </c>
      <c r="GA136" s="66">
        <f t="shared" ref="GA136:GA199" si="460">IF(AND(FW136="",FU136="",FW136=""),(COUNTIF(FU136,"ML")*25+(COUNTIF(FW136,"ML"))*FW$6+(COUNTIF(FV136,"ML"))*FV$6),(COUNTIF(FU136,"ML")*25+(COUNTIF(FW136,"ML"))*FW$6+(COUNTIF(FX136,"ML"))*FX$6))</f>
        <v>0</v>
      </c>
      <c r="GB136" s="66" t="str">
        <f t="shared" ref="GB136:GB199" si="461">IF(OR($B136="NSO",$B136=0),"",IF(AND(FU136="",FV136="",FW136=""),"",IF(AND(FU136="",FV136="",FW136=""),($FX$6)-FZ136-GA136,IF(AND(FW136=""),($FW$6)-FZ136-GA136,IF(AND(FV136=""),($FV$6)-FZ136-GA136,IF(AND(FU136=""),($FU$6)-FZ136-GA136,($FX$6)-FZ136-GA136))))))</f>
        <v/>
      </c>
      <c r="GC136" s="74" t="str">
        <f>IF('Marks Entry'!BX136="","",'Marks Entry'!BX136)</f>
        <v/>
      </c>
      <c r="GD136" s="74" t="str">
        <f>IF('Marks Entry'!BY136="","",'Marks Entry'!BY136)</f>
        <v/>
      </c>
      <c r="GE136" s="74" t="str">
        <f>IF('Marks Entry'!BZ136="","",'Marks Entry'!BZ136)</f>
        <v/>
      </c>
      <c r="GF136" s="75" t="str">
        <f t="shared" ref="GF136:GF199" si="462">IF(AND(GC136="",GD136="",GE136=""),"",SUM(GC136,GD136,GE136))</f>
        <v/>
      </c>
      <c r="GG136" s="368" t="str">
        <f t="shared" ref="GG136:GG199" si="463">IFERROR(IF(OR($B136="NSO",$B136=0,GF136=""),"",IF(OR(GC136="AB",GD136="AB",GE136="AB"),"AB",IF(AND($DY136="FAIL",(OR(GF136&lt;36%*GJ136))),"D",IF(OR(GE136="ML",GF136&lt;20%*GF$6,GF136&lt;36%*GJ136),"D",IF(GF136&gt;80%*GJ136,"A",IF(GF136&gt;60%*GJ136,"B",IF(GF136&gt;40%*GJ136,"C","D"))))))),"")</f>
        <v/>
      </c>
      <c r="GH136" s="65">
        <f t="shared" ref="GH136:GH199" si="464">COUNTIF(GC136,"NA")*25</f>
        <v>0</v>
      </c>
      <c r="GI136" s="66">
        <f t="shared" ref="GI136:GI199" si="465">IF(AND(GE136="",GC136="",GE136=""),(COUNTIF(GC136,"ML")*25+(COUNTIF(GE136,"ML"))*GE$6+(COUNTIF(GD136,"ML"))*GD$6),(COUNTIF(GC136,"ML")*25+(COUNTIF(GE136,"ML"))*GE$6+(COUNTIF(GF136,"ML"))*GF$6))</f>
        <v>0</v>
      </c>
      <c r="GJ136" s="66" t="str">
        <f t="shared" ref="GJ136:GJ199" si="466">IF(OR($B136="NSO",$B136=0),"",IF(AND(GC136="",GD136="",GE136=""),"",IF(AND(GC136="",GD136="",GE136=""),($GF$6)-GH136-GI136,IF(AND(GE136=""),($GE$6)-GH136-GI136,IF(AND(GD136=""),($GD$6)-GH136-GI136,IF(AND(GC136=""),($GC$6)-GH136-GI136,($GF$6)-GH136-GI136))))))</f>
        <v/>
      </c>
      <c r="GK136" s="100" t="str">
        <f>IF(AND(F136="",B136=""),"",IF('Student DATA Entry'!M133="","",'Student DATA Entry'!M133))</f>
        <v/>
      </c>
      <c r="GL136" s="101" t="str">
        <f>IF(AND(B136="",F136=""),"",IF('Student DATA Entry'!N133="","",'Student DATA Entry'!N133))</f>
        <v/>
      </c>
      <c r="GM136" s="581" t="str">
        <f t="shared" ref="GM136:GM199" si="467">IF(OR(GK136=0,GL136=0,GK136="",GL136=""),"",GL136/GK136*100)</f>
        <v/>
      </c>
      <c r="GN136" s="94" t="str">
        <f t="shared" ref="GN136:GN199" si="468">IF(AND(DY136="FAIL",(OR(DL136="G1",DL136="G2",DL136="S",DL136="RE"))),"F",IF(AND(DY136="RE-EXAM",(OR(DL136="G1",DL136="G2",DL136="S"))),"S",IF(AND(DY136="SUPPLEMENTARY",(OR(DL136="G1",DL136="G2"))),"S",IF(AND(DY136="BY GRACE PASS",(OR(DL136="G1",DL136="G2"))),"G",DL136))))</f>
        <v/>
      </c>
      <c r="GO136" s="94" t="str">
        <f t="shared" ref="GO136:GO199" si="469">IF(GN136="G",",+","")</f>
        <v/>
      </c>
      <c r="GP136" s="102" t="str">
        <f t="shared" si="407"/>
        <v/>
      </c>
      <c r="GQ136" s="94" t="str">
        <f t="shared" ref="GQ136:GQ199" si="470">IF(AND(DY136="vuqRrh.kZ",(OR(DM136="G1",DM136="G2",DM136="S",DM136="RE"))),"F",IF(AND(DY136="iqu% ijh{kk",(OR(DM136="G1",DM136="G2",DM136="S"))),"S",IF(AND(DY136="iwjd",(OR(DM136="G1",DM136="G2"))),"S",IF(AND(DY136="lk- mRrh.kZ",(OR(DM136="G1",DM136="G2"))),"G",DM136))))</f>
        <v/>
      </c>
      <c r="GR136" s="103" t="str">
        <f t="shared" ref="GR136:GR199" si="471">IF(GQ136="G",",+","")</f>
        <v/>
      </c>
      <c r="GS136" s="102" t="str">
        <f t="shared" si="408"/>
        <v/>
      </c>
      <c r="GT136" s="104" t="str">
        <f t="shared" ref="GT136:GT199" si="472">IF(AND(DY136="FAIL",(OR(DN136="G1",DN136="G2",DN136="S",DN136="RE"))),"F",IF(AND(DY136="RE-EXAM",(OR(DN136="G1",DN136="G2",DN136="S"))),"S",IF(AND(DY136="SUPPLEMENTARY",(OR(DN136="G1",DN136="G2"))),"S",IF(AND(DY136="BY GRACE PASS",(OR(DN136="G1",DN136="G2"))),"G",DN136))))</f>
        <v/>
      </c>
      <c r="GU136" s="94" t="str">
        <f>IF('Marks Entry'!V136=1,GT136,"")</f>
        <v/>
      </c>
      <c r="GV136" s="94" t="str">
        <f>IF('Marks Entry'!V136=2,GT136,"")</f>
        <v/>
      </c>
      <c r="GW136" s="94" t="str">
        <f>IF('Marks Entry'!V136=3,GT136,"")</f>
        <v/>
      </c>
      <c r="GX136" s="94" t="str">
        <f>IF('Marks Entry'!V136=4,GT136,"")</f>
        <v/>
      </c>
      <c r="GY136" s="94" t="str">
        <f>IF('Marks Entry'!V136=5,GT136,"")</f>
        <v/>
      </c>
      <c r="GZ136" s="94" t="str">
        <f t="shared" ref="GZ136:GZ199" si="473">IF(GT136="G",",+","")</f>
        <v/>
      </c>
      <c r="HA136" s="105" t="str">
        <f t="shared" si="409"/>
        <v/>
      </c>
      <c r="HB136" s="94" t="str">
        <f t="shared" ref="HB136:HB199" si="474">IF(AND(DY136="FAIL",(OR(DO136="G1",DO136="G2",DO136="S",DO136="RE",))),"F",IF(AND(DY136="RE-EXAM",(OR(DO136="G1",DO136="G2",DO136="S"))),"S",IF(AND(DY136="SUPPLEMENTARY",(OR(DO136="G1",DO136="G2"))),"S",IF(AND(DY136="BY GRACE PASS",(OR(DO136="G1",DO136="G2"))),"G",DO136))))</f>
        <v/>
      </c>
      <c r="HC136" s="94" t="str">
        <f t="shared" ref="HC136:HC199" si="475">IF(HB136="G",",+","")</f>
        <v/>
      </c>
      <c r="HD136" s="105" t="str">
        <f t="shared" si="410"/>
        <v/>
      </c>
      <c r="HE136" s="94" t="str">
        <f t="shared" ref="HE136:HE199" si="476">IF(AND(DY136="FAIL",(OR(DP136="G1",DP136="G2",DP136="S",DP136="RE"))),"F",IF(AND(DY136="RE-EXAM",(OR(DP136="G1",DP136="G2",DP136="S"))),"S",IF(AND(DY136="SUPPLEMENTARY",(OR(DP136="G1",DP136="G2"))),"S",IF(AND(DY136="BY GRACE PASS",(OR(DP136="G1",DP136="G2"))),"G",DP136))))</f>
        <v/>
      </c>
      <c r="HF136" s="94" t="str">
        <f t="shared" ref="HF136:HF199" si="477">IF(HE136="G",",+","")</f>
        <v/>
      </c>
      <c r="HG136" s="105" t="str">
        <f t="shared" si="411"/>
        <v/>
      </c>
      <c r="HH136" s="94" t="str">
        <f t="shared" ref="HH136:HH199" si="478">IF(AND(DY136="FAIL",(OR(DQ136="G1",DQ136="G2",DQ136="S",DQ136="RE"))),"F",IF(AND(DY136="RE-EXAM",(OR(DQ136="G1",DQ136="G2",DQ136="S"))),"S",IF(AND(DY136="SUPPLEMENTARY",(OR(DQ136="G1",DQ136="G2"))),"S",IF(AND(DY136="BY GRACE PASS",(OR(DQ136="G1",DQ136="G2"))),"G",DQ136))))</f>
        <v/>
      </c>
      <c r="HI136" s="94" t="str">
        <f t="shared" ref="HI136:HI199" si="479">IF(HH136="G",",+","")</f>
        <v/>
      </c>
      <c r="HJ136" s="105" t="str">
        <f t="shared" si="412"/>
        <v/>
      </c>
      <c r="HK136" s="94" t="str">
        <f t="shared" ref="HK136:HK199" si="480">IF(AND(DY136="FAIL",(OR(DR136="G1",DR136="G2",DR136="S",DR136="RE"))),"F",IF(AND(DY136="RE-EXAM",(OR(DR136="G1",DR136="G2",DR136="S"))),"S",IF(AND(DY136="SUPPLEMENTARY",(OR(DR136="G1",DR136="G2"))),"S",IF(AND(DY136="BY GRACE PASS",(OR(DR136="G1",DR136="G2"))),"G",DR136))))</f>
        <v/>
      </c>
      <c r="HL136" s="94" t="str">
        <f t="shared" ref="HL136:HL199" si="481">IF(HK136="G",",+","")</f>
        <v/>
      </c>
      <c r="HM136" s="105" t="str">
        <f t="shared" si="413"/>
        <v/>
      </c>
      <c r="HN136" s="367"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18" t="str">
        <f t="shared" si="414"/>
        <v xml:space="preserve">      </v>
      </c>
      <c r="HP136" s="367" t="str">
        <f t="shared" ref="HP136:HP199" si="483">CONCATENATE(IF(GN136="G",$GN$5,"")," ",IF(GQ136="G",$GQ$5,"")," ",IF(GU136="G",$GU$5,IF(GV136="G",$GV$5,IF(GW136="G",$GW$5,IF(GX136="G",$GX$5,IF(GY136="G",$GY$5,"")))))," ",IF(HB136="G",$HB$5,"")," ",IF(HE136="G",$HE$5,"")," ",IF(HH136="G",$HH$5,"")," ",IF(HK136="G",$HK$5,""))</f>
        <v xml:space="preserve">      </v>
      </c>
      <c r="HQ136" s="107"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66" t="str">
        <f t="shared" ref="HR136:HR199" si="485">CONCATENATE(IF(GN136="D",$GN$5,"")," ",IF($GQ136="D",$GQ$5,"")," ",IF(GU136="D",$GU$5,IF(GV136="D",$GV$5,IF(GW136="D",$GW$5,IF(GX136="D",$GX$5,IF(GY136="D",$GY$5,"")))))," ",IF(HB136="D",$HB$5,"")," ",IF(HE136="D",$HE$5,"")," ",IF(HH136="D",$HH$5,"")," ",IF(HK136="D",$HK$5,""))</f>
        <v xml:space="preserve">      </v>
      </c>
      <c r="HS136" s="544" t="str">
        <f t="shared" si="415"/>
        <v/>
      </c>
      <c r="HT136" s="542" t="str">
        <f t="shared" ref="HT136:HT199" si="486">IF(AND(R136="",AF136="",AU136="",BI136="",BW136=""),"",IF(OR(CS136="",DE136=""),SUM(R136,AF136,AU136,BI136,BW136,CL136),IF((CL136/CO136*100)&gt;=(DE136/DH136*100),SUM(R136,AF136,AU136,BI136,BW136,CL136),SUM(R136,AF136,AU136,BI136,BW136,DE136))))</f>
        <v/>
      </c>
      <c r="HU136" s="541" t="str">
        <f t="shared" ref="HU136:HU199" si="487">IF(HT136="","",HT136*100/($HT$6-CD136))</f>
        <v/>
      </c>
      <c r="HV136" s="540" t="str">
        <f t="shared" ref="HV136:HV199" si="488">IFERROR(IF(HU136="","",IF(AND(HU136&gt;=60,(HS136="PASS")),"1st",IF(AND(HU136&gt;=60,(HS136="BY GRACE PASS")),"1st",IF(AND(HU136&gt;=48,(HS136="PASS")),"2nd",IF(AND(HU136&gt;=48,(HS136="BY GRACE PASS")),"2nd",IF(AND(HU136&gt;=36,(HS136="PASS")),"3rd",IF(AND(HU136&gt;=36,(HS136="BY GRACE PASS")),"3rd",""))))))),"")</f>
        <v/>
      </c>
      <c r="HW136" s="537" t="str">
        <f t="shared" ref="HW136:HW199" si="489">IFERROR(IF(OR(HS136="PASS",HS136="BY GRACE PASS"),HU136,""),"")</f>
        <v/>
      </c>
      <c r="HX136" s="539" t="str">
        <f t="shared" ref="HX136:HX199" si="490">IFERROR(IF(HW136="","",SUMPRODUCT((HW136&lt;HW$7:HW$206)/COUNTIF(HW$7:HW$206,HW$7:HW$206))),"")</f>
        <v/>
      </c>
      <c r="HY136" s="553" t="str">
        <f>IFERROR(IF(OR(HS136="SUPPLEMENTARY",HS136="RE-EXAM"),'Supp. Result Entry'!AQ134,""),"")</f>
        <v/>
      </c>
      <c r="HZ136" s="538" t="str">
        <f t="shared" ref="HZ136:HZ199" si="491">IF(OR(KA136="",JP136=0),"",IF(JY136="","",JY136))</f>
        <v/>
      </c>
      <c r="IA136" s="415" t="str">
        <f t="shared" ref="IA136:IA199" si="492">IF(AND(KA136=""),"",IF(HZ136="","",IF(AND(KA136="FAIL"),"Failed",KA136)))</f>
        <v/>
      </c>
      <c r="IB136" s="415" t="str">
        <f>IF(AND(HZ136="",IA136=""),"",IF(OR(HS136="SUPPLEMENTARY",HS136="RE-EXAM"),'Supp. Result Entry'!AQ134,HS136))</f>
        <v/>
      </c>
      <c r="IC136" s="87"/>
      <c r="IS136" s="109" t="str">
        <f>IF('Supp. Result Entry'!T134="","",'Supp. Result Entry'!$T$4)</f>
        <v/>
      </c>
      <c r="IT136" s="110" t="str">
        <f>IF('Supp. Result Entry'!W134="","",'Supp. Result Entry'!$W$4)</f>
        <v/>
      </c>
      <c r="IU136" s="110" t="str">
        <f>IF('Supp. Result Entry'!Z134="","",'Supp. Result Entry'!$Z$4)</f>
        <v/>
      </c>
      <c r="IV136" s="110" t="str">
        <f>IF('Supp. Result Entry'!AC134="","",'Supp. Result Entry'!$AC$4)</f>
        <v/>
      </c>
      <c r="IW136" s="110" t="str">
        <f>IF('Supp. Result Entry'!AF134="","",'Supp. Result Entry'!$AF$4)</f>
        <v/>
      </c>
      <c r="IX136" s="110" t="str">
        <f>IF('Supp. Result Entry'!AI134="","",'Supp. Result Entry'!$AI$4)</f>
        <v/>
      </c>
      <c r="IY136" s="110" t="str">
        <f>IF('Supp. Result Entry'!AI134="","",'Supp. Result Entry'!$AL$4)</f>
        <v/>
      </c>
      <c r="IZ136" s="110" t="str">
        <f>IF('Supp. Result Entry'!U134="","",'Supp. Result Entry'!U134)</f>
        <v/>
      </c>
      <c r="JA136" s="110" t="str">
        <f>IF('Supp. Result Entry'!X134="","",'Supp. Result Entry'!X134)</f>
        <v/>
      </c>
      <c r="JB136" s="110" t="str">
        <f>IF('Supp. Result Entry'!AA134="","",'Supp. Result Entry'!AA134)</f>
        <v/>
      </c>
      <c r="JC136" s="110" t="str">
        <f>IF('Supp. Result Entry'!AD134="","",'Supp. Result Entry'!AD134)</f>
        <v/>
      </c>
      <c r="JD136" s="110" t="str">
        <f>IF('Supp. Result Entry'!AG134="","",'Supp. Result Entry'!AG134)</f>
        <v/>
      </c>
      <c r="JE136" s="110" t="str">
        <f>IF('Supp. Result Entry'!AJ134="","",'Supp. Result Entry'!AJ134)</f>
        <v/>
      </c>
      <c r="JF136" s="110" t="str">
        <f>IF('Supp. Result Entry'!AM134="","",'Supp. Result Entry'!AM134)</f>
        <v/>
      </c>
      <c r="JG136" s="110" t="str">
        <f>IF('Supp. Result Entry'!V134="","",'Supp. Result Entry'!V134)</f>
        <v/>
      </c>
      <c r="JH136" s="110" t="str">
        <f>IF('Supp. Result Entry'!Y134="","",'Supp. Result Entry'!Y134)</f>
        <v/>
      </c>
      <c r="JI136" s="110" t="str">
        <f>IF('Supp. Result Entry'!AB134="","",'Supp. Result Entry'!AB134)</f>
        <v/>
      </c>
      <c r="JJ136" s="110" t="str">
        <f>IF('Supp. Result Entry'!AE134="","",'Supp. Result Entry'!AE134)</f>
        <v/>
      </c>
      <c r="JK136" s="110" t="str">
        <f>IF('Supp. Result Entry'!AH134="","",'Supp. Result Entry'!AH134)</f>
        <v/>
      </c>
      <c r="JL136" s="110" t="str">
        <f>IF('Supp. Result Entry'!AK134="","",'Supp. Result Entry'!AK134)</f>
        <v/>
      </c>
      <c r="JM136" s="110" t="str">
        <f>IF('Supp. Result Entry'!AN134="","",'Supp. Result Entry'!AN134)</f>
        <v/>
      </c>
      <c r="JN136" s="110">
        <f>COUNTIF('Supp. Result Entry'!K134:Q134,"S")</f>
        <v>0</v>
      </c>
      <c r="JO136" s="110">
        <f t="shared" si="416"/>
        <v>0</v>
      </c>
      <c r="JP136" s="110">
        <f t="shared" ref="JP136:JP199" si="493">COUNTIF(JG136:JM136,"P")</f>
        <v>0</v>
      </c>
      <c r="JQ136" s="110" t="str">
        <f t="shared" si="417"/>
        <v/>
      </c>
      <c r="JR136" s="110" t="str">
        <f t="shared" si="418"/>
        <v/>
      </c>
      <c r="JS136" s="110" t="str">
        <f t="shared" si="419"/>
        <v/>
      </c>
      <c r="JT136" s="110" t="str">
        <f t="shared" si="420"/>
        <v/>
      </c>
      <c r="JU136" s="110" t="str">
        <f t="shared" si="421"/>
        <v/>
      </c>
      <c r="JV136" s="110" t="str">
        <f t="shared" si="422"/>
        <v/>
      </c>
      <c r="JW136" s="110" t="str">
        <f t="shared" si="423"/>
        <v/>
      </c>
      <c r="JX136" s="110" t="str">
        <f t="shared" ref="JX136:JX199" si="494">IF(OR(JN136=0,JN136&lt;JP136),"",SUM(JQ136:JW136))</f>
        <v/>
      </c>
      <c r="JY136" s="110" t="str">
        <f t="shared" ref="JY136:JY199" si="495">IF(OR(JN136=0,JN136&lt;JP136),"",JX136/JZ136*100)</f>
        <v/>
      </c>
      <c r="JZ136" s="110" t="str">
        <f t="shared" si="424"/>
        <v/>
      </c>
      <c r="KA136" s="108" t="str">
        <f t="shared" ref="KA136:KA199" si="496">IF(JY136="","",IF(JY136&gt;=60,"I",IF(JY136&gt;=48,"II",IF(JY136&gt;=36,"III",""))))</f>
        <v/>
      </c>
    </row>
    <row r="137" spans="1:287" s="108" customFormat="1" ht="21.95" customHeight="1">
      <c r="A137" s="89">
        <v>131</v>
      </c>
      <c r="B137" s="90" t="str">
        <f>IF('Marks Entry'!B137="","",'Marks Entry'!B137)</f>
        <v/>
      </c>
      <c r="C137" s="94" t="str">
        <f>IF('Marks Entry'!D137="","",'Marks Entry'!D137)</f>
        <v/>
      </c>
      <c r="D137" s="91" t="str">
        <f>IF('Marks Entry'!E137="","",'Marks Entry'!E137)</f>
        <v/>
      </c>
      <c r="E137" s="92" t="str">
        <f>IF('Marks Entry'!F137="","",'Marks Entry'!F137)</f>
        <v/>
      </c>
      <c r="F137" s="93" t="str">
        <f>IF('Marks Entry'!G137="","",'Marks Entry'!G137)</f>
        <v/>
      </c>
      <c r="G137" s="93" t="str">
        <f>IF('Marks Entry'!H137="","",'Marks Entry'!H137)</f>
        <v/>
      </c>
      <c r="H137" s="93" t="str">
        <f>IF('Marks Entry'!I137="","",'Marks Entry'!I137)</f>
        <v/>
      </c>
      <c r="I137" s="94" t="str">
        <f>IF('Marks Entry'!J137="","",'Marks Entry'!J137)</f>
        <v/>
      </c>
      <c r="J137" s="95" t="str">
        <f>IF('Marks Entry'!K137="","",'Marks Entry'!K137)</f>
        <v/>
      </c>
      <c r="K137" s="68" t="str">
        <f>IF('Marks Entry'!L137="","",'Marks Entry'!L137)</f>
        <v/>
      </c>
      <c r="L137" s="68" t="str">
        <f>IF('Marks Entry'!M137="","",'Marks Entry'!M137)</f>
        <v/>
      </c>
      <c r="M137" s="68" t="str">
        <f>IF('Marks Entry'!N137="","",'Marks Entry'!N137)</f>
        <v/>
      </c>
      <c r="N137" s="514" t="str">
        <f t="shared" si="425"/>
        <v/>
      </c>
      <c r="O137" s="68" t="str">
        <f>IF('Marks Entry'!O137="","",'Marks Entry'!O137)</f>
        <v/>
      </c>
      <c r="P137" s="515" t="str">
        <f t="shared" si="426"/>
        <v/>
      </c>
      <c r="Q137" s="68" t="str">
        <f>IF('Marks Entry'!P137="","",'Marks Entry'!P137)</f>
        <v/>
      </c>
      <c r="R137" s="96" t="str">
        <f t="shared" si="427"/>
        <v/>
      </c>
      <c r="S137" s="65">
        <f t="shared" si="428"/>
        <v>0</v>
      </c>
      <c r="T137" s="65">
        <f t="shared" si="429"/>
        <v>0</v>
      </c>
      <c r="U137" s="66" t="str">
        <f t="shared" si="339"/>
        <v/>
      </c>
      <c r="V137" s="65" t="str">
        <f t="shared" si="340"/>
        <v/>
      </c>
      <c r="W137" s="65" t="str">
        <f t="shared" si="430"/>
        <v/>
      </c>
      <c r="X137" s="65" t="str">
        <f t="shared" si="341"/>
        <v/>
      </c>
      <c r="Y137" s="68" t="str">
        <f>IF('Marks Entry'!Q137="","",'Marks Entry'!Q137)</f>
        <v/>
      </c>
      <c r="Z137" s="68" t="str">
        <f>IF('Marks Entry'!R137="","",'Marks Entry'!R137)</f>
        <v/>
      </c>
      <c r="AA137" s="68" t="str">
        <f>IF('Marks Entry'!S137="","",'Marks Entry'!S137)</f>
        <v/>
      </c>
      <c r="AB137" s="514" t="str">
        <f t="shared" si="342"/>
        <v/>
      </c>
      <c r="AC137" s="68" t="str">
        <f>IF('Marks Entry'!T137="","",'Marks Entry'!T137)</f>
        <v/>
      </c>
      <c r="AD137" s="515" t="str">
        <f t="shared" si="343"/>
        <v/>
      </c>
      <c r="AE137" s="68" t="str">
        <f>IF('Marks Entry'!U137="","",'Marks Entry'!U137)</f>
        <v/>
      </c>
      <c r="AF137" s="96" t="str">
        <f t="shared" si="344"/>
        <v/>
      </c>
      <c r="AG137" s="65">
        <f t="shared" si="345"/>
        <v>0</v>
      </c>
      <c r="AH137" s="65">
        <f t="shared" si="346"/>
        <v>0</v>
      </c>
      <c r="AI137" s="66" t="str">
        <f t="shared" si="347"/>
        <v/>
      </c>
      <c r="AJ137" s="65" t="str">
        <f t="shared" si="348"/>
        <v/>
      </c>
      <c r="AK137" s="65" t="str">
        <f t="shared" si="349"/>
        <v/>
      </c>
      <c r="AL137" s="65" t="str">
        <f t="shared" si="350"/>
        <v/>
      </c>
      <c r="AM137" s="524" t="str">
        <f>IF('Marks Entry'!V137="","",IF('Marks Entry'!V137=1,'School Profile'!$I$9,IF('Marks Entry'!V137=2,'School Profile'!$I$10,IF('Marks Entry'!V137=3,'School Profile'!$I$11,IF('Marks Entry'!V137=4,'School Profile'!$I$12,IF('Marks Entry'!V137=5,'School Profile'!$I$13,IF('Marks Entry'!V137=6,'School Profile'!$I$14,"")))))))</f>
        <v/>
      </c>
      <c r="AN137" s="68" t="str">
        <f>IF('Marks Entry'!W137="","",'Marks Entry'!W137)</f>
        <v/>
      </c>
      <c r="AO137" s="68" t="str">
        <f>IF('Marks Entry'!X137="","",'Marks Entry'!X137)</f>
        <v/>
      </c>
      <c r="AP137" s="68" t="str">
        <f>IF('Marks Entry'!Y137="","",'Marks Entry'!Y137)</f>
        <v/>
      </c>
      <c r="AQ137" s="514" t="str">
        <f t="shared" si="351"/>
        <v/>
      </c>
      <c r="AR137" s="68" t="str">
        <f>IF('Marks Entry'!Z137="","",'Marks Entry'!Z137)</f>
        <v/>
      </c>
      <c r="AS137" s="515" t="str">
        <f t="shared" si="352"/>
        <v/>
      </c>
      <c r="AT137" s="68" t="str">
        <f>IF('Marks Entry'!AA137="","",'Marks Entry'!AA137)</f>
        <v/>
      </c>
      <c r="AU137" s="96" t="str">
        <f t="shared" si="353"/>
        <v/>
      </c>
      <c r="AV137" s="65">
        <f t="shared" si="354"/>
        <v>0</v>
      </c>
      <c r="AW137" s="65">
        <f t="shared" si="355"/>
        <v>0</v>
      </c>
      <c r="AX137" s="66" t="str">
        <f t="shared" si="356"/>
        <v/>
      </c>
      <c r="AY137" s="65" t="str">
        <f t="shared" si="357"/>
        <v/>
      </c>
      <c r="AZ137" s="65" t="str">
        <f t="shared" si="358"/>
        <v/>
      </c>
      <c r="BA137" s="65" t="str">
        <f t="shared" si="359"/>
        <v/>
      </c>
      <c r="BB137" s="68" t="str">
        <f>IF('Marks Entry'!AB137="","",'Marks Entry'!AB137)</f>
        <v/>
      </c>
      <c r="BC137" s="68" t="str">
        <f>IF('Marks Entry'!AC137="","",'Marks Entry'!AC137)</f>
        <v/>
      </c>
      <c r="BD137" s="68" t="str">
        <f>IF('Marks Entry'!AD137="","",'Marks Entry'!AD137)</f>
        <v/>
      </c>
      <c r="BE137" s="514" t="str">
        <f t="shared" si="360"/>
        <v/>
      </c>
      <c r="BF137" s="68" t="str">
        <f>IF('Marks Entry'!AE137="","",'Marks Entry'!AE137)</f>
        <v/>
      </c>
      <c r="BG137" s="515" t="str">
        <f t="shared" si="361"/>
        <v/>
      </c>
      <c r="BH137" s="68" t="str">
        <f>IF('Marks Entry'!AF137="","",'Marks Entry'!AF137)</f>
        <v/>
      </c>
      <c r="BI137" s="96" t="str">
        <f t="shared" si="362"/>
        <v/>
      </c>
      <c r="BJ137" s="65">
        <f t="shared" si="363"/>
        <v>0</v>
      </c>
      <c r="BK137" s="65">
        <f t="shared" si="431"/>
        <v>0</v>
      </c>
      <c r="BL137" s="66" t="str">
        <f t="shared" si="364"/>
        <v/>
      </c>
      <c r="BM137" s="65" t="str">
        <f t="shared" si="365"/>
        <v/>
      </c>
      <c r="BN137" s="65" t="str">
        <f t="shared" si="366"/>
        <v/>
      </c>
      <c r="BO137" s="65" t="str">
        <f t="shared" si="367"/>
        <v/>
      </c>
      <c r="BP137" s="68" t="str">
        <f>IF('Marks Entry'!AG137="","",'Marks Entry'!AG137)</f>
        <v/>
      </c>
      <c r="BQ137" s="68" t="str">
        <f>IF('Marks Entry'!AH137="","",'Marks Entry'!AH137)</f>
        <v/>
      </c>
      <c r="BR137" s="68" t="str">
        <f>IF('Marks Entry'!AI137="","",'Marks Entry'!AI137)</f>
        <v/>
      </c>
      <c r="BS137" s="514" t="str">
        <f t="shared" si="368"/>
        <v/>
      </c>
      <c r="BT137" s="68" t="str">
        <f>IF('Marks Entry'!AJ137="","",'Marks Entry'!AJ137)</f>
        <v/>
      </c>
      <c r="BU137" s="515" t="str">
        <f t="shared" si="369"/>
        <v/>
      </c>
      <c r="BV137" s="68" t="str">
        <f>IF('Marks Entry'!AK137="","",'Marks Entry'!AK137)</f>
        <v/>
      </c>
      <c r="BW137" s="96" t="str">
        <f t="shared" si="370"/>
        <v/>
      </c>
      <c r="BX137" s="65">
        <f t="shared" si="371"/>
        <v>0</v>
      </c>
      <c r="BY137" s="65">
        <f t="shared" si="372"/>
        <v>0</v>
      </c>
      <c r="BZ137" s="66" t="str">
        <f t="shared" si="373"/>
        <v/>
      </c>
      <c r="CA137" s="65" t="str">
        <f t="shared" si="374"/>
        <v/>
      </c>
      <c r="CB137" s="65" t="str">
        <f t="shared" si="375"/>
        <v/>
      </c>
      <c r="CC137" s="65" t="str">
        <f t="shared" si="376"/>
        <v/>
      </c>
      <c r="CD137" s="66">
        <f t="shared" si="377"/>
        <v>0</v>
      </c>
      <c r="CE137" s="68" t="str">
        <f>IF('Marks Entry'!AL137="","",'Marks Entry'!AL137)</f>
        <v/>
      </c>
      <c r="CF137" s="68" t="str">
        <f>IF('Marks Entry'!AM137="","",'Marks Entry'!AM137)</f>
        <v/>
      </c>
      <c r="CG137" s="68" t="str">
        <f>IF('Marks Entry'!AN137="","",'Marks Entry'!AN137)</f>
        <v/>
      </c>
      <c r="CH137" s="514" t="str">
        <f t="shared" si="378"/>
        <v/>
      </c>
      <c r="CI137" s="68" t="str">
        <f>IF('Marks Entry'!AO137="","",'Marks Entry'!AO137)</f>
        <v/>
      </c>
      <c r="CJ137" s="515" t="str">
        <f t="shared" si="379"/>
        <v/>
      </c>
      <c r="CK137" s="68" t="str">
        <f>IF('Marks Entry'!AP137="","",'Marks Entry'!AP137)</f>
        <v/>
      </c>
      <c r="CL137" s="96" t="str">
        <f t="shared" si="380"/>
        <v/>
      </c>
      <c r="CM137" s="65">
        <f t="shared" si="381"/>
        <v>0</v>
      </c>
      <c r="CN137" s="65">
        <f t="shared" si="382"/>
        <v>0</v>
      </c>
      <c r="CO137" s="66" t="str">
        <f t="shared" si="383"/>
        <v/>
      </c>
      <c r="CP137" s="65" t="str">
        <f t="shared" si="384"/>
        <v/>
      </c>
      <c r="CQ137" s="65" t="str">
        <f t="shared" si="385"/>
        <v/>
      </c>
      <c r="CR137" s="65" t="str">
        <f t="shared" si="386"/>
        <v/>
      </c>
      <c r="CS137" s="616"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8" t="str">
        <f>IF('School Profile'!$D$20="NO","",IF('Marks Entry'!AR137="","",'Marks Entry'!AR137))</f>
        <v/>
      </c>
      <c r="CU137" s="68" t="str">
        <f>IF('School Profile'!$D$20="NO","",IF('Marks Entry'!AS137="","",'Marks Entry'!AS137))</f>
        <v/>
      </c>
      <c r="CV137" s="68" t="str">
        <f>IF('School Profile'!$D$20="NO","",IF('Marks Entry'!AT137="","",'Marks Entry'!AT137))</f>
        <v/>
      </c>
      <c r="CW137" s="514" t="str">
        <f>IF('School Profile'!$D$20="NO","",IF(AND(CT137="",CU137="",CV137=""),"",SUM(CT137:CV137)))</f>
        <v/>
      </c>
      <c r="CX137" s="68" t="str">
        <f>IF('School Profile'!$D$20="NO","",IF('Marks Entry'!AU137="","",'Marks Entry'!AU137))</f>
        <v/>
      </c>
      <c r="CY137" s="68" t="str">
        <f>IF('School Profile'!$D$20="NO","",IF('Marks Entry'!AV137="","",'Marks Entry'!AV137))</f>
        <v/>
      </c>
      <c r="CZ137" s="515" t="str">
        <f>IF('School Profile'!$D$20="NO","",IF(AND(CX137="",CY137=""),"",SUM(CX137,CY137)))</f>
        <v/>
      </c>
      <c r="DA137" s="69" t="str">
        <f>IF('School Profile'!$D$20="NO","",IF(AND(CW137="",CZ137=""),"",SUM(CW137+CZ137)))</f>
        <v/>
      </c>
      <c r="DB137" s="68" t="str">
        <f>IF('School Profile'!$D$20="NO","",IF('Marks Entry'!AW137="","",'Marks Entry'!AW137))</f>
        <v/>
      </c>
      <c r="DC137" s="68" t="str">
        <f>IF('School Profile'!$D$20="NO","",IF('Marks Entry'!AX137="","",'Marks Entry'!AX137))</f>
        <v/>
      </c>
      <c r="DD137" s="515" t="str">
        <f>IF('School Profile'!$D$20="NO","",IF(AND(DB137="",DC137=""),"",SUM(DB137,DC137)))</f>
        <v/>
      </c>
      <c r="DE137" s="96" t="str">
        <f>IF('School Profile'!$D$20="NO","",IF(AND(DA137="",DD137=""),"",SUM(DA137,DD137)))</f>
        <v/>
      </c>
      <c r="DF137" s="532">
        <f t="shared" si="387"/>
        <v>0</v>
      </c>
      <c r="DG137" s="65">
        <f t="shared" si="388"/>
        <v>0</v>
      </c>
      <c r="DH137" s="66" t="str">
        <f t="shared" si="389"/>
        <v/>
      </c>
      <c r="DI137" s="65" t="str">
        <f t="shared" si="390"/>
        <v/>
      </c>
      <c r="DJ137" s="65" t="str">
        <f t="shared" si="391"/>
        <v/>
      </c>
      <c r="DK137" s="65" t="str">
        <f t="shared" si="392"/>
        <v/>
      </c>
      <c r="DL137" s="97" t="str">
        <f t="shared" si="432"/>
        <v/>
      </c>
      <c r="DM137" s="97" t="str">
        <f t="shared" si="433"/>
        <v/>
      </c>
      <c r="DN137" s="97" t="str">
        <f t="shared" si="434"/>
        <v/>
      </c>
      <c r="DO137" s="97" t="str">
        <f t="shared" si="435"/>
        <v/>
      </c>
      <c r="DP137" s="97" t="str">
        <f t="shared" si="436"/>
        <v/>
      </c>
      <c r="DQ137" s="97" t="str">
        <f t="shared" si="437"/>
        <v/>
      </c>
      <c r="DR137" s="97" t="str">
        <f t="shared" si="438"/>
        <v/>
      </c>
      <c r="DS137" s="98">
        <f t="shared" si="439"/>
        <v>0</v>
      </c>
      <c r="DT137" s="98">
        <f t="shared" si="440"/>
        <v>0</v>
      </c>
      <c r="DU137" s="98">
        <f t="shared" si="441"/>
        <v>0</v>
      </c>
      <c r="DV137" s="98">
        <f t="shared" si="442"/>
        <v>0</v>
      </c>
      <c r="DW137" s="98">
        <f t="shared" si="443"/>
        <v>0</v>
      </c>
      <c r="DX137" s="98" t="str">
        <f t="shared" si="444"/>
        <v/>
      </c>
      <c r="DY137" s="99" t="str">
        <f t="shared" si="445"/>
        <v/>
      </c>
      <c r="DZ137" s="74" t="str">
        <f>IF('Marks Entry'!AY137="","",'Marks Entry'!AY137)</f>
        <v/>
      </c>
      <c r="EA137" s="74" t="str">
        <f>IF('Marks Entry'!AZ137="","",'Marks Entry'!AZ137)</f>
        <v/>
      </c>
      <c r="EB137" s="74" t="str">
        <f>IF('Marks Entry'!BA137="","",'Marks Entry'!BA137)</f>
        <v/>
      </c>
      <c r="EC137" s="527" t="str">
        <f t="shared" si="393"/>
        <v/>
      </c>
      <c r="ED137" s="74" t="str">
        <f>IF('Marks Entry'!BB137="","",'Marks Entry'!BB137)</f>
        <v/>
      </c>
      <c r="EE137" s="528" t="str">
        <f t="shared" si="394"/>
        <v/>
      </c>
      <c r="EF137" s="74" t="str">
        <f>IF('Marks Entry'!BC137="","",'Marks Entry'!BC137)</f>
        <v/>
      </c>
      <c r="EG137" s="530" t="str">
        <f t="shared" si="395"/>
        <v/>
      </c>
      <c r="EH137" s="368" t="str">
        <f t="shared" si="446"/>
        <v/>
      </c>
      <c r="EI137" s="65">
        <f t="shared" si="447"/>
        <v>0</v>
      </c>
      <c r="EJ137" s="65">
        <f t="shared" si="448"/>
        <v>0</v>
      </c>
      <c r="EK137" s="66" t="str">
        <f t="shared" si="449"/>
        <v/>
      </c>
      <c r="EL137" s="74" t="str">
        <f>IF('Marks Entry'!BD137="","",'Marks Entry'!BD137)</f>
        <v/>
      </c>
      <c r="EM137" s="74" t="str">
        <f>IF('Marks Entry'!BE137="","",'Marks Entry'!BE137)</f>
        <v/>
      </c>
      <c r="EN137" s="74" t="str">
        <f>IF('Marks Entry'!BF137="","",'Marks Entry'!BF137)</f>
        <v/>
      </c>
      <c r="EO137" s="527" t="str">
        <f t="shared" si="396"/>
        <v/>
      </c>
      <c r="EP137" s="74" t="str">
        <f>IF('Marks Entry'!BG137="","",'Marks Entry'!BG137)</f>
        <v/>
      </c>
      <c r="EQ137" s="74" t="str">
        <f>IF('Marks Entry'!BH137="","",'Marks Entry'!BH137)</f>
        <v/>
      </c>
      <c r="ER137" s="528" t="str">
        <f t="shared" si="397"/>
        <v/>
      </c>
      <c r="ES137" s="529" t="str">
        <f t="shared" si="398"/>
        <v/>
      </c>
      <c r="ET137" s="74" t="str">
        <f>IF('Marks Entry'!BI137="","",'Marks Entry'!BI137)</f>
        <v/>
      </c>
      <c r="EU137" s="74" t="str">
        <f>IF('Marks Entry'!BJ137="","",'Marks Entry'!BJ137)</f>
        <v/>
      </c>
      <c r="EV137" s="528" t="str">
        <f t="shared" si="399"/>
        <v/>
      </c>
      <c r="EW137" s="530" t="str">
        <f t="shared" si="400"/>
        <v/>
      </c>
      <c r="EX137" s="368" t="str">
        <f t="shared" si="450"/>
        <v/>
      </c>
      <c r="EY137" s="65">
        <f t="shared" si="451"/>
        <v>0</v>
      </c>
      <c r="EZ137" s="65">
        <f t="shared" si="452"/>
        <v>0</v>
      </c>
      <c r="FA137" s="66" t="str">
        <f t="shared" si="453"/>
        <v/>
      </c>
      <c r="FB137" s="74" t="str">
        <f>IF('Marks Entry'!BK137="","",'Marks Entry'!BK137)</f>
        <v/>
      </c>
      <c r="FC137" s="74" t="str">
        <f>IF('Marks Entry'!BL137="","",'Marks Entry'!BL137)</f>
        <v/>
      </c>
      <c r="FD137" s="74" t="str">
        <f>IF('Marks Entry'!BM137="","",'Marks Entry'!BM137)</f>
        <v/>
      </c>
      <c r="FE137" s="74" t="str">
        <f>IF('Marks Entry'!BN137="","",'Marks Entry'!BN137)</f>
        <v/>
      </c>
      <c r="FF137" s="74" t="str">
        <f>IF('Marks Entry'!BO137="","",'Marks Entry'!BO137)</f>
        <v/>
      </c>
      <c r="FG137" s="74" t="str">
        <f>IF('Marks Entry'!BP137="","",'Marks Entry'!BP137)</f>
        <v/>
      </c>
      <c r="FH137" s="527" t="str">
        <f t="shared" si="401"/>
        <v/>
      </c>
      <c r="FI137" s="74" t="str">
        <f>IF('Marks Entry'!BQ137="","",'Marks Entry'!BQ137)</f>
        <v/>
      </c>
      <c r="FJ137" s="74" t="str">
        <f>IF('Marks Entry'!BR137="","",'Marks Entry'!BR137)</f>
        <v/>
      </c>
      <c r="FK137" s="528" t="str">
        <f t="shared" si="402"/>
        <v/>
      </c>
      <c r="FL137" s="529" t="str">
        <f t="shared" si="403"/>
        <v/>
      </c>
      <c r="FM137" s="74" t="str">
        <f>IF('Marks Entry'!BS137="","",'Marks Entry'!BS137)</f>
        <v/>
      </c>
      <c r="FN137" s="74" t="str">
        <f>IF('Marks Entry'!BT137="","",'Marks Entry'!BT137)</f>
        <v/>
      </c>
      <c r="FO137" s="528" t="str">
        <f t="shared" si="404"/>
        <v/>
      </c>
      <c r="FP137" s="530" t="str">
        <f t="shared" si="405"/>
        <v/>
      </c>
      <c r="FQ137" s="368" t="str">
        <f t="shared" si="454"/>
        <v/>
      </c>
      <c r="FR137" s="65">
        <f t="shared" si="455"/>
        <v>0</v>
      </c>
      <c r="FS137" s="65">
        <f t="shared" si="456"/>
        <v>0</v>
      </c>
      <c r="FT137" s="66" t="str">
        <f t="shared" si="457"/>
        <v/>
      </c>
      <c r="FU137" s="74" t="str">
        <f>IF('Marks Entry'!BU137="","",'Marks Entry'!BU137)</f>
        <v/>
      </c>
      <c r="FV137" s="74" t="str">
        <f>IF('Marks Entry'!BV137="","",'Marks Entry'!BV137)</f>
        <v/>
      </c>
      <c r="FW137" s="74" t="str">
        <f>IF('Marks Entry'!BW137="","",'Marks Entry'!BW137)</f>
        <v/>
      </c>
      <c r="FX137" s="75" t="str">
        <f t="shared" si="406"/>
        <v/>
      </c>
      <c r="FY137" s="368" t="str">
        <f t="shared" si="458"/>
        <v/>
      </c>
      <c r="FZ137" s="65">
        <f t="shared" si="459"/>
        <v>0</v>
      </c>
      <c r="GA137" s="66">
        <f t="shared" si="460"/>
        <v>0</v>
      </c>
      <c r="GB137" s="66" t="str">
        <f t="shared" si="461"/>
        <v/>
      </c>
      <c r="GC137" s="74" t="str">
        <f>IF('Marks Entry'!BX137="","",'Marks Entry'!BX137)</f>
        <v/>
      </c>
      <c r="GD137" s="74" t="str">
        <f>IF('Marks Entry'!BY137="","",'Marks Entry'!BY137)</f>
        <v/>
      </c>
      <c r="GE137" s="74" t="str">
        <f>IF('Marks Entry'!BZ137="","",'Marks Entry'!BZ137)</f>
        <v/>
      </c>
      <c r="GF137" s="75" t="str">
        <f t="shared" si="462"/>
        <v/>
      </c>
      <c r="GG137" s="368" t="str">
        <f t="shared" si="463"/>
        <v/>
      </c>
      <c r="GH137" s="65">
        <f t="shared" si="464"/>
        <v>0</v>
      </c>
      <c r="GI137" s="66">
        <f t="shared" si="465"/>
        <v>0</v>
      </c>
      <c r="GJ137" s="66" t="str">
        <f t="shared" si="466"/>
        <v/>
      </c>
      <c r="GK137" s="100" t="str">
        <f>IF(AND(F137="",B137=""),"",IF('Student DATA Entry'!M134="","",'Student DATA Entry'!M134))</f>
        <v/>
      </c>
      <c r="GL137" s="101" t="str">
        <f>IF(AND(B137="",F137=""),"",IF('Student DATA Entry'!N134="","",'Student DATA Entry'!N134))</f>
        <v/>
      </c>
      <c r="GM137" s="581" t="str">
        <f t="shared" si="467"/>
        <v/>
      </c>
      <c r="GN137" s="94" t="str">
        <f t="shared" si="468"/>
        <v/>
      </c>
      <c r="GO137" s="94" t="str">
        <f t="shared" si="469"/>
        <v/>
      </c>
      <c r="GP137" s="102" t="str">
        <f t="shared" si="407"/>
        <v/>
      </c>
      <c r="GQ137" s="94" t="str">
        <f t="shared" si="470"/>
        <v/>
      </c>
      <c r="GR137" s="103" t="str">
        <f t="shared" si="471"/>
        <v/>
      </c>
      <c r="GS137" s="102" t="str">
        <f t="shared" si="408"/>
        <v/>
      </c>
      <c r="GT137" s="104" t="str">
        <f t="shared" si="472"/>
        <v/>
      </c>
      <c r="GU137" s="94" t="str">
        <f>IF('Marks Entry'!V137=1,GT137,"")</f>
        <v/>
      </c>
      <c r="GV137" s="94" t="str">
        <f>IF('Marks Entry'!V137=2,GT137,"")</f>
        <v/>
      </c>
      <c r="GW137" s="94" t="str">
        <f>IF('Marks Entry'!V137=3,GT137,"")</f>
        <v/>
      </c>
      <c r="GX137" s="94" t="str">
        <f>IF('Marks Entry'!V137=4,GT137,"")</f>
        <v/>
      </c>
      <c r="GY137" s="94" t="str">
        <f>IF('Marks Entry'!V137=5,GT137,"")</f>
        <v/>
      </c>
      <c r="GZ137" s="94" t="str">
        <f t="shared" si="473"/>
        <v/>
      </c>
      <c r="HA137" s="105" t="str">
        <f t="shared" si="409"/>
        <v/>
      </c>
      <c r="HB137" s="94" t="str">
        <f t="shared" si="474"/>
        <v/>
      </c>
      <c r="HC137" s="94" t="str">
        <f t="shared" si="475"/>
        <v/>
      </c>
      <c r="HD137" s="105" t="str">
        <f t="shared" si="410"/>
        <v/>
      </c>
      <c r="HE137" s="94" t="str">
        <f t="shared" si="476"/>
        <v/>
      </c>
      <c r="HF137" s="94" t="str">
        <f t="shared" si="477"/>
        <v/>
      </c>
      <c r="HG137" s="105" t="str">
        <f t="shared" si="411"/>
        <v/>
      </c>
      <c r="HH137" s="94" t="str">
        <f t="shared" si="478"/>
        <v/>
      </c>
      <c r="HI137" s="94" t="str">
        <f t="shared" si="479"/>
        <v/>
      </c>
      <c r="HJ137" s="105" t="str">
        <f t="shared" si="412"/>
        <v/>
      </c>
      <c r="HK137" s="94" t="str">
        <f t="shared" si="480"/>
        <v/>
      </c>
      <c r="HL137" s="94" t="str">
        <f t="shared" si="481"/>
        <v/>
      </c>
      <c r="HM137" s="105" t="str">
        <f t="shared" si="413"/>
        <v/>
      </c>
      <c r="HN137" s="367" t="str">
        <f t="shared" si="482"/>
        <v xml:space="preserve">      </v>
      </c>
      <c r="HO137" s="418" t="str">
        <f t="shared" si="414"/>
        <v xml:space="preserve">      </v>
      </c>
      <c r="HP137" s="367" t="str">
        <f t="shared" si="483"/>
        <v xml:space="preserve">      </v>
      </c>
      <c r="HQ137" s="107" t="str">
        <f t="shared" si="484"/>
        <v xml:space="preserve">      </v>
      </c>
      <c r="HR137" s="366" t="str">
        <f t="shared" si="485"/>
        <v xml:space="preserve">      </v>
      </c>
      <c r="HS137" s="544" t="str">
        <f t="shared" si="415"/>
        <v/>
      </c>
      <c r="HT137" s="542" t="str">
        <f t="shared" si="486"/>
        <v/>
      </c>
      <c r="HU137" s="541" t="str">
        <f t="shared" si="487"/>
        <v/>
      </c>
      <c r="HV137" s="540" t="str">
        <f t="shared" si="488"/>
        <v/>
      </c>
      <c r="HW137" s="537" t="str">
        <f t="shared" si="489"/>
        <v/>
      </c>
      <c r="HX137" s="539" t="str">
        <f t="shared" si="490"/>
        <v/>
      </c>
      <c r="HY137" s="553" t="str">
        <f>IFERROR(IF(OR(HS137="SUPPLEMENTARY",HS137="RE-EXAM"),'Supp. Result Entry'!AQ135,""),"")</f>
        <v/>
      </c>
      <c r="HZ137" s="538" t="str">
        <f t="shared" si="491"/>
        <v/>
      </c>
      <c r="IA137" s="415" t="str">
        <f t="shared" si="492"/>
        <v/>
      </c>
      <c r="IB137" s="415" t="str">
        <f>IF(AND(HZ137="",IA137=""),"",IF(OR(HS137="SUPPLEMENTARY",HS137="RE-EXAM"),'Supp. Result Entry'!AQ135,HS137))</f>
        <v/>
      </c>
      <c r="IC137" s="87"/>
      <c r="IS137" s="109" t="str">
        <f>IF('Supp. Result Entry'!T135="","",'Supp. Result Entry'!$T$4)</f>
        <v/>
      </c>
      <c r="IT137" s="110" t="str">
        <f>IF('Supp. Result Entry'!W135="","",'Supp. Result Entry'!$W$4)</f>
        <v/>
      </c>
      <c r="IU137" s="110" t="str">
        <f>IF('Supp. Result Entry'!Z135="","",'Supp. Result Entry'!$Z$4)</f>
        <v/>
      </c>
      <c r="IV137" s="110" t="str">
        <f>IF('Supp. Result Entry'!AC135="","",'Supp. Result Entry'!$AC$4)</f>
        <v/>
      </c>
      <c r="IW137" s="110" t="str">
        <f>IF('Supp. Result Entry'!AF135="","",'Supp. Result Entry'!$AF$4)</f>
        <v/>
      </c>
      <c r="IX137" s="110" t="str">
        <f>IF('Supp. Result Entry'!AI135="","",'Supp. Result Entry'!$AI$4)</f>
        <v/>
      </c>
      <c r="IY137" s="110" t="str">
        <f>IF('Supp. Result Entry'!AI135="","",'Supp. Result Entry'!$AL$4)</f>
        <v/>
      </c>
      <c r="IZ137" s="110" t="str">
        <f>IF('Supp. Result Entry'!U135="","",'Supp. Result Entry'!U135)</f>
        <v/>
      </c>
      <c r="JA137" s="110" t="str">
        <f>IF('Supp. Result Entry'!X135="","",'Supp. Result Entry'!X135)</f>
        <v/>
      </c>
      <c r="JB137" s="110" t="str">
        <f>IF('Supp. Result Entry'!AA135="","",'Supp. Result Entry'!AA135)</f>
        <v/>
      </c>
      <c r="JC137" s="110" t="str">
        <f>IF('Supp. Result Entry'!AD135="","",'Supp. Result Entry'!AD135)</f>
        <v/>
      </c>
      <c r="JD137" s="110" t="str">
        <f>IF('Supp. Result Entry'!AG135="","",'Supp. Result Entry'!AG135)</f>
        <v/>
      </c>
      <c r="JE137" s="110" t="str">
        <f>IF('Supp. Result Entry'!AJ135="","",'Supp. Result Entry'!AJ135)</f>
        <v/>
      </c>
      <c r="JF137" s="110" t="str">
        <f>IF('Supp. Result Entry'!AM135="","",'Supp. Result Entry'!AM135)</f>
        <v/>
      </c>
      <c r="JG137" s="110" t="str">
        <f>IF('Supp. Result Entry'!V135="","",'Supp. Result Entry'!V135)</f>
        <v/>
      </c>
      <c r="JH137" s="110" t="str">
        <f>IF('Supp. Result Entry'!Y135="","",'Supp. Result Entry'!Y135)</f>
        <v/>
      </c>
      <c r="JI137" s="110" t="str">
        <f>IF('Supp. Result Entry'!AB135="","",'Supp. Result Entry'!AB135)</f>
        <v/>
      </c>
      <c r="JJ137" s="110" t="str">
        <f>IF('Supp. Result Entry'!AE135="","",'Supp. Result Entry'!AE135)</f>
        <v/>
      </c>
      <c r="JK137" s="110" t="str">
        <f>IF('Supp. Result Entry'!AH135="","",'Supp. Result Entry'!AH135)</f>
        <v/>
      </c>
      <c r="JL137" s="110" t="str">
        <f>IF('Supp. Result Entry'!AK135="","",'Supp. Result Entry'!AK135)</f>
        <v/>
      </c>
      <c r="JM137" s="110" t="str">
        <f>IF('Supp. Result Entry'!AN135="","",'Supp. Result Entry'!AN135)</f>
        <v/>
      </c>
      <c r="JN137" s="110">
        <f>COUNTIF('Supp. Result Entry'!K135:Q135,"S")</f>
        <v>0</v>
      </c>
      <c r="JO137" s="110">
        <f t="shared" si="416"/>
        <v>0</v>
      </c>
      <c r="JP137" s="110">
        <f t="shared" si="493"/>
        <v>0</v>
      </c>
      <c r="JQ137" s="110" t="str">
        <f t="shared" si="417"/>
        <v/>
      </c>
      <c r="JR137" s="110" t="str">
        <f t="shared" si="418"/>
        <v/>
      </c>
      <c r="JS137" s="110" t="str">
        <f t="shared" si="419"/>
        <v/>
      </c>
      <c r="JT137" s="110" t="str">
        <f t="shared" si="420"/>
        <v/>
      </c>
      <c r="JU137" s="110" t="str">
        <f t="shared" si="421"/>
        <v/>
      </c>
      <c r="JV137" s="110" t="str">
        <f t="shared" si="422"/>
        <v/>
      </c>
      <c r="JW137" s="110" t="str">
        <f t="shared" si="423"/>
        <v/>
      </c>
      <c r="JX137" s="110" t="str">
        <f t="shared" si="494"/>
        <v/>
      </c>
      <c r="JY137" s="110" t="str">
        <f t="shared" si="495"/>
        <v/>
      </c>
      <c r="JZ137" s="110" t="str">
        <f t="shared" si="424"/>
        <v/>
      </c>
      <c r="KA137" s="108" t="str">
        <f t="shared" si="496"/>
        <v/>
      </c>
    </row>
    <row r="138" spans="1:287" s="108" customFormat="1" ht="21.95" customHeight="1">
      <c r="A138" s="89">
        <v>132</v>
      </c>
      <c r="B138" s="90" t="str">
        <f>IF('Marks Entry'!B138="","",'Marks Entry'!B138)</f>
        <v/>
      </c>
      <c r="C138" s="94" t="str">
        <f>IF('Marks Entry'!D138="","",'Marks Entry'!D138)</f>
        <v/>
      </c>
      <c r="D138" s="91" t="str">
        <f>IF('Marks Entry'!E138="","",'Marks Entry'!E138)</f>
        <v/>
      </c>
      <c r="E138" s="92" t="str">
        <f>IF('Marks Entry'!F138="","",'Marks Entry'!F138)</f>
        <v/>
      </c>
      <c r="F138" s="93" t="str">
        <f>IF('Marks Entry'!G138="","",'Marks Entry'!G138)</f>
        <v/>
      </c>
      <c r="G138" s="93" t="str">
        <f>IF('Marks Entry'!H138="","",'Marks Entry'!H138)</f>
        <v/>
      </c>
      <c r="H138" s="93" t="str">
        <f>IF('Marks Entry'!I138="","",'Marks Entry'!I138)</f>
        <v/>
      </c>
      <c r="I138" s="94" t="str">
        <f>IF('Marks Entry'!J138="","",'Marks Entry'!J138)</f>
        <v/>
      </c>
      <c r="J138" s="95" t="str">
        <f>IF('Marks Entry'!K138="","",'Marks Entry'!K138)</f>
        <v/>
      </c>
      <c r="K138" s="68" t="str">
        <f>IF('Marks Entry'!L138="","",'Marks Entry'!L138)</f>
        <v/>
      </c>
      <c r="L138" s="68" t="str">
        <f>IF('Marks Entry'!M138="","",'Marks Entry'!M138)</f>
        <v/>
      </c>
      <c r="M138" s="68" t="str">
        <f>IF('Marks Entry'!N138="","",'Marks Entry'!N138)</f>
        <v/>
      </c>
      <c r="N138" s="514" t="str">
        <f t="shared" si="425"/>
        <v/>
      </c>
      <c r="O138" s="68" t="str">
        <f>IF('Marks Entry'!O138="","",'Marks Entry'!O138)</f>
        <v/>
      </c>
      <c r="P138" s="515" t="str">
        <f t="shared" si="426"/>
        <v/>
      </c>
      <c r="Q138" s="68" t="str">
        <f>IF('Marks Entry'!P138="","",'Marks Entry'!P138)</f>
        <v/>
      </c>
      <c r="R138" s="96" t="str">
        <f t="shared" si="427"/>
        <v/>
      </c>
      <c r="S138" s="65">
        <f t="shared" si="428"/>
        <v>0</v>
      </c>
      <c r="T138" s="65">
        <f t="shared" si="429"/>
        <v>0</v>
      </c>
      <c r="U138" s="66" t="str">
        <f t="shared" si="339"/>
        <v/>
      </c>
      <c r="V138" s="65" t="str">
        <f t="shared" si="340"/>
        <v/>
      </c>
      <c r="W138" s="65" t="str">
        <f t="shared" si="430"/>
        <v/>
      </c>
      <c r="X138" s="65" t="str">
        <f t="shared" si="341"/>
        <v/>
      </c>
      <c r="Y138" s="68" t="str">
        <f>IF('Marks Entry'!Q138="","",'Marks Entry'!Q138)</f>
        <v/>
      </c>
      <c r="Z138" s="68" t="str">
        <f>IF('Marks Entry'!R138="","",'Marks Entry'!R138)</f>
        <v/>
      </c>
      <c r="AA138" s="68" t="str">
        <f>IF('Marks Entry'!S138="","",'Marks Entry'!S138)</f>
        <v/>
      </c>
      <c r="AB138" s="514" t="str">
        <f t="shared" si="342"/>
        <v/>
      </c>
      <c r="AC138" s="68" t="str">
        <f>IF('Marks Entry'!T138="","",'Marks Entry'!T138)</f>
        <v/>
      </c>
      <c r="AD138" s="515" t="str">
        <f t="shared" si="343"/>
        <v/>
      </c>
      <c r="AE138" s="68" t="str">
        <f>IF('Marks Entry'!U138="","",'Marks Entry'!U138)</f>
        <v/>
      </c>
      <c r="AF138" s="96" t="str">
        <f t="shared" si="344"/>
        <v/>
      </c>
      <c r="AG138" s="65">
        <f t="shared" si="345"/>
        <v>0</v>
      </c>
      <c r="AH138" s="65">
        <f t="shared" si="346"/>
        <v>0</v>
      </c>
      <c r="AI138" s="66" t="str">
        <f t="shared" si="347"/>
        <v/>
      </c>
      <c r="AJ138" s="65" t="str">
        <f t="shared" si="348"/>
        <v/>
      </c>
      <c r="AK138" s="65" t="str">
        <f t="shared" si="349"/>
        <v/>
      </c>
      <c r="AL138" s="65" t="str">
        <f t="shared" si="350"/>
        <v/>
      </c>
      <c r="AM138" s="524" t="str">
        <f>IF('Marks Entry'!V138="","",IF('Marks Entry'!V138=1,'School Profile'!$I$9,IF('Marks Entry'!V138=2,'School Profile'!$I$10,IF('Marks Entry'!V138=3,'School Profile'!$I$11,IF('Marks Entry'!V138=4,'School Profile'!$I$12,IF('Marks Entry'!V138=5,'School Profile'!$I$13,IF('Marks Entry'!V138=6,'School Profile'!$I$14,"")))))))</f>
        <v/>
      </c>
      <c r="AN138" s="68" t="str">
        <f>IF('Marks Entry'!W138="","",'Marks Entry'!W138)</f>
        <v/>
      </c>
      <c r="AO138" s="68" t="str">
        <f>IF('Marks Entry'!X138="","",'Marks Entry'!X138)</f>
        <v/>
      </c>
      <c r="AP138" s="68" t="str">
        <f>IF('Marks Entry'!Y138="","",'Marks Entry'!Y138)</f>
        <v/>
      </c>
      <c r="AQ138" s="514" t="str">
        <f t="shared" si="351"/>
        <v/>
      </c>
      <c r="AR138" s="68" t="str">
        <f>IF('Marks Entry'!Z138="","",'Marks Entry'!Z138)</f>
        <v/>
      </c>
      <c r="AS138" s="515" t="str">
        <f t="shared" si="352"/>
        <v/>
      </c>
      <c r="AT138" s="68" t="str">
        <f>IF('Marks Entry'!AA138="","",'Marks Entry'!AA138)</f>
        <v/>
      </c>
      <c r="AU138" s="96" t="str">
        <f t="shared" si="353"/>
        <v/>
      </c>
      <c r="AV138" s="65">
        <f t="shared" si="354"/>
        <v>0</v>
      </c>
      <c r="AW138" s="65">
        <f t="shared" si="355"/>
        <v>0</v>
      </c>
      <c r="AX138" s="66" t="str">
        <f t="shared" si="356"/>
        <v/>
      </c>
      <c r="AY138" s="65" t="str">
        <f t="shared" si="357"/>
        <v/>
      </c>
      <c r="AZ138" s="65" t="str">
        <f t="shared" si="358"/>
        <v/>
      </c>
      <c r="BA138" s="65" t="str">
        <f t="shared" si="359"/>
        <v/>
      </c>
      <c r="BB138" s="68" t="str">
        <f>IF('Marks Entry'!AB138="","",'Marks Entry'!AB138)</f>
        <v/>
      </c>
      <c r="BC138" s="68" t="str">
        <f>IF('Marks Entry'!AC138="","",'Marks Entry'!AC138)</f>
        <v/>
      </c>
      <c r="BD138" s="68" t="str">
        <f>IF('Marks Entry'!AD138="","",'Marks Entry'!AD138)</f>
        <v/>
      </c>
      <c r="BE138" s="514" t="str">
        <f t="shared" si="360"/>
        <v/>
      </c>
      <c r="BF138" s="68" t="str">
        <f>IF('Marks Entry'!AE138="","",'Marks Entry'!AE138)</f>
        <v/>
      </c>
      <c r="BG138" s="515" t="str">
        <f t="shared" si="361"/>
        <v/>
      </c>
      <c r="BH138" s="68" t="str">
        <f>IF('Marks Entry'!AF138="","",'Marks Entry'!AF138)</f>
        <v/>
      </c>
      <c r="BI138" s="96" t="str">
        <f t="shared" si="362"/>
        <v/>
      </c>
      <c r="BJ138" s="65">
        <f t="shared" si="363"/>
        <v>0</v>
      </c>
      <c r="BK138" s="65">
        <f t="shared" si="431"/>
        <v>0</v>
      </c>
      <c r="BL138" s="66" t="str">
        <f t="shared" si="364"/>
        <v/>
      </c>
      <c r="BM138" s="65" t="str">
        <f t="shared" si="365"/>
        <v/>
      </c>
      <c r="BN138" s="65" t="str">
        <f t="shared" si="366"/>
        <v/>
      </c>
      <c r="BO138" s="65" t="str">
        <f t="shared" si="367"/>
        <v/>
      </c>
      <c r="BP138" s="68" t="str">
        <f>IF('Marks Entry'!AG138="","",'Marks Entry'!AG138)</f>
        <v/>
      </c>
      <c r="BQ138" s="68" t="str">
        <f>IF('Marks Entry'!AH138="","",'Marks Entry'!AH138)</f>
        <v/>
      </c>
      <c r="BR138" s="68" t="str">
        <f>IF('Marks Entry'!AI138="","",'Marks Entry'!AI138)</f>
        <v/>
      </c>
      <c r="BS138" s="514" t="str">
        <f t="shared" si="368"/>
        <v/>
      </c>
      <c r="BT138" s="68" t="str">
        <f>IF('Marks Entry'!AJ138="","",'Marks Entry'!AJ138)</f>
        <v/>
      </c>
      <c r="BU138" s="515" t="str">
        <f t="shared" si="369"/>
        <v/>
      </c>
      <c r="BV138" s="68" t="str">
        <f>IF('Marks Entry'!AK138="","",'Marks Entry'!AK138)</f>
        <v/>
      </c>
      <c r="BW138" s="96" t="str">
        <f t="shared" si="370"/>
        <v/>
      </c>
      <c r="BX138" s="65">
        <f t="shared" si="371"/>
        <v>0</v>
      </c>
      <c r="BY138" s="65">
        <f t="shared" si="372"/>
        <v>0</v>
      </c>
      <c r="BZ138" s="66" t="str">
        <f t="shared" si="373"/>
        <v/>
      </c>
      <c r="CA138" s="65" t="str">
        <f t="shared" si="374"/>
        <v/>
      </c>
      <c r="CB138" s="65" t="str">
        <f t="shared" si="375"/>
        <v/>
      </c>
      <c r="CC138" s="65" t="str">
        <f t="shared" si="376"/>
        <v/>
      </c>
      <c r="CD138" s="66">
        <f t="shared" si="377"/>
        <v>0</v>
      </c>
      <c r="CE138" s="68" t="str">
        <f>IF('Marks Entry'!AL138="","",'Marks Entry'!AL138)</f>
        <v/>
      </c>
      <c r="CF138" s="68" t="str">
        <f>IF('Marks Entry'!AM138="","",'Marks Entry'!AM138)</f>
        <v/>
      </c>
      <c r="CG138" s="68" t="str">
        <f>IF('Marks Entry'!AN138="","",'Marks Entry'!AN138)</f>
        <v/>
      </c>
      <c r="CH138" s="514" t="str">
        <f t="shared" si="378"/>
        <v/>
      </c>
      <c r="CI138" s="68" t="str">
        <f>IF('Marks Entry'!AO138="","",'Marks Entry'!AO138)</f>
        <v/>
      </c>
      <c r="CJ138" s="515" t="str">
        <f t="shared" si="379"/>
        <v/>
      </c>
      <c r="CK138" s="68" t="str">
        <f>IF('Marks Entry'!AP138="","",'Marks Entry'!AP138)</f>
        <v/>
      </c>
      <c r="CL138" s="96" t="str">
        <f t="shared" si="380"/>
        <v/>
      </c>
      <c r="CM138" s="65">
        <f t="shared" si="381"/>
        <v>0</v>
      </c>
      <c r="CN138" s="65">
        <f t="shared" si="382"/>
        <v>0</v>
      </c>
      <c r="CO138" s="66" t="str">
        <f t="shared" si="383"/>
        <v/>
      </c>
      <c r="CP138" s="65" t="str">
        <f t="shared" si="384"/>
        <v/>
      </c>
      <c r="CQ138" s="65" t="str">
        <f t="shared" si="385"/>
        <v/>
      </c>
      <c r="CR138" s="65" t="str">
        <f t="shared" si="386"/>
        <v/>
      </c>
      <c r="CS138" s="616"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8" t="str">
        <f>IF('School Profile'!$D$20="NO","",IF('Marks Entry'!AR138="","",'Marks Entry'!AR138))</f>
        <v/>
      </c>
      <c r="CU138" s="68" t="str">
        <f>IF('School Profile'!$D$20="NO","",IF('Marks Entry'!AS138="","",'Marks Entry'!AS138))</f>
        <v/>
      </c>
      <c r="CV138" s="68" t="str">
        <f>IF('School Profile'!$D$20="NO","",IF('Marks Entry'!AT138="","",'Marks Entry'!AT138))</f>
        <v/>
      </c>
      <c r="CW138" s="514" t="str">
        <f>IF('School Profile'!$D$20="NO","",IF(AND(CT138="",CU138="",CV138=""),"",SUM(CT138:CV138)))</f>
        <v/>
      </c>
      <c r="CX138" s="68" t="str">
        <f>IF('School Profile'!$D$20="NO","",IF('Marks Entry'!AU138="","",'Marks Entry'!AU138))</f>
        <v/>
      </c>
      <c r="CY138" s="68" t="str">
        <f>IF('School Profile'!$D$20="NO","",IF('Marks Entry'!AV138="","",'Marks Entry'!AV138))</f>
        <v/>
      </c>
      <c r="CZ138" s="515" t="str">
        <f>IF('School Profile'!$D$20="NO","",IF(AND(CX138="",CY138=""),"",SUM(CX138,CY138)))</f>
        <v/>
      </c>
      <c r="DA138" s="69" t="str">
        <f>IF('School Profile'!$D$20="NO","",IF(AND(CW138="",CZ138=""),"",SUM(CW138+CZ138)))</f>
        <v/>
      </c>
      <c r="DB138" s="68" t="str">
        <f>IF('School Profile'!$D$20="NO","",IF('Marks Entry'!AW138="","",'Marks Entry'!AW138))</f>
        <v/>
      </c>
      <c r="DC138" s="68" t="str">
        <f>IF('School Profile'!$D$20="NO","",IF('Marks Entry'!AX138="","",'Marks Entry'!AX138))</f>
        <v/>
      </c>
      <c r="DD138" s="515" t="str">
        <f>IF('School Profile'!$D$20="NO","",IF(AND(DB138="",DC138=""),"",SUM(DB138,DC138)))</f>
        <v/>
      </c>
      <c r="DE138" s="96" t="str">
        <f>IF('School Profile'!$D$20="NO","",IF(AND(DA138="",DD138=""),"",SUM(DA138,DD138)))</f>
        <v/>
      </c>
      <c r="DF138" s="532">
        <f t="shared" si="387"/>
        <v>0</v>
      </c>
      <c r="DG138" s="65">
        <f t="shared" si="388"/>
        <v>0</v>
      </c>
      <c r="DH138" s="66" t="str">
        <f t="shared" si="389"/>
        <v/>
      </c>
      <c r="DI138" s="65" t="str">
        <f t="shared" si="390"/>
        <v/>
      </c>
      <c r="DJ138" s="65" t="str">
        <f t="shared" si="391"/>
        <v/>
      </c>
      <c r="DK138" s="65" t="str">
        <f t="shared" si="392"/>
        <v/>
      </c>
      <c r="DL138" s="97" t="str">
        <f t="shared" si="432"/>
        <v/>
      </c>
      <c r="DM138" s="97" t="str">
        <f t="shared" si="433"/>
        <v/>
      </c>
      <c r="DN138" s="97" t="str">
        <f t="shared" si="434"/>
        <v/>
      </c>
      <c r="DO138" s="97" t="str">
        <f t="shared" si="435"/>
        <v/>
      </c>
      <c r="DP138" s="97" t="str">
        <f t="shared" si="436"/>
        <v/>
      </c>
      <c r="DQ138" s="97" t="str">
        <f t="shared" si="437"/>
        <v/>
      </c>
      <c r="DR138" s="97" t="str">
        <f t="shared" si="438"/>
        <v/>
      </c>
      <c r="DS138" s="98">
        <f t="shared" si="439"/>
        <v>0</v>
      </c>
      <c r="DT138" s="98">
        <f t="shared" si="440"/>
        <v>0</v>
      </c>
      <c r="DU138" s="98">
        <f t="shared" si="441"/>
        <v>0</v>
      </c>
      <c r="DV138" s="98">
        <f t="shared" si="442"/>
        <v>0</v>
      </c>
      <c r="DW138" s="98">
        <f t="shared" si="443"/>
        <v>0</v>
      </c>
      <c r="DX138" s="98" t="str">
        <f t="shared" si="444"/>
        <v/>
      </c>
      <c r="DY138" s="99" t="str">
        <f t="shared" si="445"/>
        <v/>
      </c>
      <c r="DZ138" s="74" t="str">
        <f>IF('Marks Entry'!AY138="","",'Marks Entry'!AY138)</f>
        <v/>
      </c>
      <c r="EA138" s="74" t="str">
        <f>IF('Marks Entry'!AZ138="","",'Marks Entry'!AZ138)</f>
        <v/>
      </c>
      <c r="EB138" s="74" t="str">
        <f>IF('Marks Entry'!BA138="","",'Marks Entry'!BA138)</f>
        <v/>
      </c>
      <c r="EC138" s="527" t="str">
        <f t="shared" si="393"/>
        <v/>
      </c>
      <c r="ED138" s="74" t="str">
        <f>IF('Marks Entry'!BB138="","",'Marks Entry'!BB138)</f>
        <v/>
      </c>
      <c r="EE138" s="528" t="str">
        <f t="shared" si="394"/>
        <v/>
      </c>
      <c r="EF138" s="74" t="str">
        <f>IF('Marks Entry'!BC138="","",'Marks Entry'!BC138)</f>
        <v/>
      </c>
      <c r="EG138" s="530" t="str">
        <f t="shared" si="395"/>
        <v/>
      </c>
      <c r="EH138" s="368" t="str">
        <f t="shared" si="446"/>
        <v/>
      </c>
      <c r="EI138" s="65">
        <f t="shared" si="447"/>
        <v>0</v>
      </c>
      <c r="EJ138" s="65">
        <f t="shared" si="448"/>
        <v>0</v>
      </c>
      <c r="EK138" s="66" t="str">
        <f t="shared" si="449"/>
        <v/>
      </c>
      <c r="EL138" s="74" t="str">
        <f>IF('Marks Entry'!BD138="","",'Marks Entry'!BD138)</f>
        <v/>
      </c>
      <c r="EM138" s="74" t="str">
        <f>IF('Marks Entry'!BE138="","",'Marks Entry'!BE138)</f>
        <v/>
      </c>
      <c r="EN138" s="74" t="str">
        <f>IF('Marks Entry'!BF138="","",'Marks Entry'!BF138)</f>
        <v/>
      </c>
      <c r="EO138" s="527" t="str">
        <f t="shared" si="396"/>
        <v/>
      </c>
      <c r="EP138" s="74" t="str">
        <f>IF('Marks Entry'!BG138="","",'Marks Entry'!BG138)</f>
        <v/>
      </c>
      <c r="EQ138" s="74" t="str">
        <f>IF('Marks Entry'!BH138="","",'Marks Entry'!BH138)</f>
        <v/>
      </c>
      <c r="ER138" s="528" t="str">
        <f t="shared" si="397"/>
        <v/>
      </c>
      <c r="ES138" s="529" t="str">
        <f t="shared" si="398"/>
        <v/>
      </c>
      <c r="ET138" s="74" t="str">
        <f>IF('Marks Entry'!BI138="","",'Marks Entry'!BI138)</f>
        <v/>
      </c>
      <c r="EU138" s="74" t="str">
        <f>IF('Marks Entry'!BJ138="","",'Marks Entry'!BJ138)</f>
        <v/>
      </c>
      <c r="EV138" s="528" t="str">
        <f t="shared" si="399"/>
        <v/>
      </c>
      <c r="EW138" s="530" t="str">
        <f t="shared" si="400"/>
        <v/>
      </c>
      <c r="EX138" s="368" t="str">
        <f t="shared" si="450"/>
        <v/>
      </c>
      <c r="EY138" s="65">
        <f t="shared" si="451"/>
        <v>0</v>
      </c>
      <c r="EZ138" s="65">
        <f t="shared" si="452"/>
        <v>0</v>
      </c>
      <c r="FA138" s="66" t="str">
        <f t="shared" si="453"/>
        <v/>
      </c>
      <c r="FB138" s="74" t="str">
        <f>IF('Marks Entry'!BK138="","",'Marks Entry'!BK138)</f>
        <v/>
      </c>
      <c r="FC138" s="74" t="str">
        <f>IF('Marks Entry'!BL138="","",'Marks Entry'!BL138)</f>
        <v/>
      </c>
      <c r="FD138" s="74" t="str">
        <f>IF('Marks Entry'!BM138="","",'Marks Entry'!BM138)</f>
        <v/>
      </c>
      <c r="FE138" s="74" t="str">
        <f>IF('Marks Entry'!BN138="","",'Marks Entry'!BN138)</f>
        <v/>
      </c>
      <c r="FF138" s="74" t="str">
        <f>IF('Marks Entry'!BO138="","",'Marks Entry'!BO138)</f>
        <v/>
      </c>
      <c r="FG138" s="74" t="str">
        <f>IF('Marks Entry'!BP138="","",'Marks Entry'!BP138)</f>
        <v/>
      </c>
      <c r="FH138" s="527" t="str">
        <f t="shared" si="401"/>
        <v/>
      </c>
      <c r="FI138" s="74" t="str">
        <f>IF('Marks Entry'!BQ138="","",'Marks Entry'!BQ138)</f>
        <v/>
      </c>
      <c r="FJ138" s="74" t="str">
        <f>IF('Marks Entry'!BR138="","",'Marks Entry'!BR138)</f>
        <v/>
      </c>
      <c r="FK138" s="528" t="str">
        <f t="shared" si="402"/>
        <v/>
      </c>
      <c r="FL138" s="529" t="str">
        <f t="shared" si="403"/>
        <v/>
      </c>
      <c r="FM138" s="74" t="str">
        <f>IF('Marks Entry'!BS138="","",'Marks Entry'!BS138)</f>
        <v/>
      </c>
      <c r="FN138" s="74" t="str">
        <f>IF('Marks Entry'!BT138="","",'Marks Entry'!BT138)</f>
        <v/>
      </c>
      <c r="FO138" s="528" t="str">
        <f t="shared" si="404"/>
        <v/>
      </c>
      <c r="FP138" s="530" t="str">
        <f t="shared" si="405"/>
        <v/>
      </c>
      <c r="FQ138" s="368" t="str">
        <f t="shared" si="454"/>
        <v/>
      </c>
      <c r="FR138" s="65">
        <f t="shared" si="455"/>
        <v>0</v>
      </c>
      <c r="FS138" s="65">
        <f t="shared" si="456"/>
        <v>0</v>
      </c>
      <c r="FT138" s="66" t="str">
        <f t="shared" si="457"/>
        <v/>
      </c>
      <c r="FU138" s="74" t="str">
        <f>IF('Marks Entry'!BU138="","",'Marks Entry'!BU138)</f>
        <v/>
      </c>
      <c r="FV138" s="74" t="str">
        <f>IF('Marks Entry'!BV138="","",'Marks Entry'!BV138)</f>
        <v/>
      </c>
      <c r="FW138" s="74" t="str">
        <f>IF('Marks Entry'!BW138="","",'Marks Entry'!BW138)</f>
        <v/>
      </c>
      <c r="FX138" s="75" t="str">
        <f t="shared" si="406"/>
        <v/>
      </c>
      <c r="FY138" s="368" t="str">
        <f t="shared" si="458"/>
        <v/>
      </c>
      <c r="FZ138" s="65">
        <f t="shared" si="459"/>
        <v>0</v>
      </c>
      <c r="GA138" s="66">
        <f t="shared" si="460"/>
        <v>0</v>
      </c>
      <c r="GB138" s="66" t="str">
        <f t="shared" si="461"/>
        <v/>
      </c>
      <c r="GC138" s="74" t="str">
        <f>IF('Marks Entry'!BX138="","",'Marks Entry'!BX138)</f>
        <v/>
      </c>
      <c r="GD138" s="74" t="str">
        <f>IF('Marks Entry'!BY138="","",'Marks Entry'!BY138)</f>
        <v/>
      </c>
      <c r="GE138" s="74" t="str">
        <f>IF('Marks Entry'!BZ138="","",'Marks Entry'!BZ138)</f>
        <v/>
      </c>
      <c r="GF138" s="75" t="str">
        <f t="shared" si="462"/>
        <v/>
      </c>
      <c r="GG138" s="368" t="str">
        <f t="shared" si="463"/>
        <v/>
      </c>
      <c r="GH138" s="65">
        <f t="shared" si="464"/>
        <v>0</v>
      </c>
      <c r="GI138" s="66">
        <f t="shared" si="465"/>
        <v>0</v>
      </c>
      <c r="GJ138" s="66" t="str">
        <f t="shared" si="466"/>
        <v/>
      </c>
      <c r="GK138" s="100" t="str">
        <f>IF(AND(F138="",B138=""),"",IF('Student DATA Entry'!M135="","",'Student DATA Entry'!M135))</f>
        <v/>
      </c>
      <c r="GL138" s="101" t="str">
        <f>IF(AND(B138="",F138=""),"",IF('Student DATA Entry'!N135="","",'Student DATA Entry'!N135))</f>
        <v/>
      </c>
      <c r="GM138" s="581" t="str">
        <f t="shared" si="467"/>
        <v/>
      </c>
      <c r="GN138" s="94" t="str">
        <f t="shared" si="468"/>
        <v/>
      </c>
      <c r="GO138" s="94" t="str">
        <f t="shared" si="469"/>
        <v/>
      </c>
      <c r="GP138" s="102" t="str">
        <f t="shared" si="407"/>
        <v/>
      </c>
      <c r="GQ138" s="94" t="str">
        <f t="shared" si="470"/>
        <v/>
      </c>
      <c r="GR138" s="103" t="str">
        <f t="shared" si="471"/>
        <v/>
      </c>
      <c r="GS138" s="102" t="str">
        <f t="shared" si="408"/>
        <v/>
      </c>
      <c r="GT138" s="104" t="str">
        <f t="shared" si="472"/>
        <v/>
      </c>
      <c r="GU138" s="94" t="str">
        <f>IF('Marks Entry'!V138=1,GT138,"")</f>
        <v/>
      </c>
      <c r="GV138" s="94" t="str">
        <f>IF('Marks Entry'!V138=2,GT138,"")</f>
        <v/>
      </c>
      <c r="GW138" s="94" t="str">
        <f>IF('Marks Entry'!V138=3,GT138,"")</f>
        <v/>
      </c>
      <c r="GX138" s="94" t="str">
        <f>IF('Marks Entry'!V138=4,GT138,"")</f>
        <v/>
      </c>
      <c r="GY138" s="94" t="str">
        <f>IF('Marks Entry'!V138=5,GT138,"")</f>
        <v/>
      </c>
      <c r="GZ138" s="94" t="str">
        <f t="shared" si="473"/>
        <v/>
      </c>
      <c r="HA138" s="105" t="str">
        <f t="shared" si="409"/>
        <v/>
      </c>
      <c r="HB138" s="94" t="str">
        <f t="shared" si="474"/>
        <v/>
      </c>
      <c r="HC138" s="94" t="str">
        <f t="shared" si="475"/>
        <v/>
      </c>
      <c r="HD138" s="105" t="str">
        <f t="shared" si="410"/>
        <v/>
      </c>
      <c r="HE138" s="94" t="str">
        <f t="shared" si="476"/>
        <v/>
      </c>
      <c r="HF138" s="94" t="str">
        <f t="shared" si="477"/>
        <v/>
      </c>
      <c r="HG138" s="105" t="str">
        <f t="shared" si="411"/>
        <v/>
      </c>
      <c r="HH138" s="94" t="str">
        <f t="shared" si="478"/>
        <v/>
      </c>
      <c r="HI138" s="94" t="str">
        <f t="shared" si="479"/>
        <v/>
      </c>
      <c r="HJ138" s="105" t="str">
        <f t="shared" si="412"/>
        <v/>
      </c>
      <c r="HK138" s="94" t="str">
        <f t="shared" si="480"/>
        <v/>
      </c>
      <c r="HL138" s="94" t="str">
        <f t="shared" si="481"/>
        <v/>
      </c>
      <c r="HM138" s="105" t="str">
        <f t="shared" si="413"/>
        <v/>
      </c>
      <c r="HN138" s="367" t="str">
        <f t="shared" si="482"/>
        <v xml:space="preserve">      </v>
      </c>
      <c r="HO138" s="418" t="str">
        <f t="shared" si="414"/>
        <v xml:space="preserve">      </v>
      </c>
      <c r="HP138" s="367" t="str">
        <f t="shared" si="483"/>
        <v xml:space="preserve">      </v>
      </c>
      <c r="HQ138" s="107" t="str">
        <f t="shared" si="484"/>
        <v xml:space="preserve">      </v>
      </c>
      <c r="HR138" s="366" t="str">
        <f t="shared" si="485"/>
        <v xml:space="preserve">      </v>
      </c>
      <c r="HS138" s="544" t="str">
        <f t="shared" si="415"/>
        <v/>
      </c>
      <c r="HT138" s="542" t="str">
        <f t="shared" si="486"/>
        <v/>
      </c>
      <c r="HU138" s="541" t="str">
        <f t="shared" si="487"/>
        <v/>
      </c>
      <c r="HV138" s="540" t="str">
        <f t="shared" si="488"/>
        <v/>
      </c>
      <c r="HW138" s="537" t="str">
        <f t="shared" si="489"/>
        <v/>
      </c>
      <c r="HX138" s="539" t="str">
        <f t="shared" si="490"/>
        <v/>
      </c>
      <c r="HY138" s="553" t="str">
        <f>IFERROR(IF(OR(HS138="SUPPLEMENTARY",HS138="RE-EXAM"),'Supp. Result Entry'!AQ136,""),"")</f>
        <v/>
      </c>
      <c r="HZ138" s="538" t="str">
        <f t="shared" si="491"/>
        <v/>
      </c>
      <c r="IA138" s="415" t="str">
        <f t="shared" si="492"/>
        <v/>
      </c>
      <c r="IB138" s="415" t="str">
        <f>IF(AND(HZ138="",IA138=""),"",IF(OR(HS138="SUPPLEMENTARY",HS138="RE-EXAM"),'Supp. Result Entry'!AQ136,HS138))</f>
        <v/>
      </c>
      <c r="IC138" s="87"/>
      <c r="IS138" s="109" t="str">
        <f>IF('Supp. Result Entry'!T136="","",'Supp. Result Entry'!$T$4)</f>
        <v/>
      </c>
      <c r="IT138" s="110" t="str">
        <f>IF('Supp. Result Entry'!W136="","",'Supp. Result Entry'!$W$4)</f>
        <v/>
      </c>
      <c r="IU138" s="110" t="str">
        <f>IF('Supp. Result Entry'!Z136="","",'Supp. Result Entry'!$Z$4)</f>
        <v/>
      </c>
      <c r="IV138" s="110" t="str">
        <f>IF('Supp. Result Entry'!AC136="","",'Supp. Result Entry'!$AC$4)</f>
        <v/>
      </c>
      <c r="IW138" s="110" t="str">
        <f>IF('Supp. Result Entry'!AF136="","",'Supp. Result Entry'!$AF$4)</f>
        <v/>
      </c>
      <c r="IX138" s="110" t="str">
        <f>IF('Supp. Result Entry'!AI136="","",'Supp. Result Entry'!$AI$4)</f>
        <v/>
      </c>
      <c r="IY138" s="110" t="str">
        <f>IF('Supp. Result Entry'!AI136="","",'Supp. Result Entry'!$AL$4)</f>
        <v/>
      </c>
      <c r="IZ138" s="110" t="str">
        <f>IF('Supp. Result Entry'!U136="","",'Supp. Result Entry'!U136)</f>
        <v/>
      </c>
      <c r="JA138" s="110" t="str">
        <f>IF('Supp. Result Entry'!X136="","",'Supp. Result Entry'!X136)</f>
        <v/>
      </c>
      <c r="JB138" s="110" t="str">
        <f>IF('Supp. Result Entry'!AA136="","",'Supp. Result Entry'!AA136)</f>
        <v/>
      </c>
      <c r="JC138" s="110" t="str">
        <f>IF('Supp. Result Entry'!AD136="","",'Supp. Result Entry'!AD136)</f>
        <v/>
      </c>
      <c r="JD138" s="110" t="str">
        <f>IF('Supp. Result Entry'!AG136="","",'Supp. Result Entry'!AG136)</f>
        <v/>
      </c>
      <c r="JE138" s="110" t="str">
        <f>IF('Supp. Result Entry'!AJ136="","",'Supp. Result Entry'!AJ136)</f>
        <v/>
      </c>
      <c r="JF138" s="110" t="str">
        <f>IF('Supp. Result Entry'!AM136="","",'Supp. Result Entry'!AM136)</f>
        <v/>
      </c>
      <c r="JG138" s="110" t="str">
        <f>IF('Supp. Result Entry'!V136="","",'Supp. Result Entry'!V136)</f>
        <v/>
      </c>
      <c r="JH138" s="110" t="str">
        <f>IF('Supp. Result Entry'!Y136="","",'Supp. Result Entry'!Y136)</f>
        <v/>
      </c>
      <c r="JI138" s="110" t="str">
        <f>IF('Supp. Result Entry'!AB136="","",'Supp. Result Entry'!AB136)</f>
        <v/>
      </c>
      <c r="JJ138" s="110" t="str">
        <f>IF('Supp. Result Entry'!AE136="","",'Supp. Result Entry'!AE136)</f>
        <v/>
      </c>
      <c r="JK138" s="110" t="str">
        <f>IF('Supp. Result Entry'!AH136="","",'Supp. Result Entry'!AH136)</f>
        <v/>
      </c>
      <c r="JL138" s="110" t="str">
        <f>IF('Supp. Result Entry'!AK136="","",'Supp. Result Entry'!AK136)</f>
        <v/>
      </c>
      <c r="JM138" s="110" t="str">
        <f>IF('Supp. Result Entry'!AN136="","",'Supp. Result Entry'!AN136)</f>
        <v/>
      </c>
      <c r="JN138" s="110">
        <f>COUNTIF('Supp. Result Entry'!K136:Q136,"S")</f>
        <v>0</v>
      </c>
      <c r="JO138" s="110">
        <f t="shared" si="416"/>
        <v>0</v>
      </c>
      <c r="JP138" s="110">
        <f t="shared" si="493"/>
        <v>0</v>
      </c>
      <c r="JQ138" s="110" t="str">
        <f t="shared" si="417"/>
        <v/>
      </c>
      <c r="JR138" s="110" t="str">
        <f t="shared" si="418"/>
        <v/>
      </c>
      <c r="JS138" s="110" t="str">
        <f t="shared" si="419"/>
        <v/>
      </c>
      <c r="JT138" s="110" t="str">
        <f t="shared" si="420"/>
        <v/>
      </c>
      <c r="JU138" s="110" t="str">
        <f t="shared" si="421"/>
        <v/>
      </c>
      <c r="JV138" s="110" t="str">
        <f t="shared" si="422"/>
        <v/>
      </c>
      <c r="JW138" s="110" t="str">
        <f t="shared" si="423"/>
        <v/>
      </c>
      <c r="JX138" s="110" t="str">
        <f t="shared" si="494"/>
        <v/>
      </c>
      <c r="JY138" s="110" t="str">
        <f t="shared" si="495"/>
        <v/>
      </c>
      <c r="JZ138" s="110" t="str">
        <f t="shared" si="424"/>
        <v/>
      </c>
      <c r="KA138" s="108" t="str">
        <f t="shared" si="496"/>
        <v/>
      </c>
    </row>
    <row r="139" spans="1:287" s="108" customFormat="1" ht="21.95" customHeight="1">
      <c r="A139" s="89">
        <v>133</v>
      </c>
      <c r="B139" s="90" t="str">
        <f>IF('Marks Entry'!B139="","",'Marks Entry'!B139)</f>
        <v/>
      </c>
      <c r="C139" s="94" t="str">
        <f>IF('Marks Entry'!D139="","",'Marks Entry'!D139)</f>
        <v/>
      </c>
      <c r="D139" s="91" t="str">
        <f>IF('Marks Entry'!E139="","",'Marks Entry'!E139)</f>
        <v/>
      </c>
      <c r="E139" s="92" t="str">
        <f>IF('Marks Entry'!F139="","",'Marks Entry'!F139)</f>
        <v/>
      </c>
      <c r="F139" s="93" t="str">
        <f>IF('Marks Entry'!G139="","",'Marks Entry'!G139)</f>
        <v/>
      </c>
      <c r="G139" s="93" t="str">
        <f>IF('Marks Entry'!H139="","",'Marks Entry'!H139)</f>
        <v/>
      </c>
      <c r="H139" s="93" t="str">
        <f>IF('Marks Entry'!I139="","",'Marks Entry'!I139)</f>
        <v/>
      </c>
      <c r="I139" s="94" t="str">
        <f>IF('Marks Entry'!J139="","",'Marks Entry'!J139)</f>
        <v/>
      </c>
      <c r="J139" s="95" t="str">
        <f>IF('Marks Entry'!K139="","",'Marks Entry'!K139)</f>
        <v/>
      </c>
      <c r="K139" s="68" t="str">
        <f>IF('Marks Entry'!L139="","",'Marks Entry'!L139)</f>
        <v/>
      </c>
      <c r="L139" s="68" t="str">
        <f>IF('Marks Entry'!M139="","",'Marks Entry'!M139)</f>
        <v/>
      </c>
      <c r="M139" s="68" t="str">
        <f>IF('Marks Entry'!N139="","",'Marks Entry'!N139)</f>
        <v/>
      </c>
      <c r="N139" s="514" t="str">
        <f t="shared" si="425"/>
        <v/>
      </c>
      <c r="O139" s="68" t="str">
        <f>IF('Marks Entry'!O139="","",'Marks Entry'!O139)</f>
        <v/>
      </c>
      <c r="P139" s="515" t="str">
        <f t="shared" si="426"/>
        <v/>
      </c>
      <c r="Q139" s="68" t="str">
        <f>IF('Marks Entry'!P139="","",'Marks Entry'!P139)</f>
        <v/>
      </c>
      <c r="R139" s="96" t="str">
        <f t="shared" si="427"/>
        <v/>
      </c>
      <c r="S139" s="65">
        <f t="shared" si="428"/>
        <v>0</v>
      </c>
      <c r="T139" s="65">
        <f t="shared" si="429"/>
        <v>0</v>
      </c>
      <c r="U139" s="66" t="str">
        <f t="shared" si="339"/>
        <v/>
      </c>
      <c r="V139" s="65" t="str">
        <f t="shared" si="340"/>
        <v/>
      </c>
      <c r="W139" s="65" t="str">
        <f t="shared" si="430"/>
        <v/>
      </c>
      <c r="X139" s="65" t="str">
        <f t="shared" si="341"/>
        <v/>
      </c>
      <c r="Y139" s="68" t="str">
        <f>IF('Marks Entry'!Q139="","",'Marks Entry'!Q139)</f>
        <v/>
      </c>
      <c r="Z139" s="68" t="str">
        <f>IF('Marks Entry'!R139="","",'Marks Entry'!R139)</f>
        <v/>
      </c>
      <c r="AA139" s="68" t="str">
        <f>IF('Marks Entry'!S139="","",'Marks Entry'!S139)</f>
        <v/>
      </c>
      <c r="AB139" s="514" t="str">
        <f t="shared" si="342"/>
        <v/>
      </c>
      <c r="AC139" s="68" t="str">
        <f>IF('Marks Entry'!T139="","",'Marks Entry'!T139)</f>
        <v/>
      </c>
      <c r="AD139" s="515" t="str">
        <f t="shared" si="343"/>
        <v/>
      </c>
      <c r="AE139" s="68" t="str">
        <f>IF('Marks Entry'!U139="","",'Marks Entry'!U139)</f>
        <v/>
      </c>
      <c r="AF139" s="96" t="str">
        <f t="shared" si="344"/>
        <v/>
      </c>
      <c r="AG139" s="65">
        <f t="shared" si="345"/>
        <v>0</v>
      </c>
      <c r="AH139" s="65">
        <f t="shared" si="346"/>
        <v>0</v>
      </c>
      <c r="AI139" s="66" t="str">
        <f t="shared" si="347"/>
        <v/>
      </c>
      <c r="AJ139" s="65" t="str">
        <f t="shared" si="348"/>
        <v/>
      </c>
      <c r="AK139" s="65" t="str">
        <f t="shared" si="349"/>
        <v/>
      </c>
      <c r="AL139" s="65" t="str">
        <f t="shared" si="350"/>
        <v/>
      </c>
      <c r="AM139" s="524" t="str">
        <f>IF('Marks Entry'!V139="","",IF('Marks Entry'!V139=1,'School Profile'!$I$9,IF('Marks Entry'!V139=2,'School Profile'!$I$10,IF('Marks Entry'!V139=3,'School Profile'!$I$11,IF('Marks Entry'!V139=4,'School Profile'!$I$12,IF('Marks Entry'!V139=5,'School Profile'!$I$13,IF('Marks Entry'!V139=6,'School Profile'!$I$14,"")))))))</f>
        <v/>
      </c>
      <c r="AN139" s="68" t="str">
        <f>IF('Marks Entry'!W139="","",'Marks Entry'!W139)</f>
        <v/>
      </c>
      <c r="AO139" s="68" t="str">
        <f>IF('Marks Entry'!X139="","",'Marks Entry'!X139)</f>
        <v/>
      </c>
      <c r="AP139" s="68" t="str">
        <f>IF('Marks Entry'!Y139="","",'Marks Entry'!Y139)</f>
        <v/>
      </c>
      <c r="AQ139" s="514" t="str">
        <f t="shared" si="351"/>
        <v/>
      </c>
      <c r="AR139" s="68" t="str">
        <f>IF('Marks Entry'!Z139="","",'Marks Entry'!Z139)</f>
        <v/>
      </c>
      <c r="AS139" s="515" t="str">
        <f t="shared" si="352"/>
        <v/>
      </c>
      <c r="AT139" s="68" t="str">
        <f>IF('Marks Entry'!AA139="","",'Marks Entry'!AA139)</f>
        <v/>
      </c>
      <c r="AU139" s="96" t="str">
        <f t="shared" si="353"/>
        <v/>
      </c>
      <c r="AV139" s="65">
        <f t="shared" si="354"/>
        <v>0</v>
      </c>
      <c r="AW139" s="65">
        <f t="shared" si="355"/>
        <v>0</v>
      </c>
      <c r="AX139" s="66" t="str">
        <f t="shared" si="356"/>
        <v/>
      </c>
      <c r="AY139" s="65" t="str">
        <f t="shared" si="357"/>
        <v/>
      </c>
      <c r="AZ139" s="65" t="str">
        <f t="shared" si="358"/>
        <v/>
      </c>
      <c r="BA139" s="65" t="str">
        <f t="shared" si="359"/>
        <v/>
      </c>
      <c r="BB139" s="68" t="str">
        <f>IF('Marks Entry'!AB139="","",'Marks Entry'!AB139)</f>
        <v/>
      </c>
      <c r="BC139" s="68" t="str">
        <f>IF('Marks Entry'!AC139="","",'Marks Entry'!AC139)</f>
        <v/>
      </c>
      <c r="BD139" s="68" t="str">
        <f>IF('Marks Entry'!AD139="","",'Marks Entry'!AD139)</f>
        <v/>
      </c>
      <c r="BE139" s="514" t="str">
        <f t="shared" si="360"/>
        <v/>
      </c>
      <c r="BF139" s="68" t="str">
        <f>IF('Marks Entry'!AE139="","",'Marks Entry'!AE139)</f>
        <v/>
      </c>
      <c r="BG139" s="515" t="str">
        <f t="shared" si="361"/>
        <v/>
      </c>
      <c r="BH139" s="68" t="str">
        <f>IF('Marks Entry'!AF139="","",'Marks Entry'!AF139)</f>
        <v/>
      </c>
      <c r="BI139" s="96" t="str">
        <f t="shared" si="362"/>
        <v/>
      </c>
      <c r="BJ139" s="65">
        <f t="shared" si="363"/>
        <v>0</v>
      </c>
      <c r="BK139" s="65">
        <f t="shared" si="431"/>
        <v>0</v>
      </c>
      <c r="BL139" s="66" t="str">
        <f t="shared" si="364"/>
        <v/>
      </c>
      <c r="BM139" s="65" t="str">
        <f t="shared" si="365"/>
        <v/>
      </c>
      <c r="BN139" s="65" t="str">
        <f t="shared" si="366"/>
        <v/>
      </c>
      <c r="BO139" s="65" t="str">
        <f t="shared" si="367"/>
        <v/>
      </c>
      <c r="BP139" s="68" t="str">
        <f>IF('Marks Entry'!AG139="","",'Marks Entry'!AG139)</f>
        <v/>
      </c>
      <c r="BQ139" s="68" t="str">
        <f>IF('Marks Entry'!AH139="","",'Marks Entry'!AH139)</f>
        <v/>
      </c>
      <c r="BR139" s="68" t="str">
        <f>IF('Marks Entry'!AI139="","",'Marks Entry'!AI139)</f>
        <v/>
      </c>
      <c r="BS139" s="514" t="str">
        <f t="shared" si="368"/>
        <v/>
      </c>
      <c r="BT139" s="68" t="str">
        <f>IF('Marks Entry'!AJ139="","",'Marks Entry'!AJ139)</f>
        <v/>
      </c>
      <c r="BU139" s="515" t="str">
        <f t="shared" si="369"/>
        <v/>
      </c>
      <c r="BV139" s="68" t="str">
        <f>IF('Marks Entry'!AK139="","",'Marks Entry'!AK139)</f>
        <v/>
      </c>
      <c r="BW139" s="96" t="str">
        <f t="shared" si="370"/>
        <v/>
      </c>
      <c r="BX139" s="65">
        <f t="shared" si="371"/>
        <v>0</v>
      </c>
      <c r="BY139" s="65">
        <f t="shared" si="372"/>
        <v>0</v>
      </c>
      <c r="BZ139" s="66" t="str">
        <f t="shared" si="373"/>
        <v/>
      </c>
      <c r="CA139" s="65" t="str">
        <f t="shared" si="374"/>
        <v/>
      </c>
      <c r="CB139" s="65" t="str">
        <f t="shared" si="375"/>
        <v/>
      </c>
      <c r="CC139" s="65" t="str">
        <f t="shared" si="376"/>
        <v/>
      </c>
      <c r="CD139" s="66">
        <f t="shared" si="377"/>
        <v>0</v>
      </c>
      <c r="CE139" s="68" t="str">
        <f>IF('Marks Entry'!AL139="","",'Marks Entry'!AL139)</f>
        <v/>
      </c>
      <c r="CF139" s="68" t="str">
        <f>IF('Marks Entry'!AM139="","",'Marks Entry'!AM139)</f>
        <v/>
      </c>
      <c r="CG139" s="68" t="str">
        <f>IF('Marks Entry'!AN139="","",'Marks Entry'!AN139)</f>
        <v/>
      </c>
      <c r="CH139" s="514" t="str">
        <f t="shared" si="378"/>
        <v/>
      </c>
      <c r="CI139" s="68" t="str">
        <f>IF('Marks Entry'!AO139="","",'Marks Entry'!AO139)</f>
        <v/>
      </c>
      <c r="CJ139" s="515" t="str">
        <f t="shared" si="379"/>
        <v/>
      </c>
      <c r="CK139" s="68" t="str">
        <f>IF('Marks Entry'!AP139="","",'Marks Entry'!AP139)</f>
        <v/>
      </c>
      <c r="CL139" s="96" t="str">
        <f t="shared" si="380"/>
        <v/>
      </c>
      <c r="CM139" s="65">
        <f t="shared" si="381"/>
        <v>0</v>
      </c>
      <c r="CN139" s="65">
        <f t="shared" si="382"/>
        <v>0</v>
      </c>
      <c r="CO139" s="66" t="str">
        <f t="shared" si="383"/>
        <v/>
      </c>
      <c r="CP139" s="65" t="str">
        <f t="shared" si="384"/>
        <v/>
      </c>
      <c r="CQ139" s="65" t="str">
        <f t="shared" si="385"/>
        <v/>
      </c>
      <c r="CR139" s="65" t="str">
        <f t="shared" si="386"/>
        <v/>
      </c>
      <c r="CS139" s="616"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8" t="str">
        <f>IF('School Profile'!$D$20="NO","",IF('Marks Entry'!AR139="","",'Marks Entry'!AR139))</f>
        <v/>
      </c>
      <c r="CU139" s="68" t="str">
        <f>IF('School Profile'!$D$20="NO","",IF('Marks Entry'!AS139="","",'Marks Entry'!AS139))</f>
        <v/>
      </c>
      <c r="CV139" s="68" t="str">
        <f>IF('School Profile'!$D$20="NO","",IF('Marks Entry'!AT139="","",'Marks Entry'!AT139))</f>
        <v/>
      </c>
      <c r="CW139" s="514" t="str">
        <f>IF('School Profile'!$D$20="NO","",IF(AND(CT139="",CU139="",CV139=""),"",SUM(CT139:CV139)))</f>
        <v/>
      </c>
      <c r="CX139" s="68" t="str">
        <f>IF('School Profile'!$D$20="NO","",IF('Marks Entry'!AU139="","",'Marks Entry'!AU139))</f>
        <v/>
      </c>
      <c r="CY139" s="68" t="str">
        <f>IF('School Profile'!$D$20="NO","",IF('Marks Entry'!AV139="","",'Marks Entry'!AV139))</f>
        <v/>
      </c>
      <c r="CZ139" s="515" t="str">
        <f>IF('School Profile'!$D$20="NO","",IF(AND(CX139="",CY139=""),"",SUM(CX139,CY139)))</f>
        <v/>
      </c>
      <c r="DA139" s="69" t="str">
        <f>IF('School Profile'!$D$20="NO","",IF(AND(CW139="",CZ139=""),"",SUM(CW139+CZ139)))</f>
        <v/>
      </c>
      <c r="DB139" s="68" t="str">
        <f>IF('School Profile'!$D$20="NO","",IF('Marks Entry'!AW139="","",'Marks Entry'!AW139))</f>
        <v/>
      </c>
      <c r="DC139" s="68" t="str">
        <f>IF('School Profile'!$D$20="NO","",IF('Marks Entry'!AX139="","",'Marks Entry'!AX139))</f>
        <v/>
      </c>
      <c r="DD139" s="515" t="str">
        <f>IF('School Profile'!$D$20="NO","",IF(AND(DB139="",DC139=""),"",SUM(DB139,DC139)))</f>
        <v/>
      </c>
      <c r="DE139" s="96" t="str">
        <f>IF('School Profile'!$D$20="NO","",IF(AND(DA139="",DD139=""),"",SUM(DA139,DD139)))</f>
        <v/>
      </c>
      <c r="DF139" s="532">
        <f t="shared" si="387"/>
        <v>0</v>
      </c>
      <c r="DG139" s="65">
        <f t="shared" si="388"/>
        <v>0</v>
      </c>
      <c r="DH139" s="66" t="str">
        <f t="shared" si="389"/>
        <v/>
      </c>
      <c r="DI139" s="65" t="str">
        <f t="shared" si="390"/>
        <v/>
      </c>
      <c r="DJ139" s="65" t="str">
        <f t="shared" si="391"/>
        <v/>
      </c>
      <c r="DK139" s="65" t="str">
        <f t="shared" si="392"/>
        <v/>
      </c>
      <c r="DL139" s="97" t="str">
        <f t="shared" si="432"/>
        <v/>
      </c>
      <c r="DM139" s="97" t="str">
        <f t="shared" si="433"/>
        <v/>
      </c>
      <c r="DN139" s="97" t="str">
        <f t="shared" si="434"/>
        <v/>
      </c>
      <c r="DO139" s="97" t="str">
        <f t="shared" si="435"/>
        <v/>
      </c>
      <c r="DP139" s="97" t="str">
        <f t="shared" si="436"/>
        <v/>
      </c>
      <c r="DQ139" s="97" t="str">
        <f t="shared" si="437"/>
        <v/>
      </c>
      <c r="DR139" s="97" t="str">
        <f t="shared" si="438"/>
        <v/>
      </c>
      <c r="DS139" s="98">
        <f t="shared" si="439"/>
        <v>0</v>
      </c>
      <c r="DT139" s="98">
        <f t="shared" si="440"/>
        <v>0</v>
      </c>
      <c r="DU139" s="98">
        <f t="shared" si="441"/>
        <v>0</v>
      </c>
      <c r="DV139" s="98">
        <f t="shared" si="442"/>
        <v>0</v>
      </c>
      <c r="DW139" s="98">
        <f t="shared" si="443"/>
        <v>0</v>
      </c>
      <c r="DX139" s="98" t="str">
        <f t="shared" si="444"/>
        <v/>
      </c>
      <c r="DY139" s="99" t="str">
        <f t="shared" si="445"/>
        <v/>
      </c>
      <c r="DZ139" s="74" t="str">
        <f>IF('Marks Entry'!AY139="","",'Marks Entry'!AY139)</f>
        <v/>
      </c>
      <c r="EA139" s="74" t="str">
        <f>IF('Marks Entry'!AZ139="","",'Marks Entry'!AZ139)</f>
        <v/>
      </c>
      <c r="EB139" s="74" t="str">
        <f>IF('Marks Entry'!BA139="","",'Marks Entry'!BA139)</f>
        <v/>
      </c>
      <c r="EC139" s="527" t="str">
        <f t="shared" si="393"/>
        <v/>
      </c>
      <c r="ED139" s="74" t="str">
        <f>IF('Marks Entry'!BB139="","",'Marks Entry'!BB139)</f>
        <v/>
      </c>
      <c r="EE139" s="528" t="str">
        <f t="shared" si="394"/>
        <v/>
      </c>
      <c r="EF139" s="74" t="str">
        <f>IF('Marks Entry'!BC139="","",'Marks Entry'!BC139)</f>
        <v/>
      </c>
      <c r="EG139" s="530" t="str">
        <f t="shared" si="395"/>
        <v/>
      </c>
      <c r="EH139" s="368" t="str">
        <f t="shared" si="446"/>
        <v/>
      </c>
      <c r="EI139" s="65">
        <f t="shared" si="447"/>
        <v>0</v>
      </c>
      <c r="EJ139" s="65">
        <f t="shared" si="448"/>
        <v>0</v>
      </c>
      <c r="EK139" s="66" t="str">
        <f t="shared" si="449"/>
        <v/>
      </c>
      <c r="EL139" s="74" t="str">
        <f>IF('Marks Entry'!BD139="","",'Marks Entry'!BD139)</f>
        <v/>
      </c>
      <c r="EM139" s="74" t="str">
        <f>IF('Marks Entry'!BE139="","",'Marks Entry'!BE139)</f>
        <v/>
      </c>
      <c r="EN139" s="74" t="str">
        <f>IF('Marks Entry'!BF139="","",'Marks Entry'!BF139)</f>
        <v/>
      </c>
      <c r="EO139" s="527" t="str">
        <f t="shared" si="396"/>
        <v/>
      </c>
      <c r="EP139" s="74" t="str">
        <f>IF('Marks Entry'!BG139="","",'Marks Entry'!BG139)</f>
        <v/>
      </c>
      <c r="EQ139" s="74" t="str">
        <f>IF('Marks Entry'!BH139="","",'Marks Entry'!BH139)</f>
        <v/>
      </c>
      <c r="ER139" s="528" t="str">
        <f t="shared" si="397"/>
        <v/>
      </c>
      <c r="ES139" s="529" t="str">
        <f t="shared" si="398"/>
        <v/>
      </c>
      <c r="ET139" s="74" t="str">
        <f>IF('Marks Entry'!BI139="","",'Marks Entry'!BI139)</f>
        <v/>
      </c>
      <c r="EU139" s="74" t="str">
        <f>IF('Marks Entry'!BJ139="","",'Marks Entry'!BJ139)</f>
        <v/>
      </c>
      <c r="EV139" s="528" t="str">
        <f t="shared" si="399"/>
        <v/>
      </c>
      <c r="EW139" s="530" t="str">
        <f t="shared" si="400"/>
        <v/>
      </c>
      <c r="EX139" s="368" t="str">
        <f t="shared" si="450"/>
        <v/>
      </c>
      <c r="EY139" s="65">
        <f t="shared" si="451"/>
        <v>0</v>
      </c>
      <c r="EZ139" s="65">
        <f t="shared" si="452"/>
        <v>0</v>
      </c>
      <c r="FA139" s="66" t="str">
        <f t="shared" si="453"/>
        <v/>
      </c>
      <c r="FB139" s="74" t="str">
        <f>IF('Marks Entry'!BK139="","",'Marks Entry'!BK139)</f>
        <v/>
      </c>
      <c r="FC139" s="74" t="str">
        <f>IF('Marks Entry'!BL139="","",'Marks Entry'!BL139)</f>
        <v/>
      </c>
      <c r="FD139" s="74" t="str">
        <f>IF('Marks Entry'!BM139="","",'Marks Entry'!BM139)</f>
        <v/>
      </c>
      <c r="FE139" s="74" t="str">
        <f>IF('Marks Entry'!BN139="","",'Marks Entry'!BN139)</f>
        <v/>
      </c>
      <c r="FF139" s="74" t="str">
        <f>IF('Marks Entry'!BO139="","",'Marks Entry'!BO139)</f>
        <v/>
      </c>
      <c r="FG139" s="74" t="str">
        <f>IF('Marks Entry'!BP139="","",'Marks Entry'!BP139)</f>
        <v/>
      </c>
      <c r="FH139" s="527" t="str">
        <f t="shared" si="401"/>
        <v/>
      </c>
      <c r="FI139" s="74" t="str">
        <f>IF('Marks Entry'!BQ139="","",'Marks Entry'!BQ139)</f>
        <v/>
      </c>
      <c r="FJ139" s="74" t="str">
        <f>IF('Marks Entry'!BR139="","",'Marks Entry'!BR139)</f>
        <v/>
      </c>
      <c r="FK139" s="528" t="str">
        <f t="shared" si="402"/>
        <v/>
      </c>
      <c r="FL139" s="529" t="str">
        <f t="shared" si="403"/>
        <v/>
      </c>
      <c r="FM139" s="74" t="str">
        <f>IF('Marks Entry'!BS139="","",'Marks Entry'!BS139)</f>
        <v/>
      </c>
      <c r="FN139" s="74" t="str">
        <f>IF('Marks Entry'!BT139="","",'Marks Entry'!BT139)</f>
        <v/>
      </c>
      <c r="FO139" s="528" t="str">
        <f t="shared" si="404"/>
        <v/>
      </c>
      <c r="FP139" s="530" t="str">
        <f t="shared" si="405"/>
        <v/>
      </c>
      <c r="FQ139" s="368" t="str">
        <f t="shared" si="454"/>
        <v/>
      </c>
      <c r="FR139" s="65">
        <f t="shared" si="455"/>
        <v>0</v>
      </c>
      <c r="FS139" s="65">
        <f t="shared" si="456"/>
        <v>0</v>
      </c>
      <c r="FT139" s="66" t="str">
        <f t="shared" si="457"/>
        <v/>
      </c>
      <c r="FU139" s="74" t="str">
        <f>IF('Marks Entry'!BU139="","",'Marks Entry'!BU139)</f>
        <v/>
      </c>
      <c r="FV139" s="74" t="str">
        <f>IF('Marks Entry'!BV139="","",'Marks Entry'!BV139)</f>
        <v/>
      </c>
      <c r="FW139" s="74" t="str">
        <f>IF('Marks Entry'!BW139="","",'Marks Entry'!BW139)</f>
        <v/>
      </c>
      <c r="FX139" s="75" t="str">
        <f t="shared" si="406"/>
        <v/>
      </c>
      <c r="FY139" s="368" t="str">
        <f t="shared" si="458"/>
        <v/>
      </c>
      <c r="FZ139" s="65">
        <f t="shared" si="459"/>
        <v>0</v>
      </c>
      <c r="GA139" s="66">
        <f t="shared" si="460"/>
        <v>0</v>
      </c>
      <c r="GB139" s="66" t="str">
        <f t="shared" si="461"/>
        <v/>
      </c>
      <c r="GC139" s="74" t="str">
        <f>IF('Marks Entry'!BX139="","",'Marks Entry'!BX139)</f>
        <v/>
      </c>
      <c r="GD139" s="74" t="str">
        <f>IF('Marks Entry'!BY139="","",'Marks Entry'!BY139)</f>
        <v/>
      </c>
      <c r="GE139" s="74" t="str">
        <f>IF('Marks Entry'!BZ139="","",'Marks Entry'!BZ139)</f>
        <v/>
      </c>
      <c r="GF139" s="75" t="str">
        <f t="shared" si="462"/>
        <v/>
      </c>
      <c r="GG139" s="368" t="str">
        <f t="shared" si="463"/>
        <v/>
      </c>
      <c r="GH139" s="65">
        <f t="shared" si="464"/>
        <v>0</v>
      </c>
      <c r="GI139" s="66">
        <f t="shared" si="465"/>
        <v>0</v>
      </c>
      <c r="GJ139" s="66" t="str">
        <f t="shared" si="466"/>
        <v/>
      </c>
      <c r="GK139" s="100" t="str">
        <f>IF(AND(F139="",B139=""),"",IF('Student DATA Entry'!M136="","",'Student DATA Entry'!M136))</f>
        <v/>
      </c>
      <c r="GL139" s="101" t="str">
        <f>IF(AND(B139="",F139=""),"",IF('Student DATA Entry'!N136="","",'Student DATA Entry'!N136))</f>
        <v/>
      </c>
      <c r="GM139" s="581" t="str">
        <f t="shared" si="467"/>
        <v/>
      </c>
      <c r="GN139" s="94" t="str">
        <f t="shared" si="468"/>
        <v/>
      </c>
      <c r="GO139" s="94" t="str">
        <f t="shared" si="469"/>
        <v/>
      </c>
      <c r="GP139" s="102" t="str">
        <f t="shared" si="407"/>
        <v/>
      </c>
      <c r="GQ139" s="94" t="str">
        <f t="shared" si="470"/>
        <v/>
      </c>
      <c r="GR139" s="103" t="str">
        <f t="shared" si="471"/>
        <v/>
      </c>
      <c r="GS139" s="102" t="str">
        <f t="shared" si="408"/>
        <v/>
      </c>
      <c r="GT139" s="104" t="str">
        <f t="shared" si="472"/>
        <v/>
      </c>
      <c r="GU139" s="94" t="str">
        <f>IF('Marks Entry'!V139=1,GT139,"")</f>
        <v/>
      </c>
      <c r="GV139" s="94" t="str">
        <f>IF('Marks Entry'!V139=2,GT139,"")</f>
        <v/>
      </c>
      <c r="GW139" s="94" t="str">
        <f>IF('Marks Entry'!V139=3,GT139,"")</f>
        <v/>
      </c>
      <c r="GX139" s="94" t="str">
        <f>IF('Marks Entry'!V139=4,GT139,"")</f>
        <v/>
      </c>
      <c r="GY139" s="94" t="str">
        <f>IF('Marks Entry'!V139=5,GT139,"")</f>
        <v/>
      </c>
      <c r="GZ139" s="94" t="str">
        <f t="shared" si="473"/>
        <v/>
      </c>
      <c r="HA139" s="105" t="str">
        <f t="shared" si="409"/>
        <v/>
      </c>
      <c r="HB139" s="94" t="str">
        <f t="shared" si="474"/>
        <v/>
      </c>
      <c r="HC139" s="94" t="str">
        <f t="shared" si="475"/>
        <v/>
      </c>
      <c r="HD139" s="105" t="str">
        <f t="shared" si="410"/>
        <v/>
      </c>
      <c r="HE139" s="94" t="str">
        <f t="shared" si="476"/>
        <v/>
      </c>
      <c r="HF139" s="94" t="str">
        <f t="shared" si="477"/>
        <v/>
      </c>
      <c r="HG139" s="105" t="str">
        <f t="shared" si="411"/>
        <v/>
      </c>
      <c r="HH139" s="94" t="str">
        <f t="shared" si="478"/>
        <v/>
      </c>
      <c r="HI139" s="94" t="str">
        <f t="shared" si="479"/>
        <v/>
      </c>
      <c r="HJ139" s="105" t="str">
        <f t="shared" si="412"/>
        <v/>
      </c>
      <c r="HK139" s="94" t="str">
        <f t="shared" si="480"/>
        <v/>
      </c>
      <c r="HL139" s="94" t="str">
        <f t="shared" si="481"/>
        <v/>
      </c>
      <c r="HM139" s="105" t="str">
        <f t="shared" si="413"/>
        <v/>
      </c>
      <c r="HN139" s="367" t="str">
        <f t="shared" si="482"/>
        <v xml:space="preserve">      </v>
      </c>
      <c r="HO139" s="418" t="str">
        <f t="shared" si="414"/>
        <v xml:space="preserve">      </v>
      </c>
      <c r="HP139" s="367" t="str">
        <f t="shared" si="483"/>
        <v xml:space="preserve">      </v>
      </c>
      <c r="HQ139" s="107" t="str">
        <f t="shared" si="484"/>
        <v xml:space="preserve">      </v>
      </c>
      <c r="HR139" s="366" t="str">
        <f t="shared" si="485"/>
        <v xml:space="preserve">      </v>
      </c>
      <c r="HS139" s="544" t="str">
        <f t="shared" si="415"/>
        <v/>
      </c>
      <c r="HT139" s="542" t="str">
        <f t="shared" si="486"/>
        <v/>
      </c>
      <c r="HU139" s="541" t="str">
        <f t="shared" si="487"/>
        <v/>
      </c>
      <c r="HV139" s="540" t="str">
        <f t="shared" si="488"/>
        <v/>
      </c>
      <c r="HW139" s="537" t="str">
        <f t="shared" si="489"/>
        <v/>
      </c>
      <c r="HX139" s="539" t="str">
        <f t="shared" si="490"/>
        <v/>
      </c>
      <c r="HY139" s="553" t="str">
        <f>IFERROR(IF(OR(HS139="SUPPLEMENTARY",HS139="RE-EXAM"),'Supp. Result Entry'!AQ137,""),"")</f>
        <v/>
      </c>
      <c r="HZ139" s="538" t="str">
        <f t="shared" si="491"/>
        <v/>
      </c>
      <c r="IA139" s="415" t="str">
        <f t="shared" si="492"/>
        <v/>
      </c>
      <c r="IB139" s="415" t="str">
        <f>IF(AND(HZ139="",IA139=""),"",IF(OR(HS139="SUPPLEMENTARY",HS139="RE-EXAM"),'Supp. Result Entry'!AQ137,HS139))</f>
        <v/>
      </c>
      <c r="IC139" s="87"/>
      <c r="IS139" s="109" t="str">
        <f>IF('Supp. Result Entry'!T137="","",'Supp. Result Entry'!$T$4)</f>
        <v/>
      </c>
      <c r="IT139" s="110" t="str">
        <f>IF('Supp. Result Entry'!W137="","",'Supp. Result Entry'!$W$4)</f>
        <v/>
      </c>
      <c r="IU139" s="110" t="str">
        <f>IF('Supp. Result Entry'!Z137="","",'Supp. Result Entry'!$Z$4)</f>
        <v/>
      </c>
      <c r="IV139" s="110" t="str">
        <f>IF('Supp. Result Entry'!AC137="","",'Supp. Result Entry'!$AC$4)</f>
        <v/>
      </c>
      <c r="IW139" s="110" t="str">
        <f>IF('Supp. Result Entry'!AF137="","",'Supp. Result Entry'!$AF$4)</f>
        <v/>
      </c>
      <c r="IX139" s="110" t="str">
        <f>IF('Supp. Result Entry'!AI137="","",'Supp. Result Entry'!$AI$4)</f>
        <v/>
      </c>
      <c r="IY139" s="110" t="str">
        <f>IF('Supp. Result Entry'!AI137="","",'Supp. Result Entry'!$AL$4)</f>
        <v/>
      </c>
      <c r="IZ139" s="110" t="str">
        <f>IF('Supp. Result Entry'!U137="","",'Supp. Result Entry'!U137)</f>
        <v/>
      </c>
      <c r="JA139" s="110" t="str">
        <f>IF('Supp. Result Entry'!X137="","",'Supp. Result Entry'!X137)</f>
        <v/>
      </c>
      <c r="JB139" s="110" t="str">
        <f>IF('Supp. Result Entry'!AA137="","",'Supp. Result Entry'!AA137)</f>
        <v/>
      </c>
      <c r="JC139" s="110" t="str">
        <f>IF('Supp. Result Entry'!AD137="","",'Supp. Result Entry'!AD137)</f>
        <v/>
      </c>
      <c r="JD139" s="110" t="str">
        <f>IF('Supp. Result Entry'!AG137="","",'Supp. Result Entry'!AG137)</f>
        <v/>
      </c>
      <c r="JE139" s="110" t="str">
        <f>IF('Supp. Result Entry'!AJ137="","",'Supp. Result Entry'!AJ137)</f>
        <v/>
      </c>
      <c r="JF139" s="110" t="str">
        <f>IF('Supp. Result Entry'!AM137="","",'Supp. Result Entry'!AM137)</f>
        <v/>
      </c>
      <c r="JG139" s="110" t="str">
        <f>IF('Supp. Result Entry'!V137="","",'Supp. Result Entry'!V137)</f>
        <v/>
      </c>
      <c r="JH139" s="110" t="str">
        <f>IF('Supp. Result Entry'!Y137="","",'Supp. Result Entry'!Y137)</f>
        <v/>
      </c>
      <c r="JI139" s="110" t="str">
        <f>IF('Supp. Result Entry'!AB137="","",'Supp. Result Entry'!AB137)</f>
        <v/>
      </c>
      <c r="JJ139" s="110" t="str">
        <f>IF('Supp. Result Entry'!AE137="","",'Supp. Result Entry'!AE137)</f>
        <v/>
      </c>
      <c r="JK139" s="110" t="str">
        <f>IF('Supp. Result Entry'!AH137="","",'Supp. Result Entry'!AH137)</f>
        <v/>
      </c>
      <c r="JL139" s="110" t="str">
        <f>IF('Supp. Result Entry'!AK137="","",'Supp. Result Entry'!AK137)</f>
        <v/>
      </c>
      <c r="JM139" s="110" t="str">
        <f>IF('Supp. Result Entry'!AN137="","",'Supp. Result Entry'!AN137)</f>
        <v/>
      </c>
      <c r="JN139" s="110">
        <f>COUNTIF('Supp. Result Entry'!K137:Q137,"S")</f>
        <v>0</v>
      </c>
      <c r="JO139" s="110">
        <f t="shared" si="416"/>
        <v>0</v>
      </c>
      <c r="JP139" s="110">
        <f t="shared" si="493"/>
        <v>0</v>
      </c>
      <c r="JQ139" s="110" t="str">
        <f t="shared" si="417"/>
        <v/>
      </c>
      <c r="JR139" s="110" t="str">
        <f t="shared" si="418"/>
        <v/>
      </c>
      <c r="JS139" s="110" t="str">
        <f t="shared" si="419"/>
        <v/>
      </c>
      <c r="JT139" s="110" t="str">
        <f t="shared" si="420"/>
        <v/>
      </c>
      <c r="JU139" s="110" t="str">
        <f t="shared" si="421"/>
        <v/>
      </c>
      <c r="JV139" s="110" t="str">
        <f t="shared" si="422"/>
        <v/>
      </c>
      <c r="JW139" s="110" t="str">
        <f t="shared" si="423"/>
        <v/>
      </c>
      <c r="JX139" s="110" t="str">
        <f t="shared" si="494"/>
        <v/>
      </c>
      <c r="JY139" s="110" t="str">
        <f t="shared" si="495"/>
        <v/>
      </c>
      <c r="JZ139" s="110" t="str">
        <f t="shared" si="424"/>
        <v/>
      </c>
      <c r="KA139" s="108" t="str">
        <f t="shared" si="496"/>
        <v/>
      </c>
    </row>
    <row r="140" spans="1:287" s="108" customFormat="1" ht="21.95" customHeight="1">
      <c r="A140" s="89">
        <v>134</v>
      </c>
      <c r="B140" s="90" t="str">
        <f>IF('Marks Entry'!B140="","",'Marks Entry'!B140)</f>
        <v/>
      </c>
      <c r="C140" s="94" t="str">
        <f>IF('Marks Entry'!D140="","",'Marks Entry'!D140)</f>
        <v/>
      </c>
      <c r="D140" s="91" t="str">
        <f>IF('Marks Entry'!E140="","",'Marks Entry'!E140)</f>
        <v/>
      </c>
      <c r="E140" s="92" t="str">
        <f>IF('Marks Entry'!F140="","",'Marks Entry'!F140)</f>
        <v/>
      </c>
      <c r="F140" s="93" t="str">
        <f>IF('Marks Entry'!G140="","",'Marks Entry'!G140)</f>
        <v/>
      </c>
      <c r="G140" s="93" t="str">
        <f>IF('Marks Entry'!H140="","",'Marks Entry'!H140)</f>
        <v/>
      </c>
      <c r="H140" s="93" t="str">
        <f>IF('Marks Entry'!I140="","",'Marks Entry'!I140)</f>
        <v/>
      </c>
      <c r="I140" s="94" t="str">
        <f>IF('Marks Entry'!J140="","",'Marks Entry'!J140)</f>
        <v/>
      </c>
      <c r="J140" s="95" t="str">
        <f>IF('Marks Entry'!K140="","",'Marks Entry'!K140)</f>
        <v/>
      </c>
      <c r="K140" s="68" t="str">
        <f>IF('Marks Entry'!L140="","",'Marks Entry'!L140)</f>
        <v/>
      </c>
      <c r="L140" s="68" t="str">
        <f>IF('Marks Entry'!M140="","",'Marks Entry'!M140)</f>
        <v/>
      </c>
      <c r="M140" s="68" t="str">
        <f>IF('Marks Entry'!N140="","",'Marks Entry'!N140)</f>
        <v/>
      </c>
      <c r="N140" s="514" t="str">
        <f t="shared" si="425"/>
        <v/>
      </c>
      <c r="O140" s="68" t="str">
        <f>IF('Marks Entry'!O140="","",'Marks Entry'!O140)</f>
        <v/>
      </c>
      <c r="P140" s="515" t="str">
        <f t="shared" si="426"/>
        <v/>
      </c>
      <c r="Q140" s="68" t="str">
        <f>IF('Marks Entry'!P140="","",'Marks Entry'!P140)</f>
        <v/>
      </c>
      <c r="R140" s="96" t="str">
        <f t="shared" si="427"/>
        <v/>
      </c>
      <c r="S140" s="65">
        <f t="shared" si="428"/>
        <v>0</v>
      </c>
      <c r="T140" s="65">
        <f t="shared" si="429"/>
        <v>0</v>
      </c>
      <c r="U140" s="66" t="str">
        <f t="shared" si="339"/>
        <v/>
      </c>
      <c r="V140" s="65" t="str">
        <f t="shared" si="340"/>
        <v/>
      </c>
      <c r="W140" s="65" t="str">
        <f t="shared" si="430"/>
        <v/>
      </c>
      <c r="X140" s="65" t="str">
        <f t="shared" si="341"/>
        <v/>
      </c>
      <c r="Y140" s="68" t="str">
        <f>IF('Marks Entry'!Q140="","",'Marks Entry'!Q140)</f>
        <v/>
      </c>
      <c r="Z140" s="68" t="str">
        <f>IF('Marks Entry'!R140="","",'Marks Entry'!R140)</f>
        <v/>
      </c>
      <c r="AA140" s="68" t="str">
        <f>IF('Marks Entry'!S140="","",'Marks Entry'!S140)</f>
        <v/>
      </c>
      <c r="AB140" s="514" t="str">
        <f t="shared" si="342"/>
        <v/>
      </c>
      <c r="AC140" s="68" t="str">
        <f>IF('Marks Entry'!T140="","",'Marks Entry'!T140)</f>
        <v/>
      </c>
      <c r="AD140" s="515" t="str">
        <f t="shared" si="343"/>
        <v/>
      </c>
      <c r="AE140" s="68" t="str">
        <f>IF('Marks Entry'!U140="","",'Marks Entry'!U140)</f>
        <v/>
      </c>
      <c r="AF140" s="96" t="str">
        <f t="shared" si="344"/>
        <v/>
      </c>
      <c r="AG140" s="65">
        <f t="shared" si="345"/>
        <v>0</v>
      </c>
      <c r="AH140" s="65">
        <f t="shared" si="346"/>
        <v>0</v>
      </c>
      <c r="AI140" s="66" t="str">
        <f t="shared" si="347"/>
        <v/>
      </c>
      <c r="AJ140" s="65" t="str">
        <f t="shared" si="348"/>
        <v/>
      </c>
      <c r="AK140" s="65" t="str">
        <f t="shared" si="349"/>
        <v/>
      </c>
      <c r="AL140" s="65" t="str">
        <f t="shared" si="350"/>
        <v/>
      </c>
      <c r="AM140" s="524" t="str">
        <f>IF('Marks Entry'!V140="","",IF('Marks Entry'!V140=1,'School Profile'!$I$9,IF('Marks Entry'!V140=2,'School Profile'!$I$10,IF('Marks Entry'!V140=3,'School Profile'!$I$11,IF('Marks Entry'!V140=4,'School Profile'!$I$12,IF('Marks Entry'!V140=5,'School Profile'!$I$13,IF('Marks Entry'!V140=6,'School Profile'!$I$14,"")))))))</f>
        <v/>
      </c>
      <c r="AN140" s="68" t="str">
        <f>IF('Marks Entry'!W140="","",'Marks Entry'!W140)</f>
        <v/>
      </c>
      <c r="AO140" s="68" t="str">
        <f>IF('Marks Entry'!X140="","",'Marks Entry'!X140)</f>
        <v/>
      </c>
      <c r="AP140" s="68" t="str">
        <f>IF('Marks Entry'!Y140="","",'Marks Entry'!Y140)</f>
        <v/>
      </c>
      <c r="AQ140" s="514" t="str">
        <f t="shared" si="351"/>
        <v/>
      </c>
      <c r="AR140" s="68" t="str">
        <f>IF('Marks Entry'!Z140="","",'Marks Entry'!Z140)</f>
        <v/>
      </c>
      <c r="AS140" s="515" t="str">
        <f t="shared" si="352"/>
        <v/>
      </c>
      <c r="AT140" s="68" t="str">
        <f>IF('Marks Entry'!AA140="","",'Marks Entry'!AA140)</f>
        <v/>
      </c>
      <c r="AU140" s="96" t="str">
        <f t="shared" si="353"/>
        <v/>
      </c>
      <c r="AV140" s="65">
        <f t="shared" si="354"/>
        <v>0</v>
      </c>
      <c r="AW140" s="65">
        <f t="shared" si="355"/>
        <v>0</v>
      </c>
      <c r="AX140" s="66" t="str">
        <f t="shared" si="356"/>
        <v/>
      </c>
      <c r="AY140" s="65" t="str">
        <f t="shared" si="357"/>
        <v/>
      </c>
      <c r="AZ140" s="65" t="str">
        <f t="shared" si="358"/>
        <v/>
      </c>
      <c r="BA140" s="65" t="str">
        <f t="shared" si="359"/>
        <v/>
      </c>
      <c r="BB140" s="68" t="str">
        <f>IF('Marks Entry'!AB140="","",'Marks Entry'!AB140)</f>
        <v/>
      </c>
      <c r="BC140" s="68" t="str">
        <f>IF('Marks Entry'!AC140="","",'Marks Entry'!AC140)</f>
        <v/>
      </c>
      <c r="BD140" s="68" t="str">
        <f>IF('Marks Entry'!AD140="","",'Marks Entry'!AD140)</f>
        <v/>
      </c>
      <c r="BE140" s="514" t="str">
        <f t="shared" si="360"/>
        <v/>
      </c>
      <c r="BF140" s="68" t="str">
        <f>IF('Marks Entry'!AE140="","",'Marks Entry'!AE140)</f>
        <v/>
      </c>
      <c r="BG140" s="515" t="str">
        <f t="shared" si="361"/>
        <v/>
      </c>
      <c r="BH140" s="68" t="str">
        <f>IF('Marks Entry'!AF140="","",'Marks Entry'!AF140)</f>
        <v/>
      </c>
      <c r="BI140" s="96" t="str">
        <f t="shared" si="362"/>
        <v/>
      </c>
      <c r="BJ140" s="65">
        <f t="shared" si="363"/>
        <v>0</v>
      </c>
      <c r="BK140" s="65">
        <f t="shared" si="431"/>
        <v>0</v>
      </c>
      <c r="BL140" s="66" t="str">
        <f t="shared" si="364"/>
        <v/>
      </c>
      <c r="BM140" s="65" t="str">
        <f t="shared" si="365"/>
        <v/>
      </c>
      <c r="BN140" s="65" t="str">
        <f t="shared" si="366"/>
        <v/>
      </c>
      <c r="BO140" s="65" t="str">
        <f t="shared" si="367"/>
        <v/>
      </c>
      <c r="BP140" s="68" t="str">
        <f>IF('Marks Entry'!AG140="","",'Marks Entry'!AG140)</f>
        <v/>
      </c>
      <c r="BQ140" s="68" t="str">
        <f>IF('Marks Entry'!AH140="","",'Marks Entry'!AH140)</f>
        <v/>
      </c>
      <c r="BR140" s="68" t="str">
        <f>IF('Marks Entry'!AI140="","",'Marks Entry'!AI140)</f>
        <v/>
      </c>
      <c r="BS140" s="514" t="str">
        <f t="shared" si="368"/>
        <v/>
      </c>
      <c r="BT140" s="68" t="str">
        <f>IF('Marks Entry'!AJ140="","",'Marks Entry'!AJ140)</f>
        <v/>
      </c>
      <c r="BU140" s="515" t="str">
        <f t="shared" si="369"/>
        <v/>
      </c>
      <c r="BV140" s="68" t="str">
        <f>IF('Marks Entry'!AK140="","",'Marks Entry'!AK140)</f>
        <v/>
      </c>
      <c r="BW140" s="96" t="str">
        <f t="shared" si="370"/>
        <v/>
      </c>
      <c r="BX140" s="65">
        <f t="shared" si="371"/>
        <v>0</v>
      </c>
      <c r="BY140" s="65">
        <f t="shared" si="372"/>
        <v>0</v>
      </c>
      <c r="BZ140" s="66" t="str">
        <f t="shared" si="373"/>
        <v/>
      </c>
      <c r="CA140" s="65" t="str">
        <f t="shared" si="374"/>
        <v/>
      </c>
      <c r="CB140" s="65" t="str">
        <f t="shared" si="375"/>
        <v/>
      </c>
      <c r="CC140" s="65" t="str">
        <f t="shared" si="376"/>
        <v/>
      </c>
      <c r="CD140" s="66">
        <f t="shared" si="377"/>
        <v>0</v>
      </c>
      <c r="CE140" s="68" t="str">
        <f>IF('Marks Entry'!AL140="","",'Marks Entry'!AL140)</f>
        <v/>
      </c>
      <c r="CF140" s="68" t="str">
        <f>IF('Marks Entry'!AM140="","",'Marks Entry'!AM140)</f>
        <v/>
      </c>
      <c r="CG140" s="68" t="str">
        <f>IF('Marks Entry'!AN140="","",'Marks Entry'!AN140)</f>
        <v/>
      </c>
      <c r="CH140" s="514" t="str">
        <f t="shared" si="378"/>
        <v/>
      </c>
      <c r="CI140" s="68" t="str">
        <f>IF('Marks Entry'!AO140="","",'Marks Entry'!AO140)</f>
        <v/>
      </c>
      <c r="CJ140" s="515" t="str">
        <f t="shared" si="379"/>
        <v/>
      </c>
      <c r="CK140" s="68" t="str">
        <f>IF('Marks Entry'!AP140="","",'Marks Entry'!AP140)</f>
        <v/>
      </c>
      <c r="CL140" s="96" t="str">
        <f t="shared" si="380"/>
        <v/>
      </c>
      <c r="CM140" s="65">
        <f t="shared" si="381"/>
        <v>0</v>
      </c>
      <c r="CN140" s="65">
        <f t="shared" si="382"/>
        <v>0</v>
      </c>
      <c r="CO140" s="66" t="str">
        <f t="shared" si="383"/>
        <v/>
      </c>
      <c r="CP140" s="65" t="str">
        <f t="shared" si="384"/>
        <v/>
      </c>
      <c r="CQ140" s="65" t="str">
        <f t="shared" si="385"/>
        <v/>
      </c>
      <c r="CR140" s="65" t="str">
        <f t="shared" si="386"/>
        <v/>
      </c>
      <c r="CS140" s="616"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8" t="str">
        <f>IF('School Profile'!$D$20="NO","",IF('Marks Entry'!AR140="","",'Marks Entry'!AR140))</f>
        <v/>
      </c>
      <c r="CU140" s="68" t="str">
        <f>IF('School Profile'!$D$20="NO","",IF('Marks Entry'!AS140="","",'Marks Entry'!AS140))</f>
        <v/>
      </c>
      <c r="CV140" s="68" t="str">
        <f>IF('School Profile'!$D$20="NO","",IF('Marks Entry'!AT140="","",'Marks Entry'!AT140))</f>
        <v/>
      </c>
      <c r="CW140" s="514" t="str">
        <f>IF('School Profile'!$D$20="NO","",IF(AND(CT140="",CU140="",CV140=""),"",SUM(CT140:CV140)))</f>
        <v/>
      </c>
      <c r="CX140" s="68" t="str">
        <f>IF('School Profile'!$D$20="NO","",IF('Marks Entry'!AU140="","",'Marks Entry'!AU140))</f>
        <v/>
      </c>
      <c r="CY140" s="68" t="str">
        <f>IF('School Profile'!$D$20="NO","",IF('Marks Entry'!AV140="","",'Marks Entry'!AV140))</f>
        <v/>
      </c>
      <c r="CZ140" s="515" t="str">
        <f>IF('School Profile'!$D$20="NO","",IF(AND(CX140="",CY140=""),"",SUM(CX140,CY140)))</f>
        <v/>
      </c>
      <c r="DA140" s="69" t="str">
        <f>IF('School Profile'!$D$20="NO","",IF(AND(CW140="",CZ140=""),"",SUM(CW140+CZ140)))</f>
        <v/>
      </c>
      <c r="DB140" s="68" t="str">
        <f>IF('School Profile'!$D$20="NO","",IF('Marks Entry'!AW140="","",'Marks Entry'!AW140))</f>
        <v/>
      </c>
      <c r="DC140" s="68" t="str">
        <f>IF('School Profile'!$D$20="NO","",IF('Marks Entry'!AX140="","",'Marks Entry'!AX140))</f>
        <v/>
      </c>
      <c r="DD140" s="515" t="str">
        <f>IF('School Profile'!$D$20="NO","",IF(AND(DB140="",DC140=""),"",SUM(DB140,DC140)))</f>
        <v/>
      </c>
      <c r="DE140" s="96" t="str">
        <f>IF('School Profile'!$D$20="NO","",IF(AND(DA140="",DD140=""),"",SUM(DA140,DD140)))</f>
        <v/>
      </c>
      <c r="DF140" s="532">
        <f t="shared" si="387"/>
        <v>0</v>
      </c>
      <c r="DG140" s="65">
        <f t="shared" si="388"/>
        <v>0</v>
      </c>
      <c r="DH140" s="66" t="str">
        <f t="shared" si="389"/>
        <v/>
      </c>
      <c r="DI140" s="65" t="str">
        <f t="shared" si="390"/>
        <v/>
      </c>
      <c r="DJ140" s="65" t="str">
        <f t="shared" si="391"/>
        <v/>
      </c>
      <c r="DK140" s="65" t="str">
        <f t="shared" si="392"/>
        <v/>
      </c>
      <c r="DL140" s="97" t="str">
        <f t="shared" si="432"/>
        <v/>
      </c>
      <c r="DM140" s="97" t="str">
        <f t="shared" si="433"/>
        <v/>
      </c>
      <c r="DN140" s="97" t="str">
        <f t="shared" si="434"/>
        <v/>
      </c>
      <c r="DO140" s="97" t="str">
        <f t="shared" si="435"/>
        <v/>
      </c>
      <c r="DP140" s="97" t="str">
        <f t="shared" si="436"/>
        <v/>
      </c>
      <c r="DQ140" s="97" t="str">
        <f t="shared" si="437"/>
        <v/>
      </c>
      <c r="DR140" s="97" t="str">
        <f t="shared" si="438"/>
        <v/>
      </c>
      <c r="DS140" s="98">
        <f t="shared" si="439"/>
        <v>0</v>
      </c>
      <c r="DT140" s="98">
        <f t="shared" si="440"/>
        <v>0</v>
      </c>
      <c r="DU140" s="98">
        <f t="shared" si="441"/>
        <v>0</v>
      </c>
      <c r="DV140" s="98">
        <f t="shared" si="442"/>
        <v>0</v>
      </c>
      <c r="DW140" s="98">
        <f t="shared" si="443"/>
        <v>0</v>
      </c>
      <c r="DX140" s="98" t="str">
        <f t="shared" si="444"/>
        <v/>
      </c>
      <c r="DY140" s="99" t="str">
        <f t="shared" si="445"/>
        <v/>
      </c>
      <c r="DZ140" s="74" t="str">
        <f>IF('Marks Entry'!AY140="","",'Marks Entry'!AY140)</f>
        <v/>
      </c>
      <c r="EA140" s="74" t="str">
        <f>IF('Marks Entry'!AZ140="","",'Marks Entry'!AZ140)</f>
        <v/>
      </c>
      <c r="EB140" s="74" t="str">
        <f>IF('Marks Entry'!BA140="","",'Marks Entry'!BA140)</f>
        <v/>
      </c>
      <c r="EC140" s="527" t="str">
        <f t="shared" si="393"/>
        <v/>
      </c>
      <c r="ED140" s="74" t="str">
        <f>IF('Marks Entry'!BB140="","",'Marks Entry'!BB140)</f>
        <v/>
      </c>
      <c r="EE140" s="528" t="str">
        <f t="shared" si="394"/>
        <v/>
      </c>
      <c r="EF140" s="74" t="str">
        <f>IF('Marks Entry'!BC140="","",'Marks Entry'!BC140)</f>
        <v/>
      </c>
      <c r="EG140" s="530" t="str">
        <f t="shared" si="395"/>
        <v/>
      </c>
      <c r="EH140" s="368" t="str">
        <f t="shared" si="446"/>
        <v/>
      </c>
      <c r="EI140" s="65">
        <f t="shared" si="447"/>
        <v>0</v>
      </c>
      <c r="EJ140" s="65">
        <f t="shared" si="448"/>
        <v>0</v>
      </c>
      <c r="EK140" s="66" t="str">
        <f t="shared" si="449"/>
        <v/>
      </c>
      <c r="EL140" s="74" t="str">
        <f>IF('Marks Entry'!BD140="","",'Marks Entry'!BD140)</f>
        <v/>
      </c>
      <c r="EM140" s="74" t="str">
        <f>IF('Marks Entry'!BE140="","",'Marks Entry'!BE140)</f>
        <v/>
      </c>
      <c r="EN140" s="74" t="str">
        <f>IF('Marks Entry'!BF140="","",'Marks Entry'!BF140)</f>
        <v/>
      </c>
      <c r="EO140" s="527" t="str">
        <f t="shared" si="396"/>
        <v/>
      </c>
      <c r="EP140" s="74" t="str">
        <f>IF('Marks Entry'!BG140="","",'Marks Entry'!BG140)</f>
        <v/>
      </c>
      <c r="EQ140" s="74" t="str">
        <f>IF('Marks Entry'!BH140="","",'Marks Entry'!BH140)</f>
        <v/>
      </c>
      <c r="ER140" s="528" t="str">
        <f t="shared" si="397"/>
        <v/>
      </c>
      <c r="ES140" s="529" t="str">
        <f t="shared" si="398"/>
        <v/>
      </c>
      <c r="ET140" s="74" t="str">
        <f>IF('Marks Entry'!BI140="","",'Marks Entry'!BI140)</f>
        <v/>
      </c>
      <c r="EU140" s="74" t="str">
        <f>IF('Marks Entry'!BJ140="","",'Marks Entry'!BJ140)</f>
        <v/>
      </c>
      <c r="EV140" s="528" t="str">
        <f t="shared" si="399"/>
        <v/>
      </c>
      <c r="EW140" s="530" t="str">
        <f t="shared" si="400"/>
        <v/>
      </c>
      <c r="EX140" s="368" t="str">
        <f t="shared" si="450"/>
        <v/>
      </c>
      <c r="EY140" s="65">
        <f t="shared" si="451"/>
        <v>0</v>
      </c>
      <c r="EZ140" s="65">
        <f t="shared" si="452"/>
        <v>0</v>
      </c>
      <c r="FA140" s="66" t="str">
        <f t="shared" si="453"/>
        <v/>
      </c>
      <c r="FB140" s="74" t="str">
        <f>IF('Marks Entry'!BK140="","",'Marks Entry'!BK140)</f>
        <v/>
      </c>
      <c r="FC140" s="74" t="str">
        <f>IF('Marks Entry'!BL140="","",'Marks Entry'!BL140)</f>
        <v/>
      </c>
      <c r="FD140" s="74" t="str">
        <f>IF('Marks Entry'!BM140="","",'Marks Entry'!BM140)</f>
        <v/>
      </c>
      <c r="FE140" s="74" t="str">
        <f>IF('Marks Entry'!BN140="","",'Marks Entry'!BN140)</f>
        <v/>
      </c>
      <c r="FF140" s="74" t="str">
        <f>IF('Marks Entry'!BO140="","",'Marks Entry'!BO140)</f>
        <v/>
      </c>
      <c r="FG140" s="74" t="str">
        <f>IF('Marks Entry'!BP140="","",'Marks Entry'!BP140)</f>
        <v/>
      </c>
      <c r="FH140" s="527" t="str">
        <f t="shared" si="401"/>
        <v/>
      </c>
      <c r="FI140" s="74" t="str">
        <f>IF('Marks Entry'!BQ140="","",'Marks Entry'!BQ140)</f>
        <v/>
      </c>
      <c r="FJ140" s="74" t="str">
        <f>IF('Marks Entry'!BR140="","",'Marks Entry'!BR140)</f>
        <v/>
      </c>
      <c r="FK140" s="528" t="str">
        <f t="shared" si="402"/>
        <v/>
      </c>
      <c r="FL140" s="529" t="str">
        <f t="shared" si="403"/>
        <v/>
      </c>
      <c r="FM140" s="74" t="str">
        <f>IF('Marks Entry'!BS140="","",'Marks Entry'!BS140)</f>
        <v/>
      </c>
      <c r="FN140" s="74" t="str">
        <f>IF('Marks Entry'!BT140="","",'Marks Entry'!BT140)</f>
        <v/>
      </c>
      <c r="FO140" s="528" t="str">
        <f t="shared" si="404"/>
        <v/>
      </c>
      <c r="FP140" s="530" t="str">
        <f t="shared" si="405"/>
        <v/>
      </c>
      <c r="FQ140" s="368" t="str">
        <f t="shared" si="454"/>
        <v/>
      </c>
      <c r="FR140" s="65">
        <f t="shared" si="455"/>
        <v>0</v>
      </c>
      <c r="FS140" s="65">
        <f t="shared" si="456"/>
        <v>0</v>
      </c>
      <c r="FT140" s="66" t="str">
        <f t="shared" si="457"/>
        <v/>
      </c>
      <c r="FU140" s="74" t="str">
        <f>IF('Marks Entry'!BU140="","",'Marks Entry'!BU140)</f>
        <v/>
      </c>
      <c r="FV140" s="74" t="str">
        <f>IF('Marks Entry'!BV140="","",'Marks Entry'!BV140)</f>
        <v/>
      </c>
      <c r="FW140" s="74" t="str">
        <f>IF('Marks Entry'!BW140="","",'Marks Entry'!BW140)</f>
        <v/>
      </c>
      <c r="FX140" s="75" t="str">
        <f t="shared" si="406"/>
        <v/>
      </c>
      <c r="FY140" s="368" t="str">
        <f t="shared" si="458"/>
        <v/>
      </c>
      <c r="FZ140" s="65">
        <f t="shared" si="459"/>
        <v>0</v>
      </c>
      <c r="GA140" s="66">
        <f t="shared" si="460"/>
        <v>0</v>
      </c>
      <c r="GB140" s="66" t="str">
        <f t="shared" si="461"/>
        <v/>
      </c>
      <c r="GC140" s="74" t="str">
        <f>IF('Marks Entry'!BX140="","",'Marks Entry'!BX140)</f>
        <v/>
      </c>
      <c r="GD140" s="74" t="str">
        <f>IF('Marks Entry'!BY140="","",'Marks Entry'!BY140)</f>
        <v/>
      </c>
      <c r="GE140" s="74" t="str">
        <f>IF('Marks Entry'!BZ140="","",'Marks Entry'!BZ140)</f>
        <v/>
      </c>
      <c r="GF140" s="75" t="str">
        <f t="shared" si="462"/>
        <v/>
      </c>
      <c r="GG140" s="368" t="str">
        <f t="shared" si="463"/>
        <v/>
      </c>
      <c r="GH140" s="65">
        <f t="shared" si="464"/>
        <v>0</v>
      </c>
      <c r="GI140" s="66">
        <f t="shared" si="465"/>
        <v>0</v>
      </c>
      <c r="GJ140" s="66" t="str">
        <f t="shared" si="466"/>
        <v/>
      </c>
      <c r="GK140" s="100" t="str">
        <f>IF(AND(F140="",B140=""),"",IF('Student DATA Entry'!M137="","",'Student DATA Entry'!M137))</f>
        <v/>
      </c>
      <c r="GL140" s="101" t="str">
        <f>IF(AND(B140="",F140=""),"",IF('Student DATA Entry'!N137="","",'Student DATA Entry'!N137))</f>
        <v/>
      </c>
      <c r="GM140" s="581" t="str">
        <f t="shared" si="467"/>
        <v/>
      </c>
      <c r="GN140" s="94" t="str">
        <f t="shared" si="468"/>
        <v/>
      </c>
      <c r="GO140" s="94" t="str">
        <f t="shared" si="469"/>
        <v/>
      </c>
      <c r="GP140" s="102" t="str">
        <f t="shared" si="407"/>
        <v/>
      </c>
      <c r="GQ140" s="94" t="str">
        <f t="shared" si="470"/>
        <v/>
      </c>
      <c r="GR140" s="103" t="str">
        <f t="shared" si="471"/>
        <v/>
      </c>
      <c r="GS140" s="102" t="str">
        <f t="shared" si="408"/>
        <v/>
      </c>
      <c r="GT140" s="104" t="str">
        <f t="shared" si="472"/>
        <v/>
      </c>
      <c r="GU140" s="94" t="str">
        <f>IF('Marks Entry'!V140=1,GT140,"")</f>
        <v/>
      </c>
      <c r="GV140" s="94" t="str">
        <f>IF('Marks Entry'!V140=2,GT140,"")</f>
        <v/>
      </c>
      <c r="GW140" s="94" t="str">
        <f>IF('Marks Entry'!V140=3,GT140,"")</f>
        <v/>
      </c>
      <c r="GX140" s="94" t="str">
        <f>IF('Marks Entry'!V140=4,GT140,"")</f>
        <v/>
      </c>
      <c r="GY140" s="94" t="str">
        <f>IF('Marks Entry'!V140=5,GT140,"")</f>
        <v/>
      </c>
      <c r="GZ140" s="94" t="str">
        <f t="shared" si="473"/>
        <v/>
      </c>
      <c r="HA140" s="105" t="str">
        <f t="shared" si="409"/>
        <v/>
      </c>
      <c r="HB140" s="94" t="str">
        <f t="shared" si="474"/>
        <v/>
      </c>
      <c r="HC140" s="94" t="str">
        <f t="shared" si="475"/>
        <v/>
      </c>
      <c r="HD140" s="105" t="str">
        <f t="shared" si="410"/>
        <v/>
      </c>
      <c r="HE140" s="94" t="str">
        <f t="shared" si="476"/>
        <v/>
      </c>
      <c r="HF140" s="94" t="str">
        <f t="shared" si="477"/>
        <v/>
      </c>
      <c r="HG140" s="105" t="str">
        <f t="shared" si="411"/>
        <v/>
      </c>
      <c r="HH140" s="94" t="str">
        <f t="shared" si="478"/>
        <v/>
      </c>
      <c r="HI140" s="94" t="str">
        <f t="shared" si="479"/>
        <v/>
      </c>
      <c r="HJ140" s="105" t="str">
        <f t="shared" si="412"/>
        <v/>
      </c>
      <c r="HK140" s="94" t="str">
        <f t="shared" si="480"/>
        <v/>
      </c>
      <c r="HL140" s="94" t="str">
        <f t="shared" si="481"/>
        <v/>
      </c>
      <c r="HM140" s="105" t="str">
        <f t="shared" si="413"/>
        <v/>
      </c>
      <c r="HN140" s="367" t="str">
        <f t="shared" si="482"/>
        <v xml:space="preserve">      </v>
      </c>
      <c r="HO140" s="418" t="str">
        <f t="shared" si="414"/>
        <v xml:space="preserve">      </v>
      </c>
      <c r="HP140" s="367" t="str">
        <f t="shared" si="483"/>
        <v xml:space="preserve">      </v>
      </c>
      <c r="HQ140" s="107" t="str">
        <f t="shared" si="484"/>
        <v xml:space="preserve">      </v>
      </c>
      <c r="HR140" s="366" t="str">
        <f t="shared" si="485"/>
        <v xml:space="preserve">      </v>
      </c>
      <c r="HS140" s="544" t="str">
        <f t="shared" si="415"/>
        <v/>
      </c>
      <c r="HT140" s="542" t="str">
        <f t="shared" si="486"/>
        <v/>
      </c>
      <c r="HU140" s="541" t="str">
        <f t="shared" si="487"/>
        <v/>
      </c>
      <c r="HV140" s="540" t="str">
        <f t="shared" si="488"/>
        <v/>
      </c>
      <c r="HW140" s="537" t="str">
        <f t="shared" si="489"/>
        <v/>
      </c>
      <c r="HX140" s="539" t="str">
        <f t="shared" si="490"/>
        <v/>
      </c>
      <c r="HY140" s="553" t="str">
        <f>IFERROR(IF(OR(HS140="SUPPLEMENTARY",HS140="RE-EXAM"),'Supp. Result Entry'!AQ138,""),"")</f>
        <v/>
      </c>
      <c r="HZ140" s="538" t="str">
        <f t="shared" si="491"/>
        <v/>
      </c>
      <c r="IA140" s="415" t="str">
        <f t="shared" si="492"/>
        <v/>
      </c>
      <c r="IB140" s="415" t="str">
        <f>IF(AND(HZ140="",IA140=""),"",IF(OR(HS140="SUPPLEMENTARY",HS140="RE-EXAM"),'Supp. Result Entry'!AQ138,HS140))</f>
        <v/>
      </c>
      <c r="IC140" s="87"/>
      <c r="IS140" s="109" t="str">
        <f>IF('Supp. Result Entry'!T138="","",'Supp. Result Entry'!$T$4)</f>
        <v/>
      </c>
      <c r="IT140" s="110" t="str">
        <f>IF('Supp. Result Entry'!W138="","",'Supp. Result Entry'!$W$4)</f>
        <v/>
      </c>
      <c r="IU140" s="110" t="str">
        <f>IF('Supp. Result Entry'!Z138="","",'Supp. Result Entry'!$Z$4)</f>
        <v/>
      </c>
      <c r="IV140" s="110" t="str">
        <f>IF('Supp. Result Entry'!AC138="","",'Supp. Result Entry'!$AC$4)</f>
        <v/>
      </c>
      <c r="IW140" s="110" t="str">
        <f>IF('Supp. Result Entry'!AF138="","",'Supp. Result Entry'!$AF$4)</f>
        <v/>
      </c>
      <c r="IX140" s="110" t="str">
        <f>IF('Supp. Result Entry'!AI138="","",'Supp. Result Entry'!$AI$4)</f>
        <v/>
      </c>
      <c r="IY140" s="110" t="str">
        <f>IF('Supp. Result Entry'!AI138="","",'Supp. Result Entry'!$AL$4)</f>
        <v/>
      </c>
      <c r="IZ140" s="110" t="str">
        <f>IF('Supp. Result Entry'!U138="","",'Supp. Result Entry'!U138)</f>
        <v/>
      </c>
      <c r="JA140" s="110" t="str">
        <f>IF('Supp. Result Entry'!X138="","",'Supp. Result Entry'!X138)</f>
        <v/>
      </c>
      <c r="JB140" s="110" t="str">
        <f>IF('Supp. Result Entry'!AA138="","",'Supp. Result Entry'!AA138)</f>
        <v/>
      </c>
      <c r="JC140" s="110" t="str">
        <f>IF('Supp. Result Entry'!AD138="","",'Supp. Result Entry'!AD138)</f>
        <v/>
      </c>
      <c r="JD140" s="110" t="str">
        <f>IF('Supp. Result Entry'!AG138="","",'Supp. Result Entry'!AG138)</f>
        <v/>
      </c>
      <c r="JE140" s="110" t="str">
        <f>IF('Supp. Result Entry'!AJ138="","",'Supp. Result Entry'!AJ138)</f>
        <v/>
      </c>
      <c r="JF140" s="110" t="str">
        <f>IF('Supp. Result Entry'!AM138="","",'Supp. Result Entry'!AM138)</f>
        <v/>
      </c>
      <c r="JG140" s="110" t="str">
        <f>IF('Supp. Result Entry'!V138="","",'Supp. Result Entry'!V138)</f>
        <v/>
      </c>
      <c r="JH140" s="110" t="str">
        <f>IF('Supp. Result Entry'!Y138="","",'Supp. Result Entry'!Y138)</f>
        <v/>
      </c>
      <c r="JI140" s="110" t="str">
        <f>IF('Supp. Result Entry'!AB138="","",'Supp. Result Entry'!AB138)</f>
        <v/>
      </c>
      <c r="JJ140" s="110" t="str">
        <f>IF('Supp. Result Entry'!AE138="","",'Supp. Result Entry'!AE138)</f>
        <v/>
      </c>
      <c r="JK140" s="110" t="str">
        <f>IF('Supp. Result Entry'!AH138="","",'Supp. Result Entry'!AH138)</f>
        <v/>
      </c>
      <c r="JL140" s="110" t="str">
        <f>IF('Supp. Result Entry'!AK138="","",'Supp. Result Entry'!AK138)</f>
        <v/>
      </c>
      <c r="JM140" s="110" t="str">
        <f>IF('Supp. Result Entry'!AN138="","",'Supp. Result Entry'!AN138)</f>
        <v/>
      </c>
      <c r="JN140" s="110">
        <f>COUNTIF('Supp. Result Entry'!K138:Q138,"S")</f>
        <v>0</v>
      </c>
      <c r="JO140" s="110">
        <f t="shared" si="416"/>
        <v>0</v>
      </c>
      <c r="JP140" s="110">
        <f t="shared" si="493"/>
        <v>0</v>
      </c>
      <c r="JQ140" s="110" t="str">
        <f t="shared" si="417"/>
        <v/>
      </c>
      <c r="JR140" s="110" t="str">
        <f t="shared" si="418"/>
        <v/>
      </c>
      <c r="JS140" s="110" t="str">
        <f t="shared" si="419"/>
        <v/>
      </c>
      <c r="JT140" s="110" t="str">
        <f t="shared" si="420"/>
        <v/>
      </c>
      <c r="JU140" s="110" t="str">
        <f t="shared" si="421"/>
        <v/>
      </c>
      <c r="JV140" s="110" t="str">
        <f t="shared" si="422"/>
        <v/>
      </c>
      <c r="JW140" s="110" t="str">
        <f t="shared" si="423"/>
        <v/>
      </c>
      <c r="JX140" s="110" t="str">
        <f t="shared" si="494"/>
        <v/>
      </c>
      <c r="JY140" s="110" t="str">
        <f t="shared" si="495"/>
        <v/>
      </c>
      <c r="JZ140" s="110" t="str">
        <f t="shared" si="424"/>
        <v/>
      </c>
      <c r="KA140" s="108" t="str">
        <f t="shared" si="496"/>
        <v/>
      </c>
    </row>
    <row r="141" spans="1:287" s="108" customFormat="1" ht="21.95" customHeight="1">
      <c r="A141" s="89">
        <v>135</v>
      </c>
      <c r="B141" s="90" t="str">
        <f>IF('Marks Entry'!B141="","",'Marks Entry'!B141)</f>
        <v/>
      </c>
      <c r="C141" s="94" t="str">
        <f>IF('Marks Entry'!D141="","",'Marks Entry'!D141)</f>
        <v/>
      </c>
      <c r="D141" s="91" t="str">
        <f>IF('Marks Entry'!E141="","",'Marks Entry'!E141)</f>
        <v/>
      </c>
      <c r="E141" s="92" t="str">
        <f>IF('Marks Entry'!F141="","",'Marks Entry'!F141)</f>
        <v/>
      </c>
      <c r="F141" s="93" t="str">
        <f>IF('Marks Entry'!G141="","",'Marks Entry'!G141)</f>
        <v/>
      </c>
      <c r="G141" s="93" t="str">
        <f>IF('Marks Entry'!H141="","",'Marks Entry'!H141)</f>
        <v/>
      </c>
      <c r="H141" s="93" t="str">
        <f>IF('Marks Entry'!I141="","",'Marks Entry'!I141)</f>
        <v/>
      </c>
      <c r="I141" s="94" t="str">
        <f>IF('Marks Entry'!J141="","",'Marks Entry'!J141)</f>
        <v/>
      </c>
      <c r="J141" s="95" t="str">
        <f>IF('Marks Entry'!K141="","",'Marks Entry'!K141)</f>
        <v/>
      </c>
      <c r="K141" s="68" t="str">
        <f>IF('Marks Entry'!L141="","",'Marks Entry'!L141)</f>
        <v/>
      </c>
      <c r="L141" s="68" t="str">
        <f>IF('Marks Entry'!M141="","",'Marks Entry'!M141)</f>
        <v/>
      </c>
      <c r="M141" s="68" t="str">
        <f>IF('Marks Entry'!N141="","",'Marks Entry'!N141)</f>
        <v/>
      </c>
      <c r="N141" s="514" t="str">
        <f t="shared" si="425"/>
        <v/>
      </c>
      <c r="O141" s="68" t="str">
        <f>IF('Marks Entry'!O141="","",'Marks Entry'!O141)</f>
        <v/>
      </c>
      <c r="P141" s="515" t="str">
        <f t="shared" si="426"/>
        <v/>
      </c>
      <c r="Q141" s="68" t="str">
        <f>IF('Marks Entry'!P141="","",'Marks Entry'!P141)</f>
        <v/>
      </c>
      <c r="R141" s="96" t="str">
        <f t="shared" si="427"/>
        <v/>
      </c>
      <c r="S141" s="65">
        <f t="shared" si="428"/>
        <v>0</v>
      </c>
      <c r="T141" s="65">
        <f t="shared" si="429"/>
        <v>0</v>
      </c>
      <c r="U141" s="66" t="str">
        <f t="shared" si="339"/>
        <v/>
      </c>
      <c r="V141" s="65" t="str">
        <f t="shared" si="340"/>
        <v/>
      </c>
      <c r="W141" s="65" t="str">
        <f t="shared" si="430"/>
        <v/>
      </c>
      <c r="X141" s="65" t="str">
        <f t="shared" si="341"/>
        <v/>
      </c>
      <c r="Y141" s="68" t="str">
        <f>IF('Marks Entry'!Q141="","",'Marks Entry'!Q141)</f>
        <v/>
      </c>
      <c r="Z141" s="68" t="str">
        <f>IF('Marks Entry'!R141="","",'Marks Entry'!R141)</f>
        <v/>
      </c>
      <c r="AA141" s="68" t="str">
        <f>IF('Marks Entry'!S141="","",'Marks Entry'!S141)</f>
        <v/>
      </c>
      <c r="AB141" s="514" t="str">
        <f t="shared" si="342"/>
        <v/>
      </c>
      <c r="AC141" s="68" t="str">
        <f>IF('Marks Entry'!T141="","",'Marks Entry'!T141)</f>
        <v/>
      </c>
      <c r="AD141" s="515" t="str">
        <f t="shared" si="343"/>
        <v/>
      </c>
      <c r="AE141" s="68" t="str">
        <f>IF('Marks Entry'!U141="","",'Marks Entry'!U141)</f>
        <v/>
      </c>
      <c r="AF141" s="96" t="str">
        <f t="shared" si="344"/>
        <v/>
      </c>
      <c r="AG141" s="65">
        <f t="shared" si="345"/>
        <v>0</v>
      </c>
      <c r="AH141" s="65">
        <f t="shared" si="346"/>
        <v>0</v>
      </c>
      <c r="AI141" s="66" t="str">
        <f t="shared" si="347"/>
        <v/>
      </c>
      <c r="AJ141" s="65" t="str">
        <f t="shared" si="348"/>
        <v/>
      </c>
      <c r="AK141" s="65" t="str">
        <f t="shared" si="349"/>
        <v/>
      </c>
      <c r="AL141" s="65" t="str">
        <f t="shared" si="350"/>
        <v/>
      </c>
      <c r="AM141" s="524" t="str">
        <f>IF('Marks Entry'!V141="","",IF('Marks Entry'!V141=1,'School Profile'!$I$9,IF('Marks Entry'!V141=2,'School Profile'!$I$10,IF('Marks Entry'!V141=3,'School Profile'!$I$11,IF('Marks Entry'!V141=4,'School Profile'!$I$12,IF('Marks Entry'!V141=5,'School Profile'!$I$13,IF('Marks Entry'!V141=6,'School Profile'!$I$14,"")))))))</f>
        <v/>
      </c>
      <c r="AN141" s="68" t="str">
        <f>IF('Marks Entry'!W141="","",'Marks Entry'!W141)</f>
        <v/>
      </c>
      <c r="AO141" s="68" t="str">
        <f>IF('Marks Entry'!X141="","",'Marks Entry'!X141)</f>
        <v/>
      </c>
      <c r="AP141" s="68" t="str">
        <f>IF('Marks Entry'!Y141="","",'Marks Entry'!Y141)</f>
        <v/>
      </c>
      <c r="AQ141" s="514" t="str">
        <f t="shared" si="351"/>
        <v/>
      </c>
      <c r="AR141" s="68" t="str">
        <f>IF('Marks Entry'!Z141="","",'Marks Entry'!Z141)</f>
        <v/>
      </c>
      <c r="AS141" s="515" t="str">
        <f t="shared" si="352"/>
        <v/>
      </c>
      <c r="AT141" s="68" t="str">
        <f>IF('Marks Entry'!AA141="","",'Marks Entry'!AA141)</f>
        <v/>
      </c>
      <c r="AU141" s="96" t="str">
        <f t="shared" si="353"/>
        <v/>
      </c>
      <c r="AV141" s="65">
        <f t="shared" si="354"/>
        <v>0</v>
      </c>
      <c r="AW141" s="65">
        <f t="shared" si="355"/>
        <v>0</v>
      </c>
      <c r="AX141" s="66" t="str">
        <f t="shared" si="356"/>
        <v/>
      </c>
      <c r="AY141" s="65" t="str">
        <f t="shared" si="357"/>
        <v/>
      </c>
      <c r="AZ141" s="65" t="str">
        <f t="shared" si="358"/>
        <v/>
      </c>
      <c r="BA141" s="65" t="str">
        <f t="shared" si="359"/>
        <v/>
      </c>
      <c r="BB141" s="68" t="str">
        <f>IF('Marks Entry'!AB141="","",'Marks Entry'!AB141)</f>
        <v/>
      </c>
      <c r="BC141" s="68" t="str">
        <f>IF('Marks Entry'!AC141="","",'Marks Entry'!AC141)</f>
        <v/>
      </c>
      <c r="BD141" s="68" t="str">
        <f>IF('Marks Entry'!AD141="","",'Marks Entry'!AD141)</f>
        <v/>
      </c>
      <c r="BE141" s="514" t="str">
        <f t="shared" si="360"/>
        <v/>
      </c>
      <c r="BF141" s="68" t="str">
        <f>IF('Marks Entry'!AE141="","",'Marks Entry'!AE141)</f>
        <v/>
      </c>
      <c r="BG141" s="515" t="str">
        <f t="shared" si="361"/>
        <v/>
      </c>
      <c r="BH141" s="68" t="str">
        <f>IF('Marks Entry'!AF141="","",'Marks Entry'!AF141)</f>
        <v/>
      </c>
      <c r="BI141" s="96" t="str">
        <f t="shared" si="362"/>
        <v/>
      </c>
      <c r="BJ141" s="65">
        <f t="shared" si="363"/>
        <v>0</v>
      </c>
      <c r="BK141" s="65">
        <f t="shared" si="431"/>
        <v>0</v>
      </c>
      <c r="BL141" s="66" t="str">
        <f t="shared" si="364"/>
        <v/>
      </c>
      <c r="BM141" s="65" t="str">
        <f t="shared" si="365"/>
        <v/>
      </c>
      <c r="BN141" s="65" t="str">
        <f t="shared" si="366"/>
        <v/>
      </c>
      <c r="BO141" s="65" t="str">
        <f t="shared" si="367"/>
        <v/>
      </c>
      <c r="BP141" s="68" t="str">
        <f>IF('Marks Entry'!AG141="","",'Marks Entry'!AG141)</f>
        <v/>
      </c>
      <c r="BQ141" s="68" t="str">
        <f>IF('Marks Entry'!AH141="","",'Marks Entry'!AH141)</f>
        <v/>
      </c>
      <c r="BR141" s="68" t="str">
        <f>IF('Marks Entry'!AI141="","",'Marks Entry'!AI141)</f>
        <v/>
      </c>
      <c r="BS141" s="514" t="str">
        <f t="shared" si="368"/>
        <v/>
      </c>
      <c r="BT141" s="68" t="str">
        <f>IF('Marks Entry'!AJ141="","",'Marks Entry'!AJ141)</f>
        <v/>
      </c>
      <c r="BU141" s="515" t="str">
        <f t="shared" si="369"/>
        <v/>
      </c>
      <c r="BV141" s="68" t="str">
        <f>IF('Marks Entry'!AK141="","",'Marks Entry'!AK141)</f>
        <v/>
      </c>
      <c r="BW141" s="96" t="str">
        <f t="shared" si="370"/>
        <v/>
      </c>
      <c r="BX141" s="65">
        <f t="shared" si="371"/>
        <v>0</v>
      </c>
      <c r="BY141" s="65">
        <f t="shared" si="372"/>
        <v>0</v>
      </c>
      <c r="BZ141" s="66" t="str">
        <f t="shared" si="373"/>
        <v/>
      </c>
      <c r="CA141" s="65" t="str">
        <f t="shared" si="374"/>
        <v/>
      </c>
      <c r="CB141" s="65" t="str">
        <f t="shared" si="375"/>
        <v/>
      </c>
      <c r="CC141" s="65" t="str">
        <f t="shared" si="376"/>
        <v/>
      </c>
      <c r="CD141" s="66">
        <f t="shared" si="377"/>
        <v>0</v>
      </c>
      <c r="CE141" s="68" t="str">
        <f>IF('Marks Entry'!AL141="","",'Marks Entry'!AL141)</f>
        <v/>
      </c>
      <c r="CF141" s="68" t="str">
        <f>IF('Marks Entry'!AM141="","",'Marks Entry'!AM141)</f>
        <v/>
      </c>
      <c r="CG141" s="68" t="str">
        <f>IF('Marks Entry'!AN141="","",'Marks Entry'!AN141)</f>
        <v/>
      </c>
      <c r="CH141" s="514" t="str">
        <f t="shared" si="378"/>
        <v/>
      </c>
      <c r="CI141" s="68" t="str">
        <f>IF('Marks Entry'!AO141="","",'Marks Entry'!AO141)</f>
        <v/>
      </c>
      <c r="CJ141" s="515" t="str">
        <f t="shared" si="379"/>
        <v/>
      </c>
      <c r="CK141" s="68" t="str">
        <f>IF('Marks Entry'!AP141="","",'Marks Entry'!AP141)</f>
        <v/>
      </c>
      <c r="CL141" s="96" t="str">
        <f t="shared" si="380"/>
        <v/>
      </c>
      <c r="CM141" s="65">
        <f t="shared" si="381"/>
        <v>0</v>
      </c>
      <c r="CN141" s="65">
        <f t="shared" si="382"/>
        <v>0</v>
      </c>
      <c r="CO141" s="66" t="str">
        <f t="shared" si="383"/>
        <v/>
      </c>
      <c r="CP141" s="65" t="str">
        <f t="shared" si="384"/>
        <v/>
      </c>
      <c r="CQ141" s="65" t="str">
        <f t="shared" si="385"/>
        <v/>
      </c>
      <c r="CR141" s="65" t="str">
        <f t="shared" si="386"/>
        <v/>
      </c>
      <c r="CS141" s="616"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8" t="str">
        <f>IF('School Profile'!$D$20="NO","",IF('Marks Entry'!AR141="","",'Marks Entry'!AR141))</f>
        <v/>
      </c>
      <c r="CU141" s="68" t="str">
        <f>IF('School Profile'!$D$20="NO","",IF('Marks Entry'!AS141="","",'Marks Entry'!AS141))</f>
        <v/>
      </c>
      <c r="CV141" s="68" t="str">
        <f>IF('School Profile'!$D$20="NO","",IF('Marks Entry'!AT141="","",'Marks Entry'!AT141))</f>
        <v/>
      </c>
      <c r="CW141" s="514" t="str">
        <f>IF('School Profile'!$D$20="NO","",IF(AND(CT141="",CU141="",CV141=""),"",SUM(CT141:CV141)))</f>
        <v/>
      </c>
      <c r="CX141" s="68" t="str">
        <f>IF('School Profile'!$D$20="NO","",IF('Marks Entry'!AU141="","",'Marks Entry'!AU141))</f>
        <v/>
      </c>
      <c r="CY141" s="68" t="str">
        <f>IF('School Profile'!$D$20="NO","",IF('Marks Entry'!AV141="","",'Marks Entry'!AV141))</f>
        <v/>
      </c>
      <c r="CZ141" s="515" t="str">
        <f>IF('School Profile'!$D$20="NO","",IF(AND(CX141="",CY141=""),"",SUM(CX141,CY141)))</f>
        <v/>
      </c>
      <c r="DA141" s="69" t="str">
        <f>IF('School Profile'!$D$20="NO","",IF(AND(CW141="",CZ141=""),"",SUM(CW141+CZ141)))</f>
        <v/>
      </c>
      <c r="DB141" s="68" t="str">
        <f>IF('School Profile'!$D$20="NO","",IF('Marks Entry'!AW141="","",'Marks Entry'!AW141))</f>
        <v/>
      </c>
      <c r="DC141" s="68" t="str">
        <f>IF('School Profile'!$D$20="NO","",IF('Marks Entry'!AX141="","",'Marks Entry'!AX141))</f>
        <v/>
      </c>
      <c r="DD141" s="515" t="str">
        <f>IF('School Profile'!$D$20="NO","",IF(AND(DB141="",DC141=""),"",SUM(DB141,DC141)))</f>
        <v/>
      </c>
      <c r="DE141" s="96" t="str">
        <f>IF('School Profile'!$D$20="NO","",IF(AND(DA141="",DD141=""),"",SUM(DA141,DD141)))</f>
        <v/>
      </c>
      <c r="DF141" s="532">
        <f t="shared" si="387"/>
        <v>0</v>
      </c>
      <c r="DG141" s="65">
        <f t="shared" si="388"/>
        <v>0</v>
      </c>
      <c r="DH141" s="66" t="str">
        <f t="shared" si="389"/>
        <v/>
      </c>
      <c r="DI141" s="65" t="str">
        <f t="shared" si="390"/>
        <v/>
      </c>
      <c r="DJ141" s="65" t="str">
        <f t="shared" si="391"/>
        <v/>
      </c>
      <c r="DK141" s="65" t="str">
        <f t="shared" si="392"/>
        <v/>
      </c>
      <c r="DL141" s="97" t="str">
        <f t="shared" si="432"/>
        <v/>
      </c>
      <c r="DM141" s="97" t="str">
        <f t="shared" si="433"/>
        <v/>
      </c>
      <c r="DN141" s="97" t="str">
        <f t="shared" si="434"/>
        <v/>
      </c>
      <c r="DO141" s="97" t="str">
        <f t="shared" si="435"/>
        <v/>
      </c>
      <c r="DP141" s="97" t="str">
        <f t="shared" si="436"/>
        <v/>
      </c>
      <c r="DQ141" s="97" t="str">
        <f t="shared" si="437"/>
        <v/>
      </c>
      <c r="DR141" s="97" t="str">
        <f t="shared" si="438"/>
        <v/>
      </c>
      <c r="DS141" s="98">
        <f t="shared" si="439"/>
        <v>0</v>
      </c>
      <c r="DT141" s="98">
        <f t="shared" si="440"/>
        <v>0</v>
      </c>
      <c r="DU141" s="98">
        <f t="shared" si="441"/>
        <v>0</v>
      </c>
      <c r="DV141" s="98">
        <f t="shared" si="442"/>
        <v>0</v>
      </c>
      <c r="DW141" s="98">
        <f t="shared" si="443"/>
        <v>0</v>
      </c>
      <c r="DX141" s="98" t="str">
        <f t="shared" si="444"/>
        <v/>
      </c>
      <c r="DY141" s="99" t="str">
        <f t="shared" si="445"/>
        <v/>
      </c>
      <c r="DZ141" s="74" t="str">
        <f>IF('Marks Entry'!AY141="","",'Marks Entry'!AY141)</f>
        <v/>
      </c>
      <c r="EA141" s="74" t="str">
        <f>IF('Marks Entry'!AZ141="","",'Marks Entry'!AZ141)</f>
        <v/>
      </c>
      <c r="EB141" s="74" t="str">
        <f>IF('Marks Entry'!BA141="","",'Marks Entry'!BA141)</f>
        <v/>
      </c>
      <c r="EC141" s="527" t="str">
        <f t="shared" si="393"/>
        <v/>
      </c>
      <c r="ED141" s="74" t="str">
        <f>IF('Marks Entry'!BB141="","",'Marks Entry'!BB141)</f>
        <v/>
      </c>
      <c r="EE141" s="528" t="str">
        <f t="shared" si="394"/>
        <v/>
      </c>
      <c r="EF141" s="74" t="str">
        <f>IF('Marks Entry'!BC141="","",'Marks Entry'!BC141)</f>
        <v/>
      </c>
      <c r="EG141" s="530" t="str">
        <f t="shared" si="395"/>
        <v/>
      </c>
      <c r="EH141" s="368" t="str">
        <f t="shared" si="446"/>
        <v/>
      </c>
      <c r="EI141" s="65">
        <f t="shared" si="447"/>
        <v>0</v>
      </c>
      <c r="EJ141" s="65">
        <f t="shared" si="448"/>
        <v>0</v>
      </c>
      <c r="EK141" s="66" t="str">
        <f t="shared" si="449"/>
        <v/>
      </c>
      <c r="EL141" s="74" t="str">
        <f>IF('Marks Entry'!BD141="","",'Marks Entry'!BD141)</f>
        <v/>
      </c>
      <c r="EM141" s="74" t="str">
        <f>IF('Marks Entry'!BE141="","",'Marks Entry'!BE141)</f>
        <v/>
      </c>
      <c r="EN141" s="74" t="str">
        <f>IF('Marks Entry'!BF141="","",'Marks Entry'!BF141)</f>
        <v/>
      </c>
      <c r="EO141" s="527" t="str">
        <f t="shared" si="396"/>
        <v/>
      </c>
      <c r="EP141" s="74" t="str">
        <f>IF('Marks Entry'!BG141="","",'Marks Entry'!BG141)</f>
        <v/>
      </c>
      <c r="EQ141" s="74" t="str">
        <f>IF('Marks Entry'!BH141="","",'Marks Entry'!BH141)</f>
        <v/>
      </c>
      <c r="ER141" s="528" t="str">
        <f t="shared" si="397"/>
        <v/>
      </c>
      <c r="ES141" s="529" t="str">
        <f t="shared" si="398"/>
        <v/>
      </c>
      <c r="ET141" s="74" t="str">
        <f>IF('Marks Entry'!BI141="","",'Marks Entry'!BI141)</f>
        <v/>
      </c>
      <c r="EU141" s="74" t="str">
        <f>IF('Marks Entry'!BJ141="","",'Marks Entry'!BJ141)</f>
        <v/>
      </c>
      <c r="EV141" s="528" t="str">
        <f t="shared" si="399"/>
        <v/>
      </c>
      <c r="EW141" s="530" t="str">
        <f t="shared" si="400"/>
        <v/>
      </c>
      <c r="EX141" s="368" t="str">
        <f t="shared" si="450"/>
        <v/>
      </c>
      <c r="EY141" s="65">
        <f t="shared" si="451"/>
        <v>0</v>
      </c>
      <c r="EZ141" s="65">
        <f t="shared" si="452"/>
        <v>0</v>
      </c>
      <c r="FA141" s="66" t="str">
        <f t="shared" si="453"/>
        <v/>
      </c>
      <c r="FB141" s="74" t="str">
        <f>IF('Marks Entry'!BK141="","",'Marks Entry'!BK141)</f>
        <v/>
      </c>
      <c r="FC141" s="74" t="str">
        <f>IF('Marks Entry'!BL141="","",'Marks Entry'!BL141)</f>
        <v/>
      </c>
      <c r="FD141" s="74" t="str">
        <f>IF('Marks Entry'!BM141="","",'Marks Entry'!BM141)</f>
        <v/>
      </c>
      <c r="FE141" s="74" t="str">
        <f>IF('Marks Entry'!BN141="","",'Marks Entry'!BN141)</f>
        <v/>
      </c>
      <c r="FF141" s="74" t="str">
        <f>IF('Marks Entry'!BO141="","",'Marks Entry'!BO141)</f>
        <v/>
      </c>
      <c r="FG141" s="74" t="str">
        <f>IF('Marks Entry'!BP141="","",'Marks Entry'!BP141)</f>
        <v/>
      </c>
      <c r="FH141" s="527" t="str">
        <f t="shared" si="401"/>
        <v/>
      </c>
      <c r="FI141" s="74" t="str">
        <f>IF('Marks Entry'!BQ141="","",'Marks Entry'!BQ141)</f>
        <v/>
      </c>
      <c r="FJ141" s="74" t="str">
        <f>IF('Marks Entry'!BR141="","",'Marks Entry'!BR141)</f>
        <v/>
      </c>
      <c r="FK141" s="528" t="str">
        <f t="shared" si="402"/>
        <v/>
      </c>
      <c r="FL141" s="529" t="str">
        <f t="shared" si="403"/>
        <v/>
      </c>
      <c r="FM141" s="74" t="str">
        <f>IF('Marks Entry'!BS141="","",'Marks Entry'!BS141)</f>
        <v/>
      </c>
      <c r="FN141" s="74" t="str">
        <f>IF('Marks Entry'!BT141="","",'Marks Entry'!BT141)</f>
        <v/>
      </c>
      <c r="FO141" s="528" t="str">
        <f t="shared" si="404"/>
        <v/>
      </c>
      <c r="FP141" s="530" t="str">
        <f t="shared" si="405"/>
        <v/>
      </c>
      <c r="FQ141" s="368" t="str">
        <f t="shared" si="454"/>
        <v/>
      </c>
      <c r="FR141" s="65">
        <f t="shared" si="455"/>
        <v>0</v>
      </c>
      <c r="FS141" s="65">
        <f t="shared" si="456"/>
        <v>0</v>
      </c>
      <c r="FT141" s="66" t="str">
        <f t="shared" si="457"/>
        <v/>
      </c>
      <c r="FU141" s="74" t="str">
        <f>IF('Marks Entry'!BU141="","",'Marks Entry'!BU141)</f>
        <v/>
      </c>
      <c r="FV141" s="74" t="str">
        <f>IF('Marks Entry'!BV141="","",'Marks Entry'!BV141)</f>
        <v/>
      </c>
      <c r="FW141" s="74" t="str">
        <f>IF('Marks Entry'!BW141="","",'Marks Entry'!BW141)</f>
        <v/>
      </c>
      <c r="FX141" s="75" t="str">
        <f t="shared" si="406"/>
        <v/>
      </c>
      <c r="FY141" s="368" t="str">
        <f t="shared" si="458"/>
        <v/>
      </c>
      <c r="FZ141" s="65">
        <f t="shared" si="459"/>
        <v>0</v>
      </c>
      <c r="GA141" s="66">
        <f t="shared" si="460"/>
        <v>0</v>
      </c>
      <c r="GB141" s="66" t="str">
        <f t="shared" si="461"/>
        <v/>
      </c>
      <c r="GC141" s="74" t="str">
        <f>IF('Marks Entry'!BX141="","",'Marks Entry'!BX141)</f>
        <v/>
      </c>
      <c r="GD141" s="74" t="str">
        <f>IF('Marks Entry'!BY141="","",'Marks Entry'!BY141)</f>
        <v/>
      </c>
      <c r="GE141" s="74" t="str">
        <f>IF('Marks Entry'!BZ141="","",'Marks Entry'!BZ141)</f>
        <v/>
      </c>
      <c r="GF141" s="75" t="str">
        <f t="shared" si="462"/>
        <v/>
      </c>
      <c r="GG141" s="368" t="str">
        <f t="shared" si="463"/>
        <v/>
      </c>
      <c r="GH141" s="65">
        <f t="shared" si="464"/>
        <v>0</v>
      </c>
      <c r="GI141" s="66">
        <f t="shared" si="465"/>
        <v>0</v>
      </c>
      <c r="GJ141" s="66" t="str">
        <f t="shared" si="466"/>
        <v/>
      </c>
      <c r="GK141" s="100" t="str">
        <f>IF(AND(F141="",B141=""),"",IF('Student DATA Entry'!M138="","",'Student DATA Entry'!M138))</f>
        <v/>
      </c>
      <c r="GL141" s="101" t="str">
        <f>IF(AND(B141="",F141=""),"",IF('Student DATA Entry'!N138="","",'Student DATA Entry'!N138))</f>
        <v/>
      </c>
      <c r="GM141" s="581" t="str">
        <f t="shared" si="467"/>
        <v/>
      </c>
      <c r="GN141" s="94" t="str">
        <f t="shared" si="468"/>
        <v/>
      </c>
      <c r="GO141" s="94" t="str">
        <f t="shared" si="469"/>
        <v/>
      </c>
      <c r="GP141" s="102" t="str">
        <f t="shared" si="407"/>
        <v/>
      </c>
      <c r="GQ141" s="94" t="str">
        <f t="shared" si="470"/>
        <v/>
      </c>
      <c r="GR141" s="103" t="str">
        <f t="shared" si="471"/>
        <v/>
      </c>
      <c r="GS141" s="102" t="str">
        <f t="shared" si="408"/>
        <v/>
      </c>
      <c r="GT141" s="104" t="str">
        <f t="shared" si="472"/>
        <v/>
      </c>
      <c r="GU141" s="94" t="str">
        <f>IF('Marks Entry'!V141=1,GT141,"")</f>
        <v/>
      </c>
      <c r="GV141" s="94" t="str">
        <f>IF('Marks Entry'!V141=2,GT141,"")</f>
        <v/>
      </c>
      <c r="GW141" s="94" t="str">
        <f>IF('Marks Entry'!V141=3,GT141,"")</f>
        <v/>
      </c>
      <c r="GX141" s="94" t="str">
        <f>IF('Marks Entry'!V141=4,GT141,"")</f>
        <v/>
      </c>
      <c r="GY141" s="94" t="str">
        <f>IF('Marks Entry'!V141=5,GT141,"")</f>
        <v/>
      </c>
      <c r="GZ141" s="94" t="str">
        <f t="shared" si="473"/>
        <v/>
      </c>
      <c r="HA141" s="105" t="str">
        <f t="shared" si="409"/>
        <v/>
      </c>
      <c r="HB141" s="94" t="str">
        <f t="shared" si="474"/>
        <v/>
      </c>
      <c r="HC141" s="94" t="str">
        <f t="shared" si="475"/>
        <v/>
      </c>
      <c r="HD141" s="105" t="str">
        <f t="shared" si="410"/>
        <v/>
      </c>
      <c r="HE141" s="94" t="str">
        <f t="shared" si="476"/>
        <v/>
      </c>
      <c r="HF141" s="94" t="str">
        <f t="shared" si="477"/>
        <v/>
      </c>
      <c r="HG141" s="105" t="str">
        <f t="shared" si="411"/>
        <v/>
      </c>
      <c r="HH141" s="94" t="str">
        <f t="shared" si="478"/>
        <v/>
      </c>
      <c r="HI141" s="94" t="str">
        <f t="shared" si="479"/>
        <v/>
      </c>
      <c r="HJ141" s="105" t="str">
        <f t="shared" si="412"/>
        <v/>
      </c>
      <c r="HK141" s="94" t="str">
        <f t="shared" si="480"/>
        <v/>
      </c>
      <c r="HL141" s="94" t="str">
        <f t="shared" si="481"/>
        <v/>
      </c>
      <c r="HM141" s="105" t="str">
        <f t="shared" si="413"/>
        <v/>
      </c>
      <c r="HN141" s="367" t="str">
        <f t="shared" si="482"/>
        <v xml:space="preserve">      </v>
      </c>
      <c r="HO141" s="418" t="str">
        <f t="shared" si="414"/>
        <v xml:space="preserve">      </v>
      </c>
      <c r="HP141" s="367" t="str">
        <f t="shared" si="483"/>
        <v xml:space="preserve">      </v>
      </c>
      <c r="HQ141" s="107" t="str">
        <f t="shared" si="484"/>
        <v xml:space="preserve">      </v>
      </c>
      <c r="HR141" s="366" t="str">
        <f t="shared" si="485"/>
        <v xml:space="preserve">      </v>
      </c>
      <c r="HS141" s="544" t="str">
        <f t="shared" si="415"/>
        <v/>
      </c>
      <c r="HT141" s="542" t="str">
        <f t="shared" si="486"/>
        <v/>
      </c>
      <c r="HU141" s="541" t="str">
        <f t="shared" si="487"/>
        <v/>
      </c>
      <c r="HV141" s="540" t="str">
        <f t="shared" si="488"/>
        <v/>
      </c>
      <c r="HW141" s="537" t="str">
        <f t="shared" si="489"/>
        <v/>
      </c>
      <c r="HX141" s="539" t="str">
        <f t="shared" si="490"/>
        <v/>
      </c>
      <c r="HY141" s="553" t="str">
        <f>IFERROR(IF(OR(HS141="SUPPLEMENTARY",HS141="RE-EXAM"),'Supp. Result Entry'!AQ139,""),"")</f>
        <v/>
      </c>
      <c r="HZ141" s="538" t="str">
        <f t="shared" si="491"/>
        <v/>
      </c>
      <c r="IA141" s="415" t="str">
        <f t="shared" si="492"/>
        <v/>
      </c>
      <c r="IB141" s="415" t="str">
        <f>IF(AND(HZ141="",IA141=""),"",IF(OR(HS141="SUPPLEMENTARY",HS141="RE-EXAM"),'Supp. Result Entry'!AQ139,HS141))</f>
        <v/>
      </c>
      <c r="IC141" s="87"/>
      <c r="IS141" s="109" t="str">
        <f>IF('Supp. Result Entry'!T139="","",'Supp. Result Entry'!$T$4)</f>
        <v/>
      </c>
      <c r="IT141" s="110" t="str">
        <f>IF('Supp. Result Entry'!W139="","",'Supp. Result Entry'!$W$4)</f>
        <v/>
      </c>
      <c r="IU141" s="110" t="str">
        <f>IF('Supp. Result Entry'!Z139="","",'Supp. Result Entry'!$Z$4)</f>
        <v/>
      </c>
      <c r="IV141" s="110" t="str">
        <f>IF('Supp. Result Entry'!AC139="","",'Supp. Result Entry'!$AC$4)</f>
        <v/>
      </c>
      <c r="IW141" s="110" t="str">
        <f>IF('Supp. Result Entry'!AF139="","",'Supp. Result Entry'!$AF$4)</f>
        <v/>
      </c>
      <c r="IX141" s="110" t="str">
        <f>IF('Supp. Result Entry'!AI139="","",'Supp. Result Entry'!$AI$4)</f>
        <v/>
      </c>
      <c r="IY141" s="110" t="str">
        <f>IF('Supp. Result Entry'!AI139="","",'Supp. Result Entry'!$AL$4)</f>
        <v/>
      </c>
      <c r="IZ141" s="110" t="str">
        <f>IF('Supp. Result Entry'!U139="","",'Supp. Result Entry'!U139)</f>
        <v/>
      </c>
      <c r="JA141" s="110" t="str">
        <f>IF('Supp. Result Entry'!X139="","",'Supp. Result Entry'!X139)</f>
        <v/>
      </c>
      <c r="JB141" s="110" t="str">
        <f>IF('Supp. Result Entry'!AA139="","",'Supp. Result Entry'!AA139)</f>
        <v/>
      </c>
      <c r="JC141" s="110" t="str">
        <f>IF('Supp. Result Entry'!AD139="","",'Supp. Result Entry'!AD139)</f>
        <v/>
      </c>
      <c r="JD141" s="110" t="str">
        <f>IF('Supp. Result Entry'!AG139="","",'Supp. Result Entry'!AG139)</f>
        <v/>
      </c>
      <c r="JE141" s="110" t="str">
        <f>IF('Supp. Result Entry'!AJ139="","",'Supp. Result Entry'!AJ139)</f>
        <v/>
      </c>
      <c r="JF141" s="110" t="str">
        <f>IF('Supp. Result Entry'!AM139="","",'Supp. Result Entry'!AM139)</f>
        <v/>
      </c>
      <c r="JG141" s="110" t="str">
        <f>IF('Supp. Result Entry'!V139="","",'Supp. Result Entry'!V139)</f>
        <v/>
      </c>
      <c r="JH141" s="110" t="str">
        <f>IF('Supp. Result Entry'!Y139="","",'Supp. Result Entry'!Y139)</f>
        <v/>
      </c>
      <c r="JI141" s="110" t="str">
        <f>IF('Supp. Result Entry'!AB139="","",'Supp. Result Entry'!AB139)</f>
        <v/>
      </c>
      <c r="JJ141" s="110" t="str">
        <f>IF('Supp. Result Entry'!AE139="","",'Supp. Result Entry'!AE139)</f>
        <v/>
      </c>
      <c r="JK141" s="110" t="str">
        <f>IF('Supp. Result Entry'!AH139="","",'Supp. Result Entry'!AH139)</f>
        <v/>
      </c>
      <c r="JL141" s="110" t="str">
        <f>IF('Supp. Result Entry'!AK139="","",'Supp. Result Entry'!AK139)</f>
        <v/>
      </c>
      <c r="JM141" s="110" t="str">
        <f>IF('Supp. Result Entry'!AN139="","",'Supp. Result Entry'!AN139)</f>
        <v/>
      </c>
      <c r="JN141" s="110">
        <f>COUNTIF('Supp. Result Entry'!K139:Q139,"S")</f>
        <v>0</v>
      </c>
      <c r="JO141" s="110">
        <f t="shared" si="416"/>
        <v>0</v>
      </c>
      <c r="JP141" s="110">
        <f t="shared" si="493"/>
        <v>0</v>
      </c>
      <c r="JQ141" s="110" t="str">
        <f t="shared" si="417"/>
        <v/>
      </c>
      <c r="JR141" s="110" t="str">
        <f t="shared" si="418"/>
        <v/>
      </c>
      <c r="JS141" s="110" t="str">
        <f t="shared" si="419"/>
        <v/>
      </c>
      <c r="JT141" s="110" t="str">
        <f t="shared" si="420"/>
        <v/>
      </c>
      <c r="JU141" s="110" t="str">
        <f t="shared" si="421"/>
        <v/>
      </c>
      <c r="JV141" s="110" t="str">
        <f t="shared" si="422"/>
        <v/>
      </c>
      <c r="JW141" s="110" t="str">
        <f t="shared" si="423"/>
        <v/>
      </c>
      <c r="JX141" s="110" t="str">
        <f t="shared" si="494"/>
        <v/>
      </c>
      <c r="JY141" s="110" t="str">
        <f t="shared" si="495"/>
        <v/>
      </c>
      <c r="JZ141" s="110" t="str">
        <f t="shared" si="424"/>
        <v/>
      </c>
      <c r="KA141" s="108" t="str">
        <f t="shared" si="496"/>
        <v/>
      </c>
    </row>
    <row r="142" spans="1:287" s="108" customFormat="1" ht="21.95" customHeight="1">
      <c r="A142" s="89">
        <v>136</v>
      </c>
      <c r="B142" s="90" t="str">
        <f>IF('Marks Entry'!B142="","",'Marks Entry'!B142)</f>
        <v/>
      </c>
      <c r="C142" s="94" t="str">
        <f>IF('Marks Entry'!D142="","",'Marks Entry'!D142)</f>
        <v/>
      </c>
      <c r="D142" s="91" t="str">
        <f>IF('Marks Entry'!E142="","",'Marks Entry'!E142)</f>
        <v/>
      </c>
      <c r="E142" s="92" t="str">
        <f>IF('Marks Entry'!F142="","",'Marks Entry'!F142)</f>
        <v/>
      </c>
      <c r="F142" s="93" t="str">
        <f>IF('Marks Entry'!G142="","",'Marks Entry'!G142)</f>
        <v/>
      </c>
      <c r="G142" s="93" t="str">
        <f>IF('Marks Entry'!H142="","",'Marks Entry'!H142)</f>
        <v/>
      </c>
      <c r="H142" s="93" t="str">
        <f>IF('Marks Entry'!I142="","",'Marks Entry'!I142)</f>
        <v/>
      </c>
      <c r="I142" s="94" t="str">
        <f>IF('Marks Entry'!J142="","",'Marks Entry'!J142)</f>
        <v/>
      </c>
      <c r="J142" s="95" t="str">
        <f>IF('Marks Entry'!K142="","",'Marks Entry'!K142)</f>
        <v/>
      </c>
      <c r="K142" s="68" t="str">
        <f>IF('Marks Entry'!L142="","",'Marks Entry'!L142)</f>
        <v/>
      </c>
      <c r="L142" s="68" t="str">
        <f>IF('Marks Entry'!M142="","",'Marks Entry'!M142)</f>
        <v/>
      </c>
      <c r="M142" s="68" t="str">
        <f>IF('Marks Entry'!N142="","",'Marks Entry'!N142)</f>
        <v/>
      </c>
      <c r="N142" s="514" t="str">
        <f t="shared" si="425"/>
        <v/>
      </c>
      <c r="O142" s="68" t="str">
        <f>IF('Marks Entry'!O142="","",'Marks Entry'!O142)</f>
        <v/>
      </c>
      <c r="P142" s="515" t="str">
        <f t="shared" si="426"/>
        <v/>
      </c>
      <c r="Q142" s="68" t="str">
        <f>IF('Marks Entry'!P142="","",'Marks Entry'!P142)</f>
        <v/>
      </c>
      <c r="R142" s="96" t="str">
        <f t="shared" si="427"/>
        <v/>
      </c>
      <c r="S142" s="65">
        <f t="shared" si="428"/>
        <v>0</v>
      </c>
      <c r="T142" s="65">
        <f t="shared" si="429"/>
        <v>0</v>
      </c>
      <c r="U142" s="66" t="str">
        <f t="shared" si="339"/>
        <v/>
      </c>
      <c r="V142" s="65" t="str">
        <f t="shared" si="340"/>
        <v/>
      </c>
      <c r="W142" s="65" t="str">
        <f t="shared" si="430"/>
        <v/>
      </c>
      <c r="X142" s="65" t="str">
        <f t="shared" si="341"/>
        <v/>
      </c>
      <c r="Y142" s="68" t="str">
        <f>IF('Marks Entry'!Q142="","",'Marks Entry'!Q142)</f>
        <v/>
      </c>
      <c r="Z142" s="68" t="str">
        <f>IF('Marks Entry'!R142="","",'Marks Entry'!R142)</f>
        <v/>
      </c>
      <c r="AA142" s="68" t="str">
        <f>IF('Marks Entry'!S142="","",'Marks Entry'!S142)</f>
        <v/>
      </c>
      <c r="AB142" s="514" t="str">
        <f t="shared" si="342"/>
        <v/>
      </c>
      <c r="AC142" s="68" t="str">
        <f>IF('Marks Entry'!T142="","",'Marks Entry'!T142)</f>
        <v/>
      </c>
      <c r="AD142" s="515" t="str">
        <f t="shared" si="343"/>
        <v/>
      </c>
      <c r="AE142" s="68" t="str">
        <f>IF('Marks Entry'!U142="","",'Marks Entry'!U142)</f>
        <v/>
      </c>
      <c r="AF142" s="96" t="str">
        <f t="shared" si="344"/>
        <v/>
      </c>
      <c r="AG142" s="65">
        <f t="shared" si="345"/>
        <v>0</v>
      </c>
      <c r="AH142" s="65">
        <f t="shared" si="346"/>
        <v>0</v>
      </c>
      <c r="AI142" s="66" t="str">
        <f t="shared" si="347"/>
        <v/>
      </c>
      <c r="AJ142" s="65" t="str">
        <f t="shared" si="348"/>
        <v/>
      </c>
      <c r="AK142" s="65" t="str">
        <f t="shared" si="349"/>
        <v/>
      </c>
      <c r="AL142" s="65" t="str">
        <f t="shared" si="350"/>
        <v/>
      </c>
      <c r="AM142" s="524" t="str">
        <f>IF('Marks Entry'!V142="","",IF('Marks Entry'!V142=1,'School Profile'!$I$9,IF('Marks Entry'!V142=2,'School Profile'!$I$10,IF('Marks Entry'!V142=3,'School Profile'!$I$11,IF('Marks Entry'!V142=4,'School Profile'!$I$12,IF('Marks Entry'!V142=5,'School Profile'!$I$13,IF('Marks Entry'!V142=6,'School Profile'!$I$14,"")))))))</f>
        <v/>
      </c>
      <c r="AN142" s="68" t="str">
        <f>IF('Marks Entry'!W142="","",'Marks Entry'!W142)</f>
        <v/>
      </c>
      <c r="AO142" s="68" t="str">
        <f>IF('Marks Entry'!X142="","",'Marks Entry'!X142)</f>
        <v/>
      </c>
      <c r="AP142" s="68" t="str">
        <f>IF('Marks Entry'!Y142="","",'Marks Entry'!Y142)</f>
        <v/>
      </c>
      <c r="AQ142" s="514" t="str">
        <f t="shared" si="351"/>
        <v/>
      </c>
      <c r="AR142" s="68" t="str">
        <f>IF('Marks Entry'!Z142="","",'Marks Entry'!Z142)</f>
        <v/>
      </c>
      <c r="AS142" s="515" t="str">
        <f t="shared" si="352"/>
        <v/>
      </c>
      <c r="AT142" s="68" t="str">
        <f>IF('Marks Entry'!AA142="","",'Marks Entry'!AA142)</f>
        <v/>
      </c>
      <c r="AU142" s="96" t="str">
        <f t="shared" si="353"/>
        <v/>
      </c>
      <c r="AV142" s="65">
        <f t="shared" si="354"/>
        <v>0</v>
      </c>
      <c r="AW142" s="65">
        <f t="shared" si="355"/>
        <v>0</v>
      </c>
      <c r="AX142" s="66" t="str">
        <f t="shared" si="356"/>
        <v/>
      </c>
      <c r="AY142" s="65" t="str">
        <f t="shared" si="357"/>
        <v/>
      </c>
      <c r="AZ142" s="65" t="str">
        <f t="shared" si="358"/>
        <v/>
      </c>
      <c r="BA142" s="65" t="str">
        <f t="shared" si="359"/>
        <v/>
      </c>
      <c r="BB142" s="68" t="str">
        <f>IF('Marks Entry'!AB142="","",'Marks Entry'!AB142)</f>
        <v/>
      </c>
      <c r="BC142" s="68" t="str">
        <f>IF('Marks Entry'!AC142="","",'Marks Entry'!AC142)</f>
        <v/>
      </c>
      <c r="BD142" s="68" t="str">
        <f>IF('Marks Entry'!AD142="","",'Marks Entry'!AD142)</f>
        <v/>
      </c>
      <c r="BE142" s="514" t="str">
        <f t="shared" si="360"/>
        <v/>
      </c>
      <c r="BF142" s="68" t="str">
        <f>IF('Marks Entry'!AE142="","",'Marks Entry'!AE142)</f>
        <v/>
      </c>
      <c r="BG142" s="515" t="str">
        <f t="shared" si="361"/>
        <v/>
      </c>
      <c r="BH142" s="68" t="str">
        <f>IF('Marks Entry'!AF142="","",'Marks Entry'!AF142)</f>
        <v/>
      </c>
      <c r="BI142" s="96" t="str">
        <f t="shared" si="362"/>
        <v/>
      </c>
      <c r="BJ142" s="65">
        <f t="shared" si="363"/>
        <v>0</v>
      </c>
      <c r="BK142" s="65">
        <f t="shared" si="431"/>
        <v>0</v>
      </c>
      <c r="BL142" s="66" t="str">
        <f t="shared" si="364"/>
        <v/>
      </c>
      <c r="BM142" s="65" t="str">
        <f t="shared" si="365"/>
        <v/>
      </c>
      <c r="BN142" s="65" t="str">
        <f t="shared" si="366"/>
        <v/>
      </c>
      <c r="BO142" s="65" t="str">
        <f t="shared" si="367"/>
        <v/>
      </c>
      <c r="BP142" s="68" t="str">
        <f>IF('Marks Entry'!AG142="","",'Marks Entry'!AG142)</f>
        <v/>
      </c>
      <c r="BQ142" s="68" t="str">
        <f>IF('Marks Entry'!AH142="","",'Marks Entry'!AH142)</f>
        <v/>
      </c>
      <c r="BR142" s="68" t="str">
        <f>IF('Marks Entry'!AI142="","",'Marks Entry'!AI142)</f>
        <v/>
      </c>
      <c r="BS142" s="514" t="str">
        <f t="shared" si="368"/>
        <v/>
      </c>
      <c r="BT142" s="68" t="str">
        <f>IF('Marks Entry'!AJ142="","",'Marks Entry'!AJ142)</f>
        <v/>
      </c>
      <c r="BU142" s="515" t="str">
        <f t="shared" si="369"/>
        <v/>
      </c>
      <c r="BV142" s="68" t="str">
        <f>IF('Marks Entry'!AK142="","",'Marks Entry'!AK142)</f>
        <v/>
      </c>
      <c r="BW142" s="96" t="str">
        <f t="shared" si="370"/>
        <v/>
      </c>
      <c r="BX142" s="65">
        <f t="shared" si="371"/>
        <v>0</v>
      </c>
      <c r="BY142" s="65">
        <f t="shared" si="372"/>
        <v>0</v>
      </c>
      <c r="BZ142" s="66" t="str">
        <f t="shared" si="373"/>
        <v/>
      </c>
      <c r="CA142" s="65" t="str">
        <f t="shared" si="374"/>
        <v/>
      </c>
      <c r="CB142" s="65" t="str">
        <f t="shared" si="375"/>
        <v/>
      </c>
      <c r="CC142" s="65" t="str">
        <f t="shared" si="376"/>
        <v/>
      </c>
      <c r="CD142" s="66">
        <f t="shared" si="377"/>
        <v>0</v>
      </c>
      <c r="CE142" s="68" t="str">
        <f>IF('Marks Entry'!AL142="","",'Marks Entry'!AL142)</f>
        <v/>
      </c>
      <c r="CF142" s="68" t="str">
        <f>IF('Marks Entry'!AM142="","",'Marks Entry'!AM142)</f>
        <v/>
      </c>
      <c r="CG142" s="68" t="str">
        <f>IF('Marks Entry'!AN142="","",'Marks Entry'!AN142)</f>
        <v/>
      </c>
      <c r="CH142" s="514" t="str">
        <f t="shared" si="378"/>
        <v/>
      </c>
      <c r="CI142" s="68" t="str">
        <f>IF('Marks Entry'!AO142="","",'Marks Entry'!AO142)</f>
        <v/>
      </c>
      <c r="CJ142" s="515" t="str">
        <f t="shared" si="379"/>
        <v/>
      </c>
      <c r="CK142" s="68" t="str">
        <f>IF('Marks Entry'!AP142="","",'Marks Entry'!AP142)</f>
        <v/>
      </c>
      <c r="CL142" s="96" t="str">
        <f t="shared" si="380"/>
        <v/>
      </c>
      <c r="CM142" s="65">
        <f t="shared" si="381"/>
        <v>0</v>
      </c>
      <c r="CN142" s="65">
        <f t="shared" si="382"/>
        <v>0</v>
      </c>
      <c r="CO142" s="66" t="str">
        <f t="shared" si="383"/>
        <v/>
      </c>
      <c r="CP142" s="65" t="str">
        <f t="shared" si="384"/>
        <v/>
      </c>
      <c r="CQ142" s="65" t="str">
        <f t="shared" si="385"/>
        <v/>
      </c>
      <c r="CR142" s="65" t="str">
        <f t="shared" si="386"/>
        <v/>
      </c>
      <c r="CS142" s="616"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8" t="str">
        <f>IF('School Profile'!$D$20="NO","",IF('Marks Entry'!AR142="","",'Marks Entry'!AR142))</f>
        <v/>
      </c>
      <c r="CU142" s="68" t="str">
        <f>IF('School Profile'!$D$20="NO","",IF('Marks Entry'!AS142="","",'Marks Entry'!AS142))</f>
        <v/>
      </c>
      <c r="CV142" s="68" t="str">
        <f>IF('School Profile'!$D$20="NO","",IF('Marks Entry'!AT142="","",'Marks Entry'!AT142))</f>
        <v/>
      </c>
      <c r="CW142" s="514" t="str">
        <f>IF('School Profile'!$D$20="NO","",IF(AND(CT142="",CU142="",CV142=""),"",SUM(CT142:CV142)))</f>
        <v/>
      </c>
      <c r="CX142" s="68" t="str">
        <f>IF('School Profile'!$D$20="NO","",IF('Marks Entry'!AU142="","",'Marks Entry'!AU142))</f>
        <v/>
      </c>
      <c r="CY142" s="68" t="str">
        <f>IF('School Profile'!$D$20="NO","",IF('Marks Entry'!AV142="","",'Marks Entry'!AV142))</f>
        <v/>
      </c>
      <c r="CZ142" s="515" t="str">
        <f>IF('School Profile'!$D$20="NO","",IF(AND(CX142="",CY142=""),"",SUM(CX142,CY142)))</f>
        <v/>
      </c>
      <c r="DA142" s="69" t="str">
        <f>IF('School Profile'!$D$20="NO","",IF(AND(CW142="",CZ142=""),"",SUM(CW142+CZ142)))</f>
        <v/>
      </c>
      <c r="DB142" s="68" t="str">
        <f>IF('School Profile'!$D$20="NO","",IF('Marks Entry'!AW142="","",'Marks Entry'!AW142))</f>
        <v/>
      </c>
      <c r="DC142" s="68" t="str">
        <f>IF('School Profile'!$D$20="NO","",IF('Marks Entry'!AX142="","",'Marks Entry'!AX142))</f>
        <v/>
      </c>
      <c r="DD142" s="515" t="str">
        <f>IF('School Profile'!$D$20="NO","",IF(AND(DB142="",DC142=""),"",SUM(DB142,DC142)))</f>
        <v/>
      </c>
      <c r="DE142" s="96" t="str">
        <f>IF('School Profile'!$D$20="NO","",IF(AND(DA142="",DD142=""),"",SUM(DA142,DD142)))</f>
        <v/>
      </c>
      <c r="DF142" s="532">
        <f t="shared" si="387"/>
        <v>0</v>
      </c>
      <c r="DG142" s="65">
        <f t="shared" si="388"/>
        <v>0</v>
      </c>
      <c r="DH142" s="66" t="str">
        <f t="shared" si="389"/>
        <v/>
      </c>
      <c r="DI142" s="65" t="str">
        <f t="shared" si="390"/>
        <v/>
      </c>
      <c r="DJ142" s="65" t="str">
        <f t="shared" si="391"/>
        <v/>
      </c>
      <c r="DK142" s="65" t="str">
        <f t="shared" si="392"/>
        <v/>
      </c>
      <c r="DL142" s="97" t="str">
        <f t="shared" si="432"/>
        <v/>
      </c>
      <c r="DM142" s="97" t="str">
        <f t="shared" si="433"/>
        <v/>
      </c>
      <c r="DN142" s="97" t="str">
        <f t="shared" si="434"/>
        <v/>
      </c>
      <c r="DO142" s="97" t="str">
        <f t="shared" si="435"/>
        <v/>
      </c>
      <c r="DP142" s="97" t="str">
        <f t="shared" si="436"/>
        <v/>
      </c>
      <c r="DQ142" s="97" t="str">
        <f t="shared" si="437"/>
        <v/>
      </c>
      <c r="DR142" s="97" t="str">
        <f t="shared" si="438"/>
        <v/>
      </c>
      <c r="DS142" s="98">
        <f t="shared" si="439"/>
        <v>0</v>
      </c>
      <c r="DT142" s="98">
        <f t="shared" si="440"/>
        <v>0</v>
      </c>
      <c r="DU142" s="98">
        <f t="shared" si="441"/>
        <v>0</v>
      </c>
      <c r="DV142" s="98">
        <f t="shared" si="442"/>
        <v>0</v>
      </c>
      <c r="DW142" s="98">
        <f t="shared" si="443"/>
        <v>0</v>
      </c>
      <c r="DX142" s="98" t="str">
        <f t="shared" si="444"/>
        <v/>
      </c>
      <c r="DY142" s="99" t="str">
        <f t="shared" si="445"/>
        <v/>
      </c>
      <c r="DZ142" s="74" t="str">
        <f>IF('Marks Entry'!AY142="","",'Marks Entry'!AY142)</f>
        <v/>
      </c>
      <c r="EA142" s="74" t="str">
        <f>IF('Marks Entry'!AZ142="","",'Marks Entry'!AZ142)</f>
        <v/>
      </c>
      <c r="EB142" s="74" t="str">
        <f>IF('Marks Entry'!BA142="","",'Marks Entry'!BA142)</f>
        <v/>
      </c>
      <c r="EC142" s="527" t="str">
        <f t="shared" si="393"/>
        <v/>
      </c>
      <c r="ED142" s="74" t="str">
        <f>IF('Marks Entry'!BB142="","",'Marks Entry'!BB142)</f>
        <v/>
      </c>
      <c r="EE142" s="528" t="str">
        <f t="shared" si="394"/>
        <v/>
      </c>
      <c r="EF142" s="74" t="str">
        <f>IF('Marks Entry'!BC142="","",'Marks Entry'!BC142)</f>
        <v/>
      </c>
      <c r="EG142" s="530" t="str">
        <f t="shared" si="395"/>
        <v/>
      </c>
      <c r="EH142" s="368" t="str">
        <f t="shared" si="446"/>
        <v/>
      </c>
      <c r="EI142" s="65">
        <f t="shared" si="447"/>
        <v>0</v>
      </c>
      <c r="EJ142" s="65">
        <f t="shared" si="448"/>
        <v>0</v>
      </c>
      <c r="EK142" s="66" t="str">
        <f t="shared" si="449"/>
        <v/>
      </c>
      <c r="EL142" s="74" t="str">
        <f>IF('Marks Entry'!BD142="","",'Marks Entry'!BD142)</f>
        <v/>
      </c>
      <c r="EM142" s="74" t="str">
        <f>IF('Marks Entry'!BE142="","",'Marks Entry'!BE142)</f>
        <v/>
      </c>
      <c r="EN142" s="74" t="str">
        <f>IF('Marks Entry'!BF142="","",'Marks Entry'!BF142)</f>
        <v/>
      </c>
      <c r="EO142" s="527" t="str">
        <f t="shared" si="396"/>
        <v/>
      </c>
      <c r="EP142" s="74" t="str">
        <f>IF('Marks Entry'!BG142="","",'Marks Entry'!BG142)</f>
        <v/>
      </c>
      <c r="EQ142" s="74" t="str">
        <f>IF('Marks Entry'!BH142="","",'Marks Entry'!BH142)</f>
        <v/>
      </c>
      <c r="ER142" s="528" t="str">
        <f t="shared" si="397"/>
        <v/>
      </c>
      <c r="ES142" s="529" t="str">
        <f t="shared" si="398"/>
        <v/>
      </c>
      <c r="ET142" s="74" t="str">
        <f>IF('Marks Entry'!BI142="","",'Marks Entry'!BI142)</f>
        <v/>
      </c>
      <c r="EU142" s="74" t="str">
        <f>IF('Marks Entry'!BJ142="","",'Marks Entry'!BJ142)</f>
        <v/>
      </c>
      <c r="EV142" s="528" t="str">
        <f t="shared" si="399"/>
        <v/>
      </c>
      <c r="EW142" s="530" t="str">
        <f t="shared" si="400"/>
        <v/>
      </c>
      <c r="EX142" s="368" t="str">
        <f t="shared" si="450"/>
        <v/>
      </c>
      <c r="EY142" s="65">
        <f t="shared" si="451"/>
        <v>0</v>
      </c>
      <c r="EZ142" s="65">
        <f t="shared" si="452"/>
        <v>0</v>
      </c>
      <c r="FA142" s="66" t="str">
        <f t="shared" si="453"/>
        <v/>
      </c>
      <c r="FB142" s="74" t="str">
        <f>IF('Marks Entry'!BK142="","",'Marks Entry'!BK142)</f>
        <v/>
      </c>
      <c r="FC142" s="74" t="str">
        <f>IF('Marks Entry'!BL142="","",'Marks Entry'!BL142)</f>
        <v/>
      </c>
      <c r="FD142" s="74" t="str">
        <f>IF('Marks Entry'!BM142="","",'Marks Entry'!BM142)</f>
        <v/>
      </c>
      <c r="FE142" s="74" t="str">
        <f>IF('Marks Entry'!BN142="","",'Marks Entry'!BN142)</f>
        <v/>
      </c>
      <c r="FF142" s="74" t="str">
        <f>IF('Marks Entry'!BO142="","",'Marks Entry'!BO142)</f>
        <v/>
      </c>
      <c r="FG142" s="74" t="str">
        <f>IF('Marks Entry'!BP142="","",'Marks Entry'!BP142)</f>
        <v/>
      </c>
      <c r="FH142" s="527" t="str">
        <f t="shared" si="401"/>
        <v/>
      </c>
      <c r="FI142" s="74" t="str">
        <f>IF('Marks Entry'!BQ142="","",'Marks Entry'!BQ142)</f>
        <v/>
      </c>
      <c r="FJ142" s="74" t="str">
        <f>IF('Marks Entry'!BR142="","",'Marks Entry'!BR142)</f>
        <v/>
      </c>
      <c r="FK142" s="528" t="str">
        <f t="shared" si="402"/>
        <v/>
      </c>
      <c r="FL142" s="529" t="str">
        <f t="shared" si="403"/>
        <v/>
      </c>
      <c r="FM142" s="74" t="str">
        <f>IF('Marks Entry'!BS142="","",'Marks Entry'!BS142)</f>
        <v/>
      </c>
      <c r="FN142" s="74" t="str">
        <f>IF('Marks Entry'!BT142="","",'Marks Entry'!BT142)</f>
        <v/>
      </c>
      <c r="FO142" s="528" t="str">
        <f t="shared" si="404"/>
        <v/>
      </c>
      <c r="FP142" s="530" t="str">
        <f t="shared" si="405"/>
        <v/>
      </c>
      <c r="FQ142" s="368" t="str">
        <f t="shared" si="454"/>
        <v/>
      </c>
      <c r="FR142" s="65">
        <f t="shared" si="455"/>
        <v>0</v>
      </c>
      <c r="FS142" s="65">
        <f t="shared" si="456"/>
        <v>0</v>
      </c>
      <c r="FT142" s="66" t="str">
        <f t="shared" si="457"/>
        <v/>
      </c>
      <c r="FU142" s="74" t="str">
        <f>IF('Marks Entry'!BU142="","",'Marks Entry'!BU142)</f>
        <v/>
      </c>
      <c r="FV142" s="74" t="str">
        <f>IF('Marks Entry'!BV142="","",'Marks Entry'!BV142)</f>
        <v/>
      </c>
      <c r="FW142" s="74" t="str">
        <f>IF('Marks Entry'!BW142="","",'Marks Entry'!BW142)</f>
        <v/>
      </c>
      <c r="FX142" s="75" t="str">
        <f t="shared" si="406"/>
        <v/>
      </c>
      <c r="FY142" s="368" t="str">
        <f t="shared" si="458"/>
        <v/>
      </c>
      <c r="FZ142" s="65">
        <f t="shared" si="459"/>
        <v>0</v>
      </c>
      <c r="GA142" s="66">
        <f t="shared" si="460"/>
        <v>0</v>
      </c>
      <c r="GB142" s="66" t="str">
        <f t="shared" si="461"/>
        <v/>
      </c>
      <c r="GC142" s="74" t="str">
        <f>IF('Marks Entry'!BX142="","",'Marks Entry'!BX142)</f>
        <v/>
      </c>
      <c r="GD142" s="74" t="str">
        <f>IF('Marks Entry'!BY142="","",'Marks Entry'!BY142)</f>
        <v/>
      </c>
      <c r="GE142" s="74" t="str">
        <f>IF('Marks Entry'!BZ142="","",'Marks Entry'!BZ142)</f>
        <v/>
      </c>
      <c r="GF142" s="75" t="str">
        <f t="shared" si="462"/>
        <v/>
      </c>
      <c r="GG142" s="368" t="str">
        <f t="shared" si="463"/>
        <v/>
      </c>
      <c r="GH142" s="65">
        <f t="shared" si="464"/>
        <v>0</v>
      </c>
      <c r="GI142" s="66">
        <f t="shared" si="465"/>
        <v>0</v>
      </c>
      <c r="GJ142" s="66" t="str">
        <f t="shared" si="466"/>
        <v/>
      </c>
      <c r="GK142" s="100" t="str">
        <f>IF(AND(F142="",B142=""),"",IF('Student DATA Entry'!M139="","",'Student DATA Entry'!M139))</f>
        <v/>
      </c>
      <c r="GL142" s="101" t="str">
        <f>IF(AND(B142="",F142=""),"",IF('Student DATA Entry'!N139="","",'Student DATA Entry'!N139))</f>
        <v/>
      </c>
      <c r="GM142" s="581" t="str">
        <f t="shared" si="467"/>
        <v/>
      </c>
      <c r="GN142" s="94" t="str">
        <f t="shared" si="468"/>
        <v/>
      </c>
      <c r="GO142" s="94" t="str">
        <f t="shared" si="469"/>
        <v/>
      </c>
      <c r="GP142" s="102" t="str">
        <f t="shared" si="407"/>
        <v/>
      </c>
      <c r="GQ142" s="94" t="str">
        <f t="shared" si="470"/>
        <v/>
      </c>
      <c r="GR142" s="103" t="str">
        <f t="shared" si="471"/>
        <v/>
      </c>
      <c r="GS142" s="102" t="str">
        <f t="shared" si="408"/>
        <v/>
      </c>
      <c r="GT142" s="104" t="str">
        <f t="shared" si="472"/>
        <v/>
      </c>
      <c r="GU142" s="94" t="str">
        <f>IF('Marks Entry'!V142=1,GT142,"")</f>
        <v/>
      </c>
      <c r="GV142" s="94" t="str">
        <f>IF('Marks Entry'!V142=2,GT142,"")</f>
        <v/>
      </c>
      <c r="GW142" s="94" t="str">
        <f>IF('Marks Entry'!V142=3,GT142,"")</f>
        <v/>
      </c>
      <c r="GX142" s="94" t="str">
        <f>IF('Marks Entry'!V142=4,GT142,"")</f>
        <v/>
      </c>
      <c r="GY142" s="94" t="str">
        <f>IF('Marks Entry'!V142=5,GT142,"")</f>
        <v/>
      </c>
      <c r="GZ142" s="94" t="str">
        <f t="shared" si="473"/>
        <v/>
      </c>
      <c r="HA142" s="105" t="str">
        <f t="shared" si="409"/>
        <v/>
      </c>
      <c r="HB142" s="94" t="str">
        <f t="shared" si="474"/>
        <v/>
      </c>
      <c r="HC142" s="94" t="str">
        <f t="shared" si="475"/>
        <v/>
      </c>
      <c r="HD142" s="105" t="str">
        <f t="shared" si="410"/>
        <v/>
      </c>
      <c r="HE142" s="94" t="str">
        <f t="shared" si="476"/>
        <v/>
      </c>
      <c r="HF142" s="94" t="str">
        <f t="shared" si="477"/>
        <v/>
      </c>
      <c r="HG142" s="105" t="str">
        <f t="shared" si="411"/>
        <v/>
      </c>
      <c r="HH142" s="94" t="str">
        <f t="shared" si="478"/>
        <v/>
      </c>
      <c r="HI142" s="94" t="str">
        <f t="shared" si="479"/>
        <v/>
      </c>
      <c r="HJ142" s="105" t="str">
        <f t="shared" si="412"/>
        <v/>
      </c>
      <c r="HK142" s="94" t="str">
        <f t="shared" si="480"/>
        <v/>
      </c>
      <c r="HL142" s="94" t="str">
        <f t="shared" si="481"/>
        <v/>
      </c>
      <c r="HM142" s="105" t="str">
        <f t="shared" si="413"/>
        <v/>
      </c>
      <c r="HN142" s="367" t="str">
        <f t="shared" si="482"/>
        <v xml:space="preserve">      </v>
      </c>
      <c r="HO142" s="418" t="str">
        <f t="shared" si="414"/>
        <v xml:space="preserve">      </v>
      </c>
      <c r="HP142" s="367" t="str">
        <f t="shared" si="483"/>
        <v xml:space="preserve">      </v>
      </c>
      <c r="HQ142" s="107" t="str">
        <f t="shared" si="484"/>
        <v xml:space="preserve">      </v>
      </c>
      <c r="HR142" s="366" t="str">
        <f t="shared" si="485"/>
        <v xml:space="preserve">      </v>
      </c>
      <c r="HS142" s="544" t="str">
        <f t="shared" si="415"/>
        <v/>
      </c>
      <c r="HT142" s="542" t="str">
        <f t="shared" si="486"/>
        <v/>
      </c>
      <c r="HU142" s="541" t="str">
        <f t="shared" si="487"/>
        <v/>
      </c>
      <c r="HV142" s="540" t="str">
        <f t="shared" si="488"/>
        <v/>
      </c>
      <c r="HW142" s="537" t="str">
        <f t="shared" si="489"/>
        <v/>
      </c>
      <c r="HX142" s="539" t="str">
        <f t="shared" si="490"/>
        <v/>
      </c>
      <c r="HY142" s="553" t="str">
        <f>IFERROR(IF(OR(HS142="SUPPLEMENTARY",HS142="RE-EXAM"),'Supp. Result Entry'!AQ140,""),"")</f>
        <v/>
      </c>
      <c r="HZ142" s="538" t="str">
        <f t="shared" si="491"/>
        <v/>
      </c>
      <c r="IA142" s="415" t="str">
        <f t="shared" si="492"/>
        <v/>
      </c>
      <c r="IB142" s="415" t="str">
        <f>IF(AND(HZ142="",IA142=""),"",IF(OR(HS142="SUPPLEMENTARY",HS142="RE-EXAM"),'Supp. Result Entry'!AQ140,HS142))</f>
        <v/>
      </c>
      <c r="IC142" s="87"/>
      <c r="IS142" s="109" t="str">
        <f>IF('Supp. Result Entry'!T140="","",'Supp. Result Entry'!$T$4)</f>
        <v/>
      </c>
      <c r="IT142" s="110" t="str">
        <f>IF('Supp. Result Entry'!W140="","",'Supp. Result Entry'!$W$4)</f>
        <v/>
      </c>
      <c r="IU142" s="110" t="str">
        <f>IF('Supp. Result Entry'!Z140="","",'Supp. Result Entry'!$Z$4)</f>
        <v/>
      </c>
      <c r="IV142" s="110" t="str">
        <f>IF('Supp. Result Entry'!AC140="","",'Supp. Result Entry'!$AC$4)</f>
        <v/>
      </c>
      <c r="IW142" s="110" t="str">
        <f>IF('Supp. Result Entry'!AF140="","",'Supp. Result Entry'!$AF$4)</f>
        <v/>
      </c>
      <c r="IX142" s="110" t="str">
        <f>IF('Supp. Result Entry'!AI140="","",'Supp. Result Entry'!$AI$4)</f>
        <v/>
      </c>
      <c r="IY142" s="110" t="str">
        <f>IF('Supp. Result Entry'!AI140="","",'Supp. Result Entry'!$AL$4)</f>
        <v/>
      </c>
      <c r="IZ142" s="110" t="str">
        <f>IF('Supp. Result Entry'!U140="","",'Supp. Result Entry'!U140)</f>
        <v/>
      </c>
      <c r="JA142" s="110" t="str">
        <f>IF('Supp. Result Entry'!X140="","",'Supp. Result Entry'!X140)</f>
        <v/>
      </c>
      <c r="JB142" s="110" t="str">
        <f>IF('Supp. Result Entry'!AA140="","",'Supp. Result Entry'!AA140)</f>
        <v/>
      </c>
      <c r="JC142" s="110" t="str">
        <f>IF('Supp. Result Entry'!AD140="","",'Supp. Result Entry'!AD140)</f>
        <v/>
      </c>
      <c r="JD142" s="110" t="str">
        <f>IF('Supp. Result Entry'!AG140="","",'Supp. Result Entry'!AG140)</f>
        <v/>
      </c>
      <c r="JE142" s="110" t="str">
        <f>IF('Supp. Result Entry'!AJ140="","",'Supp. Result Entry'!AJ140)</f>
        <v/>
      </c>
      <c r="JF142" s="110" t="str">
        <f>IF('Supp. Result Entry'!AM140="","",'Supp. Result Entry'!AM140)</f>
        <v/>
      </c>
      <c r="JG142" s="110" t="str">
        <f>IF('Supp. Result Entry'!V140="","",'Supp. Result Entry'!V140)</f>
        <v/>
      </c>
      <c r="JH142" s="110" t="str">
        <f>IF('Supp. Result Entry'!Y140="","",'Supp. Result Entry'!Y140)</f>
        <v/>
      </c>
      <c r="JI142" s="110" t="str">
        <f>IF('Supp. Result Entry'!AB140="","",'Supp. Result Entry'!AB140)</f>
        <v/>
      </c>
      <c r="JJ142" s="110" t="str">
        <f>IF('Supp. Result Entry'!AE140="","",'Supp. Result Entry'!AE140)</f>
        <v/>
      </c>
      <c r="JK142" s="110" t="str">
        <f>IF('Supp. Result Entry'!AH140="","",'Supp. Result Entry'!AH140)</f>
        <v/>
      </c>
      <c r="JL142" s="110" t="str">
        <f>IF('Supp. Result Entry'!AK140="","",'Supp. Result Entry'!AK140)</f>
        <v/>
      </c>
      <c r="JM142" s="110" t="str">
        <f>IF('Supp. Result Entry'!AN140="","",'Supp. Result Entry'!AN140)</f>
        <v/>
      </c>
      <c r="JN142" s="110">
        <f>COUNTIF('Supp. Result Entry'!K140:Q140,"S")</f>
        <v>0</v>
      </c>
      <c r="JO142" s="110">
        <f t="shared" si="416"/>
        <v>0</v>
      </c>
      <c r="JP142" s="110">
        <f t="shared" si="493"/>
        <v>0</v>
      </c>
      <c r="JQ142" s="110" t="str">
        <f t="shared" si="417"/>
        <v/>
      </c>
      <c r="JR142" s="110" t="str">
        <f t="shared" si="418"/>
        <v/>
      </c>
      <c r="JS142" s="110" t="str">
        <f t="shared" si="419"/>
        <v/>
      </c>
      <c r="JT142" s="110" t="str">
        <f t="shared" si="420"/>
        <v/>
      </c>
      <c r="JU142" s="110" t="str">
        <f t="shared" si="421"/>
        <v/>
      </c>
      <c r="JV142" s="110" t="str">
        <f t="shared" si="422"/>
        <v/>
      </c>
      <c r="JW142" s="110" t="str">
        <f t="shared" si="423"/>
        <v/>
      </c>
      <c r="JX142" s="110" t="str">
        <f t="shared" si="494"/>
        <v/>
      </c>
      <c r="JY142" s="110" t="str">
        <f t="shared" si="495"/>
        <v/>
      </c>
      <c r="JZ142" s="110" t="str">
        <f t="shared" si="424"/>
        <v/>
      </c>
      <c r="KA142" s="108" t="str">
        <f t="shared" si="496"/>
        <v/>
      </c>
    </row>
    <row r="143" spans="1:287" s="108" customFormat="1" ht="21.95" customHeight="1">
      <c r="A143" s="89">
        <v>137</v>
      </c>
      <c r="B143" s="90" t="str">
        <f>IF('Marks Entry'!B143="","",'Marks Entry'!B143)</f>
        <v/>
      </c>
      <c r="C143" s="94" t="str">
        <f>IF('Marks Entry'!D143="","",'Marks Entry'!D143)</f>
        <v/>
      </c>
      <c r="D143" s="91" t="str">
        <f>IF('Marks Entry'!E143="","",'Marks Entry'!E143)</f>
        <v/>
      </c>
      <c r="E143" s="92" t="str">
        <f>IF('Marks Entry'!F143="","",'Marks Entry'!F143)</f>
        <v/>
      </c>
      <c r="F143" s="93" t="str">
        <f>IF('Marks Entry'!G143="","",'Marks Entry'!G143)</f>
        <v/>
      </c>
      <c r="G143" s="93" t="str">
        <f>IF('Marks Entry'!H143="","",'Marks Entry'!H143)</f>
        <v/>
      </c>
      <c r="H143" s="93" t="str">
        <f>IF('Marks Entry'!I143="","",'Marks Entry'!I143)</f>
        <v/>
      </c>
      <c r="I143" s="94" t="str">
        <f>IF('Marks Entry'!J143="","",'Marks Entry'!J143)</f>
        <v/>
      </c>
      <c r="J143" s="95" t="str">
        <f>IF('Marks Entry'!K143="","",'Marks Entry'!K143)</f>
        <v/>
      </c>
      <c r="K143" s="68" t="str">
        <f>IF('Marks Entry'!L143="","",'Marks Entry'!L143)</f>
        <v/>
      </c>
      <c r="L143" s="68" t="str">
        <f>IF('Marks Entry'!M143="","",'Marks Entry'!M143)</f>
        <v/>
      </c>
      <c r="M143" s="68" t="str">
        <f>IF('Marks Entry'!N143="","",'Marks Entry'!N143)</f>
        <v/>
      </c>
      <c r="N143" s="514" t="str">
        <f t="shared" si="425"/>
        <v/>
      </c>
      <c r="O143" s="68" t="str">
        <f>IF('Marks Entry'!O143="","",'Marks Entry'!O143)</f>
        <v/>
      </c>
      <c r="P143" s="515" t="str">
        <f t="shared" si="426"/>
        <v/>
      </c>
      <c r="Q143" s="68" t="str">
        <f>IF('Marks Entry'!P143="","",'Marks Entry'!P143)</f>
        <v/>
      </c>
      <c r="R143" s="96" t="str">
        <f t="shared" si="427"/>
        <v/>
      </c>
      <c r="S143" s="65">
        <f t="shared" si="428"/>
        <v>0</v>
      </c>
      <c r="T143" s="65">
        <f t="shared" si="429"/>
        <v>0</v>
      </c>
      <c r="U143" s="66" t="str">
        <f t="shared" si="339"/>
        <v/>
      </c>
      <c r="V143" s="65" t="str">
        <f t="shared" si="340"/>
        <v/>
      </c>
      <c r="W143" s="65" t="str">
        <f t="shared" si="430"/>
        <v/>
      </c>
      <c r="X143" s="65" t="str">
        <f t="shared" si="341"/>
        <v/>
      </c>
      <c r="Y143" s="68" t="str">
        <f>IF('Marks Entry'!Q143="","",'Marks Entry'!Q143)</f>
        <v/>
      </c>
      <c r="Z143" s="68" t="str">
        <f>IF('Marks Entry'!R143="","",'Marks Entry'!R143)</f>
        <v/>
      </c>
      <c r="AA143" s="68" t="str">
        <f>IF('Marks Entry'!S143="","",'Marks Entry'!S143)</f>
        <v/>
      </c>
      <c r="AB143" s="514" t="str">
        <f t="shared" si="342"/>
        <v/>
      </c>
      <c r="AC143" s="68" t="str">
        <f>IF('Marks Entry'!T143="","",'Marks Entry'!T143)</f>
        <v/>
      </c>
      <c r="AD143" s="515" t="str">
        <f t="shared" si="343"/>
        <v/>
      </c>
      <c r="AE143" s="68" t="str">
        <f>IF('Marks Entry'!U143="","",'Marks Entry'!U143)</f>
        <v/>
      </c>
      <c r="AF143" s="96" t="str">
        <f t="shared" si="344"/>
        <v/>
      </c>
      <c r="AG143" s="65">
        <f t="shared" si="345"/>
        <v>0</v>
      </c>
      <c r="AH143" s="65">
        <f t="shared" si="346"/>
        <v>0</v>
      </c>
      <c r="AI143" s="66" t="str">
        <f t="shared" si="347"/>
        <v/>
      </c>
      <c r="AJ143" s="65" t="str">
        <f t="shared" si="348"/>
        <v/>
      </c>
      <c r="AK143" s="65" t="str">
        <f t="shared" si="349"/>
        <v/>
      </c>
      <c r="AL143" s="65" t="str">
        <f t="shared" si="350"/>
        <v/>
      </c>
      <c r="AM143" s="524" t="str">
        <f>IF('Marks Entry'!V143="","",IF('Marks Entry'!V143=1,'School Profile'!$I$9,IF('Marks Entry'!V143=2,'School Profile'!$I$10,IF('Marks Entry'!V143=3,'School Profile'!$I$11,IF('Marks Entry'!V143=4,'School Profile'!$I$12,IF('Marks Entry'!V143=5,'School Profile'!$I$13,IF('Marks Entry'!V143=6,'School Profile'!$I$14,"")))))))</f>
        <v/>
      </c>
      <c r="AN143" s="68" t="str">
        <f>IF('Marks Entry'!W143="","",'Marks Entry'!W143)</f>
        <v/>
      </c>
      <c r="AO143" s="68" t="str">
        <f>IF('Marks Entry'!X143="","",'Marks Entry'!X143)</f>
        <v/>
      </c>
      <c r="AP143" s="68" t="str">
        <f>IF('Marks Entry'!Y143="","",'Marks Entry'!Y143)</f>
        <v/>
      </c>
      <c r="AQ143" s="514" t="str">
        <f t="shared" si="351"/>
        <v/>
      </c>
      <c r="AR143" s="68" t="str">
        <f>IF('Marks Entry'!Z143="","",'Marks Entry'!Z143)</f>
        <v/>
      </c>
      <c r="AS143" s="515" t="str">
        <f t="shared" si="352"/>
        <v/>
      </c>
      <c r="AT143" s="68" t="str">
        <f>IF('Marks Entry'!AA143="","",'Marks Entry'!AA143)</f>
        <v/>
      </c>
      <c r="AU143" s="96" t="str">
        <f t="shared" si="353"/>
        <v/>
      </c>
      <c r="AV143" s="65">
        <f t="shared" si="354"/>
        <v>0</v>
      </c>
      <c r="AW143" s="65">
        <f t="shared" si="355"/>
        <v>0</v>
      </c>
      <c r="AX143" s="66" t="str">
        <f t="shared" si="356"/>
        <v/>
      </c>
      <c r="AY143" s="65" t="str">
        <f t="shared" si="357"/>
        <v/>
      </c>
      <c r="AZ143" s="65" t="str">
        <f t="shared" si="358"/>
        <v/>
      </c>
      <c r="BA143" s="65" t="str">
        <f t="shared" si="359"/>
        <v/>
      </c>
      <c r="BB143" s="68" t="str">
        <f>IF('Marks Entry'!AB143="","",'Marks Entry'!AB143)</f>
        <v/>
      </c>
      <c r="BC143" s="68" t="str">
        <f>IF('Marks Entry'!AC143="","",'Marks Entry'!AC143)</f>
        <v/>
      </c>
      <c r="BD143" s="68" t="str">
        <f>IF('Marks Entry'!AD143="","",'Marks Entry'!AD143)</f>
        <v/>
      </c>
      <c r="BE143" s="514" t="str">
        <f t="shared" si="360"/>
        <v/>
      </c>
      <c r="BF143" s="68" t="str">
        <f>IF('Marks Entry'!AE143="","",'Marks Entry'!AE143)</f>
        <v/>
      </c>
      <c r="BG143" s="515" t="str">
        <f t="shared" si="361"/>
        <v/>
      </c>
      <c r="BH143" s="68" t="str">
        <f>IF('Marks Entry'!AF143="","",'Marks Entry'!AF143)</f>
        <v/>
      </c>
      <c r="BI143" s="96" t="str">
        <f t="shared" si="362"/>
        <v/>
      </c>
      <c r="BJ143" s="65">
        <f t="shared" si="363"/>
        <v>0</v>
      </c>
      <c r="BK143" s="65">
        <f t="shared" si="431"/>
        <v>0</v>
      </c>
      <c r="BL143" s="66" t="str">
        <f t="shared" si="364"/>
        <v/>
      </c>
      <c r="BM143" s="65" t="str">
        <f t="shared" si="365"/>
        <v/>
      </c>
      <c r="BN143" s="65" t="str">
        <f t="shared" si="366"/>
        <v/>
      </c>
      <c r="BO143" s="65" t="str">
        <f t="shared" si="367"/>
        <v/>
      </c>
      <c r="BP143" s="68" t="str">
        <f>IF('Marks Entry'!AG143="","",'Marks Entry'!AG143)</f>
        <v/>
      </c>
      <c r="BQ143" s="68" t="str">
        <f>IF('Marks Entry'!AH143="","",'Marks Entry'!AH143)</f>
        <v/>
      </c>
      <c r="BR143" s="68" t="str">
        <f>IF('Marks Entry'!AI143="","",'Marks Entry'!AI143)</f>
        <v/>
      </c>
      <c r="BS143" s="514" t="str">
        <f t="shared" si="368"/>
        <v/>
      </c>
      <c r="BT143" s="68" t="str">
        <f>IF('Marks Entry'!AJ143="","",'Marks Entry'!AJ143)</f>
        <v/>
      </c>
      <c r="BU143" s="515" t="str">
        <f t="shared" si="369"/>
        <v/>
      </c>
      <c r="BV143" s="68" t="str">
        <f>IF('Marks Entry'!AK143="","",'Marks Entry'!AK143)</f>
        <v/>
      </c>
      <c r="BW143" s="96" t="str">
        <f t="shared" si="370"/>
        <v/>
      </c>
      <c r="BX143" s="65">
        <f t="shared" si="371"/>
        <v>0</v>
      </c>
      <c r="BY143" s="65">
        <f t="shared" si="372"/>
        <v>0</v>
      </c>
      <c r="BZ143" s="66" t="str">
        <f t="shared" si="373"/>
        <v/>
      </c>
      <c r="CA143" s="65" t="str">
        <f t="shared" si="374"/>
        <v/>
      </c>
      <c r="CB143" s="65" t="str">
        <f t="shared" si="375"/>
        <v/>
      </c>
      <c r="CC143" s="65" t="str">
        <f t="shared" si="376"/>
        <v/>
      </c>
      <c r="CD143" s="66">
        <f t="shared" si="377"/>
        <v>0</v>
      </c>
      <c r="CE143" s="68" t="str">
        <f>IF('Marks Entry'!AL143="","",'Marks Entry'!AL143)</f>
        <v/>
      </c>
      <c r="CF143" s="68" t="str">
        <f>IF('Marks Entry'!AM143="","",'Marks Entry'!AM143)</f>
        <v/>
      </c>
      <c r="CG143" s="68" t="str">
        <f>IF('Marks Entry'!AN143="","",'Marks Entry'!AN143)</f>
        <v/>
      </c>
      <c r="CH143" s="514" t="str">
        <f t="shared" si="378"/>
        <v/>
      </c>
      <c r="CI143" s="68" t="str">
        <f>IF('Marks Entry'!AO143="","",'Marks Entry'!AO143)</f>
        <v/>
      </c>
      <c r="CJ143" s="515" t="str">
        <f t="shared" si="379"/>
        <v/>
      </c>
      <c r="CK143" s="68" t="str">
        <f>IF('Marks Entry'!AP143="","",'Marks Entry'!AP143)</f>
        <v/>
      </c>
      <c r="CL143" s="96" t="str">
        <f t="shared" si="380"/>
        <v/>
      </c>
      <c r="CM143" s="65">
        <f t="shared" si="381"/>
        <v>0</v>
      </c>
      <c r="CN143" s="65">
        <f t="shared" si="382"/>
        <v>0</v>
      </c>
      <c r="CO143" s="66" t="str">
        <f t="shared" si="383"/>
        <v/>
      </c>
      <c r="CP143" s="65" t="str">
        <f t="shared" si="384"/>
        <v/>
      </c>
      <c r="CQ143" s="65" t="str">
        <f t="shared" si="385"/>
        <v/>
      </c>
      <c r="CR143" s="65" t="str">
        <f t="shared" si="386"/>
        <v/>
      </c>
      <c r="CS143" s="616"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8" t="str">
        <f>IF('School Profile'!$D$20="NO","",IF('Marks Entry'!AR143="","",'Marks Entry'!AR143))</f>
        <v/>
      </c>
      <c r="CU143" s="68" t="str">
        <f>IF('School Profile'!$D$20="NO","",IF('Marks Entry'!AS143="","",'Marks Entry'!AS143))</f>
        <v/>
      </c>
      <c r="CV143" s="68" t="str">
        <f>IF('School Profile'!$D$20="NO","",IF('Marks Entry'!AT143="","",'Marks Entry'!AT143))</f>
        <v/>
      </c>
      <c r="CW143" s="514" t="str">
        <f>IF('School Profile'!$D$20="NO","",IF(AND(CT143="",CU143="",CV143=""),"",SUM(CT143:CV143)))</f>
        <v/>
      </c>
      <c r="CX143" s="68" t="str">
        <f>IF('School Profile'!$D$20="NO","",IF('Marks Entry'!AU143="","",'Marks Entry'!AU143))</f>
        <v/>
      </c>
      <c r="CY143" s="68" t="str">
        <f>IF('School Profile'!$D$20="NO","",IF('Marks Entry'!AV143="","",'Marks Entry'!AV143))</f>
        <v/>
      </c>
      <c r="CZ143" s="515" t="str">
        <f>IF('School Profile'!$D$20="NO","",IF(AND(CX143="",CY143=""),"",SUM(CX143,CY143)))</f>
        <v/>
      </c>
      <c r="DA143" s="69" t="str">
        <f>IF('School Profile'!$D$20="NO","",IF(AND(CW143="",CZ143=""),"",SUM(CW143+CZ143)))</f>
        <v/>
      </c>
      <c r="DB143" s="68" t="str">
        <f>IF('School Profile'!$D$20="NO","",IF('Marks Entry'!AW143="","",'Marks Entry'!AW143))</f>
        <v/>
      </c>
      <c r="DC143" s="68" t="str">
        <f>IF('School Profile'!$D$20="NO","",IF('Marks Entry'!AX143="","",'Marks Entry'!AX143))</f>
        <v/>
      </c>
      <c r="DD143" s="515" t="str">
        <f>IF('School Profile'!$D$20="NO","",IF(AND(DB143="",DC143=""),"",SUM(DB143,DC143)))</f>
        <v/>
      </c>
      <c r="DE143" s="96" t="str">
        <f>IF('School Profile'!$D$20="NO","",IF(AND(DA143="",DD143=""),"",SUM(DA143,DD143)))</f>
        <v/>
      </c>
      <c r="DF143" s="532">
        <f t="shared" si="387"/>
        <v>0</v>
      </c>
      <c r="DG143" s="65">
        <f t="shared" si="388"/>
        <v>0</v>
      </c>
      <c r="DH143" s="66" t="str">
        <f t="shared" si="389"/>
        <v/>
      </c>
      <c r="DI143" s="65" t="str">
        <f t="shared" si="390"/>
        <v/>
      </c>
      <c r="DJ143" s="65" t="str">
        <f t="shared" si="391"/>
        <v/>
      </c>
      <c r="DK143" s="65" t="str">
        <f t="shared" si="392"/>
        <v/>
      </c>
      <c r="DL143" s="97" t="str">
        <f t="shared" si="432"/>
        <v/>
      </c>
      <c r="DM143" s="97" t="str">
        <f t="shared" si="433"/>
        <v/>
      </c>
      <c r="DN143" s="97" t="str">
        <f t="shared" si="434"/>
        <v/>
      </c>
      <c r="DO143" s="97" t="str">
        <f t="shared" si="435"/>
        <v/>
      </c>
      <c r="DP143" s="97" t="str">
        <f t="shared" si="436"/>
        <v/>
      </c>
      <c r="DQ143" s="97" t="str">
        <f t="shared" si="437"/>
        <v/>
      </c>
      <c r="DR143" s="97" t="str">
        <f t="shared" si="438"/>
        <v/>
      </c>
      <c r="DS143" s="98">
        <f t="shared" si="439"/>
        <v>0</v>
      </c>
      <c r="DT143" s="98">
        <f t="shared" si="440"/>
        <v>0</v>
      </c>
      <c r="DU143" s="98">
        <f t="shared" si="441"/>
        <v>0</v>
      </c>
      <c r="DV143" s="98">
        <f t="shared" si="442"/>
        <v>0</v>
      </c>
      <c r="DW143" s="98">
        <f t="shared" si="443"/>
        <v>0</v>
      </c>
      <c r="DX143" s="98" t="str">
        <f t="shared" si="444"/>
        <v/>
      </c>
      <c r="DY143" s="99" t="str">
        <f t="shared" si="445"/>
        <v/>
      </c>
      <c r="DZ143" s="74" t="str">
        <f>IF('Marks Entry'!AY143="","",'Marks Entry'!AY143)</f>
        <v/>
      </c>
      <c r="EA143" s="74" t="str">
        <f>IF('Marks Entry'!AZ143="","",'Marks Entry'!AZ143)</f>
        <v/>
      </c>
      <c r="EB143" s="74" t="str">
        <f>IF('Marks Entry'!BA143="","",'Marks Entry'!BA143)</f>
        <v/>
      </c>
      <c r="EC143" s="527" t="str">
        <f t="shared" si="393"/>
        <v/>
      </c>
      <c r="ED143" s="74" t="str">
        <f>IF('Marks Entry'!BB143="","",'Marks Entry'!BB143)</f>
        <v/>
      </c>
      <c r="EE143" s="528" t="str">
        <f t="shared" si="394"/>
        <v/>
      </c>
      <c r="EF143" s="74" t="str">
        <f>IF('Marks Entry'!BC143="","",'Marks Entry'!BC143)</f>
        <v/>
      </c>
      <c r="EG143" s="530" t="str">
        <f t="shared" si="395"/>
        <v/>
      </c>
      <c r="EH143" s="368" t="str">
        <f t="shared" si="446"/>
        <v/>
      </c>
      <c r="EI143" s="65">
        <f t="shared" si="447"/>
        <v>0</v>
      </c>
      <c r="EJ143" s="65">
        <f t="shared" si="448"/>
        <v>0</v>
      </c>
      <c r="EK143" s="66" t="str">
        <f t="shared" si="449"/>
        <v/>
      </c>
      <c r="EL143" s="74" t="str">
        <f>IF('Marks Entry'!BD143="","",'Marks Entry'!BD143)</f>
        <v/>
      </c>
      <c r="EM143" s="74" t="str">
        <f>IF('Marks Entry'!BE143="","",'Marks Entry'!BE143)</f>
        <v/>
      </c>
      <c r="EN143" s="74" t="str">
        <f>IF('Marks Entry'!BF143="","",'Marks Entry'!BF143)</f>
        <v/>
      </c>
      <c r="EO143" s="527" t="str">
        <f t="shared" si="396"/>
        <v/>
      </c>
      <c r="EP143" s="74" t="str">
        <f>IF('Marks Entry'!BG143="","",'Marks Entry'!BG143)</f>
        <v/>
      </c>
      <c r="EQ143" s="74" t="str">
        <f>IF('Marks Entry'!BH143="","",'Marks Entry'!BH143)</f>
        <v/>
      </c>
      <c r="ER143" s="528" t="str">
        <f t="shared" si="397"/>
        <v/>
      </c>
      <c r="ES143" s="529" t="str">
        <f t="shared" si="398"/>
        <v/>
      </c>
      <c r="ET143" s="74" t="str">
        <f>IF('Marks Entry'!BI143="","",'Marks Entry'!BI143)</f>
        <v/>
      </c>
      <c r="EU143" s="74" t="str">
        <f>IF('Marks Entry'!BJ143="","",'Marks Entry'!BJ143)</f>
        <v/>
      </c>
      <c r="EV143" s="528" t="str">
        <f t="shared" si="399"/>
        <v/>
      </c>
      <c r="EW143" s="530" t="str">
        <f t="shared" si="400"/>
        <v/>
      </c>
      <c r="EX143" s="368" t="str">
        <f t="shared" si="450"/>
        <v/>
      </c>
      <c r="EY143" s="65">
        <f t="shared" si="451"/>
        <v>0</v>
      </c>
      <c r="EZ143" s="65">
        <f t="shared" si="452"/>
        <v>0</v>
      </c>
      <c r="FA143" s="66" t="str">
        <f t="shared" si="453"/>
        <v/>
      </c>
      <c r="FB143" s="74" t="str">
        <f>IF('Marks Entry'!BK143="","",'Marks Entry'!BK143)</f>
        <v/>
      </c>
      <c r="FC143" s="74" t="str">
        <f>IF('Marks Entry'!BL143="","",'Marks Entry'!BL143)</f>
        <v/>
      </c>
      <c r="FD143" s="74" t="str">
        <f>IF('Marks Entry'!BM143="","",'Marks Entry'!BM143)</f>
        <v/>
      </c>
      <c r="FE143" s="74" t="str">
        <f>IF('Marks Entry'!BN143="","",'Marks Entry'!BN143)</f>
        <v/>
      </c>
      <c r="FF143" s="74" t="str">
        <f>IF('Marks Entry'!BO143="","",'Marks Entry'!BO143)</f>
        <v/>
      </c>
      <c r="FG143" s="74" t="str">
        <f>IF('Marks Entry'!BP143="","",'Marks Entry'!BP143)</f>
        <v/>
      </c>
      <c r="FH143" s="527" t="str">
        <f t="shared" si="401"/>
        <v/>
      </c>
      <c r="FI143" s="74" t="str">
        <f>IF('Marks Entry'!BQ143="","",'Marks Entry'!BQ143)</f>
        <v/>
      </c>
      <c r="FJ143" s="74" t="str">
        <f>IF('Marks Entry'!BR143="","",'Marks Entry'!BR143)</f>
        <v/>
      </c>
      <c r="FK143" s="528" t="str">
        <f t="shared" si="402"/>
        <v/>
      </c>
      <c r="FL143" s="529" t="str">
        <f t="shared" si="403"/>
        <v/>
      </c>
      <c r="FM143" s="74" t="str">
        <f>IF('Marks Entry'!BS143="","",'Marks Entry'!BS143)</f>
        <v/>
      </c>
      <c r="FN143" s="74" t="str">
        <f>IF('Marks Entry'!BT143="","",'Marks Entry'!BT143)</f>
        <v/>
      </c>
      <c r="FO143" s="528" t="str">
        <f t="shared" si="404"/>
        <v/>
      </c>
      <c r="FP143" s="530" t="str">
        <f t="shared" si="405"/>
        <v/>
      </c>
      <c r="FQ143" s="368" t="str">
        <f t="shared" si="454"/>
        <v/>
      </c>
      <c r="FR143" s="65">
        <f t="shared" si="455"/>
        <v>0</v>
      </c>
      <c r="FS143" s="65">
        <f t="shared" si="456"/>
        <v>0</v>
      </c>
      <c r="FT143" s="66" t="str">
        <f t="shared" si="457"/>
        <v/>
      </c>
      <c r="FU143" s="74" t="str">
        <f>IF('Marks Entry'!BU143="","",'Marks Entry'!BU143)</f>
        <v/>
      </c>
      <c r="FV143" s="74" t="str">
        <f>IF('Marks Entry'!BV143="","",'Marks Entry'!BV143)</f>
        <v/>
      </c>
      <c r="FW143" s="74" t="str">
        <f>IF('Marks Entry'!BW143="","",'Marks Entry'!BW143)</f>
        <v/>
      </c>
      <c r="FX143" s="75" t="str">
        <f t="shared" si="406"/>
        <v/>
      </c>
      <c r="FY143" s="368" t="str">
        <f t="shared" si="458"/>
        <v/>
      </c>
      <c r="FZ143" s="65">
        <f t="shared" si="459"/>
        <v>0</v>
      </c>
      <c r="GA143" s="66">
        <f t="shared" si="460"/>
        <v>0</v>
      </c>
      <c r="GB143" s="66" t="str">
        <f t="shared" si="461"/>
        <v/>
      </c>
      <c r="GC143" s="74" t="str">
        <f>IF('Marks Entry'!BX143="","",'Marks Entry'!BX143)</f>
        <v/>
      </c>
      <c r="GD143" s="74" t="str">
        <f>IF('Marks Entry'!BY143="","",'Marks Entry'!BY143)</f>
        <v/>
      </c>
      <c r="GE143" s="74" t="str">
        <f>IF('Marks Entry'!BZ143="","",'Marks Entry'!BZ143)</f>
        <v/>
      </c>
      <c r="GF143" s="75" t="str">
        <f t="shared" si="462"/>
        <v/>
      </c>
      <c r="GG143" s="368" t="str">
        <f t="shared" si="463"/>
        <v/>
      </c>
      <c r="GH143" s="65">
        <f t="shared" si="464"/>
        <v>0</v>
      </c>
      <c r="GI143" s="66">
        <f t="shared" si="465"/>
        <v>0</v>
      </c>
      <c r="GJ143" s="66" t="str">
        <f t="shared" si="466"/>
        <v/>
      </c>
      <c r="GK143" s="100" t="str">
        <f>IF(AND(F143="",B143=""),"",IF('Student DATA Entry'!M140="","",'Student DATA Entry'!M140))</f>
        <v/>
      </c>
      <c r="GL143" s="101" t="str">
        <f>IF(AND(B143="",F143=""),"",IF('Student DATA Entry'!N140="","",'Student DATA Entry'!N140))</f>
        <v/>
      </c>
      <c r="GM143" s="581" t="str">
        <f t="shared" si="467"/>
        <v/>
      </c>
      <c r="GN143" s="94" t="str">
        <f t="shared" si="468"/>
        <v/>
      </c>
      <c r="GO143" s="94" t="str">
        <f t="shared" si="469"/>
        <v/>
      </c>
      <c r="GP143" s="102" t="str">
        <f t="shared" si="407"/>
        <v/>
      </c>
      <c r="GQ143" s="94" t="str">
        <f t="shared" si="470"/>
        <v/>
      </c>
      <c r="GR143" s="103" t="str">
        <f t="shared" si="471"/>
        <v/>
      </c>
      <c r="GS143" s="102" t="str">
        <f t="shared" si="408"/>
        <v/>
      </c>
      <c r="GT143" s="104" t="str">
        <f t="shared" si="472"/>
        <v/>
      </c>
      <c r="GU143" s="94" t="str">
        <f>IF('Marks Entry'!V143=1,GT143,"")</f>
        <v/>
      </c>
      <c r="GV143" s="94" t="str">
        <f>IF('Marks Entry'!V143=2,GT143,"")</f>
        <v/>
      </c>
      <c r="GW143" s="94" t="str">
        <f>IF('Marks Entry'!V143=3,GT143,"")</f>
        <v/>
      </c>
      <c r="GX143" s="94" t="str">
        <f>IF('Marks Entry'!V143=4,GT143,"")</f>
        <v/>
      </c>
      <c r="GY143" s="94" t="str">
        <f>IF('Marks Entry'!V143=5,GT143,"")</f>
        <v/>
      </c>
      <c r="GZ143" s="94" t="str">
        <f t="shared" si="473"/>
        <v/>
      </c>
      <c r="HA143" s="105" t="str">
        <f t="shared" si="409"/>
        <v/>
      </c>
      <c r="HB143" s="94" t="str">
        <f t="shared" si="474"/>
        <v/>
      </c>
      <c r="HC143" s="94" t="str">
        <f t="shared" si="475"/>
        <v/>
      </c>
      <c r="HD143" s="105" t="str">
        <f t="shared" si="410"/>
        <v/>
      </c>
      <c r="HE143" s="94" t="str">
        <f t="shared" si="476"/>
        <v/>
      </c>
      <c r="HF143" s="94" t="str">
        <f t="shared" si="477"/>
        <v/>
      </c>
      <c r="HG143" s="105" t="str">
        <f t="shared" si="411"/>
        <v/>
      </c>
      <c r="HH143" s="94" t="str">
        <f t="shared" si="478"/>
        <v/>
      </c>
      <c r="HI143" s="94" t="str">
        <f t="shared" si="479"/>
        <v/>
      </c>
      <c r="HJ143" s="105" t="str">
        <f t="shared" si="412"/>
        <v/>
      </c>
      <c r="HK143" s="94" t="str">
        <f t="shared" si="480"/>
        <v/>
      </c>
      <c r="HL143" s="94" t="str">
        <f t="shared" si="481"/>
        <v/>
      </c>
      <c r="HM143" s="105" t="str">
        <f t="shared" si="413"/>
        <v/>
      </c>
      <c r="HN143" s="367" t="str">
        <f t="shared" si="482"/>
        <v xml:space="preserve">      </v>
      </c>
      <c r="HO143" s="418" t="str">
        <f t="shared" si="414"/>
        <v xml:space="preserve">      </v>
      </c>
      <c r="HP143" s="367" t="str">
        <f t="shared" si="483"/>
        <v xml:space="preserve">      </v>
      </c>
      <c r="HQ143" s="107" t="str">
        <f t="shared" si="484"/>
        <v xml:space="preserve">      </v>
      </c>
      <c r="HR143" s="366" t="str">
        <f t="shared" si="485"/>
        <v xml:space="preserve">      </v>
      </c>
      <c r="HS143" s="544" t="str">
        <f t="shared" si="415"/>
        <v/>
      </c>
      <c r="HT143" s="542" t="str">
        <f t="shared" si="486"/>
        <v/>
      </c>
      <c r="HU143" s="541" t="str">
        <f t="shared" si="487"/>
        <v/>
      </c>
      <c r="HV143" s="540" t="str">
        <f t="shared" si="488"/>
        <v/>
      </c>
      <c r="HW143" s="537" t="str">
        <f t="shared" si="489"/>
        <v/>
      </c>
      <c r="HX143" s="539" t="str">
        <f t="shared" si="490"/>
        <v/>
      </c>
      <c r="HY143" s="553" t="str">
        <f>IFERROR(IF(OR(HS143="SUPPLEMENTARY",HS143="RE-EXAM"),'Supp. Result Entry'!AQ141,""),"")</f>
        <v/>
      </c>
      <c r="HZ143" s="538" t="str">
        <f t="shared" si="491"/>
        <v/>
      </c>
      <c r="IA143" s="415" t="str">
        <f t="shared" si="492"/>
        <v/>
      </c>
      <c r="IB143" s="415" t="str">
        <f>IF(AND(HZ143="",IA143=""),"",IF(OR(HS143="SUPPLEMENTARY",HS143="RE-EXAM"),'Supp. Result Entry'!AQ141,HS143))</f>
        <v/>
      </c>
      <c r="IC143" s="87"/>
      <c r="IS143" s="109" t="str">
        <f>IF('Supp. Result Entry'!T141="","",'Supp. Result Entry'!$T$4)</f>
        <v/>
      </c>
      <c r="IT143" s="110" t="str">
        <f>IF('Supp. Result Entry'!W141="","",'Supp. Result Entry'!$W$4)</f>
        <v/>
      </c>
      <c r="IU143" s="110" t="str">
        <f>IF('Supp. Result Entry'!Z141="","",'Supp. Result Entry'!$Z$4)</f>
        <v/>
      </c>
      <c r="IV143" s="110" t="str">
        <f>IF('Supp. Result Entry'!AC141="","",'Supp. Result Entry'!$AC$4)</f>
        <v/>
      </c>
      <c r="IW143" s="110" t="str">
        <f>IF('Supp. Result Entry'!AF141="","",'Supp. Result Entry'!$AF$4)</f>
        <v/>
      </c>
      <c r="IX143" s="110" t="str">
        <f>IF('Supp. Result Entry'!AI141="","",'Supp. Result Entry'!$AI$4)</f>
        <v/>
      </c>
      <c r="IY143" s="110" t="str">
        <f>IF('Supp. Result Entry'!AI141="","",'Supp. Result Entry'!$AL$4)</f>
        <v/>
      </c>
      <c r="IZ143" s="110" t="str">
        <f>IF('Supp. Result Entry'!U141="","",'Supp. Result Entry'!U141)</f>
        <v/>
      </c>
      <c r="JA143" s="110" t="str">
        <f>IF('Supp. Result Entry'!X141="","",'Supp. Result Entry'!X141)</f>
        <v/>
      </c>
      <c r="JB143" s="110" t="str">
        <f>IF('Supp. Result Entry'!AA141="","",'Supp. Result Entry'!AA141)</f>
        <v/>
      </c>
      <c r="JC143" s="110" t="str">
        <f>IF('Supp. Result Entry'!AD141="","",'Supp. Result Entry'!AD141)</f>
        <v/>
      </c>
      <c r="JD143" s="110" t="str">
        <f>IF('Supp. Result Entry'!AG141="","",'Supp. Result Entry'!AG141)</f>
        <v/>
      </c>
      <c r="JE143" s="110" t="str">
        <f>IF('Supp. Result Entry'!AJ141="","",'Supp. Result Entry'!AJ141)</f>
        <v/>
      </c>
      <c r="JF143" s="110" t="str">
        <f>IF('Supp. Result Entry'!AM141="","",'Supp. Result Entry'!AM141)</f>
        <v/>
      </c>
      <c r="JG143" s="110" t="str">
        <f>IF('Supp. Result Entry'!V141="","",'Supp. Result Entry'!V141)</f>
        <v/>
      </c>
      <c r="JH143" s="110" t="str">
        <f>IF('Supp. Result Entry'!Y141="","",'Supp. Result Entry'!Y141)</f>
        <v/>
      </c>
      <c r="JI143" s="110" t="str">
        <f>IF('Supp. Result Entry'!AB141="","",'Supp. Result Entry'!AB141)</f>
        <v/>
      </c>
      <c r="JJ143" s="110" t="str">
        <f>IF('Supp. Result Entry'!AE141="","",'Supp. Result Entry'!AE141)</f>
        <v/>
      </c>
      <c r="JK143" s="110" t="str">
        <f>IF('Supp. Result Entry'!AH141="","",'Supp. Result Entry'!AH141)</f>
        <v/>
      </c>
      <c r="JL143" s="110" t="str">
        <f>IF('Supp. Result Entry'!AK141="","",'Supp. Result Entry'!AK141)</f>
        <v/>
      </c>
      <c r="JM143" s="110" t="str">
        <f>IF('Supp. Result Entry'!AN141="","",'Supp. Result Entry'!AN141)</f>
        <v/>
      </c>
      <c r="JN143" s="110">
        <f>COUNTIF('Supp. Result Entry'!K141:Q141,"S")</f>
        <v>0</v>
      </c>
      <c r="JO143" s="110">
        <f t="shared" si="416"/>
        <v>0</v>
      </c>
      <c r="JP143" s="110">
        <f t="shared" si="493"/>
        <v>0</v>
      </c>
      <c r="JQ143" s="110" t="str">
        <f t="shared" si="417"/>
        <v/>
      </c>
      <c r="JR143" s="110" t="str">
        <f t="shared" si="418"/>
        <v/>
      </c>
      <c r="JS143" s="110" t="str">
        <f t="shared" si="419"/>
        <v/>
      </c>
      <c r="JT143" s="110" t="str">
        <f t="shared" si="420"/>
        <v/>
      </c>
      <c r="JU143" s="110" t="str">
        <f t="shared" si="421"/>
        <v/>
      </c>
      <c r="JV143" s="110" t="str">
        <f t="shared" si="422"/>
        <v/>
      </c>
      <c r="JW143" s="110" t="str">
        <f t="shared" si="423"/>
        <v/>
      </c>
      <c r="JX143" s="110" t="str">
        <f t="shared" si="494"/>
        <v/>
      </c>
      <c r="JY143" s="110" t="str">
        <f t="shared" si="495"/>
        <v/>
      </c>
      <c r="JZ143" s="110" t="str">
        <f t="shared" si="424"/>
        <v/>
      </c>
      <c r="KA143" s="108" t="str">
        <f t="shared" si="496"/>
        <v/>
      </c>
    </row>
    <row r="144" spans="1:287" s="108" customFormat="1" ht="21.95" customHeight="1">
      <c r="A144" s="89">
        <v>138</v>
      </c>
      <c r="B144" s="90" t="str">
        <f>IF('Marks Entry'!B144="","",'Marks Entry'!B144)</f>
        <v/>
      </c>
      <c r="C144" s="94" t="str">
        <f>IF('Marks Entry'!D144="","",'Marks Entry'!D144)</f>
        <v/>
      </c>
      <c r="D144" s="91" t="str">
        <f>IF('Marks Entry'!E144="","",'Marks Entry'!E144)</f>
        <v/>
      </c>
      <c r="E144" s="92" t="str">
        <f>IF('Marks Entry'!F144="","",'Marks Entry'!F144)</f>
        <v/>
      </c>
      <c r="F144" s="93" t="str">
        <f>IF('Marks Entry'!G144="","",'Marks Entry'!G144)</f>
        <v/>
      </c>
      <c r="G144" s="93" t="str">
        <f>IF('Marks Entry'!H144="","",'Marks Entry'!H144)</f>
        <v/>
      </c>
      <c r="H144" s="93" t="str">
        <f>IF('Marks Entry'!I144="","",'Marks Entry'!I144)</f>
        <v/>
      </c>
      <c r="I144" s="94" t="str">
        <f>IF('Marks Entry'!J144="","",'Marks Entry'!J144)</f>
        <v/>
      </c>
      <c r="J144" s="95" t="str">
        <f>IF('Marks Entry'!K144="","",'Marks Entry'!K144)</f>
        <v/>
      </c>
      <c r="K144" s="68" t="str">
        <f>IF('Marks Entry'!L144="","",'Marks Entry'!L144)</f>
        <v/>
      </c>
      <c r="L144" s="68" t="str">
        <f>IF('Marks Entry'!M144="","",'Marks Entry'!M144)</f>
        <v/>
      </c>
      <c r="M144" s="68" t="str">
        <f>IF('Marks Entry'!N144="","",'Marks Entry'!N144)</f>
        <v/>
      </c>
      <c r="N144" s="514" t="str">
        <f t="shared" si="425"/>
        <v/>
      </c>
      <c r="O144" s="68" t="str">
        <f>IF('Marks Entry'!O144="","",'Marks Entry'!O144)</f>
        <v/>
      </c>
      <c r="P144" s="515" t="str">
        <f t="shared" si="426"/>
        <v/>
      </c>
      <c r="Q144" s="68" t="str">
        <f>IF('Marks Entry'!P144="","",'Marks Entry'!P144)</f>
        <v/>
      </c>
      <c r="R144" s="96" t="str">
        <f t="shared" si="427"/>
        <v/>
      </c>
      <c r="S144" s="65">
        <f t="shared" si="428"/>
        <v>0</v>
      </c>
      <c r="T144" s="65">
        <f t="shared" si="429"/>
        <v>0</v>
      </c>
      <c r="U144" s="66" t="str">
        <f t="shared" si="339"/>
        <v/>
      </c>
      <c r="V144" s="65" t="str">
        <f t="shared" si="340"/>
        <v/>
      </c>
      <c r="W144" s="65" t="str">
        <f t="shared" si="430"/>
        <v/>
      </c>
      <c r="X144" s="65" t="str">
        <f t="shared" si="341"/>
        <v/>
      </c>
      <c r="Y144" s="68" t="str">
        <f>IF('Marks Entry'!Q144="","",'Marks Entry'!Q144)</f>
        <v/>
      </c>
      <c r="Z144" s="68" t="str">
        <f>IF('Marks Entry'!R144="","",'Marks Entry'!R144)</f>
        <v/>
      </c>
      <c r="AA144" s="68" t="str">
        <f>IF('Marks Entry'!S144="","",'Marks Entry'!S144)</f>
        <v/>
      </c>
      <c r="AB144" s="514" t="str">
        <f t="shared" si="342"/>
        <v/>
      </c>
      <c r="AC144" s="68" t="str">
        <f>IF('Marks Entry'!T144="","",'Marks Entry'!T144)</f>
        <v/>
      </c>
      <c r="AD144" s="515" t="str">
        <f t="shared" si="343"/>
        <v/>
      </c>
      <c r="AE144" s="68" t="str">
        <f>IF('Marks Entry'!U144="","",'Marks Entry'!U144)</f>
        <v/>
      </c>
      <c r="AF144" s="96" t="str">
        <f t="shared" si="344"/>
        <v/>
      </c>
      <c r="AG144" s="65">
        <f t="shared" si="345"/>
        <v>0</v>
      </c>
      <c r="AH144" s="65">
        <f t="shared" si="346"/>
        <v>0</v>
      </c>
      <c r="AI144" s="66" t="str">
        <f t="shared" si="347"/>
        <v/>
      </c>
      <c r="AJ144" s="65" t="str">
        <f t="shared" si="348"/>
        <v/>
      </c>
      <c r="AK144" s="65" t="str">
        <f t="shared" si="349"/>
        <v/>
      </c>
      <c r="AL144" s="65" t="str">
        <f t="shared" si="350"/>
        <v/>
      </c>
      <c r="AM144" s="524" t="str">
        <f>IF('Marks Entry'!V144="","",IF('Marks Entry'!V144=1,'School Profile'!$I$9,IF('Marks Entry'!V144=2,'School Profile'!$I$10,IF('Marks Entry'!V144=3,'School Profile'!$I$11,IF('Marks Entry'!V144=4,'School Profile'!$I$12,IF('Marks Entry'!V144=5,'School Profile'!$I$13,IF('Marks Entry'!V144=6,'School Profile'!$I$14,"")))))))</f>
        <v/>
      </c>
      <c r="AN144" s="68" t="str">
        <f>IF('Marks Entry'!W144="","",'Marks Entry'!W144)</f>
        <v/>
      </c>
      <c r="AO144" s="68" t="str">
        <f>IF('Marks Entry'!X144="","",'Marks Entry'!X144)</f>
        <v/>
      </c>
      <c r="AP144" s="68" t="str">
        <f>IF('Marks Entry'!Y144="","",'Marks Entry'!Y144)</f>
        <v/>
      </c>
      <c r="AQ144" s="514" t="str">
        <f t="shared" si="351"/>
        <v/>
      </c>
      <c r="AR144" s="68" t="str">
        <f>IF('Marks Entry'!Z144="","",'Marks Entry'!Z144)</f>
        <v/>
      </c>
      <c r="AS144" s="515" t="str">
        <f t="shared" si="352"/>
        <v/>
      </c>
      <c r="AT144" s="68" t="str">
        <f>IF('Marks Entry'!AA144="","",'Marks Entry'!AA144)</f>
        <v/>
      </c>
      <c r="AU144" s="96" t="str">
        <f t="shared" si="353"/>
        <v/>
      </c>
      <c r="AV144" s="65">
        <f t="shared" si="354"/>
        <v>0</v>
      </c>
      <c r="AW144" s="65">
        <f t="shared" si="355"/>
        <v>0</v>
      </c>
      <c r="AX144" s="66" t="str">
        <f t="shared" si="356"/>
        <v/>
      </c>
      <c r="AY144" s="65" t="str">
        <f t="shared" si="357"/>
        <v/>
      </c>
      <c r="AZ144" s="65" t="str">
        <f t="shared" si="358"/>
        <v/>
      </c>
      <c r="BA144" s="65" t="str">
        <f t="shared" si="359"/>
        <v/>
      </c>
      <c r="BB144" s="68" t="str">
        <f>IF('Marks Entry'!AB144="","",'Marks Entry'!AB144)</f>
        <v/>
      </c>
      <c r="BC144" s="68" t="str">
        <f>IF('Marks Entry'!AC144="","",'Marks Entry'!AC144)</f>
        <v/>
      </c>
      <c r="BD144" s="68" t="str">
        <f>IF('Marks Entry'!AD144="","",'Marks Entry'!AD144)</f>
        <v/>
      </c>
      <c r="BE144" s="514" t="str">
        <f t="shared" si="360"/>
        <v/>
      </c>
      <c r="BF144" s="68" t="str">
        <f>IF('Marks Entry'!AE144="","",'Marks Entry'!AE144)</f>
        <v/>
      </c>
      <c r="BG144" s="515" t="str">
        <f t="shared" si="361"/>
        <v/>
      </c>
      <c r="BH144" s="68" t="str">
        <f>IF('Marks Entry'!AF144="","",'Marks Entry'!AF144)</f>
        <v/>
      </c>
      <c r="BI144" s="96" t="str">
        <f t="shared" si="362"/>
        <v/>
      </c>
      <c r="BJ144" s="65">
        <f t="shared" si="363"/>
        <v>0</v>
      </c>
      <c r="BK144" s="65">
        <f t="shared" si="431"/>
        <v>0</v>
      </c>
      <c r="BL144" s="66" t="str">
        <f t="shared" si="364"/>
        <v/>
      </c>
      <c r="BM144" s="65" t="str">
        <f t="shared" si="365"/>
        <v/>
      </c>
      <c r="BN144" s="65" t="str">
        <f t="shared" si="366"/>
        <v/>
      </c>
      <c r="BO144" s="65" t="str">
        <f t="shared" si="367"/>
        <v/>
      </c>
      <c r="BP144" s="68" t="str">
        <f>IF('Marks Entry'!AG144="","",'Marks Entry'!AG144)</f>
        <v/>
      </c>
      <c r="BQ144" s="68" t="str">
        <f>IF('Marks Entry'!AH144="","",'Marks Entry'!AH144)</f>
        <v/>
      </c>
      <c r="BR144" s="68" t="str">
        <f>IF('Marks Entry'!AI144="","",'Marks Entry'!AI144)</f>
        <v/>
      </c>
      <c r="BS144" s="514" t="str">
        <f t="shared" si="368"/>
        <v/>
      </c>
      <c r="BT144" s="68" t="str">
        <f>IF('Marks Entry'!AJ144="","",'Marks Entry'!AJ144)</f>
        <v/>
      </c>
      <c r="BU144" s="515" t="str">
        <f t="shared" si="369"/>
        <v/>
      </c>
      <c r="BV144" s="68" t="str">
        <f>IF('Marks Entry'!AK144="","",'Marks Entry'!AK144)</f>
        <v/>
      </c>
      <c r="BW144" s="96" t="str">
        <f t="shared" si="370"/>
        <v/>
      </c>
      <c r="BX144" s="65">
        <f t="shared" si="371"/>
        <v>0</v>
      </c>
      <c r="BY144" s="65">
        <f t="shared" si="372"/>
        <v>0</v>
      </c>
      <c r="BZ144" s="66" t="str">
        <f t="shared" si="373"/>
        <v/>
      </c>
      <c r="CA144" s="65" t="str">
        <f t="shared" si="374"/>
        <v/>
      </c>
      <c r="CB144" s="65" t="str">
        <f t="shared" si="375"/>
        <v/>
      </c>
      <c r="CC144" s="65" t="str">
        <f t="shared" si="376"/>
        <v/>
      </c>
      <c r="CD144" s="66">
        <f t="shared" si="377"/>
        <v>0</v>
      </c>
      <c r="CE144" s="68" t="str">
        <f>IF('Marks Entry'!AL144="","",'Marks Entry'!AL144)</f>
        <v/>
      </c>
      <c r="CF144" s="68" t="str">
        <f>IF('Marks Entry'!AM144="","",'Marks Entry'!AM144)</f>
        <v/>
      </c>
      <c r="CG144" s="68" t="str">
        <f>IF('Marks Entry'!AN144="","",'Marks Entry'!AN144)</f>
        <v/>
      </c>
      <c r="CH144" s="514" t="str">
        <f t="shared" si="378"/>
        <v/>
      </c>
      <c r="CI144" s="68" t="str">
        <f>IF('Marks Entry'!AO144="","",'Marks Entry'!AO144)</f>
        <v/>
      </c>
      <c r="CJ144" s="515" t="str">
        <f t="shared" si="379"/>
        <v/>
      </c>
      <c r="CK144" s="68" t="str">
        <f>IF('Marks Entry'!AP144="","",'Marks Entry'!AP144)</f>
        <v/>
      </c>
      <c r="CL144" s="96" t="str">
        <f t="shared" si="380"/>
        <v/>
      </c>
      <c r="CM144" s="65">
        <f t="shared" si="381"/>
        <v>0</v>
      </c>
      <c r="CN144" s="65">
        <f t="shared" si="382"/>
        <v>0</v>
      </c>
      <c r="CO144" s="66" t="str">
        <f t="shared" si="383"/>
        <v/>
      </c>
      <c r="CP144" s="65" t="str">
        <f t="shared" si="384"/>
        <v/>
      </c>
      <c r="CQ144" s="65" t="str">
        <f t="shared" si="385"/>
        <v/>
      </c>
      <c r="CR144" s="65" t="str">
        <f t="shared" si="386"/>
        <v/>
      </c>
      <c r="CS144" s="616"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8" t="str">
        <f>IF('School Profile'!$D$20="NO","",IF('Marks Entry'!AR144="","",'Marks Entry'!AR144))</f>
        <v/>
      </c>
      <c r="CU144" s="68" t="str">
        <f>IF('School Profile'!$D$20="NO","",IF('Marks Entry'!AS144="","",'Marks Entry'!AS144))</f>
        <v/>
      </c>
      <c r="CV144" s="68" t="str">
        <f>IF('School Profile'!$D$20="NO","",IF('Marks Entry'!AT144="","",'Marks Entry'!AT144))</f>
        <v/>
      </c>
      <c r="CW144" s="514" t="str">
        <f>IF('School Profile'!$D$20="NO","",IF(AND(CT144="",CU144="",CV144=""),"",SUM(CT144:CV144)))</f>
        <v/>
      </c>
      <c r="CX144" s="68" t="str">
        <f>IF('School Profile'!$D$20="NO","",IF('Marks Entry'!AU144="","",'Marks Entry'!AU144))</f>
        <v/>
      </c>
      <c r="CY144" s="68" t="str">
        <f>IF('School Profile'!$D$20="NO","",IF('Marks Entry'!AV144="","",'Marks Entry'!AV144))</f>
        <v/>
      </c>
      <c r="CZ144" s="515" t="str">
        <f>IF('School Profile'!$D$20="NO","",IF(AND(CX144="",CY144=""),"",SUM(CX144,CY144)))</f>
        <v/>
      </c>
      <c r="DA144" s="69" t="str">
        <f>IF('School Profile'!$D$20="NO","",IF(AND(CW144="",CZ144=""),"",SUM(CW144+CZ144)))</f>
        <v/>
      </c>
      <c r="DB144" s="68" t="str">
        <f>IF('School Profile'!$D$20="NO","",IF('Marks Entry'!AW144="","",'Marks Entry'!AW144))</f>
        <v/>
      </c>
      <c r="DC144" s="68" t="str">
        <f>IF('School Profile'!$D$20="NO","",IF('Marks Entry'!AX144="","",'Marks Entry'!AX144))</f>
        <v/>
      </c>
      <c r="DD144" s="515" t="str">
        <f>IF('School Profile'!$D$20="NO","",IF(AND(DB144="",DC144=""),"",SUM(DB144,DC144)))</f>
        <v/>
      </c>
      <c r="DE144" s="96" t="str">
        <f>IF('School Profile'!$D$20="NO","",IF(AND(DA144="",DD144=""),"",SUM(DA144,DD144)))</f>
        <v/>
      </c>
      <c r="DF144" s="532">
        <f t="shared" si="387"/>
        <v>0</v>
      </c>
      <c r="DG144" s="65">
        <f t="shared" si="388"/>
        <v>0</v>
      </c>
      <c r="DH144" s="66" t="str">
        <f t="shared" si="389"/>
        <v/>
      </c>
      <c r="DI144" s="65" t="str">
        <f t="shared" si="390"/>
        <v/>
      </c>
      <c r="DJ144" s="65" t="str">
        <f t="shared" si="391"/>
        <v/>
      </c>
      <c r="DK144" s="65" t="str">
        <f t="shared" si="392"/>
        <v/>
      </c>
      <c r="DL144" s="97" t="str">
        <f t="shared" si="432"/>
        <v/>
      </c>
      <c r="DM144" s="97" t="str">
        <f t="shared" si="433"/>
        <v/>
      </c>
      <c r="DN144" s="97" t="str">
        <f t="shared" si="434"/>
        <v/>
      </c>
      <c r="DO144" s="97" t="str">
        <f t="shared" si="435"/>
        <v/>
      </c>
      <c r="DP144" s="97" t="str">
        <f t="shared" si="436"/>
        <v/>
      </c>
      <c r="DQ144" s="97" t="str">
        <f t="shared" si="437"/>
        <v/>
      </c>
      <c r="DR144" s="97" t="str">
        <f t="shared" si="438"/>
        <v/>
      </c>
      <c r="DS144" s="98">
        <f t="shared" si="439"/>
        <v>0</v>
      </c>
      <c r="DT144" s="98">
        <f t="shared" si="440"/>
        <v>0</v>
      </c>
      <c r="DU144" s="98">
        <f t="shared" si="441"/>
        <v>0</v>
      </c>
      <c r="DV144" s="98">
        <f t="shared" si="442"/>
        <v>0</v>
      </c>
      <c r="DW144" s="98">
        <f t="shared" si="443"/>
        <v>0</v>
      </c>
      <c r="DX144" s="98" t="str">
        <f t="shared" si="444"/>
        <v/>
      </c>
      <c r="DY144" s="99" t="str">
        <f t="shared" si="445"/>
        <v/>
      </c>
      <c r="DZ144" s="74" t="str">
        <f>IF('Marks Entry'!AY144="","",'Marks Entry'!AY144)</f>
        <v/>
      </c>
      <c r="EA144" s="74" t="str">
        <f>IF('Marks Entry'!AZ144="","",'Marks Entry'!AZ144)</f>
        <v/>
      </c>
      <c r="EB144" s="74" t="str">
        <f>IF('Marks Entry'!BA144="","",'Marks Entry'!BA144)</f>
        <v/>
      </c>
      <c r="EC144" s="527" t="str">
        <f t="shared" si="393"/>
        <v/>
      </c>
      <c r="ED144" s="74" t="str">
        <f>IF('Marks Entry'!BB144="","",'Marks Entry'!BB144)</f>
        <v/>
      </c>
      <c r="EE144" s="528" t="str">
        <f t="shared" si="394"/>
        <v/>
      </c>
      <c r="EF144" s="74" t="str">
        <f>IF('Marks Entry'!BC144="","",'Marks Entry'!BC144)</f>
        <v/>
      </c>
      <c r="EG144" s="530" t="str">
        <f t="shared" si="395"/>
        <v/>
      </c>
      <c r="EH144" s="368" t="str">
        <f t="shared" si="446"/>
        <v/>
      </c>
      <c r="EI144" s="65">
        <f t="shared" si="447"/>
        <v>0</v>
      </c>
      <c r="EJ144" s="65">
        <f t="shared" si="448"/>
        <v>0</v>
      </c>
      <c r="EK144" s="66" t="str">
        <f t="shared" si="449"/>
        <v/>
      </c>
      <c r="EL144" s="74" t="str">
        <f>IF('Marks Entry'!BD144="","",'Marks Entry'!BD144)</f>
        <v/>
      </c>
      <c r="EM144" s="74" t="str">
        <f>IF('Marks Entry'!BE144="","",'Marks Entry'!BE144)</f>
        <v/>
      </c>
      <c r="EN144" s="74" t="str">
        <f>IF('Marks Entry'!BF144="","",'Marks Entry'!BF144)</f>
        <v/>
      </c>
      <c r="EO144" s="527" t="str">
        <f t="shared" si="396"/>
        <v/>
      </c>
      <c r="EP144" s="74" t="str">
        <f>IF('Marks Entry'!BG144="","",'Marks Entry'!BG144)</f>
        <v/>
      </c>
      <c r="EQ144" s="74" t="str">
        <f>IF('Marks Entry'!BH144="","",'Marks Entry'!BH144)</f>
        <v/>
      </c>
      <c r="ER144" s="528" t="str">
        <f t="shared" si="397"/>
        <v/>
      </c>
      <c r="ES144" s="529" t="str">
        <f t="shared" si="398"/>
        <v/>
      </c>
      <c r="ET144" s="74" t="str">
        <f>IF('Marks Entry'!BI144="","",'Marks Entry'!BI144)</f>
        <v/>
      </c>
      <c r="EU144" s="74" t="str">
        <f>IF('Marks Entry'!BJ144="","",'Marks Entry'!BJ144)</f>
        <v/>
      </c>
      <c r="EV144" s="528" t="str">
        <f t="shared" si="399"/>
        <v/>
      </c>
      <c r="EW144" s="530" t="str">
        <f t="shared" si="400"/>
        <v/>
      </c>
      <c r="EX144" s="368" t="str">
        <f t="shared" si="450"/>
        <v/>
      </c>
      <c r="EY144" s="65">
        <f t="shared" si="451"/>
        <v>0</v>
      </c>
      <c r="EZ144" s="65">
        <f t="shared" si="452"/>
        <v>0</v>
      </c>
      <c r="FA144" s="66" t="str">
        <f t="shared" si="453"/>
        <v/>
      </c>
      <c r="FB144" s="74" t="str">
        <f>IF('Marks Entry'!BK144="","",'Marks Entry'!BK144)</f>
        <v/>
      </c>
      <c r="FC144" s="74" t="str">
        <f>IF('Marks Entry'!BL144="","",'Marks Entry'!BL144)</f>
        <v/>
      </c>
      <c r="FD144" s="74" t="str">
        <f>IF('Marks Entry'!BM144="","",'Marks Entry'!BM144)</f>
        <v/>
      </c>
      <c r="FE144" s="74" t="str">
        <f>IF('Marks Entry'!BN144="","",'Marks Entry'!BN144)</f>
        <v/>
      </c>
      <c r="FF144" s="74" t="str">
        <f>IF('Marks Entry'!BO144="","",'Marks Entry'!BO144)</f>
        <v/>
      </c>
      <c r="FG144" s="74" t="str">
        <f>IF('Marks Entry'!BP144="","",'Marks Entry'!BP144)</f>
        <v/>
      </c>
      <c r="FH144" s="527" t="str">
        <f t="shared" si="401"/>
        <v/>
      </c>
      <c r="FI144" s="74" t="str">
        <f>IF('Marks Entry'!BQ144="","",'Marks Entry'!BQ144)</f>
        <v/>
      </c>
      <c r="FJ144" s="74" t="str">
        <f>IF('Marks Entry'!BR144="","",'Marks Entry'!BR144)</f>
        <v/>
      </c>
      <c r="FK144" s="528" t="str">
        <f t="shared" si="402"/>
        <v/>
      </c>
      <c r="FL144" s="529" t="str">
        <f t="shared" si="403"/>
        <v/>
      </c>
      <c r="FM144" s="74" t="str">
        <f>IF('Marks Entry'!BS144="","",'Marks Entry'!BS144)</f>
        <v/>
      </c>
      <c r="FN144" s="74" t="str">
        <f>IF('Marks Entry'!BT144="","",'Marks Entry'!BT144)</f>
        <v/>
      </c>
      <c r="FO144" s="528" t="str">
        <f t="shared" si="404"/>
        <v/>
      </c>
      <c r="FP144" s="530" t="str">
        <f t="shared" si="405"/>
        <v/>
      </c>
      <c r="FQ144" s="368" t="str">
        <f t="shared" si="454"/>
        <v/>
      </c>
      <c r="FR144" s="65">
        <f t="shared" si="455"/>
        <v>0</v>
      </c>
      <c r="FS144" s="65">
        <f t="shared" si="456"/>
        <v>0</v>
      </c>
      <c r="FT144" s="66" t="str">
        <f t="shared" si="457"/>
        <v/>
      </c>
      <c r="FU144" s="74" t="str">
        <f>IF('Marks Entry'!BU144="","",'Marks Entry'!BU144)</f>
        <v/>
      </c>
      <c r="FV144" s="74" t="str">
        <f>IF('Marks Entry'!BV144="","",'Marks Entry'!BV144)</f>
        <v/>
      </c>
      <c r="FW144" s="74" t="str">
        <f>IF('Marks Entry'!BW144="","",'Marks Entry'!BW144)</f>
        <v/>
      </c>
      <c r="FX144" s="75" t="str">
        <f t="shared" si="406"/>
        <v/>
      </c>
      <c r="FY144" s="368" t="str">
        <f t="shared" si="458"/>
        <v/>
      </c>
      <c r="FZ144" s="65">
        <f t="shared" si="459"/>
        <v>0</v>
      </c>
      <c r="GA144" s="66">
        <f t="shared" si="460"/>
        <v>0</v>
      </c>
      <c r="GB144" s="66" t="str">
        <f t="shared" si="461"/>
        <v/>
      </c>
      <c r="GC144" s="74" t="str">
        <f>IF('Marks Entry'!BX144="","",'Marks Entry'!BX144)</f>
        <v/>
      </c>
      <c r="GD144" s="74" t="str">
        <f>IF('Marks Entry'!BY144="","",'Marks Entry'!BY144)</f>
        <v/>
      </c>
      <c r="GE144" s="74" t="str">
        <f>IF('Marks Entry'!BZ144="","",'Marks Entry'!BZ144)</f>
        <v/>
      </c>
      <c r="GF144" s="75" t="str">
        <f t="shared" si="462"/>
        <v/>
      </c>
      <c r="GG144" s="368" t="str">
        <f t="shared" si="463"/>
        <v/>
      </c>
      <c r="GH144" s="65">
        <f t="shared" si="464"/>
        <v>0</v>
      </c>
      <c r="GI144" s="66">
        <f t="shared" si="465"/>
        <v>0</v>
      </c>
      <c r="GJ144" s="66" t="str">
        <f t="shared" si="466"/>
        <v/>
      </c>
      <c r="GK144" s="100" t="str">
        <f>IF(AND(F144="",B144=""),"",IF('Student DATA Entry'!M141="","",'Student DATA Entry'!M141))</f>
        <v/>
      </c>
      <c r="GL144" s="101" t="str">
        <f>IF(AND(B144="",F144=""),"",IF('Student DATA Entry'!N141="","",'Student DATA Entry'!N141))</f>
        <v/>
      </c>
      <c r="GM144" s="581" t="str">
        <f t="shared" si="467"/>
        <v/>
      </c>
      <c r="GN144" s="94" t="str">
        <f t="shared" si="468"/>
        <v/>
      </c>
      <c r="GO144" s="94" t="str">
        <f t="shared" si="469"/>
        <v/>
      </c>
      <c r="GP144" s="102" t="str">
        <f t="shared" si="407"/>
        <v/>
      </c>
      <c r="GQ144" s="94" t="str">
        <f t="shared" si="470"/>
        <v/>
      </c>
      <c r="GR144" s="103" t="str">
        <f t="shared" si="471"/>
        <v/>
      </c>
      <c r="GS144" s="102" t="str">
        <f t="shared" si="408"/>
        <v/>
      </c>
      <c r="GT144" s="104" t="str">
        <f t="shared" si="472"/>
        <v/>
      </c>
      <c r="GU144" s="94" t="str">
        <f>IF('Marks Entry'!V144=1,GT144,"")</f>
        <v/>
      </c>
      <c r="GV144" s="94" t="str">
        <f>IF('Marks Entry'!V144=2,GT144,"")</f>
        <v/>
      </c>
      <c r="GW144" s="94" t="str">
        <f>IF('Marks Entry'!V144=3,GT144,"")</f>
        <v/>
      </c>
      <c r="GX144" s="94" t="str">
        <f>IF('Marks Entry'!V144=4,GT144,"")</f>
        <v/>
      </c>
      <c r="GY144" s="94" t="str">
        <f>IF('Marks Entry'!V144=5,GT144,"")</f>
        <v/>
      </c>
      <c r="GZ144" s="94" t="str">
        <f t="shared" si="473"/>
        <v/>
      </c>
      <c r="HA144" s="105" t="str">
        <f t="shared" si="409"/>
        <v/>
      </c>
      <c r="HB144" s="94" t="str">
        <f t="shared" si="474"/>
        <v/>
      </c>
      <c r="HC144" s="94" t="str">
        <f t="shared" si="475"/>
        <v/>
      </c>
      <c r="HD144" s="105" t="str">
        <f t="shared" si="410"/>
        <v/>
      </c>
      <c r="HE144" s="94" t="str">
        <f t="shared" si="476"/>
        <v/>
      </c>
      <c r="HF144" s="94" t="str">
        <f t="shared" si="477"/>
        <v/>
      </c>
      <c r="HG144" s="105" t="str">
        <f t="shared" si="411"/>
        <v/>
      </c>
      <c r="HH144" s="94" t="str">
        <f t="shared" si="478"/>
        <v/>
      </c>
      <c r="HI144" s="94" t="str">
        <f t="shared" si="479"/>
        <v/>
      </c>
      <c r="HJ144" s="105" t="str">
        <f t="shared" si="412"/>
        <v/>
      </c>
      <c r="HK144" s="94" t="str">
        <f t="shared" si="480"/>
        <v/>
      </c>
      <c r="HL144" s="94" t="str">
        <f t="shared" si="481"/>
        <v/>
      </c>
      <c r="HM144" s="105" t="str">
        <f t="shared" si="413"/>
        <v/>
      </c>
      <c r="HN144" s="367" t="str">
        <f t="shared" si="482"/>
        <v xml:space="preserve">      </v>
      </c>
      <c r="HO144" s="418" t="str">
        <f t="shared" si="414"/>
        <v xml:space="preserve">      </v>
      </c>
      <c r="HP144" s="367" t="str">
        <f t="shared" si="483"/>
        <v xml:space="preserve">      </v>
      </c>
      <c r="HQ144" s="107" t="str">
        <f t="shared" si="484"/>
        <v xml:space="preserve">      </v>
      </c>
      <c r="HR144" s="366" t="str">
        <f t="shared" si="485"/>
        <v xml:space="preserve">      </v>
      </c>
      <c r="HS144" s="544" t="str">
        <f t="shared" si="415"/>
        <v/>
      </c>
      <c r="HT144" s="542" t="str">
        <f t="shared" si="486"/>
        <v/>
      </c>
      <c r="HU144" s="541" t="str">
        <f t="shared" si="487"/>
        <v/>
      </c>
      <c r="HV144" s="540" t="str">
        <f t="shared" si="488"/>
        <v/>
      </c>
      <c r="HW144" s="537" t="str">
        <f t="shared" si="489"/>
        <v/>
      </c>
      <c r="HX144" s="539" t="str">
        <f t="shared" si="490"/>
        <v/>
      </c>
      <c r="HY144" s="553" t="str">
        <f>IFERROR(IF(OR(HS144="SUPPLEMENTARY",HS144="RE-EXAM"),'Supp. Result Entry'!AQ142,""),"")</f>
        <v/>
      </c>
      <c r="HZ144" s="538" t="str">
        <f t="shared" si="491"/>
        <v/>
      </c>
      <c r="IA144" s="415" t="str">
        <f t="shared" si="492"/>
        <v/>
      </c>
      <c r="IB144" s="415" t="str">
        <f>IF(AND(HZ144="",IA144=""),"",IF(OR(HS144="SUPPLEMENTARY",HS144="RE-EXAM"),'Supp. Result Entry'!AQ142,HS144))</f>
        <v/>
      </c>
      <c r="IC144" s="87"/>
      <c r="IS144" s="109" t="str">
        <f>IF('Supp. Result Entry'!T142="","",'Supp. Result Entry'!$T$4)</f>
        <v/>
      </c>
      <c r="IT144" s="110" t="str">
        <f>IF('Supp. Result Entry'!W142="","",'Supp. Result Entry'!$W$4)</f>
        <v/>
      </c>
      <c r="IU144" s="110" t="str">
        <f>IF('Supp. Result Entry'!Z142="","",'Supp. Result Entry'!$Z$4)</f>
        <v/>
      </c>
      <c r="IV144" s="110" t="str">
        <f>IF('Supp. Result Entry'!AC142="","",'Supp. Result Entry'!$AC$4)</f>
        <v/>
      </c>
      <c r="IW144" s="110" t="str">
        <f>IF('Supp. Result Entry'!AF142="","",'Supp. Result Entry'!$AF$4)</f>
        <v/>
      </c>
      <c r="IX144" s="110" t="str">
        <f>IF('Supp. Result Entry'!AI142="","",'Supp. Result Entry'!$AI$4)</f>
        <v/>
      </c>
      <c r="IY144" s="110" t="str">
        <f>IF('Supp. Result Entry'!AI142="","",'Supp. Result Entry'!$AL$4)</f>
        <v/>
      </c>
      <c r="IZ144" s="110" t="str">
        <f>IF('Supp. Result Entry'!U142="","",'Supp. Result Entry'!U142)</f>
        <v/>
      </c>
      <c r="JA144" s="110" t="str">
        <f>IF('Supp. Result Entry'!X142="","",'Supp. Result Entry'!X142)</f>
        <v/>
      </c>
      <c r="JB144" s="110" t="str">
        <f>IF('Supp. Result Entry'!AA142="","",'Supp. Result Entry'!AA142)</f>
        <v/>
      </c>
      <c r="JC144" s="110" t="str">
        <f>IF('Supp. Result Entry'!AD142="","",'Supp. Result Entry'!AD142)</f>
        <v/>
      </c>
      <c r="JD144" s="110" t="str">
        <f>IF('Supp. Result Entry'!AG142="","",'Supp. Result Entry'!AG142)</f>
        <v/>
      </c>
      <c r="JE144" s="110" t="str">
        <f>IF('Supp. Result Entry'!AJ142="","",'Supp. Result Entry'!AJ142)</f>
        <v/>
      </c>
      <c r="JF144" s="110" t="str">
        <f>IF('Supp. Result Entry'!AM142="","",'Supp. Result Entry'!AM142)</f>
        <v/>
      </c>
      <c r="JG144" s="110" t="str">
        <f>IF('Supp. Result Entry'!V142="","",'Supp. Result Entry'!V142)</f>
        <v/>
      </c>
      <c r="JH144" s="110" t="str">
        <f>IF('Supp. Result Entry'!Y142="","",'Supp. Result Entry'!Y142)</f>
        <v/>
      </c>
      <c r="JI144" s="110" t="str">
        <f>IF('Supp. Result Entry'!AB142="","",'Supp. Result Entry'!AB142)</f>
        <v/>
      </c>
      <c r="JJ144" s="110" t="str">
        <f>IF('Supp. Result Entry'!AE142="","",'Supp. Result Entry'!AE142)</f>
        <v/>
      </c>
      <c r="JK144" s="110" t="str">
        <f>IF('Supp. Result Entry'!AH142="","",'Supp. Result Entry'!AH142)</f>
        <v/>
      </c>
      <c r="JL144" s="110" t="str">
        <f>IF('Supp. Result Entry'!AK142="","",'Supp. Result Entry'!AK142)</f>
        <v/>
      </c>
      <c r="JM144" s="110" t="str">
        <f>IF('Supp. Result Entry'!AN142="","",'Supp. Result Entry'!AN142)</f>
        <v/>
      </c>
      <c r="JN144" s="110">
        <f>COUNTIF('Supp. Result Entry'!K142:Q142,"S")</f>
        <v>0</v>
      </c>
      <c r="JO144" s="110">
        <f t="shared" si="416"/>
        <v>0</v>
      </c>
      <c r="JP144" s="110">
        <f t="shared" si="493"/>
        <v>0</v>
      </c>
      <c r="JQ144" s="110" t="str">
        <f t="shared" si="417"/>
        <v/>
      </c>
      <c r="JR144" s="110" t="str">
        <f t="shared" si="418"/>
        <v/>
      </c>
      <c r="JS144" s="110" t="str">
        <f t="shared" si="419"/>
        <v/>
      </c>
      <c r="JT144" s="110" t="str">
        <f t="shared" si="420"/>
        <v/>
      </c>
      <c r="JU144" s="110" t="str">
        <f t="shared" si="421"/>
        <v/>
      </c>
      <c r="JV144" s="110" t="str">
        <f t="shared" si="422"/>
        <v/>
      </c>
      <c r="JW144" s="110" t="str">
        <f t="shared" si="423"/>
        <v/>
      </c>
      <c r="JX144" s="110" t="str">
        <f t="shared" si="494"/>
        <v/>
      </c>
      <c r="JY144" s="110" t="str">
        <f t="shared" si="495"/>
        <v/>
      </c>
      <c r="JZ144" s="110" t="str">
        <f t="shared" si="424"/>
        <v/>
      </c>
      <c r="KA144" s="108" t="str">
        <f t="shared" si="496"/>
        <v/>
      </c>
    </row>
    <row r="145" spans="1:287" s="108" customFormat="1" ht="21.95" customHeight="1">
      <c r="A145" s="89">
        <v>139</v>
      </c>
      <c r="B145" s="90" t="str">
        <f>IF('Marks Entry'!B145="","",'Marks Entry'!B145)</f>
        <v/>
      </c>
      <c r="C145" s="94" t="str">
        <f>IF('Marks Entry'!D145="","",'Marks Entry'!D145)</f>
        <v/>
      </c>
      <c r="D145" s="91" t="str">
        <f>IF('Marks Entry'!E145="","",'Marks Entry'!E145)</f>
        <v/>
      </c>
      <c r="E145" s="92" t="str">
        <f>IF('Marks Entry'!F145="","",'Marks Entry'!F145)</f>
        <v/>
      </c>
      <c r="F145" s="93" t="str">
        <f>IF('Marks Entry'!G145="","",'Marks Entry'!G145)</f>
        <v/>
      </c>
      <c r="G145" s="93" t="str">
        <f>IF('Marks Entry'!H145="","",'Marks Entry'!H145)</f>
        <v/>
      </c>
      <c r="H145" s="93" t="str">
        <f>IF('Marks Entry'!I145="","",'Marks Entry'!I145)</f>
        <v/>
      </c>
      <c r="I145" s="94" t="str">
        <f>IF('Marks Entry'!J145="","",'Marks Entry'!J145)</f>
        <v/>
      </c>
      <c r="J145" s="95" t="str">
        <f>IF('Marks Entry'!K145="","",'Marks Entry'!K145)</f>
        <v/>
      </c>
      <c r="K145" s="68" t="str">
        <f>IF('Marks Entry'!L145="","",'Marks Entry'!L145)</f>
        <v/>
      </c>
      <c r="L145" s="68" t="str">
        <f>IF('Marks Entry'!M145="","",'Marks Entry'!M145)</f>
        <v/>
      </c>
      <c r="M145" s="68" t="str">
        <f>IF('Marks Entry'!N145="","",'Marks Entry'!N145)</f>
        <v/>
      </c>
      <c r="N145" s="514" t="str">
        <f t="shared" si="425"/>
        <v/>
      </c>
      <c r="O145" s="68" t="str">
        <f>IF('Marks Entry'!O145="","",'Marks Entry'!O145)</f>
        <v/>
      </c>
      <c r="P145" s="515" t="str">
        <f t="shared" si="426"/>
        <v/>
      </c>
      <c r="Q145" s="68" t="str">
        <f>IF('Marks Entry'!P145="","",'Marks Entry'!P145)</f>
        <v/>
      </c>
      <c r="R145" s="96" t="str">
        <f t="shared" si="427"/>
        <v/>
      </c>
      <c r="S145" s="65">
        <f t="shared" si="428"/>
        <v>0</v>
      </c>
      <c r="T145" s="65">
        <f t="shared" si="429"/>
        <v>0</v>
      </c>
      <c r="U145" s="66" t="str">
        <f t="shared" si="339"/>
        <v/>
      </c>
      <c r="V145" s="65" t="str">
        <f t="shared" si="340"/>
        <v/>
      </c>
      <c r="W145" s="65" t="str">
        <f t="shared" si="430"/>
        <v/>
      </c>
      <c r="X145" s="65" t="str">
        <f t="shared" si="341"/>
        <v/>
      </c>
      <c r="Y145" s="68" t="str">
        <f>IF('Marks Entry'!Q145="","",'Marks Entry'!Q145)</f>
        <v/>
      </c>
      <c r="Z145" s="68" t="str">
        <f>IF('Marks Entry'!R145="","",'Marks Entry'!R145)</f>
        <v/>
      </c>
      <c r="AA145" s="68" t="str">
        <f>IF('Marks Entry'!S145="","",'Marks Entry'!S145)</f>
        <v/>
      </c>
      <c r="AB145" s="514" t="str">
        <f t="shared" si="342"/>
        <v/>
      </c>
      <c r="AC145" s="68" t="str">
        <f>IF('Marks Entry'!T145="","",'Marks Entry'!T145)</f>
        <v/>
      </c>
      <c r="AD145" s="515" t="str">
        <f t="shared" si="343"/>
        <v/>
      </c>
      <c r="AE145" s="68" t="str">
        <f>IF('Marks Entry'!U145="","",'Marks Entry'!U145)</f>
        <v/>
      </c>
      <c r="AF145" s="96" t="str">
        <f t="shared" si="344"/>
        <v/>
      </c>
      <c r="AG145" s="65">
        <f t="shared" si="345"/>
        <v>0</v>
      </c>
      <c r="AH145" s="65">
        <f t="shared" si="346"/>
        <v>0</v>
      </c>
      <c r="AI145" s="66" t="str">
        <f t="shared" si="347"/>
        <v/>
      </c>
      <c r="AJ145" s="65" t="str">
        <f t="shared" si="348"/>
        <v/>
      </c>
      <c r="AK145" s="65" t="str">
        <f t="shared" si="349"/>
        <v/>
      </c>
      <c r="AL145" s="65" t="str">
        <f t="shared" si="350"/>
        <v/>
      </c>
      <c r="AM145" s="524" t="str">
        <f>IF('Marks Entry'!V145="","",IF('Marks Entry'!V145=1,'School Profile'!$I$9,IF('Marks Entry'!V145=2,'School Profile'!$I$10,IF('Marks Entry'!V145=3,'School Profile'!$I$11,IF('Marks Entry'!V145=4,'School Profile'!$I$12,IF('Marks Entry'!V145=5,'School Profile'!$I$13,IF('Marks Entry'!V145=6,'School Profile'!$I$14,"")))))))</f>
        <v/>
      </c>
      <c r="AN145" s="68" t="str">
        <f>IF('Marks Entry'!W145="","",'Marks Entry'!W145)</f>
        <v/>
      </c>
      <c r="AO145" s="68" t="str">
        <f>IF('Marks Entry'!X145="","",'Marks Entry'!X145)</f>
        <v/>
      </c>
      <c r="AP145" s="68" t="str">
        <f>IF('Marks Entry'!Y145="","",'Marks Entry'!Y145)</f>
        <v/>
      </c>
      <c r="AQ145" s="514" t="str">
        <f t="shared" si="351"/>
        <v/>
      </c>
      <c r="AR145" s="68" t="str">
        <f>IF('Marks Entry'!Z145="","",'Marks Entry'!Z145)</f>
        <v/>
      </c>
      <c r="AS145" s="515" t="str">
        <f t="shared" si="352"/>
        <v/>
      </c>
      <c r="AT145" s="68" t="str">
        <f>IF('Marks Entry'!AA145="","",'Marks Entry'!AA145)</f>
        <v/>
      </c>
      <c r="AU145" s="96" t="str">
        <f t="shared" si="353"/>
        <v/>
      </c>
      <c r="AV145" s="65">
        <f t="shared" si="354"/>
        <v>0</v>
      </c>
      <c r="AW145" s="65">
        <f t="shared" si="355"/>
        <v>0</v>
      </c>
      <c r="AX145" s="66" t="str">
        <f t="shared" si="356"/>
        <v/>
      </c>
      <c r="AY145" s="65" t="str">
        <f t="shared" si="357"/>
        <v/>
      </c>
      <c r="AZ145" s="65" t="str">
        <f t="shared" si="358"/>
        <v/>
      </c>
      <c r="BA145" s="65" t="str">
        <f t="shared" si="359"/>
        <v/>
      </c>
      <c r="BB145" s="68" t="str">
        <f>IF('Marks Entry'!AB145="","",'Marks Entry'!AB145)</f>
        <v/>
      </c>
      <c r="BC145" s="68" t="str">
        <f>IF('Marks Entry'!AC145="","",'Marks Entry'!AC145)</f>
        <v/>
      </c>
      <c r="BD145" s="68" t="str">
        <f>IF('Marks Entry'!AD145="","",'Marks Entry'!AD145)</f>
        <v/>
      </c>
      <c r="BE145" s="514" t="str">
        <f t="shared" si="360"/>
        <v/>
      </c>
      <c r="BF145" s="68" t="str">
        <f>IF('Marks Entry'!AE145="","",'Marks Entry'!AE145)</f>
        <v/>
      </c>
      <c r="BG145" s="515" t="str">
        <f t="shared" si="361"/>
        <v/>
      </c>
      <c r="BH145" s="68" t="str">
        <f>IF('Marks Entry'!AF145="","",'Marks Entry'!AF145)</f>
        <v/>
      </c>
      <c r="BI145" s="96" t="str">
        <f t="shared" si="362"/>
        <v/>
      </c>
      <c r="BJ145" s="65">
        <f t="shared" si="363"/>
        <v>0</v>
      </c>
      <c r="BK145" s="65">
        <f t="shared" si="431"/>
        <v>0</v>
      </c>
      <c r="BL145" s="66" t="str">
        <f t="shared" si="364"/>
        <v/>
      </c>
      <c r="BM145" s="65" t="str">
        <f t="shared" si="365"/>
        <v/>
      </c>
      <c r="BN145" s="65" t="str">
        <f t="shared" si="366"/>
        <v/>
      </c>
      <c r="BO145" s="65" t="str">
        <f t="shared" si="367"/>
        <v/>
      </c>
      <c r="BP145" s="68" t="str">
        <f>IF('Marks Entry'!AG145="","",'Marks Entry'!AG145)</f>
        <v/>
      </c>
      <c r="BQ145" s="68" t="str">
        <f>IF('Marks Entry'!AH145="","",'Marks Entry'!AH145)</f>
        <v/>
      </c>
      <c r="BR145" s="68" t="str">
        <f>IF('Marks Entry'!AI145="","",'Marks Entry'!AI145)</f>
        <v/>
      </c>
      <c r="BS145" s="514" t="str">
        <f t="shared" si="368"/>
        <v/>
      </c>
      <c r="BT145" s="68" t="str">
        <f>IF('Marks Entry'!AJ145="","",'Marks Entry'!AJ145)</f>
        <v/>
      </c>
      <c r="BU145" s="515" t="str">
        <f t="shared" si="369"/>
        <v/>
      </c>
      <c r="BV145" s="68" t="str">
        <f>IF('Marks Entry'!AK145="","",'Marks Entry'!AK145)</f>
        <v/>
      </c>
      <c r="BW145" s="96" t="str">
        <f t="shared" si="370"/>
        <v/>
      </c>
      <c r="BX145" s="65">
        <f t="shared" si="371"/>
        <v>0</v>
      </c>
      <c r="BY145" s="65">
        <f t="shared" si="372"/>
        <v>0</v>
      </c>
      <c r="BZ145" s="66" t="str">
        <f t="shared" si="373"/>
        <v/>
      </c>
      <c r="CA145" s="65" t="str">
        <f t="shared" si="374"/>
        <v/>
      </c>
      <c r="CB145" s="65" t="str">
        <f t="shared" si="375"/>
        <v/>
      </c>
      <c r="CC145" s="65" t="str">
        <f t="shared" si="376"/>
        <v/>
      </c>
      <c r="CD145" s="66">
        <f t="shared" si="377"/>
        <v>0</v>
      </c>
      <c r="CE145" s="68" t="str">
        <f>IF('Marks Entry'!AL145="","",'Marks Entry'!AL145)</f>
        <v/>
      </c>
      <c r="CF145" s="68" t="str">
        <f>IF('Marks Entry'!AM145="","",'Marks Entry'!AM145)</f>
        <v/>
      </c>
      <c r="CG145" s="68" t="str">
        <f>IF('Marks Entry'!AN145="","",'Marks Entry'!AN145)</f>
        <v/>
      </c>
      <c r="CH145" s="514" t="str">
        <f t="shared" si="378"/>
        <v/>
      </c>
      <c r="CI145" s="68" t="str">
        <f>IF('Marks Entry'!AO145="","",'Marks Entry'!AO145)</f>
        <v/>
      </c>
      <c r="CJ145" s="515" t="str">
        <f t="shared" si="379"/>
        <v/>
      </c>
      <c r="CK145" s="68" t="str">
        <f>IF('Marks Entry'!AP145="","",'Marks Entry'!AP145)</f>
        <v/>
      </c>
      <c r="CL145" s="96" t="str">
        <f t="shared" si="380"/>
        <v/>
      </c>
      <c r="CM145" s="65">
        <f t="shared" si="381"/>
        <v>0</v>
      </c>
      <c r="CN145" s="65">
        <f t="shared" si="382"/>
        <v>0</v>
      </c>
      <c r="CO145" s="66" t="str">
        <f t="shared" si="383"/>
        <v/>
      </c>
      <c r="CP145" s="65" t="str">
        <f t="shared" si="384"/>
        <v/>
      </c>
      <c r="CQ145" s="65" t="str">
        <f t="shared" si="385"/>
        <v/>
      </c>
      <c r="CR145" s="65" t="str">
        <f t="shared" si="386"/>
        <v/>
      </c>
      <c r="CS145" s="616"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8" t="str">
        <f>IF('School Profile'!$D$20="NO","",IF('Marks Entry'!AR145="","",'Marks Entry'!AR145))</f>
        <v/>
      </c>
      <c r="CU145" s="68" t="str">
        <f>IF('School Profile'!$D$20="NO","",IF('Marks Entry'!AS145="","",'Marks Entry'!AS145))</f>
        <v/>
      </c>
      <c r="CV145" s="68" t="str">
        <f>IF('School Profile'!$D$20="NO","",IF('Marks Entry'!AT145="","",'Marks Entry'!AT145))</f>
        <v/>
      </c>
      <c r="CW145" s="514" t="str">
        <f>IF('School Profile'!$D$20="NO","",IF(AND(CT145="",CU145="",CV145=""),"",SUM(CT145:CV145)))</f>
        <v/>
      </c>
      <c r="CX145" s="68" t="str">
        <f>IF('School Profile'!$D$20="NO","",IF('Marks Entry'!AU145="","",'Marks Entry'!AU145))</f>
        <v/>
      </c>
      <c r="CY145" s="68" t="str">
        <f>IF('School Profile'!$D$20="NO","",IF('Marks Entry'!AV145="","",'Marks Entry'!AV145))</f>
        <v/>
      </c>
      <c r="CZ145" s="515" t="str">
        <f>IF('School Profile'!$D$20="NO","",IF(AND(CX145="",CY145=""),"",SUM(CX145,CY145)))</f>
        <v/>
      </c>
      <c r="DA145" s="69" t="str">
        <f>IF('School Profile'!$D$20="NO","",IF(AND(CW145="",CZ145=""),"",SUM(CW145+CZ145)))</f>
        <v/>
      </c>
      <c r="DB145" s="68" t="str">
        <f>IF('School Profile'!$D$20="NO","",IF('Marks Entry'!AW145="","",'Marks Entry'!AW145))</f>
        <v/>
      </c>
      <c r="DC145" s="68" t="str">
        <f>IF('School Profile'!$D$20="NO","",IF('Marks Entry'!AX145="","",'Marks Entry'!AX145))</f>
        <v/>
      </c>
      <c r="DD145" s="515" t="str">
        <f>IF('School Profile'!$D$20="NO","",IF(AND(DB145="",DC145=""),"",SUM(DB145,DC145)))</f>
        <v/>
      </c>
      <c r="DE145" s="96" t="str">
        <f>IF('School Profile'!$D$20="NO","",IF(AND(DA145="",DD145=""),"",SUM(DA145,DD145)))</f>
        <v/>
      </c>
      <c r="DF145" s="532">
        <f t="shared" si="387"/>
        <v>0</v>
      </c>
      <c r="DG145" s="65">
        <f t="shared" si="388"/>
        <v>0</v>
      </c>
      <c r="DH145" s="66" t="str">
        <f t="shared" si="389"/>
        <v/>
      </c>
      <c r="DI145" s="65" t="str">
        <f t="shared" si="390"/>
        <v/>
      </c>
      <c r="DJ145" s="65" t="str">
        <f t="shared" si="391"/>
        <v/>
      </c>
      <c r="DK145" s="65" t="str">
        <f t="shared" si="392"/>
        <v/>
      </c>
      <c r="DL145" s="97" t="str">
        <f t="shared" si="432"/>
        <v/>
      </c>
      <c r="DM145" s="97" t="str">
        <f t="shared" si="433"/>
        <v/>
      </c>
      <c r="DN145" s="97" t="str">
        <f t="shared" si="434"/>
        <v/>
      </c>
      <c r="DO145" s="97" t="str">
        <f t="shared" si="435"/>
        <v/>
      </c>
      <c r="DP145" s="97" t="str">
        <f t="shared" si="436"/>
        <v/>
      </c>
      <c r="DQ145" s="97" t="str">
        <f t="shared" si="437"/>
        <v/>
      </c>
      <c r="DR145" s="97" t="str">
        <f t="shared" si="438"/>
        <v/>
      </c>
      <c r="DS145" s="98">
        <f t="shared" si="439"/>
        <v>0</v>
      </c>
      <c r="DT145" s="98">
        <f t="shared" si="440"/>
        <v>0</v>
      </c>
      <c r="DU145" s="98">
        <f t="shared" si="441"/>
        <v>0</v>
      </c>
      <c r="DV145" s="98">
        <f t="shared" si="442"/>
        <v>0</v>
      </c>
      <c r="DW145" s="98">
        <f t="shared" si="443"/>
        <v>0</v>
      </c>
      <c r="DX145" s="98" t="str">
        <f t="shared" si="444"/>
        <v/>
      </c>
      <c r="DY145" s="99" t="str">
        <f t="shared" si="445"/>
        <v/>
      </c>
      <c r="DZ145" s="74" t="str">
        <f>IF('Marks Entry'!AY145="","",'Marks Entry'!AY145)</f>
        <v/>
      </c>
      <c r="EA145" s="74" t="str">
        <f>IF('Marks Entry'!AZ145="","",'Marks Entry'!AZ145)</f>
        <v/>
      </c>
      <c r="EB145" s="74" t="str">
        <f>IF('Marks Entry'!BA145="","",'Marks Entry'!BA145)</f>
        <v/>
      </c>
      <c r="EC145" s="527" t="str">
        <f t="shared" si="393"/>
        <v/>
      </c>
      <c r="ED145" s="74" t="str">
        <f>IF('Marks Entry'!BB145="","",'Marks Entry'!BB145)</f>
        <v/>
      </c>
      <c r="EE145" s="528" t="str">
        <f t="shared" si="394"/>
        <v/>
      </c>
      <c r="EF145" s="74" t="str">
        <f>IF('Marks Entry'!BC145="","",'Marks Entry'!BC145)</f>
        <v/>
      </c>
      <c r="EG145" s="530" t="str">
        <f t="shared" si="395"/>
        <v/>
      </c>
      <c r="EH145" s="368" t="str">
        <f t="shared" si="446"/>
        <v/>
      </c>
      <c r="EI145" s="65">
        <f t="shared" si="447"/>
        <v>0</v>
      </c>
      <c r="EJ145" s="65">
        <f t="shared" si="448"/>
        <v>0</v>
      </c>
      <c r="EK145" s="66" t="str">
        <f t="shared" si="449"/>
        <v/>
      </c>
      <c r="EL145" s="74" t="str">
        <f>IF('Marks Entry'!BD145="","",'Marks Entry'!BD145)</f>
        <v/>
      </c>
      <c r="EM145" s="74" t="str">
        <f>IF('Marks Entry'!BE145="","",'Marks Entry'!BE145)</f>
        <v/>
      </c>
      <c r="EN145" s="74" t="str">
        <f>IF('Marks Entry'!BF145="","",'Marks Entry'!BF145)</f>
        <v/>
      </c>
      <c r="EO145" s="527" t="str">
        <f t="shared" si="396"/>
        <v/>
      </c>
      <c r="EP145" s="74" t="str">
        <f>IF('Marks Entry'!BG145="","",'Marks Entry'!BG145)</f>
        <v/>
      </c>
      <c r="EQ145" s="74" t="str">
        <f>IF('Marks Entry'!BH145="","",'Marks Entry'!BH145)</f>
        <v/>
      </c>
      <c r="ER145" s="528" t="str">
        <f t="shared" si="397"/>
        <v/>
      </c>
      <c r="ES145" s="529" t="str">
        <f t="shared" si="398"/>
        <v/>
      </c>
      <c r="ET145" s="74" t="str">
        <f>IF('Marks Entry'!BI145="","",'Marks Entry'!BI145)</f>
        <v/>
      </c>
      <c r="EU145" s="74" t="str">
        <f>IF('Marks Entry'!BJ145="","",'Marks Entry'!BJ145)</f>
        <v/>
      </c>
      <c r="EV145" s="528" t="str">
        <f t="shared" si="399"/>
        <v/>
      </c>
      <c r="EW145" s="530" t="str">
        <f t="shared" si="400"/>
        <v/>
      </c>
      <c r="EX145" s="368" t="str">
        <f t="shared" si="450"/>
        <v/>
      </c>
      <c r="EY145" s="65">
        <f t="shared" si="451"/>
        <v>0</v>
      </c>
      <c r="EZ145" s="65">
        <f t="shared" si="452"/>
        <v>0</v>
      </c>
      <c r="FA145" s="66" t="str">
        <f t="shared" si="453"/>
        <v/>
      </c>
      <c r="FB145" s="74" t="str">
        <f>IF('Marks Entry'!BK145="","",'Marks Entry'!BK145)</f>
        <v/>
      </c>
      <c r="FC145" s="74" t="str">
        <f>IF('Marks Entry'!BL145="","",'Marks Entry'!BL145)</f>
        <v/>
      </c>
      <c r="FD145" s="74" t="str">
        <f>IF('Marks Entry'!BM145="","",'Marks Entry'!BM145)</f>
        <v/>
      </c>
      <c r="FE145" s="74" t="str">
        <f>IF('Marks Entry'!BN145="","",'Marks Entry'!BN145)</f>
        <v/>
      </c>
      <c r="FF145" s="74" t="str">
        <f>IF('Marks Entry'!BO145="","",'Marks Entry'!BO145)</f>
        <v/>
      </c>
      <c r="FG145" s="74" t="str">
        <f>IF('Marks Entry'!BP145="","",'Marks Entry'!BP145)</f>
        <v/>
      </c>
      <c r="FH145" s="527" t="str">
        <f t="shared" si="401"/>
        <v/>
      </c>
      <c r="FI145" s="74" t="str">
        <f>IF('Marks Entry'!BQ145="","",'Marks Entry'!BQ145)</f>
        <v/>
      </c>
      <c r="FJ145" s="74" t="str">
        <f>IF('Marks Entry'!BR145="","",'Marks Entry'!BR145)</f>
        <v/>
      </c>
      <c r="FK145" s="528" t="str">
        <f t="shared" si="402"/>
        <v/>
      </c>
      <c r="FL145" s="529" t="str">
        <f t="shared" si="403"/>
        <v/>
      </c>
      <c r="FM145" s="74" t="str">
        <f>IF('Marks Entry'!BS145="","",'Marks Entry'!BS145)</f>
        <v/>
      </c>
      <c r="FN145" s="74" t="str">
        <f>IF('Marks Entry'!BT145="","",'Marks Entry'!BT145)</f>
        <v/>
      </c>
      <c r="FO145" s="528" t="str">
        <f t="shared" si="404"/>
        <v/>
      </c>
      <c r="FP145" s="530" t="str">
        <f t="shared" si="405"/>
        <v/>
      </c>
      <c r="FQ145" s="368" t="str">
        <f t="shared" si="454"/>
        <v/>
      </c>
      <c r="FR145" s="65">
        <f t="shared" si="455"/>
        <v>0</v>
      </c>
      <c r="FS145" s="65">
        <f t="shared" si="456"/>
        <v>0</v>
      </c>
      <c r="FT145" s="66" t="str">
        <f t="shared" si="457"/>
        <v/>
      </c>
      <c r="FU145" s="74" t="str">
        <f>IF('Marks Entry'!BU145="","",'Marks Entry'!BU145)</f>
        <v/>
      </c>
      <c r="FV145" s="74" t="str">
        <f>IF('Marks Entry'!BV145="","",'Marks Entry'!BV145)</f>
        <v/>
      </c>
      <c r="FW145" s="74" t="str">
        <f>IF('Marks Entry'!BW145="","",'Marks Entry'!BW145)</f>
        <v/>
      </c>
      <c r="FX145" s="75" t="str">
        <f t="shared" si="406"/>
        <v/>
      </c>
      <c r="FY145" s="368" t="str">
        <f t="shared" si="458"/>
        <v/>
      </c>
      <c r="FZ145" s="65">
        <f t="shared" si="459"/>
        <v>0</v>
      </c>
      <c r="GA145" s="66">
        <f t="shared" si="460"/>
        <v>0</v>
      </c>
      <c r="GB145" s="66" t="str">
        <f t="shared" si="461"/>
        <v/>
      </c>
      <c r="GC145" s="74" t="str">
        <f>IF('Marks Entry'!BX145="","",'Marks Entry'!BX145)</f>
        <v/>
      </c>
      <c r="GD145" s="74" t="str">
        <f>IF('Marks Entry'!BY145="","",'Marks Entry'!BY145)</f>
        <v/>
      </c>
      <c r="GE145" s="74" t="str">
        <f>IF('Marks Entry'!BZ145="","",'Marks Entry'!BZ145)</f>
        <v/>
      </c>
      <c r="GF145" s="75" t="str">
        <f t="shared" si="462"/>
        <v/>
      </c>
      <c r="GG145" s="368" t="str">
        <f t="shared" si="463"/>
        <v/>
      </c>
      <c r="GH145" s="65">
        <f t="shared" si="464"/>
        <v>0</v>
      </c>
      <c r="GI145" s="66">
        <f t="shared" si="465"/>
        <v>0</v>
      </c>
      <c r="GJ145" s="66" t="str">
        <f t="shared" si="466"/>
        <v/>
      </c>
      <c r="GK145" s="100" t="str">
        <f>IF(AND(F145="",B145=""),"",IF('Student DATA Entry'!M142="","",'Student DATA Entry'!M142))</f>
        <v/>
      </c>
      <c r="GL145" s="101" t="str">
        <f>IF(AND(B145="",F145=""),"",IF('Student DATA Entry'!N142="","",'Student DATA Entry'!N142))</f>
        <v/>
      </c>
      <c r="GM145" s="581" t="str">
        <f t="shared" si="467"/>
        <v/>
      </c>
      <c r="GN145" s="94" t="str">
        <f t="shared" si="468"/>
        <v/>
      </c>
      <c r="GO145" s="94" t="str">
        <f t="shared" si="469"/>
        <v/>
      </c>
      <c r="GP145" s="102" t="str">
        <f t="shared" si="407"/>
        <v/>
      </c>
      <c r="GQ145" s="94" t="str">
        <f t="shared" si="470"/>
        <v/>
      </c>
      <c r="GR145" s="103" t="str">
        <f t="shared" si="471"/>
        <v/>
      </c>
      <c r="GS145" s="102" t="str">
        <f t="shared" si="408"/>
        <v/>
      </c>
      <c r="GT145" s="104" t="str">
        <f t="shared" si="472"/>
        <v/>
      </c>
      <c r="GU145" s="94" t="str">
        <f>IF('Marks Entry'!V145=1,GT145,"")</f>
        <v/>
      </c>
      <c r="GV145" s="94" t="str">
        <f>IF('Marks Entry'!V145=2,GT145,"")</f>
        <v/>
      </c>
      <c r="GW145" s="94" t="str">
        <f>IF('Marks Entry'!V145=3,GT145,"")</f>
        <v/>
      </c>
      <c r="GX145" s="94" t="str">
        <f>IF('Marks Entry'!V145=4,GT145,"")</f>
        <v/>
      </c>
      <c r="GY145" s="94" t="str">
        <f>IF('Marks Entry'!V145=5,GT145,"")</f>
        <v/>
      </c>
      <c r="GZ145" s="94" t="str">
        <f t="shared" si="473"/>
        <v/>
      </c>
      <c r="HA145" s="105" t="str">
        <f t="shared" si="409"/>
        <v/>
      </c>
      <c r="HB145" s="94" t="str">
        <f t="shared" si="474"/>
        <v/>
      </c>
      <c r="HC145" s="94" t="str">
        <f t="shared" si="475"/>
        <v/>
      </c>
      <c r="HD145" s="105" t="str">
        <f t="shared" si="410"/>
        <v/>
      </c>
      <c r="HE145" s="94" t="str">
        <f t="shared" si="476"/>
        <v/>
      </c>
      <c r="HF145" s="94" t="str">
        <f t="shared" si="477"/>
        <v/>
      </c>
      <c r="HG145" s="105" t="str">
        <f t="shared" si="411"/>
        <v/>
      </c>
      <c r="HH145" s="94" t="str">
        <f t="shared" si="478"/>
        <v/>
      </c>
      <c r="HI145" s="94" t="str">
        <f t="shared" si="479"/>
        <v/>
      </c>
      <c r="HJ145" s="105" t="str">
        <f t="shared" si="412"/>
        <v/>
      </c>
      <c r="HK145" s="94" t="str">
        <f t="shared" si="480"/>
        <v/>
      </c>
      <c r="HL145" s="94" t="str">
        <f t="shared" si="481"/>
        <v/>
      </c>
      <c r="HM145" s="105" t="str">
        <f t="shared" si="413"/>
        <v/>
      </c>
      <c r="HN145" s="367" t="str">
        <f t="shared" si="482"/>
        <v xml:space="preserve">      </v>
      </c>
      <c r="HO145" s="418" t="str">
        <f t="shared" si="414"/>
        <v xml:space="preserve">      </v>
      </c>
      <c r="HP145" s="367" t="str">
        <f t="shared" si="483"/>
        <v xml:space="preserve">      </v>
      </c>
      <c r="HQ145" s="107" t="str">
        <f t="shared" si="484"/>
        <v xml:space="preserve">      </v>
      </c>
      <c r="HR145" s="366" t="str">
        <f t="shared" si="485"/>
        <v xml:space="preserve">      </v>
      </c>
      <c r="HS145" s="544" t="str">
        <f t="shared" si="415"/>
        <v/>
      </c>
      <c r="HT145" s="542" t="str">
        <f t="shared" si="486"/>
        <v/>
      </c>
      <c r="HU145" s="541" t="str">
        <f t="shared" si="487"/>
        <v/>
      </c>
      <c r="HV145" s="540" t="str">
        <f t="shared" si="488"/>
        <v/>
      </c>
      <c r="HW145" s="537" t="str">
        <f t="shared" si="489"/>
        <v/>
      </c>
      <c r="HX145" s="539" t="str">
        <f t="shared" si="490"/>
        <v/>
      </c>
      <c r="HY145" s="553" t="str">
        <f>IFERROR(IF(OR(HS145="SUPPLEMENTARY",HS145="RE-EXAM"),'Supp. Result Entry'!AQ143,""),"")</f>
        <v/>
      </c>
      <c r="HZ145" s="538" t="str">
        <f t="shared" si="491"/>
        <v/>
      </c>
      <c r="IA145" s="415" t="str">
        <f t="shared" si="492"/>
        <v/>
      </c>
      <c r="IB145" s="415" t="str">
        <f>IF(AND(HZ145="",IA145=""),"",IF(OR(HS145="SUPPLEMENTARY",HS145="RE-EXAM"),'Supp. Result Entry'!AQ143,HS145))</f>
        <v/>
      </c>
      <c r="IC145" s="87"/>
      <c r="IS145" s="109" t="str">
        <f>IF('Supp. Result Entry'!T143="","",'Supp. Result Entry'!$T$4)</f>
        <v/>
      </c>
      <c r="IT145" s="110" t="str">
        <f>IF('Supp. Result Entry'!W143="","",'Supp. Result Entry'!$W$4)</f>
        <v/>
      </c>
      <c r="IU145" s="110" t="str">
        <f>IF('Supp. Result Entry'!Z143="","",'Supp. Result Entry'!$Z$4)</f>
        <v/>
      </c>
      <c r="IV145" s="110" t="str">
        <f>IF('Supp. Result Entry'!AC143="","",'Supp. Result Entry'!$AC$4)</f>
        <v/>
      </c>
      <c r="IW145" s="110" t="str">
        <f>IF('Supp. Result Entry'!AF143="","",'Supp. Result Entry'!$AF$4)</f>
        <v/>
      </c>
      <c r="IX145" s="110" t="str">
        <f>IF('Supp. Result Entry'!AI143="","",'Supp. Result Entry'!$AI$4)</f>
        <v/>
      </c>
      <c r="IY145" s="110" t="str">
        <f>IF('Supp. Result Entry'!AI143="","",'Supp. Result Entry'!$AL$4)</f>
        <v/>
      </c>
      <c r="IZ145" s="110" t="str">
        <f>IF('Supp. Result Entry'!U143="","",'Supp. Result Entry'!U143)</f>
        <v/>
      </c>
      <c r="JA145" s="110" t="str">
        <f>IF('Supp. Result Entry'!X143="","",'Supp. Result Entry'!X143)</f>
        <v/>
      </c>
      <c r="JB145" s="110" t="str">
        <f>IF('Supp. Result Entry'!AA143="","",'Supp. Result Entry'!AA143)</f>
        <v/>
      </c>
      <c r="JC145" s="110" t="str">
        <f>IF('Supp. Result Entry'!AD143="","",'Supp. Result Entry'!AD143)</f>
        <v/>
      </c>
      <c r="JD145" s="110" t="str">
        <f>IF('Supp. Result Entry'!AG143="","",'Supp. Result Entry'!AG143)</f>
        <v/>
      </c>
      <c r="JE145" s="110" t="str">
        <f>IF('Supp. Result Entry'!AJ143="","",'Supp. Result Entry'!AJ143)</f>
        <v/>
      </c>
      <c r="JF145" s="110" t="str">
        <f>IF('Supp. Result Entry'!AM143="","",'Supp. Result Entry'!AM143)</f>
        <v/>
      </c>
      <c r="JG145" s="110" t="str">
        <f>IF('Supp. Result Entry'!V143="","",'Supp. Result Entry'!V143)</f>
        <v/>
      </c>
      <c r="JH145" s="110" t="str">
        <f>IF('Supp. Result Entry'!Y143="","",'Supp. Result Entry'!Y143)</f>
        <v/>
      </c>
      <c r="JI145" s="110" t="str">
        <f>IF('Supp. Result Entry'!AB143="","",'Supp. Result Entry'!AB143)</f>
        <v/>
      </c>
      <c r="JJ145" s="110" t="str">
        <f>IF('Supp. Result Entry'!AE143="","",'Supp. Result Entry'!AE143)</f>
        <v/>
      </c>
      <c r="JK145" s="110" t="str">
        <f>IF('Supp. Result Entry'!AH143="","",'Supp. Result Entry'!AH143)</f>
        <v/>
      </c>
      <c r="JL145" s="110" t="str">
        <f>IF('Supp. Result Entry'!AK143="","",'Supp. Result Entry'!AK143)</f>
        <v/>
      </c>
      <c r="JM145" s="110" t="str">
        <f>IF('Supp. Result Entry'!AN143="","",'Supp. Result Entry'!AN143)</f>
        <v/>
      </c>
      <c r="JN145" s="110">
        <f>COUNTIF('Supp. Result Entry'!K143:Q143,"S")</f>
        <v>0</v>
      </c>
      <c r="JO145" s="110">
        <f t="shared" si="416"/>
        <v>0</v>
      </c>
      <c r="JP145" s="110">
        <f t="shared" si="493"/>
        <v>0</v>
      </c>
      <c r="JQ145" s="110" t="str">
        <f t="shared" si="417"/>
        <v/>
      </c>
      <c r="JR145" s="110" t="str">
        <f t="shared" si="418"/>
        <v/>
      </c>
      <c r="JS145" s="110" t="str">
        <f t="shared" si="419"/>
        <v/>
      </c>
      <c r="JT145" s="110" t="str">
        <f t="shared" si="420"/>
        <v/>
      </c>
      <c r="JU145" s="110" t="str">
        <f t="shared" si="421"/>
        <v/>
      </c>
      <c r="JV145" s="110" t="str">
        <f t="shared" si="422"/>
        <v/>
      </c>
      <c r="JW145" s="110" t="str">
        <f t="shared" si="423"/>
        <v/>
      </c>
      <c r="JX145" s="110" t="str">
        <f t="shared" si="494"/>
        <v/>
      </c>
      <c r="JY145" s="110" t="str">
        <f t="shared" si="495"/>
        <v/>
      </c>
      <c r="JZ145" s="110" t="str">
        <f t="shared" si="424"/>
        <v/>
      </c>
      <c r="KA145" s="108" t="str">
        <f t="shared" si="496"/>
        <v/>
      </c>
    </row>
    <row r="146" spans="1:287" s="108" customFormat="1" ht="21.95" customHeight="1">
      <c r="A146" s="89">
        <v>140</v>
      </c>
      <c r="B146" s="90" t="str">
        <f>IF('Marks Entry'!B146="","",'Marks Entry'!B146)</f>
        <v/>
      </c>
      <c r="C146" s="94" t="str">
        <f>IF('Marks Entry'!D146="","",'Marks Entry'!D146)</f>
        <v/>
      </c>
      <c r="D146" s="91" t="str">
        <f>IF('Marks Entry'!E146="","",'Marks Entry'!E146)</f>
        <v/>
      </c>
      <c r="E146" s="92" t="str">
        <f>IF('Marks Entry'!F146="","",'Marks Entry'!F146)</f>
        <v/>
      </c>
      <c r="F146" s="93" t="str">
        <f>IF('Marks Entry'!G146="","",'Marks Entry'!G146)</f>
        <v/>
      </c>
      <c r="G146" s="93" t="str">
        <f>IF('Marks Entry'!H146="","",'Marks Entry'!H146)</f>
        <v/>
      </c>
      <c r="H146" s="93" t="str">
        <f>IF('Marks Entry'!I146="","",'Marks Entry'!I146)</f>
        <v/>
      </c>
      <c r="I146" s="94" t="str">
        <f>IF('Marks Entry'!J146="","",'Marks Entry'!J146)</f>
        <v/>
      </c>
      <c r="J146" s="95" t="str">
        <f>IF('Marks Entry'!K146="","",'Marks Entry'!K146)</f>
        <v/>
      </c>
      <c r="K146" s="68" t="str">
        <f>IF('Marks Entry'!L146="","",'Marks Entry'!L146)</f>
        <v/>
      </c>
      <c r="L146" s="68" t="str">
        <f>IF('Marks Entry'!M146="","",'Marks Entry'!M146)</f>
        <v/>
      </c>
      <c r="M146" s="68" t="str">
        <f>IF('Marks Entry'!N146="","",'Marks Entry'!N146)</f>
        <v/>
      </c>
      <c r="N146" s="514" t="str">
        <f t="shared" si="425"/>
        <v/>
      </c>
      <c r="O146" s="68" t="str">
        <f>IF('Marks Entry'!O146="","",'Marks Entry'!O146)</f>
        <v/>
      </c>
      <c r="P146" s="515" t="str">
        <f t="shared" si="426"/>
        <v/>
      </c>
      <c r="Q146" s="68" t="str">
        <f>IF('Marks Entry'!P146="","",'Marks Entry'!P146)</f>
        <v/>
      </c>
      <c r="R146" s="96" t="str">
        <f t="shared" si="427"/>
        <v/>
      </c>
      <c r="S146" s="65">
        <f t="shared" si="428"/>
        <v>0</v>
      </c>
      <c r="T146" s="65">
        <f t="shared" si="429"/>
        <v>0</v>
      </c>
      <c r="U146" s="66" t="str">
        <f t="shared" si="339"/>
        <v/>
      </c>
      <c r="V146" s="65" t="str">
        <f t="shared" si="340"/>
        <v/>
      </c>
      <c r="W146" s="65" t="str">
        <f t="shared" si="430"/>
        <v/>
      </c>
      <c r="X146" s="65" t="str">
        <f t="shared" si="341"/>
        <v/>
      </c>
      <c r="Y146" s="68" t="str">
        <f>IF('Marks Entry'!Q146="","",'Marks Entry'!Q146)</f>
        <v/>
      </c>
      <c r="Z146" s="68" t="str">
        <f>IF('Marks Entry'!R146="","",'Marks Entry'!R146)</f>
        <v/>
      </c>
      <c r="AA146" s="68" t="str">
        <f>IF('Marks Entry'!S146="","",'Marks Entry'!S146)</f>
        <v/>
      </c>
      <c r="AB146" s="514" t="str">
        <f t="shared" si="342"/>
        <v/>
      </c>
      <c r="AC146" s="68" t="str">
        <f>IF('Marks Entry'!T146="","",'Marks Entry'!T146)</f>
        <v/>
      </c>
      <c r="AD146" s="515" t="str">
        <f t="shared" si="343"/>
        <v/>
      </c>
      <c r="AE146" s="68" t="str">
        <f>IF('Marks Entry'!U146="","",'Marks Entry'!U146)</f>
        <v/>
      </c>
      <c r="AF146" s="96" t="str">
        <f t="shared" si="344"/>
        <v/>
      </c>
      <c r="AG146" s="65">
        <f t="shared" si="345"/>
        <v>0</v>
      </c>
      <c r="AH146" s="65">
        <f t="shared" si="346"/>
        <v>0</v>
      </c>
      <c r="AI146" s="66" t="str">
        <f t="shared" si="347"/>
        <v/>
      </c>
      <c r="AJ146" s="65" t="str">
        <f t="shared" si="348"/>
        <v/>
      </c>
      <c r="AK146" s="65" t="str">
        <f t="shared" si="349"/>
        <v/>
      </c>
      <c r="AL146" s="65" t="str">
        <f t="shared" si="350"/>
        <v/>
      </c>
      <c r="AM146" s="524" t="str">
        <f>IF('Marks Entry'!V146="","",IF('Marks Entry'!V146=1,'School Profile'!$I$9,IF('Marks Entry'!V146=2,'School Profile'!$I$10,IF('Marks Entry'!V146=3,'School Profile'!$I$11,IF('Marks Entry'!V146=4,'School Profile'!$I$12,IF('Marks Entry'!V146=5,'School Profile'!$I$13,IF('Marks Entry'!V146=6,'School Profile'!$I$14,"")))))))</f>
        <v/>
      </c>
      <c r="AN146" s="68" t="str">
        <f>IF('Marks Entry'!W146="","",'Marks Entry'!W146)</f>
        <v/>
      </c>
      <c r="AO146" s="68" t="str">
        <f>IF('Marks Entry'!X146="","",'Marks Entry'!X146)</f>
        <v/>
      </c>
      <c r="AP146" s="68" t="str">
        <f>IF('Marks Entry'!Y146="","",'Marks Entry'!Y146)</f>
        <v/>
      </c>
      <c r="AQ146" s="514" t="str">
        <f t="shared" si="351"/>
        <v/>
      </c>
      <c r="AR146" s="68" t="str">
        <f>IF('Marks Entry'!Z146="","",'Marks Entry'!Z146)</f>
        <v/>
      </c>
      <c r="AS146" s="515" t="str">
        <f t="shared" si="352"/>
        <v/>
      </c>
      <c r="AT146" s="68" t="str">
        <f>IF('Marks Entry'!AA146="","",'Marks Entry'!AA146)</f>
        <v/>
      </c>
      <c r="AU146" s="96" t="str">
        <f t="shared" si="353"/>
        <v/>
      </c>
      <c r="AV146" s="65">
        <f t="shared" si="354"/>
        <v>0</v>
      </c>
      <c r="AW146" s="65">
        <f t="shared" si="355"/>
        <v>0</v>
      </c>
      <c r="AX146" s="66" t="str">
        <f t="shared" si="356"/>
        <v/>
      </c>
      <c r="AY146" s="65" t="str">
        <f t="shared" si="357"/>
        <v/>
      </c>
      <c r="AZ146" s="65" t="str">
        <f t="shared" si="358"/>
        <v/>
      </c>
      <c r="BA146" s="65" t="str">
        <f t="shared" si="359"/>
        <v/>
      </c>
      <c r="BB146" s="68" t="str">
        <f>IF('Marks Entry'!AB146="","",'Marks Entry'!AB146)</f>
        <v/>
      </c>
      <c r="BC146" s="68" t="str">
        <f>IF('Marks Entry'!AC146="","",'Marks Entry'!AC146)</f>
        <v/>
      </c>
      <c r="BD146" s="68" t="str">
        <f>IF('Marks Entry'!AD146="","",'Marks Entry'!AD146)</f>
        <v/>
      </c>
      <c r="BE146" s="514" t="str">
        <f t="shared" si="360"/>
        <v/>
      </c>
      <c r="BF146" s="68" t="str">
        <f>IF('Marks Entry'!AE146="","",'Marks Entry'!AE146)</f>
        <v/>
      </c>
      <c r="BG146" s="515" t="str">
        <f t="shared" si="361"/>
        <v/>
      </c>
      <c r="BH146" s="68" t="str">
        <f>IF('Marks Entry'!AF146="","",'Marks Entry'!AF146)</f>
        <v/>
      </c>
      <c r="BI146" s="96" t="str">
        <f t="shared" si="362"/>
        <v/>
      </c>
      <c r="BJ146" s="65">
        <f t="shared" si="363"/>
        <v>0</v>
      </c>
      <c r="BK146" s="65">
        <f t="shared" si="431"/>
        <v>0</v>
      </c>
      <c r="BL146" s="66" t="str">
        <f t="shared" si="364"/>
        <v/>
      </c>
      <c r="BM146" s="65" t="str">
        <f t="shared" si="365"/>
        <v/>
      </c>
      <c r="BN146" s="65" t="str">
        <f t="shared" si="366"/>
        <v/>
      </c>
      <c r="BO146" s="65" t="str">
        <f t="shared" si="367"/>
        <v/>
      </c>
      <c r="BP146" s="68" t="str">
        <f>IF('Marks Entry'!AG146="","",'Marks Entry'!AG146)</f>
        <v/>
      </c>
      <c r="BQ146" s="68" t="str">
        <f>IF('Marks Entry'!AH146="","",'Marks Entry'!AH146)</f>
        <v/>
      </c>
      <c r="BR146" s="68" t="str">
        <f>IF('Marks Entry'!AI146="","",'Marks Entry'!AI146)</f>
        <v/>
      </c>
      <c r="BS146" s="514" t="str">
        <f t="shared" si="368"/>
        <v/>
      </c>
      <c r="BT146" s="68" t="str">
        <f>IF('Marks Entry'!AJ146="","",'Marks Entry'!AJ146)</f>
        <v/>
      </c>
      <c r="BU146" s="515" t="str">
        <f t="shared" si="369"/>
        <v/>
      </c>
      <c r="BV146" s="68" t="str">
        <f>IF('Marks Entry'!AK146="","",'Marks Entry'!AK146)</f>
        <v/>
      </c>
      <c r="BW146" s="96" t="str">
        <f t="shared" si="370"/>
        <v/>
      </c>
      <c r="BX146" s="65">
        <f t="shared" si="371"/>
        <v>0</v>
      </c>
      <c r="BY146" s="65">
        <f t="shared" si="372"/>
        <v>0</v>
      </c>
      <c r="BZ146" s="66" t="str">
        <f t="shared" si="373"/>
        <v/>
      </c>
      <c r="CA146" s="65" t="str">
        <f t="shared" si="374"/>
        <v/>
      </c>
      <c r="CB146" s="65" t="str">
        <f t="shared" si="375"/>
        <v/>
      </c>
      <c r="CC146" s="65" t="str">
        <f t="shared" si="376"/>
        <v/>
      </c>
      <c r="CD146" s="66">
        <f t="shared" si="377"/>
        <v>0</v>
      </c>
      <c r="CE146" s="68" t="str">
        <f>IF('Marks Entry'!AL146="","",'Marks Entry'!AL146)</f>
        <v/>
      </c>
      <c r="CF146" s="68" t="str">
        <f>IF('Marks Entry'!AM146="","",'Marks Entry'!AM146)</f>
        <v/>
      </c>
      <c r="CG146" s="68" t="str">
        <f>IF('Marks Entry'!AN146="","",'Marks Entry'!AN146)</f>
        <v/>
      </c>
      <c r="CH146" s="514" t="str">
        <f t="shared" si="378"/>
        <v/>
      </c>
      <c r="CI146" s="68" t="str">
        <f>IF('Marks Entry'!AO146="","",'Marks Entry'!AO146)</f>
        <v/>
      </c>
      <c r="CJ146" s="515" t="str">
        <f t="shared" si="379"/>
        <v/>
      </c>
      <c r="CK146" s="68" t="str">
        <f>IF('Marks Entry'!AP146="","",'Marks Entry'!AP146)</f>
        <v/>
      </c>
      <c r="CL146" s="96" t="str">
        <f t="shared" si="380"/>
        <v/>
      </c>
      <c r="CM146" s="65">
        <f t="shared" si="381"/>
        <v>0</v>
      </c>
      <c r="CN146" s="65">
        <f t="shared" si="382"/>
        <v>0</v>
      </c>
      <c r="CO146" s="66" t="str">
        <f t="shared" si="383"/>
        <v/>
      </c>
      <c r="CP146" s="65" t="str">
        <f t="shared" si="384"/>
        <v/>
      </c>
      <c r="CQ146" s="65" t="str">
        <f t="shared" si="385"/>
        <v/>
      </c>
      <c r="CR146" s="65" t="str">
        <f t="shared" si="386"/>
        <v/>
      </c>
      <c r="CS146" s="616"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8" t="str">
        <f>IF('School Profile'!$D$20="NO","",IF('Marks Entry'!AR146="","",'Marks Entry'!AR146))</f>
        <v/>
      </c>
      <c r="CU146" s="68" t="str">
        <f>IF('School Profile'!$D$20="NO","",IF('Marks Entry'!AS146="","",'Marks Entry'!AS146))</f>
        <v/>
      </c>
      <c r="CV146" s="68" t="str">
        <f>IF('School Profile'!$D$20="NO","",IF('Marks Entry'!AT146="","",'Marks Entry'!AT146))</f>
        <v/>
      </c>
      <c r="CW146" s="514" t="str">
        <f>IF('School Profile'!$D$20="NO","",IF(AND(CT146="",CU146="",CV146=""),"",SUM(CT146:CV146)))</f>
        <v/>
      </c>
      <c r="CX146" s="68" t="str">
        <f>IF('School Profile'!$D$20="NO","",IF('Marks Entry'!AU146="","",'Marks Entry'!AU146))</f>
        <v/>
      </c>
      <c r="CY146" s="68" t="str">
        <f>IF('School Profile'!$D$20="NO","",IF('Marks Entry'!AV146="","",'Marks Entry'!AV146))</f>
        <v/>
      </c>
      <c r="CZ146" s="515" t="str">
        <f>IF('School Profile'!$D$20="NO","",IF(AND(CX146="",CY146=""),"",SUM(CX146,CY146)))</f>
        <v/>
      </c>
      <c r="DA146" s="69" t="str">
        <f>IF('School Profile'!$D$20="NO","",IF(AND(CW146="",CZ146=""),"",SUM(CW146+CZ146)))</f>
        <v/>
      </c>
      <c r="DB146" s="68" t="str">
        <f>IF('School Profile'!$D$20="NO","",IF('Marks Entry'!AW146="","",'Marks Entry'!AW146))</f>
        <v/>
      </c>
      <c r="DC146" s="68" t="str">
        <f>IF('School Profile'!$D$20="NO","",IF('Marks Entry'!AX146="","",'Marks Entry'!AX146))</f>
        <v/>
      </c>
      <c r="DD146" s="515" t="str">
        <f>IF('School Profile'!$D$20="NO","",IF(AND(DB146="",DC146=""),"",SUM(DB146,DC146)))</f>
        <v/>
      </c>
      <c r="DE146" s="96" t="str">
        <f>IF('School Profile'!$D$20="NO","",IF(AND(DA146="",DD146=""),"",SUM(DA146,DD146)))</f>
        <v/>
      </c>
      <c r="DF146" s="532">
        <f t="shared" si="387"/>
        <v>0</v>
      </c>
      <c r="DG146" s="65">
        <f t="shared" si="388"/>
        <v>0</v>
      </c>
      <c r="DH146" s="66" t="str">
        <f t="shared" si="389"/>
        <v/>
      </c>
      <c r="DI146" s="65" t="str">
        <f t="shared" si="390"/>
        <v/>
      </c>
      <c r="DJ146" s="65" t="str">
        <f t="shared" si="391"/>
        <v/>
      </c>
      <c r="DK146" s="65" t="str">
        <f t="shared" si="392"/>
        <v/>
      </c>
      <c r="DL146" s="97" t="str">
        <f t="shared" si="432"/>
        <v/>
      </c>
      <c r="DM146" s="97" t="str">
        <f t="shared" si="433"/>
        <v/>
      </c>
      <c r="DN146" s="97" t="str">
        <f t="shared" si="434"/>
        <v/>
      </c>
      <c r="DO146" s="97" t="str">
        <f t="shared" si="435"/>
        <v/>
      </c>
      <c r="DP146" s="97" t="str">
        <f t="shared" si="436"/>
        <v/>
      </c>
      <c r="DQ146" s="97" t="str">
        <f t="shared" si="437"/>
        <v/>
      </c>
      <c r="DR146" s="97" t="str">
        <f t="shared" si="438"/>
        <v/>
      </c>
      <c r="DS146" s="98">
        <f t="shared" si="439"/>
        <v>0</v>
      </c>
      <c r="DT146" s="98">
        <f t="shared" si="440"/>
        <v>0</v>
      </c>
      <c r="DU146" s="98">
        <f t="shared" si="441"/>
        <v>0</v>
      </c>
      <c r="DV146" s="98">
        <f t="shared" si="442"/>
        <v>0</v>
      </c>
      <c r="DW146" s="98">
        <f t="shared" si="443"/>
        <v>0</v>
      </c>
      <c r="DX146" s="98" t="str">
        <f t="shared" si="444"/>
        <v/>
      </c>
      <c r="DY146" s="99" t="str">
        <f t="shared" si="445"/>
        <v/>
      </c>
      <c r="DZ146" s="74" t="str">
        <f>IF('Marks Entry'!AY146="","",'Marks Entry'!AY146)</f>
        <v/>
      </c>
      <c r="EA146" s="74" t="str">
        <f>IF('Marks Entry'!AZ146="","",'Marks Entry'!AZ146)</f>
        <v/>
      </c>
      <c r="EB146" s="74" t="str">
        <f>IF('Marks Entry'!BA146="","",'Marks Entry'!BA146)</f>
        <v/>
      </c>
      <c r="EC146" s="527" t="str">
        <f t="shared" si="393"/>
        <v/>
      </c>
      <c r="ED146" s="74" t="str">
        <f>IF('Marks Entry'!BB146="","",'Marks Entry'!BB146)</f>
        <v/>
      </c>
      <c r="EE146" s="528" t="str">
        <f t="shared" si="394"/>
        <v/>
      </c>
      <c r="EF146" s="74" t="str">
        <f>IF('Marks Entry'!BC146="","",'Marks Entry'!BC146)</f>
        <v/>
      </c>
      <c r="EG146" s="530" t="str">
        <f t="shared" si="395"/>
        <v/>
      </c>
      <c r="EH146" s="368" t="str">
        <f t="shared" si="446"/>
        <v/>
      </c>
      <c r="EI146" s="65">
        <f t="shared" si="447"/>
        <v>0</v>
      </c>
      <c r="EJ146" s="65">
        <f t="shared" si="448"/>
        <v>0</v>
      </c>
      <c r="EK146" s="66" t="str">
        <f t="shared" si="449"/>
        <v/>
      </c>
      <c r="EL146" s="74" t="str">
        <f>IF('Marks Entry'!BD146="","",'Marks Entry'!BD146)</f>
        <v/>
      </c>
      <c r="EM146" s="74" t="str">
        <f>IF('Marks Entry'!BE146="","",'Marks Entry'!BE146)</f>
        <v/>
      </c>
      <c r="EN146" s="74" t="str">
        <f>IF('Marks Entry'!BF146="","",'Marks Entry'!BF146)</f>
        <v/>
      </c>
      <c r="EO146" s="527" t="str">
        <f t="shared" si="396"/>
        <v/>
      </c>
      <c r="EP146" s="74" t="str">
        <f>IF('Marks Entry'!BG146="","",'Marks Entry'!BG146)</f>
        <v/>
      </c>
      <c r="EQ146" s="74" t="str">
        <f>IF('Marks Entry'!BH146="","",'Marks Entry'!BH146)</f>
        <v/>
      </c>
      <c r="ER146" s="528" t="str">
        <f t="shared" si="397"/>
        <v/>
      </c>
      <c r="ES146" s="529" t="str">
        <f t="shared" si="398"/>
        <v/>
      </c>
      <c r="ET146" s="74" t="str">
        <f>IF('Marks Entry'!BI146="","",'Marks Entry'!BI146)</f>
        <v/>
      </c>
      <c r="EU146" s="74" t="str">
        <f>IF('Marks Entry'!BJ146="","",'Marks Entry'!BJ146)</f>
        <v/>
      </c>
      <c r="EV146" s="528" t="str">
        <f t="shared" si="399"/>
        <v/>
      </c>
      <c r="EW146" s="530" t="str">
        <f t="shared" si="400"/>
        <v/>
      </c>
      <c r="EX146" s="368" t="str">
        <f t="shared" si="450"/>
        <v/>
      </c>
      <c r="EY146" s="65">
        <f t="shared" si="451"/>
        <v>0</v>
      </c>
      <c r="EZ146" s="65">
        <f t="shared" si="452"/>
        <v>0</v>
      </c>
      <c r="FA146" s="66" t="str">
        <f t="shared" si="453"/>
        <v/>
      </c>
      <c r="FB146" s="74" t="str">
        <f>IF('Marks Entry'!BK146="","",'Marks Entry'!BK146)</f>
        <v/>
      </c>
      <c r="FC146" s="74" t="str">
        <f>IF('Marks Entry'!BL146="","",'Marks Entry'!BL146)</f>
        <v/>
      </c>
      <c r="FD146" s="74" t="str">
        <f>IF('Marks Entry'!BM146="","",'Marks Entry'!BM146)</f>
        <v/>
      </c>
      <c r="FE146" s="74" t="str">
        <f>IF('Marks Entry'!BN146="","",'Marks Entry'!BN146)</f>
        <v/>
      </c>
      <c r="FF146" s="74" t="str">
        <f>IF('Marks Entry'!BO146="","",'Marks Entry'!BO146)</f>
        <v/>
      </c>
      <c r="FG146" s="74" t="str">
        <f>IF('Marks Entry'!BP146="","",'Marks Entry'!BP146)</f>
        <v/>
      </c>
      <c r="FH146" s="527" t="str">
        <f t="shared" si="401"/>
        <v/>
      </c>
      <c r="FI146" s="74" t="str">
        <f>IF('Marks Entry'!BQ146="","",'Marks Entry'!BQ146)</f>
        <v/>
      </c>
      <c r="FJ146" s="74" t="str">
        <f>IF('Marks Entry'!BR146="","",'Marks Entry'!BR146)</f>
        <v/>
      </c>
      <c r="FK146" s="528" t="str">
        <f t="shared" si="402"/>
        <v/>
      </c>
      <c r="FL146" s="529" t="str">
        <f t="shared" si="403"/>
        <v/>
      </c>
      <c r="FM146" s="74" t="str">
        <f>IF('Marks Entry'!BS146="","",'Marks Entry'!BS146)</f>
        <v/>
      </c>
      <c r="FN146" s="74" t="str">
        <f>IF('Marks Entry'!BT146="","",'Marks Entry'!BT146)</f>
        <v/>
      </c>
      <c r="FO146" s="528" t="str">
        <f t="shared" si="404"/>
        <v/>
      </c>
      <c r="FP146" s="530" t="str">
        <f t="shared" si="405"/>
        <v/>
      </c>
      <c r="FQ146" s="368" t="str">
        <f t="shared" si="454"/>
        <v/>
      </c>
      <c r="FR146" s="65">
        <f t="shared" si="455"/>
        <v>0</v>
      </c>
      <c r="FS146" s="65">
        <f t="shared" si="456"/>
        <v>0</v>
      </c>
      <c r="FT146" s="66" t="str">
        <f t="shared" si="457"/>
        <v/>
      </c>
      <c r="FU146" s="74" t="str">
        <f>IF('Marks Entry'!BU146="","",'Marks Entry'!BU146)</f>
        <v/>
      </c>
      <c r="FV146" s="74" t="str">
        <f>IF('Marks Entry'!BV146="","",'Marks Entry'!BV146)</f>
        <v/>
      </c>
      <c r="FW146" s="74" t="str">
        <f>IF('Marks Entry'!BW146="","",'Marks Entry'!BW146)</f>
        <v/>
      </c>
      <c r="FX146" s="75" t="str">
        <f t="shared" si="406"/>
        <v/>
      </c>
      <c r="FY146" s="368" t="str">
        <f t="shared" si="458"/>
        <v/>
      </c>
      <c r="FZ146" s="65">
        <f t="shared" si="459"/>
        <v>0</v>
      </c>
      <c r="GA146" s="66">
        <f t="shared" si="460"/>
        <v>0</v>
      </c>
      <c r="GB146" s="66" t="str">
        <f t="shared" si="461"/>
        <v/>
      </c>
      <c r="GC146" s="74" t="str">
        <f>IF('Marks Entry'!BX146="","",'Marks Entry'!BX146)</f>
        <v/>
      </c>
      <c r="GD146" s="74" t="str">
        <f>IF('Marks Entry'!BY146="","",'Marks Entry'!BY146)</f>
        <v/>
      </c>
      <c r="GE146" s="74" t="str">
        <f>IF('Marks Entry'!BZ146="","",'Marks Entry'!BZ146)</f>
        <v/>
      </c>
      <c r="GF146" s="75" t="str">
        <f t="shared" si="462"/>
        <v/>
      </c>
      <c r="GG146" s="368" t="str">
        <f t="shared" si="463"/>
        <v/>
      </c>
      <c r="GH146" s="65">
        <f t="shared" si="464"/>
        <v>0</v>
      </c>
      <c r="GI146" s="66">
        <f t="shared" si="465"/>
        <v>0</v>
      </c>
      <c r="GJ146" s="66" t="str">
        <f t="shared" si="466"/>
        <v/>
      </c>
      <c r="GK146" s="100" t="str">
        <f>IF(AND(F146="",B146=""),"",IF('Student DATA Entry'!M143="","",'Student DATA Entry'!M143))</f>
        <v/>
      </c>
      <c r="GL146" s="101" t="str">
        <f>IF(AND(B146="",F146=""),"",IF('Student DATA Entry'!N143="","",'Student DATA Entry'!N143))</f>
        <v/>
      </c>
      <c r="GM146" s="581" t="str">
        <f t="shared" si="467"/>
        <v/>
      </c>
      <c r="GN146" s="94" t="str">
        <f t="shared" si="468"/>
        <v/>
      </c>
      <c r="GO146" s="94" t="str">
        <f t="shared" si="469"/>
        <v/>
      </c>
      <c r="GP146" s="102" t="str">
        <f t="shared" si="407"/>
        <v/>
      </c>
      <c r="GQ146" s="94" t="str">
        <f t="shared" si="470"/>
        <v/>
      </c>
      <c r="GR146" s="103" t="str">
        <f t="shared" si="471"/>
        <v/>
      </c>
      <c r="GS146" s="102" t="str">
        <f t="shared" si="408"/>
        <v/>
      </c>
      <c r="GT146" s="104" t="str">
        <f t="shared" si="472"/>
        <v/>
      </c>
      <c r="GU146" s="94" t="str">
        <f>IF('Marks Entry'!V146=1,GT146,"")</f>
        <v/>
      </c>
      <c r="GV146" s="94" t="str">
        <f>IF('Marks Entry'!V146=2,GT146,"")</f>
        <v/>
      </c>
      <c r="GW146" s="94" t="str">
        <f>IF('Marks Entry'!V146=3,GT146,"")</f>
        <v/>
      </c>
      <c r="GX146" s="94" t="str">
        <f>IF('Marks Entry'!V146=4,GT146,"")</f>
        <v/>
      </c>
      <c r="GY146" s="94" t="str">
        <f>IF('Marks Entry'!V146=5,GT146,"")</f>
        <v/>
      </c>
      <c r="GZ146" s="94" t="str">
        <f t="shared" si="473"/>
        <v/>
      </c>
      <c r="HA146" s="105" t="str">
        <f t="shared" si="409"/>
        <v/>
      </c>
      <c r="HB146" s="94" t="str">
        <f t="shared" si="474"/>
        <v/>
      </c>
      <c r="HC146" s="94" t="str">
        <f t="shared" si="475"/>
        <v/>
      </c>
      <c r="HD146" s="105" t="str">
        <f t="shared" si="410"/>
        <v/>
      </c>
      <c r="HE146" s="94" t="str">
        <f t="shared" si="476"/>
        <v/>
      </c>
      <c r="HF146" s="94" t="str">
        <f t="shared" si="477"/>
        <v/>
      </c>
      <c r="HG146" s="105" t="str">
        <f t="shared" si="411"/>
        <v/>
      </c>
      <c r="HH146" s="94" t="str">
        <f t="shared" si="478"/>
        <v/>
      </c>
      <c r="HI146" s="94" t="str">
        <f t="shared" si="479"/>
        <v/>
      </c>
      <c r="HJ146" s="105" t="str">
        <f t="shared" si="412"/>
        <v/>
      </c>
      <c r="HK146" s="94" t="str">
        <f t="shared" si="480"/>
        <v/>
      </c>
      <c r="HL146" s="94" t="str">
        <f t="shared" si="481"/>
        <v/>
      </c>
      <c r="HM146" s="105" t="str">
        <f t="shared" si="413"/>
        <v/>
      </c>
      <c r="HN146" s="367" t="str">
        <f t="shared" si="482"/>
        <v xml:space="preserve">      </v>
      </c>
      <c r="HO146" s="418" t="str">
        <f t="shared" si="414"/>
        <v xml:space="preserve">      </v>
      </c>
      <c r="HP146" s="367" t="str">
        <f t="shared" si="483"/>
        <v xml:space="preserve">      </v>
      </c>
      <c r="HQ146" s="107" t="str">
        <f t="shared" si="484"/>
        <v xml:space="preserve">      </v>
      </c>
      <c r="HR146" s="366" t="str">
        <f t="shared" si="485"/>
        <v xml:space="preserve">      </v>
      </c>
      <c r="HS146" s="544" t="str">
        <f t="shared" si="415"/>
        <v/>
      </c>
      <c r="HT146" s="542" t="str">
        <f t="shared" si="486"/>
        <v/>
      </c>
      <c r="HU146" s="541" t="str">
        <f t="shared" si="487"/>
        <v/>
      </c>
      <c r="HV146" s="540" t="str">
        <f t="shared" si="488"/>
        <v/>
      </c>
      <c r="HW146" s="537" t="str">
        <f t="shared" si="489"/>
        <v/>
      </c>
      <c r="HX146" s="539" t="str">
        <f t="shared" si="490"/>
        <v/>
      </c>
      <c r="HY146" s="553" t="str">
        <f>IFERROR(IF(OR(HS146="SUPPLEMENTARY",HS146="RE-EXAM"),'Supp. Result Entry'!AQ144,""),"")</f>
        <v/>
      </c>
      <c r="HZ146" s="538" t="str">
        <f t="shared" si="491"/>
        <v/>
      </c>
      <c r="IA146" s="415" t="str">
        <f t="shared" si="492"/>
        <v/>
      </c>
      <c r="IB146" s="415" t="str">
        <f>IF(AND(HZ146="",IA146=""),"",IF(OR(HS146="SUPPLEMENTARY",HS146="RE-EXAM"),'Supp. Result Entry'!AQ144,HS146))</f>
        <v/>
      </c>
      <c r="IC146" s="87"/>
      <c r="IS146" s="109" t="str">
        <f>IF('Supp. Result Entry'!T144="","",'Supp. Result Entry'!$T$4)</f>
        <v/>
      </c>
      <c r="IT146" s="110" t="str">
        <f>IF('Supp. Result Entry'!W144="","",'Supp. Result Entry'!$W$4)</f>
        <v/>
      </c>
      <c r="IU146" s="110" t="str">
        <f>IF('Supp. Result Entry'!Z144="","",'Supp. Result Entry'!$Z$4)</f>
        <v/>
      </c>
      <c r="IV146" s="110" t="str">
        <f>IF('Supp. Result Entry'!AC144="","",'Supp. Result Entry'!$AC$4)</f>
        <v/>
      </c>
      <c r="IW146" s="110" t="str">
        <f>IF('Supp. Result Entry'!AF144="","",'Supp. Result Entry'!$AF$4)</f>
        <v/>
      </c>
      <c r="IX146" s="110" t="str">
        <f>IF('Supp. Result Entry'!AI144="","",'Supp. Result Entry'!$AI$4)</f>
        <v/>
      </c>
      <c r="IY146" s="110" t="str">
        <f>IF('Supp. Result Entry'!AI144="","",'Supp. Result Entry'!$AL$4)</f>
        <v/>
      </c>
      <c r="IZ146" s="110" t="str">
        <f>IF('Supp. Result Entry'!U144="","",'Supp. Result Entry'!U144)</f>
        <v/>
      </c>
      <c r="JA146" s="110" t="str">
        <f>IF('Supp. Result Entry'!X144="","",'Supp. Result Entry'!X144)</f>
        <v/>
      </c>
      <c r="JB146" s="110" t="str">
        <f>IF('Supp. Result Entry'!AA144="","",'Supp. Result Entry'!AA144)</f>
        <v/>
      </c>
      <c r="JC146" s="110" t="str">
        <f>IF('Supp. Result Entry'!AD144="","",'Supp. Result Entry'!AD144)</f>
        <v/>
      </c>
      <c r="JD146" s="110" t="str">
        <f>IF('Supp. Result Entry'!AG144="","",'Supp. Result Entry'!AG144)</f>
        <v/>
      </c>
      <c r="JE146" s="110" t="str">
        <f>IF('Supp. Result Entry'!AJ144="","",'Supp. Result Entry'!AJ144)</f>
        <v/>
      </c>
      <c r="JF146" s="110" t="str">
        <f>IF('Supp. Result Entry'!AM144="","",'Supp. Result Entry'!AM144)</f>
        <v/>
      </c>
      <c r="JG146" s="110" t="str">
        <f>IF('Supp. Result Entry'!V144="","",'Supp. Result Entry'!V144)</f>
        <v/>
      </c>
      <c r="JH146" s="110" t="str">
        <f>IF('Supp. Result Entry'!Y144="","",'Supp. Result Entry'!Y144)</f>
        <v/>
      </c>
      <c r="JI146" s="110" t="str">
        <f>IF('Supp. Result Entry'!AB144="","",'Supp. Result Entry'!AB144)</f>
        <v/>
      </c>
      <c r="JJ146" s="110" t="str">
        <f>IF('Supp. Result Entry'!AE144="","",'Supp. Result Entry'!AE144)</f>
        <v/>
      </c>
      <c r="JK146" s="110" t="str">
        <f>IF('Supp. Result Entry'!AH144="","",'Supp. Result Entry'!AH144)</f>
        <v/>
      </c>
      <c r="JL146" s="110" t="str">
        <f>IF('Supp. Result Entry'!AK144="","",'Supp. Result Entry'!AK144)</f>
        <v/>
      </c>
      <c r="JM146" s="110" t="str">
        <f>IF('Supp. Result Entry'!AN144="","",'Supp. Result Entry'!AN144)</f>
        <v/>
      </c>
      <c r="JN146" s="110">
        <f>COUNTIF('Supp. Result Entry'!K144:Q144,"S")</f>
        <v>0</v>
      </c>
      <c r="JO146" s="110">
        <f t="shared" si="416"/>
        <v>0</v>
      </c>
      <c r="JP146" s="110">
        <f t="shared" si="493"/>
        <v>0</v>
      </c>
      <c r="JQ146" s="110" t="str">
        <f t="shared" si="417"/>
        <v/>
      </c>
      <c r="JR146" s="110" t="str">
        <f t="shared" si="418"/>
        <v/>
      </c>
      <c r="JS146" s="110" t="str">
        <f t="shared" si="419"/>
        <v/>
      </c>
      <c r="JT146" s="110" t="str">
        <f t="shared" si="420"/>
        <v/>
      </c>
      <c r="JU146" s="110" t="str">
        <f t="shared" si="421"/>
        <v/>
      </c>
      <c r="JV146" s="110" t="str">
        <f t="shared" si="422"/>
        <v/>
      </c>
      <c r="JW146" s="110" t="str">
        <f t="shared" si="423"/>
        <v/>
      </c>
      <c r="JX146" s="110" t="str">
        <f t="shared" si="494"/>
        <v/>
      </c>
      <c r="JY146" s="110" t="str">
        <f t="shared" si="495"/>
        <v/>
      </c>
      <c r="JZ146" s="110" t="str">
        <f t="shared" si="424"/>
        <v/>
      </c>
      <c r="KA146" s="108" t="str">
        <f t="shared" si="496"/>
        <v/>
      </c>
    </row>
    <row r="147" spans="1:287" s="108" customFormat="1" ht="21.95" customHeight="1">
      <c r="A147" s="89">
        <v>141</v>
      </c>
      <c r="B147" s="90" t="str">
        <f>IF('Marks Entry'!B147="","",'Marks Entry'!B147)</f>
        <v/>
      </c>
      <c r="C147" s="94" t="str">
        <f>IF('Marks Entry'!D147="","",'Marks Entry'!D147)</f>
        <v/>
      </c>
      <c r="D147" s="91" t="str">
        <f>IF('Marks Entry'!E147="","",'Marks Entry'!E147)</f>
        <v/>
      </c>
      <c r="E147" s="92" t="str">
        <f>IF('Marks Entry'!F147="","",'Marks Entry'!F147)</f>
        <v/>
      </c>
      <c r="F147" s="93" t="str">
        <f>IF('Marks Entry'!G147="","",'Marks Entry'!G147)</f>
        <v/>
      </c>
      <c r="G147" s="93" t="str">
        <f>IF('Marks Entry'!H147="","",'Marks Entry'!H147)</f>
        <v/>
      </c>
      <c r="H147" s="93" t="str">
        <f>IF('Marks Entry'!I147="","",'Marks Entry'!I147)</f>
        <v/>
      </c>
      <c r="I147" s="94" t="str">
        <f>IF('Marks Entry'!J147="","",'Marks Entry'!J147)</f>
        <v/>
      </c>
      <c r="J147" s="95" t="str">
        <f>IF('Marks Entry'!K147="","",'Marks Entry'!K147)</f>
        <v/>
      </c>
      <c r="K147" s="68" t="str">
        <f>IF('Marks Entry'!L147="","",'Marks Entry'!L147)</f>
        <v/>
      </c>
      <c r="L147" s="68" t="str">
        <f>IF('Marks Entry'!M147="","",'Marks Entry'!M147)</f>
        <v/>
      </c>
      <c r="M147" s="68" t="str">
        <f>IF('Marks Entry'!N147="","",'Marks Entry'!N147)</f>
        <v/>
      </c>
      <c r="N147" s="514" t="str">
        <f t="shared" si="425"/>
        <v/>
      </c>
      <c r="O147" s="68" t="str">
        <f>IF('Marks Entry'!O147="","",'Marks Entry'!O147)</f>
        <v/>
      </c>
      <c r="P147" s="515" t="str">
        <f t="shared" si="426"/>
        <v/>
      </c>
      <c r="Q147" s="68" t="str">
        <f>IF('Marks Entry'!P147="","",'Marks Entry'!P147)</f>
        <v/>
      </c>
      <c r="R147" s="96" t="str">
        <f t="shared" si="427"/>
        <v/>
      </c>
      <c r="S147" s="65">
        <f t="shared" si="428"/>
        <v>0</v>
      </c>
      <c r="T147" s="65">
        <f t="shared" si="429"/>
        <v>0</v>
      </c>
      <c r="U147" s="66" t="str">
        <f t="shared" si="339"/>
        <v/>
      </c>
      <c r="V147" s="65" t="str">
        <f t="shared" si="340"/>
        <v/>
      </c>
      <c r="W147" s="65" t="str">
        <f t="shared" si="430"/>
        <v/>
      </c>
      <c r="X147" s="65" t="str">
        <f t="shared" si="341"/>
        <v/>
      </c>
      <c r="Y147" s="68" t="str">
        <f>IF('Marks Entry'!Q147="","",'Marks Entry'!Q147)</f>
        <v/>
      </c>
      <c r="Z147" s="68" t="str">
        <f>IF('Marks Entry'!R147="","",'Marks Entry'!R147)</f>
        <v/>
      </c>
      <c r="AA147" s="68" t="str">
        <f>IF('Marks Entry'!S147="","",'Marks Entry'!S147)</f>
        <v/>
      </c>
      <c r="AB147" s="514" t="str">
        <f t="shared" si="342"/>
        <v/>
      </c>
      <c r="AC147" s="68" t="str">
        <f>IF('Marks Entry'!T147="","",'Marks Entry'!T147)</f>
        <v/>
      </c>
      <c r="AD147" s="515" t="str">
        <f t="shared" si="343"/>
        <v/>
      </c>
      <c r="AE147" s="68" t="str">
        <f>IF('Marks Entry'!U147="","",'Marks Entry'!U147)</f>
        <v/>
      </c>
      <c r="AF147" s="96" t="str">
        <f t="shared" si="344"/>
        <v/>
      </c>
      <c r="AG147" s="65">
        <f t="shared" si="345"/>
        <v>0</v>
      </c>
      <c r="AH147" s="65">
        <f t="shared" si="346"/>
        <v>0</v>
      </c>
      <c r="AI147" s="66" t="str">
        <f t="shared" si="347"/>
        <v/>
      </c>
      <c r="AJ147" s="65" t="str">
        <f t="shared" si="348"/>
        <v/>
      </c>
      <c r="AK147" s="65" t="str">
        <f t="shared" si="349"/>
        <v/>
      </c>
      <c r="AL147" s="65" t="str">
        <f t="shared" si="350"/>
        <v/>
      </c>
      <c r="AM147" s="524" t="str">
        <f>IF('Marks Entry'!V147="","",IF('Marks Entry'!V147=1,'School Profile'!$I$9,IF('Marks Entry'!V147=2,'School Profile'!$I$10,IF('Marks Entry'!V147=3,'School Profile'!$I$11,IF('Marks Entry'!V147=4,'School Profile'!$I$12,IF('Marks Entry'!V147=5,'School Profile'!$I$13,IF('Marks Entry'!V147=6,'School Profile'!$I$14,"")))))))</f>
        <v/>
      </c>
      <c r="AN147" s="68" t="str">
        <f>IF('Marks Entry'!W147="","",'Marks Entry'!W147)</f>
        <v/>
      </c>
      <c r="AO147" s="68" t="str">
        <f>IF('Marks Entry'!X147="","",'Marks Entry'!X147)</f>
        <v/>
      </c>
      <c r="AP147" s="68" t="str">
        <f>IF('Marks Entry'!Y147="","",'Marks Entry'!Y147)</f>
        <v/>
      </c>
      <c r="AQ147" s="514" t="str">
        <f t="shared" si="351"/>
        <v/>
      </c>
      <c r="AR147" s="68" t="str">
        <f>IF('Marks Entry'!Z147="","",'Marks Entry'!Z147)</f>
        <v/>
      </c>
      <c r="AS147" s="515" t="str">
        <f t="shared" si="352"/>
        <v/>
      </c>
      <c r="AT147" s="68" t="str">
        <f>IF('Marks Entry'!AA147="","",'Marks Entry'!AA147)</f>
        <v/>
      </c>
      <c r="AU147" s="96" t="str">
        <f t="shared" si="353"/>
        <v/>
      </c>
      <c r="AV147" s="65">
        <f t="shared" si="354"/>
        <v>0</v>
      </c>
      <c r="AW147" s="65">
        <f t="shared" si="355"/>
        <v>0</v>
      </c>
      <c r="AX147" s="66" t="str">
        <f t="shared" si="356"/>
        <v/>
      </c>
      <c r="AY147" s="65" t="str">
        <f t="shared" si="357"/>
        <v/>
      </c>
      <c r="AZ147" s="65" t="str">
        <f t="shared" si="358"/>
        <v/>
      </c>
      <c r="BA147" s="65" t="str">
        <f t="shared" si="359"/>
        <v/>
      </c>
      <c r="BB147" s="68" t="str">
        <f>IF('Marks Entry'!AB147="","",'Marks Entry'!AB147)</f>
        <v/>
      </c>
      <c r="BC147" s="68" t="str">
        <f>IF('Marks Entry'!AC147="","",'Marks Entry'!AC147)</f>
        <v/>
      </c>
      <c r="BD147" s="68" t="str">
        <f>IF('Marks Entry'!AD147="","",'Marks Entry'!AD147)</f>
        <v/>
      </c>
      <c r="BE147" s="514" t="str">
        <f t="shared" si="360"/>
        <v/>
      </c>
      <c r="BF147" s="68" t="str">
        <f>IF('Marks Entry'!AE147="","",'Marks Entry'!AE147)</f>
        <v/>
      </c>
      <c r="BG147" s="515" t="str">
        <f t="shared" si="361"/>
        <v/>
      </c>
      <c r="BH147" s="68" t="str">
        <f>IF('Marks Entry'!AF147="","",'Marks Entry'!AF147)</f>
        <v/>
      </c>
      <c r="BI147" s="96" t="str">
        <f t="shared" si="362"/>
        <v/>
      </c>
      <c r="BJ147" s="65">
        <f t="shared" si="363"/>
        <v>0</v>
      </c>
      <c r="BK147" s="65">
        <f t="shared" si="431"/>
        <v>0</v>
      </c>
      <c r="BL147" s="66" t="str">
        <f t="shared" si="364"/>
        <v/>
      </c>
      <c r="BM147" s="65" t="str">
        <f t="shared" si="365"/>
        <v/>
      </c>
      <c r="BN147" s="65" t="str">
        <f t="shared" si="366"/>
        <v/>
      </c>
      <c r="BO147" s="65" t="str">
        <f t="shared" si="367"/>
        <v/>
      </c>
      <c r="BP147" s="68" t="str">
        <f>IF('Marks Entry'!AG147="","",'Marks Entry'!AG147)</f>
        <v/>
      </c>
      <c r="BQ147" s="68" t="str">
        <f>IF('Marks Entry'!AH147="","",'Marks Entry'!AH147)</f>
        <v/>
      </c>
      <c r="BR147" s="68" t="str">
        <f>IF('Marks Entry'!AI147="","",'Marks Entry'!AI147)</f>
        <v/>
      </c>
      <c r="BS147" s="514" t="str">
        <f t="shared" si="368"/>
        <v/>
      </c>
      <c r="BT147" s="68" t="str">
        <f>IF('Marks Entry'!AJ147="","",'Marks Entry'!AJ147)</f>
        <v/>
      </c>
      <c r="BU147" s="515" t="str">
        <f t="shared" si="369"/>
        <v/>
      </c>
      <c r="BV147" s="68" t="str">
        <f>IF('Marks Entry'!AK147="","",'Marks Entry'!AK147)</f>
        <v/>
      </c>
      <c r="BW147" s="96" t="str">
        <f t="shared" si="370"/>
        <v/>
      </c>
      <c r="BX147" s="65">
        <f t="shared" si="371"/>
        <v>0</v>
      </c>
      <c r="BY147" s="65">
        <f t="shared" si="372"/>
        <v>0</v>
      </c>
      <c r="BZ147" s="66" t="str">
        <f t="shared" si="373"/>
        <v/>
      </c>
      <c r="CA147" s="65" t="str">
        <f t="shared" si="374"/>
        <v/>
      </c>
      <c r="CB147" s="65" t="str">
        <f t="shared" si="375"/>
        <v/>
      </c>
      <c r="CC147" s="65" t="str">
        <f t="shared" si="376"/>
        <v/>
      </c>
      <c r="CD147" s="66">
        <f t="shared" si="377"/>
        <v>0</v>
      </c>
      <c r="CE147" s="68" t="str">
        <f>IF('Marks Entry'!AL147="","",'Marks Entry'!AL147)</f>
        <v/>
      </c>
      <c r="CF147" s="68" t="str">
        <f>IF('Marks Entry'!AM147="","",'Marks Entry'!AM147)</f>
        <v/>
      </c>
      <c r="CG147" s="68" t="str">
        <f>IF('Marks Entry'!AN147="","",'Marks Entry'!AN147)</f>
        <v/>
      </c>
      <c r="CH147" s="514" t="str">
        <f t="shared" si="378"/>
        <v/>
      </c>
      <c r="CI147" s="68" t="str">
        <f>IF('Marks Entry'!AO147="","",'Marks Entry'!AO147)</f>
        <v/>
      </c>
      <c r="CJ147" s="515" t="str">
        <f t="shared" si="379"/>
        <v/>
      </c>
      <c r="CK147" s="68" t="str">
        <f>IF('Marks Entry'!AP147="","",'Marks Entry'!AP147)</f>
        <v/>
      </c>
      <c r="CL147" s="96" t="str">
        <f t="shared" si="380"/>
        <v/>
      </c>
      <c r="CM147" s="65">
        <f t="shared" si="381"/>
        <v>0</v>
      </c>
      <c r="CN147" s="65">
        <f t="shared" si="382"/>
        <v>0</v>
      </c>
      <c r="CO147" s="66" t="str">
        <f t="shared" si="383"/>
        <v/>
      </c>
      <c r="CP147" s="65" t="str">
        <f t="shared" si="384"/>
        <v/>
      </c>
      <c r="CQ147" s="65" t="str">
        <f t="shared" si="385"/>
        <v/>
      </c>
      <c r="CR147" s="65" t="str">
        <f t="shared" si="386"/>
        <v/>
      </c>
      <c r="CS147" s="616"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8" t="str">
        <f>IF('School Profile'!$D$20="NO","",IF('Marks Entry'!AR147="","",'Marks Entry'!AR147))</f>
        <v/>
      </c>
      <c r="CU147" s="68" t="str">
        <f>IF('School Profile'!$D$20="NO","",IF('Marks Entry'!AS147="","",'Marks Entry'!AS147))</f>
        <v/>
      </c>
      <c r="CV147" s="68" t="str">
        <f>IF('School Profile'!$D$20="NO","",IF('Marks Entry'!AT147="","",'Marks Entry'!AT147))</f>
        <v/>
      </c>
      <c r="CW147" s="514" t="str">
        <f>IF('School Profile'!$D$20="NO","",IF(AND(CT147="",CU147="",CV147=""),"",SUM(CT147:CV147)))</f>
        <v/>
      </c>
      <c r="CX147" s="68" t="str">
        <f>IF('School Profile'!$D$20="NO","",IF('Marks Entry'!AU147="","",'Marks Entry'!AU147))</f>
        <v/>
      </c>
      <c r="CY147" s="68" t="str">
        <f>IF('School Profile'!$D$20="NO","",IF('Marks Entry'!AV147="","",'Marks Entry'!AV147))</f>
        <v/>
      </c>
      <c r="CZ147" s="515" t="str">
        <f>IF('School Profile'!$D$20="NO","",IF(AND(CX147="",CY147=""),"",SUM(CX147,CY147)))</f>
        <v/>
      </c>
      <c r="DA147" s="69" t="str">
        <f>IF('School Profile'!$D$20="NO","",IF(AND(CW147="",CZ147=""),"",SUM(CW147+CZ147)))</f>
        <v/>
      </c>
      <c r="DB147" s="68" t="str">
        <f>IF('School Profile'!$D$20="NO","",IF('Marks Entry'!AW147="","",'Marks Entry'!AW147))</f>
        <v/>
      </c>
      <c r="DC147" s="68" t="str">
        <f>IF('School Profile'!$D$20="NO","",IF('Marks Entry'!AX147="","",'Marks Entry'!AX147))</f>
        <v/>
      </c>
      <c r="DD147" s="515" t="str">
        <f>IF('School Profile'!$D$20="NO","",IF(AND(DB147="",DC147=""),"",SUM(DB147,DC147)))</f>
        <v/>
      </c>
      <c r="DE147" s="96" t="str">
        <f>IF('School Profile'!$D$20="NO","",IF(AND(DA147="",DD147=""),"",SUM(DA147,DD147)))</f>
        <v/>
      </c>
      <c r="DF147" s="532">
        <f t="shared" si="387"/>
        <v>0</v>
      </c>
      <c r="DG147" s="65">
        <f t="shared" si="388"/>
        <v>0</v>
      </c>
      <c r="DH147" s="66" t="str">
        <f t="shared" si="389"/>
        <v/>
      </c>
      <c r="DI147" s="65" t="str">
        <f t="shared" si="390"/>
        <v/>
      </c>
      <c r="DJ147" s="65" t="str">
        <f t="shared" si="391"/>
        <v/>
      </c>
      <c r="DK147" s="65" t="str">
        <f t="shared" si="392"/>
        <v/>
      </c>
      <c r="DL147" s="97" t="str">
        <f t="shared" si="432"/>
        <v/>
      </c>
      <c r="DM147" s="97" t="str">
        <f t="shared" si="433"/>
        <v/>
      </c>
      <c r="DN147" s="97" t="str">
        <f t="shared" si="434"/>
        <v/>
      </c>
      <c r="DO147" s="97" t="str">
        <f t="shared" si="435"/>
        <v/>
      </c>
      <c r="DP147" s="97" t="str">
        <f t="shared" si="436"/>
        <v/>
      </c>
      <c r="DQ147" s="97" t="str">
        <f t="shared" si="437"/>
        <v/>
      </c>
      <c r="DR147" s="97" t="str">
        <f t="shared" si="438"/>
        <v/>
      </c>
      <c r="DS147" s="98">
        <f t="shared" si="439"/>
        <v>0</v>
      </c>
      <c r="DT147" s="98">
        <f t="shared" si="440"/>
        <v>0</v>
      </c>
      <c r="DU147" s="98">
        <f t="shared" si="441"/>
        <v>0</v>
      </c>
      <c r="DV147" s="98">
        <f t="shared" si="442"/>
        <v>0</v>
      </c>
      <c r="DW147" s="98">
        <f t="shared" si="443"/>
        <v>0</v>
      </c>
      <c r="DX147" s="98" t="str">
        <f t="shared" si="444"/>
        <v/>
      </c>
      <c r="DY147" s="99" t="str">
        <f t="shared" si="445"/>
        <v/>
      </c>
      <c r="DZ147" s="74" t="str">
        <f>IF('Marks Entry'!AY147="","",'Marks Entry'!AY147)</f>
        <v/>
      </c>
      <c r="EA147" s="74" t="str">
        <f>IF('Marks Entry'!AZ147="","",'Marks Entry'!AZ147)</f>
        <v/>
      </c>
      <c r="EB147" s="74" t="str">
        <f>IF('Marks Entry'!BA147="","",'Marks Entry'!BA147)</f>
        <v/>
      </c>
      <c r="EC147" s="527" t="str">
        <f t="shared" si="393"/>
        <v/>
      </c>
      <c r="ED147" s="74" t="str">
        <f>IF('Marks Entry'!BB147="","",'Marks Entry'!BB147)</f>
        <v/>
      </c>
      <c r="EE147" s="528" t="str">
        <f t="shared" si="394"/>
        <v/>
      </c>
      <c r="EF147" s="74" t="str">
        <f>IF('Marks Entry'!BC147="","",'Marks Entry'!BC147)</f>
        <v/>
      </c>
      <c r="EG147" s="530" t="str">
        <f t="shared" si="395"/>
        <v/>
      </c>
      <c r="EH147" s="368" t="str">
        <f t="shared" si="446"/>
        <v/>
      </c>
      <c r="EI147" s="65">
        <f t="shared" si="447"/>
        <v>0</v>
      </c>
      <c r="EJ147" s="65">
        <f t="shared" si="448"/>
        <v>0</v>
      </c>
      <c r="EK147" s="66" t="str">
        <f t="shared" si="449"/>
        <v/>
      </c>
      <c r="EL147" s="74" t="str">
        <f>IF('Marks Entry'!BD147="","",'Marks Entry'!BD147)</f>
        <v/>
      </c>
      <c r="EM147" s="74" t="str">
        <f>IF('Marks Entry'!BE147="","",'Marks Entry'!BE147)</f>
        <v/>
      </c>
      <c r="EN147" s="74" t="str">
        <f>IF('Marks Entry'!BF147="","",'Marks Entry'!BF147)</f>
        <v/>
      </c>
      <c r="EO147" s="527" t="str">
        <f t="shared" si="396"/>
        <v/>
      </c>
      <c r="EP147" s="74" t="str">
        <f>IF('Marks Entry'!BG147="","",'Marks Entry'!BG147)</f>
        <v/>
      </c>
      <c r="EQ147" s="74" t="str">
        <f>IF('Marks Entry'!BH147="","",'Marks Entry'!BH147)</f>
        <v/>
      </c>
      <c r="ER147" s="528" t="str">
        <f t="shared" si="397"/>
        <v/>
      </c>
      <c r="ES147" s="529" t="str">
        <f t="shared" si="398"/>
        <v/>
      </c>
      <c r="ET147" s="74" t="str">
        <f>IF('Marks Entry'!BI147="","",'Marks Entry'!BI147)</f>
        <v/>
      </c>
      <c r="EU147" s="74" t="str">
        <f>IF('Marks Entry'!BJ147="","",'Marks Entry'!BJ147)</f>
        <v/>
      </c>
      <c r="EV147" s="528" t="str">
        <f t="shared" si="399"/>
        <v/>
      </c>
      <c r="EW147" s="530" t="str">
        <f t="shared" si="400"/>
        <v/>
      </c>
      <c r="EX147" s="368" t="str">
        <f t="shared" si="450"/>
        <v/>
      </c>
      <c r="EY147" s="65">
        <f t="shared" si="451"/>
        <v>0</v>
      </c>
      <c r="EZ147" s="65">
        <f t="shared" si="452"/>
        <v>0</v>
      </c>
      <c r="FA147" s="66" t="str">
        <f t="shared" si="453"/>
        <v/>
      </c>
      <c r="FB147" s="74" t="str">
        <f>IF('Marks Entry'!BK147="","",'Marks Entry'!BK147)</f>
        <v/>
      </c>
      <c r="FC147" s="74" t="str">
        <f>IF('Marks Entry'!BL147="","",'Marks Entry'!BL147)</f>
        <v/>
      </c>
      <c r="FD147" s="74" t="str">
        <f>IF('Marks Entry'!BM147="","",'Marks Entry'!BM147)</f>
        <v/>
      </c>
      <c r="FE147" s="74" t="str">
        <f>IF('Marks Entry'!BN147="","",'Marks Entry'!BN147)</f>
        <v/>
      </c>
      <c r="FF147" s="74" t="str">
        <f>IF('Marks Entry'!BO147="","",'Marks Entry'!BO147)</f>
        <v/>
      </c>
      <c r="FG147" s="74" t="str">
        <f>IF('Marks Entry'!BP147="","",'Marks Entry'!BP147)</f>
        <v/>
      </c>
      <c r="FH147" s="527" t="str">
        <f t="shared" si="401"/>
        <v/>
      </c>
      <c r="FI147" s="74" t="str">
        <f>IF('Marks Entry'!BQ147="","",'Marks Entry'!BQ147)</f>
        <v/>
      </c>
      <c r="FJ147" s="74" t="str">
        <f>IF('Marks Entry'!BR147="","",'Marks Entry'!BR147)</f>
        <v/>
      </c>
      <c r="FK147" s="528" t="str">
        <f t="shared" si="402"/>
        <v/>
      </c>
      <c r="FL147" s="529" t="str">
        <f t="shared" si="403"/>
        <v/>
      </c>
      <c r="FM147" s="74" t="str">
        <f>IF('Marks Entry'!BS147="","",'Marks Entry'!BS147)</f>
        <v/>
      </c>
      <c r="FN147" s="74" t="str">
        <f>IF('Marks Entry'!BT147="","",'Marks Entry'!BT147)</f>
        <v/>
      </c>
      <c r="FO147" s="528" t="str">
        <f t="shared" si="404"/>
        <v/>
      </c>
      <c r="FP147" s="530" t="str">
        <f t="shared" si="405"/>
        <v/>
      </c>
      <c r="FQ147" s="368" t="str">
        <f t="shared" si="454"/>
        <v/>
      </c>
      <c r="FR147" s="65">
        <f t="shared" si="455"/>
        <v>0</v>
      </c>
      <c r="FS147" s="65">
        <f t="shared" si="456"/>
        <v>0</v>
      </c>
      <c r="FT147" s="66" t="str">
        <f t="shared" si="457"/>
        <v/>
      </c>
      <c r="FU147" s="74" t="str">
        <f>IF('Marks Entry'!BU147="","",'Marks Entry'!BU147)</f>
        <v/>
      </c>
      <c r="FV147" s="74" t="str">
        <f>IF('Marks Entry'!BV147="","",'Marks Entry'!BV147)</f>
        <v/>
      </c>
      <c r="FW147" s="74" t="str">
        <f>IF('Marks Entry'!BW147="","",'Marks Entry'!BW147)</f>
        <v/>
      </c>
      <c r="FX147" s="75" t="str">
        <f t="shared" si="406"/>
        <v/>
      </c>
      <c r="FY147" s="368" t="str">
        <f t="shared" si="458"/>
        <v/>
      </c>
      <c r="FZ147" s="65">
        <f t="shared" si="459"/>
        <v>0</v>
      </c>
      <c r="GA147" s="66">
        <f t="shared" si="460"/>
        <v>0</v>
      </c>
      <c r="GB147" s="66" t="str">
        <f t="shared" si="461"/>
        <v/>
      </c>
      <c r="GC147" s="74" t="str">
        <f>IF('Marks Entry'!BX147="","",'Marks Entry'!BX147)</f>
        <v/>
      </c>
      <c r="GD147" s="74" t="str">
        <f>IF('Marks Entry'!BY147="","",'Marks Entry'!BY147)</f>
        <v/>
      </c>
      <c r="GE147" s="74" t="str">
        <f>IF('Marks Entry'!BZ147="","",'Marks Entry'!BZ147)</f>
        <v/>
      </c>
      <c r="GF147" s="75" t="str">
        <f t="shared" si="462"/>
        <v/>
      </c>
      <c r="GG147" s="368" t="str">
        <f t="shared" si="463"/>
        <v/>
      </c>
      <c r="GH147" s="65">
        <f t="shared" si="464"/>
        <v>0</v>
      </c>
      <c r="GI147" s="66">
        <f t="shared" si="465"/>
        <v>0</v>
      </c>
      <c r="GJ147" s="66" t="str">
        <f t="shared" si="466"/>
        <v/>
      </c>
      <c r="GK147" s="100" t="str">
        <f>IF(AND(F147="",B147=""),"",IF('Student DATA Entry'!M144="","",'Student DATA Entry'!M144))</f>
        <v/>
      </c>
      <c r="GL147" s="101" t="str">
        <f>IF(AND(B147="",F147=""),"",IF('Student DATA Entry'!N144="","",'Student DATA Entry'!N144))</f>
        <v/>
      </c>
      <c r="GM147" s="581" t="str">
        <f t="shared" si="467"/>
        <v/>
      </c>
      <c r="GN147" s="94" t="str">
        <f t="shared" si="468"/>
        <v/>
      </c>
      <c r="GO147" s="94" t="str">
        <f t="shared" si="469"/>
        <v/>
      </c>
      <c r="GP147" s="102" t="str">
        <f t="shared" si="407"/>
        <v/>
      </c>
      <c r="GQ147" s="94" t="str">
        <f t="shared" si="470"/>
        <v/>
      </c>
      <c r="GR147" s="103" t="str">
        <f t="shared" si="471"/>
        <v/>
      </c>
      <c r="GS147" s="102" t="str">
        <f t="shared" si="408"/>
        <v/>
      </c>
      <c r="GT147" s="104" t="str">
        <f t="shared" si="472"/>
        <v/>
      </c>
      <c r="GU147" s="94" t="str">
        <f>IF('Marks Entry'!V147=1,GT147,"")</f>
        <v/>
      </c>
      <c r="GV147" s="94" t="str">
        <f>IF('Marks Entry'!V147=2,GT147,"")</f>
        <v/>
      </c>
      <c r="GW147" s="94" t="str">
        <f>IF('Marks Entry'!V147=3,GT147,"")</f>
        <v/>
      </c>
      <c r="GX147" s="94" t="str">
        <f>IF('Marks Entry'!V147=4,GT147,"")</f>
        <v/>
      </c>
      <c r="GY147" s="94" t="str">
        <f>IF('Marks Entry'!V147=5,GT147,"")</f>
        <v/>
      </c>
      <c r="GZ147" s="94" t="str">
        <f t="shared" si="473"/>
        <v/>
      </c>
      <c r="HA147" s="105" t="str">
        <f t="shared" si="409"/>
        <v/>
      </c>
      <c r="HB147" s="94" t="str">
        <f t="shared" si="474"/>
        <v/>
      </c>
      <c r="HC147" s="94" t="str">
        <f t="shared" si="475"/>
        <v/>
      </c>
      <c r="HD147" s="105" t="str">
        <f t="shared" si="410"/>
        <v/>
      </c>
      <c r="HE147" s="94" t="str">
        <f t="shared" si="476"/>
        <v/>
      </c>
      <c r="HF147" s="94" t="str">
        <f t="shared" si="477"/>
        <v/>
      </c>
      <c r="HG147" s="105" t="str">
        <f t="shared" si="411"/>
        <v/>
      </c>
      <c r="HH147" s="94" t="str">
        <f t="shared" si="478"/>
        <v/>
      </c>
      <c r="HI147" s="94" t="str">
        <f t="shared" si="479"/>
        <v/>
      </c>
      <c r="HJ147" s="105" t="str">
        <f t="shared" si="412"/>
        <v/>
      </c>
      <c r="HK147" s="94" t="str">
        <f t="shared" si="480"/>
        <v/>
      </c>
      <c r="HL147" s="94" t="str">
        <f t="shared" si="481"/>
        <v/>
      </c>
      <c r="HM147" s="105" t="str">
        <f t="shared" si="413"/>
        <v/>
      </c>
      <c r="HN147" s="367" t="str">
        <f t="shared" si="482"/>
        <v xml:space="preserve">      </v>
      </c>
      <c r="HO147" s="418" t="str">
        <f t="shared" si="414"/>
        <v xml:space="preserve">      </v>
      </c>
      <c r="HP147" s="367" t="str">
        <f t="shared" si="483"/>
        <v xml:space="preserve">      </v>
      </c>
      <c r="HQ147" s="107" t="str">
        <f t="shared" si="484"/>
        <v xml:space="preserve">      </v>
      </c>
      <c r="HR147" s="366" t="str">
        <f t="shared" si="485"/>
        <v xml:space="preserve">      </v>
      </c>
      <c r="HS147" s="544" t="str">
        <f t="shared" si="415"/>
        <v/>
      </c>
      <c r="HT147" s="542" t="str">
        <f t="shared" si="486"/>
        <v/>
      </c>
      <c r="HU147" s="541" t="str">
        <f t="shared" si="487"/>
        <v/>
      </c>
      <c r="HV147" s="540" t="str">
        <f t="shared" si="488"/>
        <v/>
      </c>
      <c r="HW147" s="537" t="str">
        <f t="shared" si="489"/>
        <v/>
      </c>
      <c r="HX147" s="539" t="str">
        <f t="shared" si="490"/>
        <v/>
      </c>
      <c r="HY147" s="553" t="str">
        <f>IFERROR(IF(OR(HS147="SUPPLEMENTARY",HS147="RE-EXAM"),'Supp. Result Entry'!AQ145,""),"")</f>
        <v/>
      </c>
      <c r="HZ147" s="538" t="str">
        <f t="shared" si="491"/>
        <v/>
      </c>
      <c r="IA147" s="415" t="str">
        <f t="shared" si="492"/>
        <v/>
      </c>
      <c r="IB147" s="415" t="str">
        <f>IF(AND(HZ147="",IA147=""),"",IF(OR(HS147="SUPPLEMENTARY",HS147="RE-EXAM"),'Supp. Result Entry'!AQ145,HS147))</f>
        <v/>
      </c>
      <c r="IC147" s="87"/>
      <c r="IS147" s="109" t="str">
        <f>IF('Supp. Result Entry'!T145="","",'Supp. Result Entry'!$T$4)</f>
        <v/>
      </c>
      <c r="IT147" s="110" t="str">
        <f>IF('Supp. Result Entry'!W145="","",'Supp. Result Entry'!$W$4)</f>
        <v/>
      </c>
      <c r="IU147" s="110" t="str">
        <f>IF('Supp. Result Entry'!Z145="","",'Supp. Result Entry'!$Z$4)</f>
        <v/>
      </c>
      <c r="IV147" s="110" t="str">
        <f>IF('Supp. Result Entry'!AC145="","",'Supp. Result Entry'!$AC$4)</f>
        <v/>
      </c>
      <c r="IW147" s="110" t="str">
        <f>IF('Supp. Result Entry'!AF145="","",'Supp. Result Entry'!$AF$4)</f>
        <v/>
      </c>
      <c r="IX147" s="110" t="str">
        <f>IF('Supp. Result Entry'!AI145="","",'Supp. Result Entry'!$AI$4)</f>
        <v/>
      </c>
      <c r="IY147" s="110" t="str">
        <f>IF('Supp. Result Entry'!AI145="","",'Supp. Result Entry'!$AL$4)</f>
        <v/>
      </c>
      <c r="IZ147" s="110" t="str">
        <f>IF('Supp. Result Entry'!U145="","",'Supp. Result Entry'!U145)</f>
        <v/>
      </c>
      <c r="JA147" s="110" t="str">
        <f>IF('Supp. Result Entry'!X145="","",'Supp. Result Entry'!X145)</f>
        <v/>
      </c>
      <c r="JB147" s="110" t="str">
        <f>IF('Supp. Result Entry'!AA145="","",'Supp. Result Entry'!AA145)</f>
        <v/>
      </c>
      <c r="JC147" s="110" t="str">
        <f>IF('Supp. Result Entry'!AD145="","",'Supp. Result Entry'!AD145)</f>
        <v/>
      </c>
      <c r="JD147" s="110" t="str">
        <f>IF('Supp. Result Entry'!AG145="","",'Supp. Result Entry'!AG145)</f>
        <v/>
      </c>
      <c r="JE147" s="110" t="str">
        <f>IF('Supp. Result Entry'!AJ145="","",'Supp. Result Entry'!AJ145)</f>
        <v/>
      </c>
      <c r="JF147" s="110" t="str">
        <f>IF('Supp. Result Entry'!AM145="","",'Supp. Result Entry'!AM145)</f>
        <v/>
      </c>
      <c r="JG147" s="110" t="str">
        <f>IF('Supp. Result Entry'!V145="","",'Supp. Result Entry'!V145)</f>
        <v/>
      </c>
      <c r="JH147" s="110" t="str">
        <f>IF('Supp. Result Entry'!Y145="","",'Supp. Result Entry'!Y145)</f>
        <v/>
      </c>
      <c r="JI147" s="110" t="str">
        <f>IF('Supp. Result Entry'!AB145="","",'Supp. Result Entry'!AB145)</f>
        <v/>
      </c>
      <c r="JJ147" s="110" t="str">
        <f>IF('Supp. Result Entry'!AE145="","",'Supp. Result Entry'!AE145)</f>
        <v/>
      </c>
      <c r="JK147" s="110" t="str">
        <f>IF('Supp. Result Entry'!AH145="","",'Supp. Result Entry'!AH145)</f>
        <v/>
      </c>
      <c r="JL147" s="110" t="str">
        <f>IF('Supp. Result Entry'!AK145="","",'Supp. Result Entry'!AK145)</f>
        <v/>
      </c>
      <c r="JM147" s="110" t="str">
        <f>IF('Supp. Result Entry'!AN145="","",'Supp. Result Entry'!AN145)</f>
        <v/>
      </c>
      <c r="JN147" s="110">
        <f>COUNTIF('Supp. Result Entry'!K145:Q145,"S")</f>
        <v>0</v>
      </c>
      <c r="JO147" s="110">
        <f t="shared" si="416"/>
        <v>0</v>
      </c>
      <c r="JP147" s="110">
        <f t="shared" si="493"/>
        <v>0</v>
      </c>
      <c r="JQ147" s="110" t="str">
        <f t="shared" si="417"/>
        <v/>
      </c>
      <c r="JR147" s="110" t="str">
        <f t="shared" si="418"/>
        <v/>
      </c>
      <c r="JS147" s="110" t="str">
        <f t="shared" si="419"/>
        <v/>
      </c>
      <c r="JT147" s="110" t="str">
        <f t="shared" si="420"/>
        <v/>
      </c>
      <c r="JU147" s="110" t="str">
        <f t="shared" si="421"/>
        <v/>
      </c>
      <c r="JV147" s="110" t="str">
        <f t="shared" si="422"/>
        <v/>
      </c>
      <c r="JW147" s="110" t="str">
        <f t="shared" si="423"/>
        <v/>
      </c>
      <c r="JX147" s="110" t="str">
        <f t="shared" si="494"/>
        <v/>
      </c>
      <c r="JY147" s="110" t="str">
        <f t="shared" si="495"/>
        <v/>
      </c>
      <c r="JZ147" s="110" t="str">
        <f t="shared" si="424"/>
        <v/>
      </c>
      <c r="KA147" s="108" t="str">
        <f t="shared" si="496"/>
        <v/>
      </c>
    </row>
    <row r="148" spans="1:287" s="108" customFormat="1" ht="21.95" customHeight="1">
      <c r="A148" s="89">
        <v>142</v>
      </c>
      <c r="B148" s="90" t="str">
        <f>IF('Marks Entry'!B148="","",'Marks Entry'!B148)</f>
        <v/>
      </c>
      <c r="C148" s="94" t="str">
        <f>IF('Marks Entry'!D148="","",'Marks Entry'!D148)</f>
        <v/>
      </c>
      <c r="D148" s="91" t="str">
        <f>IF('Marks Entry'!E148="","",'Marks Entry'!E148)</f>
        <v/>
      </c>
      <c r="E148" s="92" t="str">
        <f>IF('Marks Entry'!F148="","",'Marks Entry'!F148)</f>
        <v/>
      </c>
      <c r="F148" s="93" t="str">
        <f>IF('Marks Entry'!G148="","",'Marks Entry'!G148)</f>
        <v/>
      </c>
      <c r="G148" s="93" t="str">
        <f>IF('Marks Entry'!H148="","",'Marks Entry'!H148)</f>
        <v/>
      </c>
      <c r="H148" s="93" t="str">
        <f>IF('Marks Entry'!I148="","",'Marks Entry'!I148)</f>
        <v/>
      </c>
      <c r="I148" s="94" t="str">
        <f>IF('Marks Entry'!J148="","",'Marks Entry'!J148)</f>
        <v/>
      </c>
      <c r="J148" s="95" t="str">
        <f>IF('Marks Entry'!K148="","",'Marks Entry'!K148)</f>
        <v/>
      </c>
      <c r="K148" s="68" t="str">
        <f>IF('Marks Entry'!L148="","",'Marks Entry'!L148)</f>
        <v/>
      </c>
      <c r="L148" s="68" t="str">
        <f>IF('Marks Entry'!M148="","",'Marks Entry'!M148)</f>
        <v/>
      </c>
      <c r="M148" s="68" t="str">
        <f>IF('Marks Entry'!N148="","",'Marks Entry'!N148)</f>
        <v/>
      </c>
      <c r="N148" s="514" t="str">
        <f t="shared" si="425"/>
        <v/>
      </c>
      <c r="O148" s="68" t="str">
        <f>IF('Marks Entry'!O148="","",'Marks Entry'!O148)</f>
        <v/>
      </c>
      <c r="P148" s="515" t="str">
        <f t="shared" si="426"/>
        <v/>
      </c>
      <c r="Q148" s="68" t="str">
        <f>IF('Marks Entry'!P148="","",'Marks Entry'!P148)</f>
        <v/>
      </c>
      <c r="R148" s="96" t="str">
        <f t="shared" si="427"/>
        <v/>
      </c>
      <c r="S148" s="65">
        <f t="shared" si="428"/>
        <v>0</v>
      </c>
      <c r="T148" s="65">
        <f t="shared" si="429"/>
        <v>0</v>
      </c>
      <c r="U148" s="66" t="str">
        <f t="shared" si="339"/>
        <v/>
      </c>
      <c r="V148" s="65" t="str">
        <f t="shared" si="340"/>
        <v/>
      </c>
      <c r="W148" s="65" t="str">
        <f t="shared" si="430"/>
        <v/>
      </c>
      <c r="X148" s="65" t="str">
        <f t="shared" si="341"/>
        <v/>
      </c>
      <c r="Y148" s="68" t="str">
        <f>IF('Marks Entry'!Q148="","",'Marks Entry'!Q148)</f>
        <v/>
      </c>
      <c r="Z148" s="68" t="str">
        <f>IF('Marks Entry'!R148="","",'Marks Entry'!R148)</f>
        <v/>
      </c>
      <c r="AA148" s="68" t="str">
        <f>IF('Marks Entry'!S148="","",'Marks Entry'!S148)</f>
        <v/>
      </c>
      <c r="AB148" s="514" t="str">
        <f t="shared" si="342"/>
        <v/>
      </c>
      <c r="AC148" s="68" t="str">
        <f>IF('Marks Entry'!T148="","",'Marks Entry'!T148)</f>
        <v/>
      </c>
      <c r="AD148" s="515" t="str">
        <f t="shared" si="343"/>
        <v/>
      </c>
      <c r="AE148" s="68" t="str">
        <f>IF('Marks Entry'!U148="","",'Marks Entry'!U148)</f>
        <v/>
      </c>
      <c r="AF148" s="96" t="str">
        <f t="shared" si="344"/>
        <v/>
      </c>
      <c r="AG148" s="65">
        <f t="shared" si="345"/>
        <v>0</v>
      </c>
      <c r="AH148" s="65">
        <f t="shared" si="346"/>
        <v>0</v>
      </c>
      <c r="AI148" s="66" t="str">
        <f t="shared" si="347"/>
        <v/>
      </c>
      <c r="AJ148" s="65" t="str">
        <f t="shared" si="348"/>
        <v/>
      </c>
      <c r="AK148" s="65" t="str">
        <f t="shared" si="349"/>
        <v/>
      </c>
      <c r="AL148" s="65" t="str">
        <f t="shared" si="350"/>
        <v/>
      </c>
      <c r="AM148" s="524" t="str">
        <f>IF('Marks Entry'!V148="","",IF('Marks Entry'!V148=1,'School Profile'!$I$9,IF('Marks Entry'!V148=2,'School Profile'!$I$10,IF('Marks Entry'!V148=3,'School Profile'!$I$11,IF('Marks Entry'!V148=4,'School Profile'!$I$12,IF('Marks Entry'!V148=5,'School Profile'!$I$13,IF('Marks Entry'!V148=6,'School Profile'!$I$14,"")))))))</f>
        <v/>
      </c>
      <c r="AN148" s="68" t="str">
        <f>IF('Marks Entry'!W148="","",'Marks Entry'!W148)</f>
        <v/>
      </c>
      <c r="AO148" s="68" t="str">
        <f>IF('Marks Entry'!X148="","",'Marks Entry'!X148)</f>
        <v/>
      </c>
      <c r="AP148" s="68" t="str">
        <f>IF('Marks Entry'!Y148="","",'Marks Entry'!Y148)</f>
        <v/>
      </c>
      <c r="AQ148" s="514" t="str">
        <f t="shared" si="351"/>
        <v/>
      </c>
      <c r="AR148" s="68" t="str">
        <f>IF('Marks Entry'!Z148="","",'Marks Entry'!Z148)</f>
        <v/>
      </c>
      <c r="AS148" s="515" t="str">
        <f t="shared" si="352"/>
        <v/>
      </c>
      <c r="AT148" s="68" t="str">
        <f>IF('Marks Entry'!AA148="","",'Marks Entry'!AA148)</f>
        <v/>
      </c>
      <c r="AU148" s="96" t="str">
        <f t="shared" si="353"/>
        <v/>
      </c>
      <c r="AV148" s="65">
        <f t="shared" si="354"/>
        <v>0</v>
      </c>
      <c r="AW148" s="65">
        <f t="shared" si="355"/>
        <v>0</v>
      </c>
      <c r="AX148" s="66" t="str">
        <f t="shared" si="356"/>
        <v/>
      </c>
      <c r="AY148" s="65" t="str">
        <f t="shared" si="357"/>
        <v/>
      </c>
      <c r="AZ148" s="65" t="str">
        <f t="shared" si="358"/>
        <v/>
      </c>
      <c r="BA148" s="65" t="str">
        <f t="shared" si="359"/>
        <v/>
      </c>
      <c r="BB148" s="68" t="str">
        <f>IF('Marks Entry'!AB148="","",'Marks Entry'!AB148)</f>
        <v/>
      </c>
      <c r="BC148" s="68" t="str">
        <f>IF('Marks Entry'!AC148="","",'Marks Entry'!AC148)</f>
        <v/>
      </c>
      <c r="BD148" s="68" t="str">
        <f>IF('Marks Entry'!AD148="","",'Marks Entry'!AD148)</f>
        <v/>
      </c>
      <c r="BE148" s="514" t="str">
        <f t="shared" si="360"/>
        <v/>
      </c>
      <c r="BF148" s="68" t="str">
        <f>IF('Marks Entry'!AE148="","",'Marks Entry'!AE148)</f>
        <v/>
      </c>
      <c r="BG148" s="515" t="str">
        <f t="shared" si="361"/>
        <v/>
      </c>
      <c r="BH148" s="68" t="str">
        <f>IF('Marks Entry'!AF148="","",'Marks Entry'!AF148)</f>
        <v/>
      </c>
      <c r="BI148" s="96" t="str">
        <f t="shared" si="362"/>
        <v/>
      </c>
      <c r="BJ148" s="65">
        <f t="shared" si="363"/>
        <v>0</v>
      </c>
      <c r="BK148" s="65">
        <f t="shared" si="431"/>
        <v>0</v>
      </c>
      <c r="BL148" s="66" t="str">
        <f t="shared" si="364"/>
        <v/>
      </c>
      <c r="BM148" s="65" t="str">
        <f t="shared" si="365"/>
        <v/>
      </c>
      <c r="BN148" s="65" t="str">
        <f t="shared" si="366"/>
        <v/>
      </c>
      <c r="BO148" s="65" t="str">
        <f t="shared" si="367"/>
        <v/>
      </c>
      <c r="BP148" s="68" t="str">
        <f>IF('Marks Entry'!AG148="","",'Marks Entry'!AG148)</f>
        <v/>
      </c>
      <c r="BQ148" s="68" t="str">
        <f>IF('Marks Entry'!AH148="","",'Marks Entry'!AH148)</f>
        <v/>
      </c>
      <c r="BR148" s="68" t="str">
        <f>IF('Marks Entry'!AI148="","",'Marks Entry'!AI148)</f>
        <v/>
      </c>
      <c r="BS148" s="514" t="str">
        <f t="shared" si="368"/>
        <v/>
      </c>
      <c r="BT148" s="68" t="str">
        <f>IF('Marks Entry'!AJ148="","",'Marks Entry'!AJ148)</f>
        <v/>
      </c>
      <c r="BU148" s="515" t="str">
        <f t="shared" si="369"/>
        <v/>
      </c>
      <c r="BV148" s="68" t="str">
        <f>IF('Marks Entry'!AK148="","",'Marks Entry'!AK148)</f>
        <v/>
      </c>
      <c r="BW148" s="96" t="str">
        <f t="shared" si="370"/>
        <v/>
      </c>
      <c r="BX148" s="65">
        <f t="shared" si="371"/>
        <v>0</v>
      </c>
      <c r="BY148" s="65">
        <f t="shared" si="372"/>
        <v>0</v>
      </c>
      <c r="BZ148" s="66" t="str">
        <f t="shared" si="373"/>
        <v/>
      </c>
      <c r="CA148" s="65" t="str">
        <f t="shared" si="374"/>
        <v/>
      </c>
      <c r="CB148" s="65" t="str">
        <f t="shared" si="375"/>
        <v/>
      </c>
      <c r="CC148" s="65" t="str">
        <f t="shared" si="376"/>
        <v/>
      </c>
      <c r="CD148" s="66">
        <f t="shared" si="377"/>
        <v>0</v>
      </c>
      <c r="CE148" s="68" t="str">
        <f>IF('Marks Entry'!AL148="","",'Marks Entry'!AL148)</f>
        <v/>
      </c>
      <c r="CF148" s="68" t="str">
        <f>IF('Marks Entry'!AM148="","",'Marks Entry'!AM148)</f>
        <v/>
      </c>
      <c r="CG148" s="68" t="str">
        <f>IF('Marks Entry'!AN148="","",'Marks Entry'!AN148)</f>
        <v/>
      </c>
      <c r="CH148" s="514" t="str">
        <f t="shared" si="378"/>
        <v/>
      </c>
      <c r="CI148" s="68" t="str">
        <f>IF('Marks Entry'!AO148="","",'Marks Entry'!AO148)</f>
        <v/>
      </c>
      <c r="CJ148" s="515" t="str">
        <f t="shared" si="379"/>
        <v/>
      </c>
      <c r="CK148" s="68" t="str">
        <f>IF('Marks Entry'!AP148="","",'Marks Entry'!AP148)</f>
        <v/>
      </c>
      <c r="CL148" s="96" t="str">
        <f t="shared" si="380"/>
        <v/>
      </c>
      <c r="CM148" s="65">
        <f t="shared" si="381"/>
        <v>0</v>
      </c>
      <c r="CN148" s="65">
        <f t="shared" si="382"/>
        <v>0</v>
      </c>
      <c r="CO148" s="66" t="str">
        <f t="shared" si="383"/>
        <v/>
      </c>
      <c r="CP148" s="65" t="str">
        <f t="shared" si="384"/>
        <v/>
      </c>
      <c r="CQ148" s="65" t="str">
        <f t="shared" si="385"/>
        <v/>
      </c>
      <c r="CR148" s="65" t="str">
        <f t="shared" si="386"/>
        <v/>
      </c>
      <c r="CS148" s="616"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8" t="str">
        <f>IF('School Profile'!$D$20="NO","",IF('Marks Entry'!AR148="","",'Marks Entry'!AR148))</f>
        <v/>
      </c>
      <c r="CU148" s="68" t="str">
        <f>IF('School Profile'!$D$20="NO","",IF('Marks Entry'!AS148="","",'Marks Entry'!AS148))</f>
        <v/>
      </c>
      <c r="CV148" s="68" t="str">
        <f>IF('School Profile'!$D$20="NO","",IF('Marks Entry'!AT148="","",'Marks Entry'!AT148))</f>
        <v/>
      </c>
      <c r="CW148" s="514" t="str">
        <f>IF('School Profile'!$D$20="NO","",IF(AND(CT148="",CU148="",CV148=""),"",SUM(CT148:CV148)))</f>
        <v/>
      </c>
      <c r="CX148" s="68" t="str">
        <f>IF('School Profile'!$D$20="NO","",IF('Marks Entry'!AU148="","",'Marks Entry'!AU148))</f>
        <v/>
      </c>
      <c r="CY148" s="68" t="str">
        <f>IF('School Profile'!$D$20="NO","",IF('Marks Entry'!AV148="","",'Marks Entry'!AV148))</f>
        <v/>
      </c>
      <c r="CZ148" s="515" t="str">
        <f>IF('School Profile'!$D$20="NO","",IF(AND(CX148="",CY148=""),"",SUM(CX148,CY148)))</f>
        <v/>
      </c>
      <c r="DA148" s="69" t="str">
        <f>IF('School Profile'!$D$20="NO","",IF(AND(CW148="",CZ148=""),"",SUM(CW148+CZ148)))</f>
        <v/>
      </c>
      <c r="DB148" s="68" t="str">
        <f>IF('School Profile'!$D$20="NO","",IF('Marks Entry'!AW148="","",'Marks Entry'!AW148))</f>
        <v/>
      </c>
      <c r="DC148" s="68" t="str">
        <f>IF('School Profile'!$D$20="NO","",IF('Marks Entry'!AX148="","",'Marks Entry'!AX148))</f>
        <v/>
      </c>
      <c r="DD148" s="515" t="str">
        <f>IF('School Profile'!$D$20="NO","",IF(AND(DB148="",DC148=""),"",SUM(DB148,DC148)))</f>
        <v/>
      </c>
      <c r="DE148" s="96" t="str">
        <f>IF('School Profile'!$D$20="NO","",IF(AND(DA148="",DD148=""),"",SUM(DA148,DD148)))</f>
        <v/>
      </c>
      <c r="DF148" s="532">
        <f t="shared" si="387"/>
        <v>0</v>
      </c>
      <c r="DG148" s="65">
        <f t="shared" si="388"/>
        <v>0</v>
      </c>
      <c r="DH148" s="66" t="str">
        <f t="shared" si="389"/>
        <v/>
      </c>
      <c r="DI148" s="65" t="str">
        <f t="shared" si="390"/>
        <v/>
      </c>
      <c r="DJ148" s="65" t="str">
        <f t="shared" si="391"/>
        <v/>
      </c>
      <c r="DK148" s="65" t="str">
        <f t="shared" si="392"/>
        <v/>
      </c>
      <c r="DL148" s="97" t="str">
        <f t="shared" si="432"/>
        <v/>
      </c>
      <c r="DM148" s="97" t="str">
        <f t="shared" si="433"/>
        <v/>
      </c>
      <c r="DN148" s="97" t="str">
        <f t="shared" si="434"/>
        <v/>
      </c>
      <c r="DO148" s="97" t="str">
        <f t="shared" si="435"/>
        <v/>
      </c>
      <c r="DP148" s="97" t="str">
        <f t="shared" si="436"/>
        <v/>
      </c>
      <c r="DQ148" s="97" t="str">
        <f t="shared" si="437"/>
        <v/>
      </c>
      <c r="DR148" s="97" t="str">
        <f t="shared" si="438"/>
        <v/>
      </c>
      <c r="DS148" s="98">
        <f t="shared" si="439"/>
        <v>0</v>
      </c>
      <c r="DT148" s="98">
        <f t="shared" si="440"/>
        <v>0</v>
      </c>
      <c r="DU148" s="98">
        <f t="shared" si="441"/>
        <v>0</v>
      </c>
      <c r="DV148" s="98">
        <f t="shared" si="442"/>
        <v>0</v>
      </c>
      <c r="DW148" s="98">
        <f t="shared" si="443"/>
        <v>0</v>
      </c>
      <c r="DX148" s="98" t="str">
        <f t="shared" si="444"/>
        <v/>
      </c>
      <c r="DY148" s="99" t="str">
        <f t="shared" si="445"/>
        <v/>
      </c>
      <c r="DZ148" s="74" t="str">
        <f>IF('Marks Entry'!AY148="","",'Marks Entry'!AY148)</f>
        <v/>
      </c>
      <c r="EA148" s="74" t="str">
        <f>IF('Marks Entry'!AZ148="","",'Marks Entry'!AZ148)</f>
        <v/>
      </c>
      <c r="EB148" s="74" t="str">
        <f>IF('Marks Entry'!BA148="","",'Marks Entry'!BA148)</f>
        <v/>
      </c>
      <c r="EC148" s="527" t="str">
        <f t="shared" si="393"/>
        <v/>
      </c>
      <c r="ED148" s="74" t="str">
        <f>IF('Marks Entry'!BB148="","",'Marks Entry'!BB148)</f>
        <v/>
      </c>
      <c r="EE148" s="528" t="str">
        <f t="shared" si="394"/>
        <v/>
      </c>
      <c r="EF148" s="74" t="str">
        <f>IF('Marks Entry'!BC148="","",'Marks Entry'!BC148)</f>
        <v/>
      </c>
      <c r="EG148" s="530" t="str">
        <f t="shared" si="395"/>
        <v/>
      </c>
      <c r="EH148" s="368" t="str">
        <f t="shared" si="446"/>
        <v/>
      </c>
      <c r="EI148" s="65">
        <f t="shared" si="447"/>
        <v>0</v>
      </c>
      <c r="EJ148" s="65">
        <f t="shared" si="448"/>
        <v>0</v>
      </c>
      <c r="EK148" s="66" t="str">
        <f t="shared" si="449"/>
        <v/>
      </c>
      <c r="EL148" s="74" t="str">
        <f>IF('Marks Entry'!BD148="","",'Marks Entry'!BD148)</f>
        <v/>
      </c>
      <c r="EM148" s="74" t="str">
        <f>IF('Marks Entry'!BE148="","",'Marks Entry'!BE148)</f>
        <v/>
      </c>
      <c r="EN148" s="74" t="str">
        <f>IF('Marks Entry'!BF148="","",'Marks Entry'!BF148)</f>
        <v/>
      </c>
      <c r="EO148" s="527" t="str">
        <f t="shared" si="396"/>
        <v/>
      </c>
      <c r="EP148" s="74" t="str">
        <f>IF('Marks Entry'!BG148="","",'Marks Entry'!BG148)</f>
        <v/>
      </c>
      <c r="EQ148" s="74" t="str">
        <f>IF('Marks Entry'!BH148="","",'Marks Entry'!BH148)</f>
        <v/>
      </c>
      <c r="ER148" s="528" t="str">
        <f t="shared" si="397"/>
        <v/>
      </c>
      <c r="ES148" s="529" t="str">
        <f t="shared" si="398"/>
        <v/>
      </c>
      <c r="ET148" s="74" t="str">
        <f>IF('Marks Entry'!BI148="","",'Marks Entry'!BI148)</f>
        <v/>
      </c>
      <c r="EU148" s="74" t="str">
        <f>IF('Marks Entry'!BJ148="","",'Marks Entry'!BJ148)</f>
        <v/>
      </c>
      <c r="EV148" s="528" t="str">
        <f t="shared" si="399"/>
        <v/>
      </c>
      <c r="EW148" s="530" t="str">
        <f t="shared" si="400"/>
        <v/>
      </c>
      <c r="EX148" s="368" t="str">
        <f t="shared" si="450"/>
        <v/>
      </c>
      <c r="EY148" s="65">
        <f t="shared" si="451"/>
        <v>0</v>
      </c>
      <c r="EZ148" s="65">
        <f t="shared" si="452"/>
        <v>0</v>
      </c>
      <c r="FA148" s="66" t="str">
        <f t="shared" si="453"/>
        <v/>
      </c>
      <c r="FB148" s="74" t="str">
        <f>IF('Marks Entry'!BK148="","",'Marks Entry'!BK148)</f>
        <v/>
      </c>
      <c r="FC148" s="74" t="str">
        <f>IF('Marks Entry'!BL148="","",'Marks Entry'!BL148)</f>
        <v/>
      </c>
      <c r="FD148" s="74" t="str">
        <f>IF('Marks Entry'!BM148="","",'Marks Entry'!BM148)</f>
        <v/>
      </c>
      <c r="FE148" s="74" t="str">
        <f>IF('Marks Entry'!BN148="","",'Marks Entry'!BN148)</f>
        <v/>
      </c>
      <c r="FF148" s="74" t="str">
        <f>IF('Marks Entry'!BO148="","",'Marks Entry'!BO148)</f>
        <v/>
      </c>
      <c r="FG148" s="74" t="str">
        <f>IF('Marks Entry'!BP148="","",'Marks Entry'!BP148)</f>
        <v/>
      </c>
      <c r="FH148" s="527" t="str">
        <f t="shared" si="401"/>
        <v/>
      </c>
      <c r="FI148" s="74" t="str">
        <f>IF('Marks Entry'!BQ148="","",'Marks Entry'!BQ148)</f>
        <v/>
      </c>
      <c r="FJ148" s="74" t="str">
        <f>IF('Marks Entry'!BR148="","",'Marks Entry'!BR148)</f>
        <v/>
      </c>
      <c r="FK148" s="528" t="str">
        <f t="shared" si="402"/>
        <v/>
      </c>
      <c r="FL148" s="529" t="str">
        <f t="shared" si="403"/>
        <v/>
      </c>
      <c r="FM148" s="74" t="str">
        <f>IF('Marks Entry'!BS148="","",'Marks Entry'!BS148)</f>
        <v/>
      </c>
      <c r="FN148" s="74" t="str">
        <f>IF('Marks Entry'!BT148="","",'Marks Entry'!BT148)</f>
        <v/>
      </c>
      <c r="FO148" s="528" t="str">
        <f t="shared" si="404"/>
        <v/>
      </c>
      <c r="FP148" s="530" t="str">
        <f t="shared" si="405"/>
        <v/>
      </c>
      <c r="FQ148" s="368" t="str">
        <f t="shared" si="454"/>
        <v/>
      </c>
      <c r="FR148" s="65">
        <f t="shared" si="455"/>
        <v>0</v>
      </c>
      <c r="FS148" s="65">
        <f t="shared" si="456"/>
        <v>0</v>
      </c>
      <c r="FT148" s="66" t="str">
        <f t="shared" si="457"/>
        <v/>
      </c>
      <c r="FU148" s="74" t="str">
        <f>IF('Marks Entry'!BU148="","",'Marks Entry'!BU148)</f>
        <v/>
      </c>
      <c r="FV148" s="74" t="str">
        <f>IF('Marks Entry'!BV148="","",'Marks Entry'!BV148)</f>
        <v/>
      </c>
      <c r="FW148" s="74" t="str">
        <f>IF('Marks Entry'!BW148="","",'Marks Entry'!BW148)</f>
        <v/>
      </c>
      <c r="FX148" s="75" t="str">
        <f t="shared" si="406"/>
        <v/>
      </c>
      <c r="FY148" s="368" t="str">
        <f t="shared" si="458"/>
        <v/>
      </c>
      <c r="FZ148" s="65">
        <f t="shared" si="459"/>
        <v>0</v>
      </c>
      <c r="GA148" s="66">
        <f t="shared" si="460"/>
        <v>0</v>
      </c>
      <c r="GB148" s="66" t="str">
        <f t="shared" si="461"/>
        <v/>
      </c>
      <c r="GC148" s="74" t="str">
        <f>IF('Marks Entry'!BX148="","",'Marks Entry'!BX148)</f>
        <v/>
      </c>
      <c r="GD148" s="74" t="str">
        <f>IF('Marks Entry'!BY148="","",'Marks Entry'!BY148)</f>
        <v/>
      </c>
      <c r="GE148" s="74" t="str">
        <f>IF('Marks Entry'!BZ148="","",'Marks Entry'!BZ148)</f>
        <v/>
      </c>
      <c r="GF148" s="75" t="str">
        <f t="shared" si="462"/>
        <v/>
      </c>
      <c r="GG148" s="368" t="str">
        <f t="shared" si="463"/>
        <v/>
      </c>
      <c r="GH148" s="65">
        <f t="shared" si="464"/>
        <v>0</v>
      </c>
      <c r="GI148" s="66">
        <f t="shared" si="465"/>
        <v>0</v>
      </c>
      <c r="GJ148" s="66" t="str">
        <f t="shared" si="466"/>
        <v/>
      </c>
      <c r="GK148" s="100" t="str">
        <f>IF(AND(F148="",B148=""),"",IF('Student DATA Entry'!M145="","",'Student DATA Entry'!M145))</f>
        <v/>
      </c>
      <c r="GL148" s="101" t="str">
        <f>IF(AND(B148="",F148=""),"",IF('Student DATA Entry'!N145="","",'Student DATA Entry'!N145))</f>
        <v/>
      </c>
      <c r="GM148" s="581" t="str">
        <f t="shared" si="467"/>
        <v/>
      </c>
      <c r="GN148" s="94" t="str">
        <f t="shared" si="468"/>
        <v/>
      </c>
      <c r="GO148" s="94" t="str">
        <f t="shared" si="469"/>
        <v/>
      </c>
      <c r="GP148" s="102" t="str">
        <f t="shared" si="407"/>
        <v/>
      </c>
      <c r="GQ148" s="94" t="str">
        <f t="shared" si="470"/>
        <v/>
      </c>
      <c r="GR148" s="103" t="str">
        <f t="shared" si="471"/>
        <v/>
      </c>
      <c r="GS148" s="102" t="str">
        <f t="shared" si="408"/>
        <v/>
      </c>
      <c r="GT148" s="104" t="str">
        <f t="shared" si="472"/>
        <v/>
      </c>
      <c r="GU148" s="94" t="str">
        <f>IF('Marks Entry'!V148=1,GT148,"")</f>
        <v/>
      </c>
      <c r="GV148" s="94" t="str">
        <f>IF('Marks Entry'!V148=2,GT148,"")</f>
        <v/>
      </c>
      <c r="GW148" s="94" t="str">
        <f>IF('Marks Entry'!V148=3,GT148,"")</f>
        <v/>
      </c>
      <c r="GX148" s="94" t="str">
        <f>IF('Marks Entry'!V148=4,GT148,"")</f>
        <v/>
      </c>
      <c r="GY148" s="94" t="str">
        <f>IF('Marks Entry'!V148=5,GT148,"")</f>
        <v/>
      </c>
      <c r="GZ148" s="94" t="str">
        <f t="shared" si="473"/>
        <v/>
      </c>
      <c r="HA148" s="105" t="str">
        <f t="shared" si="409"/>
        <v/>
      </c>
      <c r="HB148" s="94" t="str">
        <f t="shared" si="474"/>
        <v/>
      </c>
      <c r="HC148" s="94" t="str">
        <f t="shared" si="475"/>
        <v/>
      </c>
      <c r="HD148" s="105" t="str">
        <f t="shared" si="410"/>
        <v/>
      </c>
      <c r="HE148" s="94" t="str">
        <f t="shared" si="476"/>
        <v/>
      </c>
      <c r="HF148" s="94" t="str">
        <f t="shared" si="477"/>
        <v/>
      </c>
      <c r="HG148" s="105" t="str">
        <f t="shared" si="411"/>
        <v/>
      </c>
      <c r="HH148" s="94" t="str">
        <f t="shared" si="478"/>
        <v/>
      </c>
      <c r="HI148" s="94" t="str">
        <f t="shared" si="479"/>
        <v/>
      </c>
      <c r="HJ148" s="105" t="str">
        <f t="shared" si="412"/>
        <v/>
      </c>
      <c r="HK148" s="94" t="str">
        <f t="shared" si="480"/>
        <v/>
      </c>
      <c r="HL148" s="94" t="str">
        <f t="shared" si="481"/>
        <v/>
      </c>
      <c r="HM148" s="105" t="str">
        <f t="shared" si="413"/>
        <v/>
      </c>
      <c r="HN148" s="367" t="str">
        <f t="shared" si="482"/>
        <v xml:space="preserve">      </v>
      </c>
      <c r="HO148" s="418" t="str">
        <f t="shared" si="414"/>
        <v xml:space="preserve">      </v>
      </c>
      <c r="HP148" s="367" t="str">
        <f t="shared" si="483"/>
        <v xml:space="preserve">      </v>
      </c>
      <c r="HQ148" s="107" t="str">
        <f t="shared" si="484"/>
        <v xml:space="preserve">      </v>
      </c>
      <c r="HR148" s="366" t="str">
        <f t="shared" si="485"/>
        <v xml:space="preserve">      </v>
      </c>
      <c r="HS148" s="544" t="str">
        <f t="shared" si="415"/>
        <v/>
      </c>
      <c r="HT148" s="542" t="str">
        <f t="shared" si="486"/>
        <v/>
      </c>
      <c r="HU148" s="541" t="str">
        <f t="shared" si="487"/>
        <v/>
      </c>
      <c r="HV148" s="540" t="str">
        <f t="shared" si="488"/>
        <v/>
      </c>
      <c r="HW148" s="537" t="str">
        <f t="shared" si="489"/>
        <v/>
      </c>
      <c r="HX148" s="539" t="str">
        <f t="shared" si="490"/>
        <v/>
      </c>
      <c r="HY148" s="553" t="str">
        <f>IFERROR(IF(OR(HS148="SUPPLEMENTARY",HS148="RE-EXAM"),'Supp. Result Entry'!AQ146,""),"")</f>
        <v/>
      </c>
      <c r="HZ148" s="538" t="str">
        <f t="shared" si="491"/>
        <v/>
      </c>
      <c r="IA148" s="415" t="str">
        <f t="shared" si="492"/>
        <v/>
      </c>
      <c r="IB148" s="415" t="str">
        <f>IF(AND(HZ148="",IA148=""),"",IF(OR(HS148="SUPPLEMENTARY",HS148="RE-EXAM"),'Supp. Result Entry'!AQ146,HS148))</f>
        <v/>
      </c>
      <c r="IC148" s="87"/>
      <c r="IS148" s="109" t="str">
        <f>IF('Supp. Result Entry'!T146="","",'Supp. Result Entry'!$T$4)</f>
        <v/>
      </c>
      <c r="IT148" s="110" t="str">
        <f>IF('Supp. Result Entry'!W146="","",'Supp. Result Entry'!$W$4)</f>
        <v/>
      </c>
      <c r="IU148" s="110" t="str">
        <f>IF('Supp. Result Entry'!Z146="","",'Supp. Result Entry'!$Z$4)</f>
        <v/>
      </c>
      <c r="IV148" s="110" t="str">
        <f>IF('Supp. Result Entry'!AC146="","",'Supp. Result Entry'!$AC$4)</f>
        <v/>
      </c>
      <c r="IW148" s="110" t="str">
        <f>IF('Supp. Result Entry'!AF146="","",'Supp. Result Entry'!$AF$4)</f>
        <v/>
      </c>
      <c r="IX148" s="110" t="str">
        <f>IF('Supp. Result Entry'!AI146="","",'Supp. Result Entry'!$AI$4)</f>
        <v/>
      </c>
      <c r="IY148" s="110" t="str">
        <f>IF('Supp. Result Entry'!AI146="","",'Supp. Result Entry'!$AL$4)</f>
        <v/>
      </c>
      <c r="IZ148" s="110" t="str">
        <f>IF('Supp. Result Entry'!U146="","",'Supp. Result Entry'!U146)</f>
        <v/>
      </c>
      <c r="JA148" s="110" t="str">
        <f>IF('Supp. Result Entry'!X146="","",'Supp. Result Entry'!X146)</f>
        <v/>
      </c>
      <c r="JB148" s="110" t="str">
        <f>IF('Supp. Result Entry'!AA146="","",'Supp. Result Entry'!AA146)</f>
        <v/>
      </c>
      <c r="JC148" s="110" t="str">
        <f>IF('Supp. Result Entry'!AD146="","",'Supp. Result Entry'!AD146)</f>
        <v/>
      </c>
      <c r="JD148" s="110" t="str">
        <f>IF('Supp. Result Entry'!AG146="","",'Supp. Result Entry'!AG146)</f>
        <v/>
      </c>
      <c r="JE148" s="110" t="str">
        <f>IF('Supp. Result Entry'!AJ146="","",'Supp. Result Entry'!AJ146)</f>
        <v/>
      </c>
      <c r="JF148" s="110" t="str">
        <f>IF('Supp. Result Entry'!AM146="","",'Supp. Result Entry'!AM146)</f>
        <v/>
      </c>
      <c r="JG148" s="110" t="str">
        <f>IF('Supp. Result Entry'!V146="","",'Supp. Result Entry'!V146)</f>
        <v/>
      </c>
      <c r="JH148" s="110" t="str">
        <f>IF('Supp. Result Entry'!Y146="","",'Supp. Result Entry'!Y146)</f>
        <v/>
      </c>
      <c r="JI148" s="110" t="str">
        <f>IF('Supp. Result Entry'!AB146="","",'Supp. Result Entry'!AB146)</f>
        <v/>
      </c>
      <c r="JJ148" s="110" t="str">
        <f>IF('Supp. Result Entry'!AE146="","",'Supp. Result Entry'!AE146)</f>
        <v/>
      </c>
      <c r="JK148" s="110" t="str">
        <f>IF('Supp. Result Entry'!AH146="","",'Supp. Result Entry'!AH146)</f>
        <v/>
      </c>
      <c r="JL148" s="110" t="str">
        <f>IF('Supp. Result Entry'!AK146="","",'Supp. Result Entry'!AK146)</f>
        <v/>
      </c>
      <c r="JM148" s="110" t="str">
        <f>IF('Supp. Result Entry'!AN146="","",'Supp. Result Entry'!AN146)</f>
        <v/>
      </c>
      <c r="JN148" s="110">
        <f>COUNTIF('Supp. Result Entry'!K146:Q146,"S")</f>
        <v>0</v>
      </c>
      <c r="JO148" s="110">
        <f t="shared" si="416"/>
        <v>0</v>
      </c>
      <c r="JP148" s="110">
        <f t="shared" si="493"/>
        <v>0</v>
      </c>
      <c r="JQ148" s="110" t="str">
        <f t="shared" si="417"/>
        <v/>
      </c>
      <c r="JR148" s="110" t="str">
        <f t="shared" si="418"/>
        <v/>
      </c>
      <c r="JS148" s="110" t="str">
        <f t="shared" si="419"/>
        <v/>
      </c>
      <c r="JT148" s="110" t="str">
        <f t="shared" si="420"/>
        <v/>
      </c>
      <c r="JU148" s="110" t="str">
        <f t="shared" si="421"/>
        <v/>
      </c>
      <c r="JV148" s="110" t="str">
        <f t="shared" si="422"/>
        <v/>
      </c>
      <c r="JW148" s="110" t="str">
        <f t="shared" si="423"/>
        <v/>
      </c>
      <c r="JX148" s="110" t="str">
        <f t="shared" si="494"/>
        <v/>
      </c>
      <c r="JY148" s="110" t="str">
        <f t="shared" si="495"/>
        <v/>
      </c>
      <c r="JZ148" s="110" t="str">
        <f t="shared" si="424"/>
        <v/>
      </c>
      <c r="KA148" s="108" t="str">
        <f t="shared" si="496"/>
        <v/>
      </c>
    </row>
    <row r="149" spans="1:287" s="108" customFormat="1" ht="21.95" customHeight="1">
      <c r="A149" s="89">
        <v>143</v>
      </c>
      <c r="B149" s="90" t="str">
        <f>IF('Marks Entry'!B149="","",'Marks Entry'!B149)</f>
        <v/>
      </c>
      <c r="C149" s="94" t="str">
        <f>IF('Marks Entry'!D149="","",'Marks Entry'!D149)</f>
        <v/>
      </c>
      <c r="D149" s="91" t="str">
        <f>IF('Marks Entry'!E149="","",'Marks Entry'!E149)</f>
        <v/>
      </c>
      <c r="E149" s="92" t="str">
        <f>IF('Marks Entry'!F149="","",'Marks Entry'!F149)</f>
        <v/>
      </c>
      <c r="F149" s="93" t="str">
        <f>IF('Marks Entry'!G149="","",'Marks Entry'!G149)</f>
        <v/>
      </c>
      <c r="G149" s="93" t="str">
        <f>IF('Marks Entry'!H149="","",'Marks Entry'!H149)</f>
        <v/>
      </c>
      <c r="H149" s="93" t="str">
        <f>IF('Marks Entry'!I149="","",'Marks Entry'!I149)</f>
        <v/>
      </c>
      <c r="I149" s="94" t="str">
        <f>IF('Marks Entry'!J149="","",'Marks Entry'!J149)</f>
        <v/>
      </c>
      <c r="J149" s="95" t="str">
        <f>IF('Marks Entry'!K149="","",'Marks Entry'!K149)</f>
        <v/>
      </c>
      <c r="K149" s="68" t="str">
        <f>IF('Marks Entry'!L149="","",'Marks Entry'!L149)</f>
        <v/>
      </c>
      <c r="L149" s="68" t="str">
        <f>IF('Marks Entry'!M149="","",'Marks Entry'!M149)</f>
        <v/>
      </c>
      <c r="M149" s="68" t="str">
        <f>IF('Marks Entry'!N149="","",'Marks Entry'!N149)</f>
        <v/>
      </c>
      <c r="N149" s="514" t="str">
        <f t="shared" si="425"/>
        <v/>
      </c>
      <c r="O149" s="68" t="str">
        <f>IF('Marks Entry'!O149="","",'Marks Entry'!O149)</f>
        <v/>
      </c>
      <c r="P149" s="515" t="str">
        <f t="shared" si="426"/>
        <v/>
      </c>
      <c r="Q149" s="68" t="str">
        <f>IF('Marks Entry'!P149="","",'Marks Entry'!P149)</f>
        <v/>
      </c>
      <c r="R149" s="96" t="str">
        <f t="shared" si="427"/>
        <v/>
      </c>
      <c r="S149" s="65">
        <f t="shared" si="428"/>
        <v>0</v>
      </c>
      <c r="T149" s="65">
        <f t="shared" si="429"/>
        <v>0</v>
      </c>
      <c r="U149" s="66" t="str">
        <f t="shared" si="339"/>
        <v/>
      </c>
      <c r="V149" s="65" t="str">
        <f t="shared" si="340"/>
        <v/>
      </c>
      <c r="W149" s="65" t="str">
        <f t="shared" si="430"/>
        <v/>
      </c>
      <c r="X149" s="65" t="str">
        <f t="shared" si="341"/>
        <v/>
      </c>
      <c r="Y149" s="68" t="str">
        <f>IF('Marks Entry'!Q149="","",'Marks Entry'!Q149)</f>
        <v/>
      </c>
      <c r="Z149" s="68" t="str">
        <f>IF('Marks Entry'!R149="","",'Marks Entry'!R149)</f>
        <v/>
      </c>
      <c r="AA149" s="68" t="str">
        <f>IF('Marks Entry'!S149="","",'Marks Entry'!S149)</f>
        <v/>
      </c>
      <c r="AB149" s="514" t="str">
        <f t="shared" si="342"/>
        <v/>
      </c>
      <c r="AC149" s="68" t="str">
        <f>IF('Marks Entry'!T149="","",'Marks Entry'!T149)</f>
        <v/>
      </c>
      <c r="AD149" s="515" t="str">
        <f t="shared" si="343"/>
        <v/>
      </c>
      <c r="AE149" s="68" t="str">
        <f>IF('Marks Entry'!U149="","",'Marks Entry'!U149)</f>
        <v/>
      </c>
      <c r="AF149" s="96" t="str">
        <f t="shared" si="344"/>
        <v/>
      </c>
      <c r="AG149" s="65">
        <f t="shared" si="345"/>
        <v>0</v>
      </c>
      <c r="AH149" s="65">
        <f t="shared" si="346"/>
        <v>0</v>
      </c>
      <c r="AI149" s="66" t="str">
        <f t="shared" si="347"/>
        <v/>
      </c>
      <c r="AJ149" s="65" t="str">
        <f t="shared" si="348"/>
        <v/>
      </c>
      <c r="AK149" s="65" t="str">
        <f t="shared" si="349"/>
        <v/>
      </c>
      <c r="AL149" s="65" t="str">
        <f t="shared" si="350"/>
        <v/>
      </c>
      <c r="AM149" s="524" t="str">
        <f>IF('Marks Entry'!V149="","",IF('Marks Entry'!V149=1,'School Profile'!$I$9,IF('Marks Entry'!V149=2,'School Profile'!$I$10,IF('Marks Entry'!V149=3,'School Profile'!$I$11,IF('Marks Entry'!V149=4,'School Profile'!$I$12,IF('Marks Entry'!V149=5,'School Profile'!$I$13,IF('Marks Entry'!V149=6,'School Profile'!$I$14,"")))))))</f>
        <v/>
      </c>
      <c r="AN149" s="68" t="str">
        <f>IF('Marks Entry'!W149="","",'Marks Entry'!W149)</f>
        <v/>
      </c>
      <c r="AO149" s="68" t="str">
        <f>IF('Marks Entry'!X149="","",'Marks Entry'!X149)</f>
        <v/>
      </c>
      <c r="AP149" s="68" t="str">
        <f>IF('Marks Entry'!Y149="","",'Marks Entry'!Y149)</f>
        <v/>
      </c>
      <c r="AQ149" s="514" t="str">
        <f t="shared" si="351"/>
        <v/>
      </c>
      <c r="AR149" s="68" t="str">
        <f>IF('Marks Entry'!Z149="","",'Marks Entry'!Z149)</f>
        <v/>
      </c>
      <c r="AS149" s="515" t="str">
        <f t="shared" si="352"/>
        <v/>
      </c>
      <c r="AT149" s="68" t="str">
        <f>IF('Marks Entry'!AA149="","",'Marks Entry'!AA149)</f>
        <v/>
      </c>
      <c r="AU149" s="96" t="str">
        <f t="shared" si="353"/>
        <v/>
      </c>
      <c r="AV149" s="65">
        <f t="shared" si="354"/>
        <v>0</v>
      </c>
      <c r="AW149" s="65">
        <f t="shared" si="355"/>
        <v>0</v>
      </c>
      <c r="AX149" s="66" t="str">
        <f t="shared" si="356"/>
        <v/>
      </c>
      <c r="AY149" s="65" t="str">
        <f t="shared" si="357"/>
        <v/>
      </c>
      <c r="AZ149" s="65" t="str">
        <f t="shared" si="358"/>
        <v/>
      </c>
      <c r="BA149" s="65" t="str">
        <f t="shared" si="359"/>
        <v/>
      </c>
      <c r="BB149" s="68" t="str">
        <f>IF('Marks Entry'!AB149="","",'Marks Entry'!AB149)</f>
        <v/>
      </c>
      <c r="BC149" s="68" t="str">
        <f>IF('Marks Entry'!AC149="","",'Marks Entry'!AC149)</f>
        <v/>
      </c>
      <c r="BD149" s="68" t="str">
        <f>IF('Marks Entry'!AD149="","",'Marks Entry'!AD149)</f>
        <v/>
      </c>
      <c r="BE149" s="514" t="str">
        <f t="shared" si="360"/>
        <v/>
      </c>
      <c r="BF149" s="68" t="str">
        <f>IF('Marks Entry'!AE149="","",'Marks Entry'!AE149)</f>
        <v/>
      </c>
      <c r="BG149" s="515" t="str">
        <f t="shared" si="361"/>
        <v/>
      </c>
      <c r="BH149" s="68" t="str">
        <f>IF('Marks Entry'!AF149="","",'Marks Entry'!AF149)</f>
        <v/>
      </c>
      <c r="BI149" s="96" t="str">
        <f t="shared" si="362"/>
        <v/>
      </c>
      <c r="BJ149" s="65">
        <f t="shared" si="363"/>
        <v>0</v>
      </c>
      <c r="BK149" s="65">
        <f t="shared" si="431"/>
        <v>0</v>
      </c>
      <c r="BL149" s="66" t="str">
        <f t="shared" si="364"/>
        <v/>
      </c>
      <c r="BM149" s="65" t="str">
        <f t="shared" si="365"/>
        <v/>
      </c>
      <c r="BN149" s="65" t="str">
        <f t="shared" si="366"/>
        <v/>
      </c>
      <c r="BO149" s="65" t="str">
        <f t="shared" si="367"/>
        <v/>
      </c>
      <c r="BP149" s="68" t="str">
        <f>IF('Marks Entry'!AG149="","",'Marks Entry'!AG149)</f>
        <v/>
      </c>
      <c r="BQ149" s="68" t="str">
        <f>IF('Marks Entry'!AH149="","",'Marks Entry'!AH149)</f>
        <v/>
      </c>
      <c r="BR149" s="68" t="str">
        <f>IF('Marks Entry'!AI149="","",'Marks Entry'!AI149)</f>
        <v/>
      </c>
      <c r="BS149" s="514" t="str">
        <f t="shared" si="368"/>
        <v/>
      </c>
      <c r="BT149" s="68" t="str">
        <f>IF('Marks Entry'!AJ149="","",'Marks Entry'!AJ149)</f>
        <v/>
      </c>
      <c r="BU149" s="515" t="str">
        <f t="shared" si="369"/>
        <v/>
      </c>
      <c r="BV149" s="68" t="str">
        <f>IF('Marks Entry'!AK149="","",'Marks Entry'!AK149)</f>
        <v/>
      </c>
      <c r="BW149" s="96" t="str">
        <f t="shared" si="370"/>
        <v/>
      </c>
      <c r="BX149" s="65">
        <f t="shared" si="371"/>
        <v>0</v>
      </c>
      <c r="BY149" s="65">
        <f t="shared" si="372"/>
        <v>0</v>
      </c>
      <c r="BZ149" s="66" t="str">
        <f t="shared" si="373"/>
        <v/>
      </c>
      <c r="CA149" s="65" t="str">
        <f t="shared" si="374"/>
        <v/>
      </c>
      <c r="CB149" s="65" t="str">
        <f t="shared" si="375"/>
        <v/>
      </c>
      <c r="CC149" s="65" t="str">
        <f t="shared" si="376"/>
        <v/>
      </c>
      <c r="CD149" s="66">
        <f t="shared" si="377"/>
        <v>0</v>
      </c>
      <c r="CE149" s="68" t="str">
        <f>IF('Marks Entry'!AL149="","",'Marks Entry'!AL149)</f>
        <v/>
      </c>
      <c r="CF149" s="68" t="str">
        <f>IF('Marks Entry'!AM149="","",'Marks Entry'!AM149)</f>
        <v/>
      </c>
      <c r="CG149" s="68" t="str">
        <f>IF('Marks Entry'!AN149="","",'Marks Entry'!AN149)</f>
        <v/>
      </c>
      <c r="CH149" s="514" t="str">
        <f t="shared" si="378"/>
        <v/>
      </c>
      <c r="CI149" s="68" t="str">
        <f>IF('Marks Entry'!AO149="","",'Marks Entry'!AO149)</f>
        <v/>
      </c>
      <c r="CJ149" s="515" t="str">
        <f t="shared" si="379"/>
        <v/>
      </c>
      <c r="CK149" s="68" t="str">
        <f>IF('Marks Entry'!AP149="","",'Marks Entry'!AP149)</f>
        <v/>
      </c>
      <c r="CL149" s="96" t="str">
        <f t="shared" si="380"/>
        <v/>
      </c>
      <c r="CM149" s="65">
        <f t="shared" si="381"/>
        <v>0</v>
      </c>
      <c r="CN149" s="65">
        <f t="shared" si="382"/>
        <v>0</v>
      </c>
      <c r="CO149" s="66" t="str">
        <f t="shared" si="383"/>
        <v/>
      </c>
      <c r="CP149" s="65" t="str">
        <f t="shared" si="384"/>
        <v/>
      </c>
      <c r="CQ149" s="65" t="str">
        <f t="shared" si="385"/>
        <v/>
      </c>
      <c r="CR149" s="65" t="str">
        <f t="shared" si="386"/>
        <v/>
      </c>
      <c r="CS149" s="616"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8" t="str">
        <f>IF('School Profile'!$D$20="NO","",IF('Marks Entry'!AR149="","",'Marks Entry'!AR149))</f>
        <v/>
      </c>
      <c r="CU149" s="68" t="str">
        <f>IF('School Profile'!$D$20="NO","",IF('Marks Entry'!AS149="","",'Marks Entry'!AS149))</f>
        <v/>
      </c>
      <c r="CV149" s="68" t="str">
        <f>IF('School Profile'!$D$20="NO","",IF('Marks Entry'!AT149="","",'Marks Entry'!AT149))</f>
        <v/>
      </c>
      <c r="CW149" s="514" t="str">
        <f>IF('School Profile'!$D$20="NO","",IF(AND(CT149="",CU149="",CV149=""),"",SUM(CT149:CV149)))</f>
        <v/>
      </c>
      <c r="CX149" s="68" t="str">
        <f>IF('School Profile'!$D$20="NO","",IF('Marks Entry'!AU149="","",'Marks Entry'!AU149))</f>
        <v/>
      </c>
      <c r="CY149" s="68" t="str">
        <f>IF('School Profile'!$D$20="NO","",IF('Marks Entry'!AV149="","",'Marks Entry'!AV149))</f>
        <v/>
      </c>
      <c r="CZ149" s="515" t="str">
        <f>IF('School Profile'!$D$20="NO","",IF(AND(CX149="",CY149=""),"",SUM(CX149,CY149)))</f>
        <v/>
      </c>
      <c r="DA149" s="69" t="str">
        <f>IF('School Profile'!$D$20="NO","",IF(AND(CW149="",CZ149=""),"",SUM(CW149+CZ149)))</f>
        <v/>
      </c>
      <c r="DB149" s="68" t="str">
        <f>IF('School Profile'!$D$20="NO","",IF('Marks Entry'!AW149="","",'Marks Entry'!AW149))</f>
        <v/>
      </c>
      <c r="DC149" s="68" t="str">
        <f>IF('School Profile'!$D$20="NO","",IF('Marks Entry'!AX149="","",'Marks Entry'!AX149))</f>
        <v/>
      </c>
      <c r="DD149" s="515" t="str">
        <f>IF('School Profile'!$D$20="NO","",IF(AND(DB149="",DC149=""),"",SUM(DB149,DC149)))</f>
        <v/>
      </c>
      <c r="DE149" s="96" t="str">
        <f>IF('School Profile'!$D$20="NO","",IF(AND(DA149="",DD149=""),"",SUM(DA149,DD149)))</f>
        <v/>
      </c>
      <c r="DF149" s="532">
        <f t="shared" si="387"/>
        <v>0</v>
      </c>
      <c r="DG149" s="65">
        <f t="shared" si="388"/>
        <v>0</v>
      </c>
      <c r="DH149" s="66" t="str">
        <f t="shared" si="389"/>
        <v/>
      </c>
      <c r="DI149" s="65" t="str">
        <f t="shared" si="390"/>
        <v/>
      </c>
      <c r="DJ149" s="65" t="str">
        <f t="shared" si="391"/>
        <v/>
      </c>
      <c r="DK149" s="65" t="str">
        <f t="shared" si="392"/>
        <v/>
      </c>
      <c r="DL149" s="97" t="str">
        <f t="shared" si="432"/>
        <v/>
      </c>
      <c r="DM149" s="97" t="str">
        <f t="shared" si="433"/>
        <v/>
      </c>
      <c r="DN149" s="97" t="str">
        <f t="shared" si="434"/>
        <v/>
      </c>
      <c r="DO149" s="97" t="str">
        <f t="shared" si="435"/>
        <v/>
      </c>
      <c r="DP149" s="97" t="str">
        <f t="shared" si="436"/>
        <v/>
      </c>
      <c r="DQ149" s="97" t="str">
        <f t="shared" si="437"/>
        <v/>
      </c>
      <c r="DR149" s="97" t="str">
        <f t="shared" si="438"/>
        <v/>
      </c>
      <c r="DS149" s="98">
        <f t="shared" si="439"/>
        <v>0</v>
      </c>
      <c r="DT149" s="98">
        <f t="shared" si="440"/>
        <v>0</v>
      </c>
      <c r="DU149" s="98">
        <f t="shared" si="441"/>
        <v>0</v>
      </c>
      <c r="DV149" s="98">
        <f t="shared" si="442"/>
        <v>0</v>
      </c>
      <c r="DW149" s="98">
        <f t="shared" si="443"/>
        <v>0</v>
      </c>
      <c r="DX149" s="98" t="str">
        <f t="shared" si="444"/>
        <v/>
      </c>
      <c r="DY149" s="99" t="str">
        <f t="shared" si="445"/>
        <v/>
      </c>
      <c r="DZ149" s="74" t="str">
        <f>IF('Marks Entry'!AY149="","",'Marks Entry'!AY149)</f>
        <v/>
      </c>
      <c r="EA149" s="74" t="str">
        <f>IF('Marks Entry'!AZ149="","",'Marks Entry'!AZ149)</f>
        <v/>
      </c>
      <c r="EB149" s="74" t="str">
        <f>IF('Marks Entry'!BA149="","",'Marks Entry'!BA149)</f>
        <v/>
      </c>
      <c r="EC149" s="527" t="str">
        <f t="shared" si="393"/>
        <v/>
      </c>
      <c r="ED149" s="74" t="str">
        <f>IF('Marks Entry'!BB149="","",'Marks Entry'!BB149)</f>
        <v/>
      </c>
      <c r="EE149" s="528" t="str">
        <f t="shared" si="394"/>
        <v/>
      </c>
      <c r="EF149" s="74" t="str">
        <f>IF('Marks Entry'!BC149="","",'Marks Entry'!BC149)</f>
        <v/>
      </c>
      <c r="EG149" s="530" t="str">
        <f t="shared" si="395"/>
        <v/>
      </c>
      <c r="EH149" s="368" t="str">
        <f t="shared" si="446"/>
        <v/>
      </c>
      <c r="EI149" s="65">
        <f t="shared" si="447"/>
        <v>0</v>
      </c>
      <c r="EJ149" s="65">
        <f t="shared" si="448"/>
        <v>0</v>
      </c>
      <c r="EK149" s="66" t="str">
        <f t="shared" si="449"/>
        <v/>
      </c>
      <c r="EL149" s="74" t="str">
        <f>IF('Marks Entry'!BD149="","",'Marks Entry'!BD149)</f>
        <v/>
      </c>
      <c r="EM149" s="74" t="str">
        <f>IF('Marks Entry'!BE149="","",'Marks Entry'!BE149)</f>
        <v/>
      </c>
      <c r="EN149" s="74" t="str">
        <f>IF('Marks Entry'!BF149="","",'Marks Entry'!BF149)</f>
        <v/>
      </c>
      <c r="EO149" s="527" t="str">
        <f t="shared" si="396"/>
        <v/>
      </c>
      <c r="EP149" s="74" t="str">
        <f>IF('Marks Entry'!BG149="","",'Marks Entry'!BG149)</f>
        <v/>
      </c>
      <c r="EQ149" s="74" t="str">
        <f>IF('Marks Entry'!BH149="","",'Marks Entry'!BH149)</f>
        <v/>
      </c>
      <c r="ER149" s="528" t="str">
        <f t="shared" si="397"/>
        <v/>
      </c>
      <c r="ES149" s="529" t="str">
        <f t="shared" si="398"/>
        <v/>
      </c>
      <c r="ET149" s="74" t="str">
        <f>IF('Marks Entry'!BI149="","",'Marks Entry'!BI149)</f>
        <v/>
      </c>
      <c r="EU149" s="74" t="str">
        <f>IF('Marks Entry'!BJ149="","",'Marks Entry'!BJ149)</f>
        <v/>
      </c>
      <c r="EV149" s="528" t="str">
        <f t="shared" si="399"/>
        <v/>
      </c>
      <c r="EW149" s="530" t="str">
        <f t="shared" si="400"/>
        <v/>
      </c>
      <c r="EX149" s="368" t="str">
        <f t="shared" si="450"/>
        <v/>
      </c>
      <c r="EY149" s="65">
        <f t="shared" si="451"/>
        <v>0</v>
      </c>
      <c r="EZ149" s="65">
        <f t="shared" si="452"/>
        <v>0</v>
      </c>
      <c r="FA149" s="66" t="str">
        <f t="shared" si="453"/>
        <v/>
      </c>
      <c r="FB149" s="74" t="str">
        <f>IF('Marks Entry'!BK149="","",'Marks Entry'!BK149)</f>
        <v/>
      </c>
      <c r="FC149" s="74" t="str">
        <f>IF('Marks Entry'!BL149="","",'Marks Entry'!BL149)</f>
        <v/>
      </c>
      <c r="FD149" s="74" t="str">
        <f>IF('Marks Entry'!BM149="","",'Marks Entry'!BM149)</f>
        <v/>
      </c>
      <c r="FE149" s="74" t="str">
        <f>IF('Marks Entry'!BN149="","",'Marks Entry'!BN149)</f>
        <v/>
      </c>
      <c r="FF149" s="74" t="str">
        <f>IF('Marks Entry'!BO149="","",'Marks Entry'!BO149)</f>
        <v/>
      </c>
      <c r="FG149" s="74" t="str">
        <f>IF('Marks Entry'!BP149="","",'Marks Entry'!BP149)</f>
        <v/>
      </c>
      <c r="FH149" s="527" t="str">
        <f t="shared" si="401"/>
        <v/>
      </c>
      <c r="FI149" s="74" t="str">
        <f>IF('Marks Entry'!BQ149="","",'Marks Entry'!BQ149)</f>
        <v/>
      </c>
      <c r="FJ149" s="74" t="str">
        <f>IF('Marks Entry'!BR149="","",'Marks Entry'!BR149)</f>
        <v/>
      </c>
      <c r="FK149" s="528" t="str">
        <f t="shared" si="402"/>
        <v/>
      </c>
      <c r="FL149" s="529" t="str">
        <f t="shared" si="403"/>
        <v/>
      </c>
      <c r="FM149" s="74" t="str">
        <f>IF('Marks Entry'!BS149="","",'Marks Entry'!BS149)</f>
        <v/>
      </c>
      <c r="FN149" s="74" t="str">
        <f>IF('Marks Entry'!BT149="","",'Marks Entry'!BT149)</f>
        <v/>
      </c>
      <c r="FO149" s="528" t="str">
        <f t="shared" si="404"/>
        <v/>
      </c>
      <c r="FP149" s="530" t="str">
        <f t="shared" si="405"/>
        <v/>
      </c>
      <c r="FQ149" s="368" t="str">
        <f t="shared" si="454"/>
        <v/>
      </c>
      <c r="FR149" s="65">
        <f t="shared" si="455"/>
        <v>0</v>
      </c>
      <c r="FS149" s="65">
        <f t="shared" si="456"/>
        <v>0</v>
      </c>
      <c r="FT149" s="66" t="str">
        <f t="shared" si="457"/>
        <v/>
      </c>
      <c r="FU149" s="74" t="str">
        <f>IF('Marks Entry'!BU149="","",'Marks Entry'!BU149)</f>
        <v/>
      </c>
      <c r="FV149" s="74" t="str">
        <f>IF('Marks Entry'!BV149="","",'Marks Entry'!BV149)</f>
        <v/>
      </c>
      <c r="FW149" s="74" t="str">
        <f>IF('Marks Entry'!BW149="","",'Marks Entry'!BW149)</f>
        <v/>
      </c>
      <c r="FX149" s="75" t="str">
        <f t="shared" si="406"/>
        <v/>
      </c>
      <c r="FY149" s="368" t="str">
        <f t="shared" si="458"/>
        <v/>
      </c>
      <c r="FZ149" s="65">
        <f t="shared" si="459"/>
        <v>0</v>
      </c>
      <c r="GA149" s="66">
        <f t="shared" si="460"/>
        <v>0</v>
      </c>
      <c r="GB149" s="66" t="str">
        <f t="shared" si="461"/>
        <v/>
      </c>
      <c r="GC149" s="74" t="str">
        <f>IF('Marks Entry'!BX149="","",'Marks Entry'!BX149)</f>
        <v/>
      </c>
      <c r="GD149" s="74" t="str">
        <f>IF('Marks Entry'!BY149="","",'Marks Entry'!BY149)</f>
        <v/>
      </c>
      <c r="GE149" s="74" t="str">
        <f>IF('Marks Entry'!BZ149="","",'Marks Entry'!BZ149)</f>
        <v/>
      </c>
      <c r="GF149" s="75" t="str">
        <f t="shared" si="462"/>
        <v/>
      </c>
      <c r="GG149" s="368" t="str">
        <f t="shared" si="463"/>
        <v/>
      </c>
      <c r="GH149" s="65">
        <f t="shared" si="464"/>
        <v>0</v>
      </c>
      <c r="GI149" s="66">
        <f t="shared" si="465"/>
        <v>0</v>
      </c>
      <c r="GJ149" s="66" t="str">
        <f t="shared" si="466"/>
        <v/>
      </c>
      <c r="GK149" s="100" t="str">
        <f>IF(AND(F149="",B149=""),"",IF('Student DATA Entry'!M146="","",'Student DATA Entry'!M146))</f>
        <v/>
      </c>
      <c r="GL149" s="101" t="str">
        <f>IF(AND(B149="",F149=""),"",IF('Student DATA Entry'!N146="","",'Student DATA Entry'!N146))</f>
        <v/>
      </c>
      <c r="GM149" s="581" t="str">
        <f t="shared" si="467"/>
        <v/>
      </c>
      <c r="GN149" s="94" t="str">
        <f t="shared" si="468"/>
        <v/>
      </c>
      <c r="GO149" s="94" t="str">
        <f t="shared" si="469"/>
        <v/>
      </c>
      <c r="GP149" s="102" t="str">
        <f t="shared" si="407"/>
        <v/>
      </c>
      <c r="GQ149" s="94" t="str">
        <f t="shared" si="470"/>
        <v/>
      </c>
      <c r="GR149" s="103" t="str">
        <f t="shared" si="471"/>
        <v/>
      </c>
      <c r="GS149" s="102" t="str">
        <f t="shared" si="408"/>
        <v/>
      </c>
      <c r="GT149" s="104" t="str">
        <f t="shared" si="472"/>
        <v/>
      </c>
      <c r="GU149" s="94" t="str">
        <f>IF('Marks Entry'!V149=1,GT149,"")</f>
        <v/>
      </c>
      <c r="GV149" s="94" t="str">
        <f>IF('Marks Entry'!V149=2,GT149,"")</f>
        <v/>
      </c>
      <c r="GW149" s="94" t="str">
        <f>IF('Marks Entry'!V149=3,GT149,"")</f>
        <v/>
      </c>
      <c r="GX149" s="94" t="str">
        <f>IF('Marks Entry'!V149=4,GT149,"")</f>
        <v/>
      </c>
      <c r="GY149" s="94" t="str">
        <f>IF('Marks Entry'!V149=5,GT149,"")</f>
        <v/>
      </c>
      <c r="GZ149" s="94" t="str">
        <f t="shared" si="473"/>
        <v/>
      </c>
      <c r="HA149" s="105" t="str">
        <f t="shared" si="409"/>
        <v/>
      </c>
      <c r="HB149" s="94" t="str">
        <f t="shared" si="474"/>
        <v/>
      </c>
      <c r="HC149" s="94" t="str">
        <f t="shared" si="475"/>
        <v/>
      </c>
      <c r="HD149" s="105" t="str">
        <f t="shared" si="410"/>
        <v/>
      </c>
      <c r="HE149" s="94" t="str">
        <f t="shared" si="476"/>
        <v/>
      </c>
      <c r="HF149" s="94" t="str">
        <f t="shared" si="477"/>
        <v/>
      </c>
      <c r="HG149" s="105" t="str">
        <f t="shared" si="411"/>
        <v/>
      </c>
      <c r="HH149" s="94" t="str">
        <f t="shared" si="478"/>
        <v/>
      </c>
      <c r="HI149" s="94" t="str">
        <f t="shared" si="479"/>
        <v/>
      </c>
      <c r="HJ149" s="105" t="str">
        <f t="shared" si="412"/>
        <v/>
      </c>
      <c r="HK149" s="94" t="str">
        <f t="shared" si="480"/>
        <v/>
      </c>
      <c r="HL149" s="94" t="str">
        <f t="shared" si="481"/>
        <v/>
      </c>
      <c r="HM149" s="105" t="str">
        <f t="shared" si="413"/>
        <v/>
      </c>
      <c r="HN149" s="367" t="str">
        <f t="shared" si="482"/>
        <v xml:space="preserve">      </v>
      </c>
      <c r="HO149" s="418" t="str">
        <f t="shared" si="414"/>
        <v xml:space="preserve">      </v>
      </c>
      <c r="HP149" s="367" t="str">
        <f t="shared" si="483"/>
        <v xml:space="preserve">      </v>
      </c>
      <c r="HQ149" s="107" t="str">
        <f t="shared" si="484"/>
        <v xml:space="preserve">      </v>
      </c>
      <c r="HR149" s="366" t="str">
        <f t="shared" si="485"/>
        <v xml:space="preserve">      </v>
      </c>
      <c r="HS149" s="544" t="str">
        <f t="shared" si="415"/>
        <v/>
      </c>
      <c r="HT149" s="542" t="str">
        <f t="shared" si="486"/>
        <v/>
      </c>
      <c r="HU149" s="541" t="str">
        <f t="shared" si="487"/>
        <v/>
      </c>
      <c r="HV149" s="540" t="str">
        <f t="shared" si="488"/>
        <v/>
      </c>
      <c r="HW149" s="537" t="str">
        <f t="shared" si="489"/>
        <v/>
      </c>
      <c r="HX149" s="539" t="str">
        <f t="shared" si="490"/>
        <v/>
      </c>
      <c r="HY149" s="553" t="str">
        <f>IFERROR(IF(OR(HS149="SUPPLEMENTARY",HS149="RE-EXAM"),'Supp. Result Entry'!AQ147,""),"")</f>
        <v/>
      </c>
      <c r="HZ149" s="538" t="str">
        <f t="shared" si="491"/>
        <v/>
      </c>
      <c r="IA149" s="415" t="str">
        <f t="shared" si="492"/>
        <v/>
      </c>
      <c r="IB149" s="415" t="str">
        <f>IF(AND(HZ149="",IA149=""),"",IF(OR(HS149="SUPPLEMENTARY",HS149="RE-EXAM"),'Supp. Result Entry'!AQ147,HS149))</f>
        <v/>
      </c>
      <c r="IC149" s="87"/>
      <c r="IS149" s="109" t="str">
        <f>IF('Supp. Result Entry'!T147="","",'Supp. Result Entry'!$T$4)</f>
        <v/>
      </c>
      <c r="IT149" s="110" t="str">
        <f>IF('Supp. Result Entry'!W147="","",'Supp. Result Entry'!$W$4)</f>
        <v/>
      </c>
      <c r="IU149" s="110" t="str">
        <f>IF('Supp. Result Entry'!Z147="","",'Supp. Result Entry'!$Z$4)</f>
        <v/>
      </c>
      <c r="IV149" s="110" t="str">
        <f>IF('Supp. Result Entry'!AC147="","",'Supp. Result Entry'!$AC$4)</f>
        <v/>
      </c>
      <c r="IW149" s="110" t="str">
        <f>IF('Supp. Result Entry'!AF147="","",'Supp. Result Entry'!$AF$4)</f>
        <v/>
      </c>
      <c r="IX149" s="110" t="str">
        <f>IF('Supp. Result Entry'!AI147="","",'Supp. Result Entry'!$AI$4)</f>
        <v/>
      </c>
      <c r="IY149" s="110" t="str">
        <f>IF('Supp. Result Entry'!AI147="","",'Supp. Result Entry'!$AL$4)</f>
        <v/>
      </c>
      <c r="IZ149" s="110" t="str">
        <f>IF('Supp. Result Entry'!U147="","",'Supp. Result Entry'!U147)</f>
        <v/>
      </c>
      <c r="JA149" s="110" t="str">
        <f>IF('Supp. Result Entry'!X147="","",'Supp. Result Entry'!X147)</f>
        <v/>
      </c>
      <c r="JB149" s="110" t="str">
        <f>IF('Supp. Result Entry'!AA147="","",'Supp. Result Entry'!AA147)</f>
        <v/>
      </c>
      <c r="JC149" s="110" t="str">
        <f>IF('Supp. Result Entry'!AD147="","",'Supp. Result Entry'!AD147)</f>
        <v/>
      </c>
      <c r="JD149" s="110" t="str">
        <f>IF('Supp. Result Entry'!AG147="","",'Supp. Result Entry'!AG147)</f>
        <v/>
      </c>
      <c r="JE149" s="110" t="str">
        <f>IF('Supp. Result Entry'!AJ147="","",'Supp. Result Entry'!AJ147)</f>
        <v/>
      </c>
      <c r="JF149" s="110" t="str">
        <f>IF('Supp. Result Entry'!AM147="","",'Supp. Result Entry'!AM147)</f>
        <v/>
      </c>
      <c r="JG149" s="110" t="str">
        <f>IF('Supp. Result Entry'!V147="","",'Supp. Result Entry'!V147)</f>
        <v/>
      </c>
      <c r="JH149" s="110" t="str">
        <f>IF('Supp. Result Entry'!Y147="","",'Supp. Result Entry'!Y147)</f>
        <v/>
      </c>
      <c r="JI149" s="110" t="str">
        <f>IF('Supp. Result Entry'!AB147="","",'Supp. Result Entry'!AB147)</f>
        <v/>
      </c>
      <c r="JJ149" s="110" t="str">
        <f>IF('Supp. Result Entry'!AE147="","",'Supp. Result Entry'!AE147)</f>
        <v/>
      </c>
      <c r="JK149" s="110" t="str">
        <f>IF('Supp. Result Entry'!AH147="","",'Supp. Result Entry'!AH147)</f>
        <v/>
      </c>
      <c r="JL149" s="110" t="str">
        <f>IF('Supp. Result Entry'!AK147="","",'Supp. Result Entry'!AK147)</f>
        <v/>
      </c>
      <c r="JM149" s="110" t="str">
        <f>IF('Supp. Result Entry'!AN147="","",'Supp. Result Entry'!AN147)</f>
        <v/>
      </c>
      <c r="JN149" s="110">
        <f>COUNTIF('Supp. Result Entry'!K147:Q147,"S")</f>
        <v>0</v>
      </c>
      <c r="JO149" s="110">
        <f t="shared" si="416"/>
        <v>0</v>
      </c>
      <c r="JP149" s="110">
        <f t="shared" si="493"/>
        <v>0</v>
      </c>
      <c r="JQ149" s="110" t="str">
        <f t="shared" si="417"/>
        <v/>
      </c>
      <c r="JR149" s="110" t="str">
        <f t="shared" si="418"/>
        <v/>
      </c>
      <c r="JS149" s="110" t="str">
        <f t="shared" si="419"/>
        <v/>
      </c>
      <c r="JT149" s="110" t="str">
        <f t="shared" si="420"/>
        <v/>
      </c>
      <c r="JU149" s="110" t="str">
        <f t="shared" si="421"/>
        <v/>
      </c>
      <c r="JV149" s="110" t="str">
        <f t="shared" si="422"/>
        <v/>
      </c>
      <c r="JW149" s="110" t="str">
        <f t="shared" si="423"/>
        <v/>
      </c>
      <c r="JX149" s="110" t="str">
        <f t="shared" si="494"/>
        <v/>
      </c>
      <c r="JY149" s="110" t="str">
        <f t="shared" si="495"/>
        <v/>
      </c>
      <c r="JZ149" s="110" t="str">
        <f t="shared" si="424"/>
        <v/>
      </c>
      <c r="KA149" s="108" t="str">
        <f t="shared" si="496"/>
        <v/>
      </c>
    </row>
    <row r="150" spans="1:287" s="108" customFormat="1" ht="21.95" customHeight="1">
      <c r="A150" s="89">
        <v>144</v>
      </c>
      <c r="B150" s="90" t="str">
        <f>IF('Marks Entry'!B150="","",'Marks Entry'!B150)</f>
        <v/>
      </c>
      <c r="C150" s="94" t="str">
        <f>IF('Marks Entry'!D150="","",'Marks Entry'!D150)</f>
        <v/>
      </c>
      <c r="D150" s="91" t="str">
        <f>IF('Marks Entry'!E150="","",'Marks Entry'!E150)</f>
        <v/>
      </c>
      <c r="E150" s="92" t="str">
        <f>IF('Marks Entry'!F150="","",'Marks Entry'!F150)</f>
        <v/>
      </c>
      <c r="F150" s="93" t="str">
        <f>IF('Marks Entry'!G150="","",'Marks Entry'!G150)</f>
        <v/>
      </c>
      <c r="G150" s="93" t="str">
        <f>IF('Marks Entry'!H150="","",'Marks Entry'!H150)</f>
        <v/>
      </c>
      <c r="H150" s="93" t="str">
        <f>IF('Marks Entry'!I150="","",'Marks Entry'!I150)</f>
        <v/>
      </c>
      <c r="I150" s="94" t="str">
        <f>IF('Marks Entry'!J150="","",'Marks Entry'!J150)</f>
        <v/>
      </c>
      <c r="J150" s="95" t="str">
        <f>IF('Marks Entry'!K150="","",'Marks Entry'!K150)</f>
        <v/>
      </c>
      <c r="K150" s="68" t="str">
        <f>IF('Marks Entry'!L150="","",'Marks Entry'!L150)</f>
        <v/>
      </c>
      <c r="L150" s="68" t="str">
        <f>IF('Marks Entry'!M150="","",'Marks Entry'!M150)</f>
        <v/>
      </c>
      <c r="M150" s="68" t="str">
        <f>IF('Marks Entry'!N150="","",'Marks Entry'!N150)</f>
        <v/>
      </c>
      <c r="N150" s="514" t="str">
        <f t="shared" si="425"/>
        <v/>
      </c>
      <c r="O150" s="68" t="str">
        <f>IF('Marks Entry'!O150="","",'Marks Entry'!O150)</f>
        <v/>
      </c>
      <c r="P150" s="515" t="str">
        <f t="shared" si="426"/>
        <v/>
      </c>
      <c r="Q150" s="68" t="str">
        <f>IF('Marks Entry'!P150="","",'Marks Entry'!P150)</f>
        <v/>
      </c>
      <c r="R150" s="96" t="str">
        <f t="shared" si="427"/>
        <v/>
      </c>
      <c r="S150" s="65">
        <f t="shared" si="428"/>
        <v>0</v>
      </c>
      <c r="T150" s="65">
        <f t="shared" si="429"/>
        <v>0</v>
      </c>
      <c r="U150" s="66" t="str">
        <f t="shared" si="339"/>
        <v/>
      </c>
      <c r="V150" s="65" t="str">
        <f t="shared" si="340"/>
        <v/>
      </c>
      <c r="W150" s="65" t="str">
        <f t="shared" si="430"/>
        <v/>
      </c>
      <c r="X150" s="65" t="str">
        <f t="shared" si="341"/>
        <v/>
      </c>
      <c r="Y150" s="68" t="str">
        <f>IF('Marks Entry'!Q150="","",'Marks Entry'!Q150)</f>
        <v/>
      </c>
      <c r="Z150" s="68" t="str">
        <f>IF('Marks Entry'!R150="","",'Marks Entry'!R150)</f>
        <v/>
      </c>
      <c r="AA150" s="68" t="str">
        <f>IF('Marks Entry'!S150="","",'Marks Entry'!S150)</f>
        <v/>
      </c>
      <c r="AB150" s="514" t="str">
        <f t="shared" si="342"/>
        <v/>
      </c>
      <c r="AC150" s="68" t="str">
        <f>IF('Marks Entry'!T150="","",'Marks Entry'!T150)</f>
        <v/>
      </c>
      <c r="AD150" s="515" t="str">
        <f t="shared" si="343"/>
        <v/>
      </c>
      <c r="AE150" s="68" t="str">
        <f>IF('Marks Entry'!U150="","",'Marks Entry'!U150)</f>
        <v/>
      </c>
      <c r="AF150" s="96" t="str">
        <f t="shared" si="344"/>
        <v/>
      </c>
      <c r="AG150" s="65">
        <f t="shared" si="345"/>
        <v>0</v>
      </c>
      <c r="AH150" s="65">
        <f t="shared" si="346"/>
        <v>0</v>
      </c>
      <c r="AI150" s="66" t="str">
        <f t="shared" si="347"/>
        <v/>
      </c>
      <c r="AJ150" s="65" t="str">
        <f t="shared" si="348"/>
        <v/>
      </c>
      <c r="AK150" s="65" t="str">
        <f t="shared" si="349"/>
        <v/>
      </c>
      <c r="AL150" s="65" t="str">
        <f t="shared" si="350"/>
        <v/>
      </c>
      <c r="AM150" s="524" t="str">
        <f>IF('Marks Entry'!V150="","",IF('Marks Entry'!V150=1,'School Profile'!$I$9,IF('Marks Entry'!V150=2,'School Profile'!$I$10,IF('Marks Entry'!V150=3,'School Profile'!$I$11,IF('Marks Entry'!V150=4,'School Profile'!$I$12,IF('Marks Entry'!V150=5,'School Profile'!$I$13,IF('Marks Entry'!V150=6,'School Profile'!$I$14,"")))))))</f>
        <v/>
      </c>
      <c r="AN150" s="68" t="str">
        <f>IF('Marks Entry'!W150="","",'Marks Entry'!W150)</f>
        <v/>
      </c>
      <c r="AO150" s="68" t="str">
        <f>IF('Marks Entry'!X150="","",'Marks Entry'!X150)</f>
        <v/>
      </c>
      <c r="AP150" s="68" t="str">
        <f>IF('Marks Entry'!Y150="","",'Marks Entry'!Y150)</f>
        <v/>
      </c>
      <c r="AQ150" s="514" t="str">
        <f t="shared" si="351"/>
        <v/>
      </c>
      <c r="AR150" s="68" t="str">
        <f>IF('Marks Entry'!Z150="","",'Marks Entry'!Z150)</f>
        <v/>
      </c>
      <c r="AS150" s="515" t="str">
        <f t="shared" si="352"/>
        <v/>
      </c>
      <c r="AT150" s="68" t="str">
        <f>IF('Marks Entry'!AA150="","",'Marks Entry'!AA150)</f>
        <v/>
      </c>
      <c r="AU150" s="96" t="str">
        <f t="shared" si="353"/>
        <v/>
      </c>
      <c r="AV150" s="65">
        <f t="shared" si="354"/>
        <v>0</v>
      </c>
      <c r="AW150" s="65">
        <f t="shared" si="355"/>
        <v>0</v>
      </c>
      <c r="AX150" s="66" t="str">
        <f t="shared" si="356"/>
        <v/>
      </c>
      <c r="AY150" s="65" t="str">
        <f t="shared" si="357"/>
        <v/>
      </c>
      <c r="AZ150" s="65" t="str">
        <f t="shared" si="358"/>
        <v/>
      </c>
      <c r="BA150" s="65" t="str">
        <f t="shared" si="359"/>
        <v/>
      </c>
      <c r="BB150" s="68" t="str">
        <f>IF('Marks Entry'!AB150="","",'Marks Entry'!AB150)</f>
        <v/>
      </c>
      <c r="BC150" s="68" t="str">
        <f>IF('Marks Entry'!AC150="","",'Marks Entry'!AC150)</f>
        <v/>
      </c>
      <c r="BD150" s="68" t="str">
        <f>IF('Marks Entry'!AD150="","",'Marks Entry'!AD150)</f>
        <v/>
      </c>
      <c r="BE150" s="514" t="str">
        <f t="shared" si="360"/>
        <v/>
      </c>
      <c r="BF150" s="68" t="str">
        <f>IF('Marks Entry'!AE150="","",'Marks Entry'!AE150)</f>
        <v/>
      </c>
      <c r="BG150" s="515" t="str">
        <f t="shared" si="361"/>
        <v/>
      </c>
      <c r="BH150" s="68" t="str">
        <f>IF('Marks Entry'!AF150="","",'Marks Entry'!AF150)</f>
        <v/>
      </c>
      <c r="BI150" s="96" t="str">
        <f t="shared" si="362"/>
        <v/>
      </c>
      <c r="BJ150" s="65">
        <f t="shared" si="363"/>
        <v>0</v>
      </c>
      <c r="BK150" s="65">
        <f t="shared" si="431"/>
        <v>0</v>
      </c>
      <c r="BL150" s="66" t="str">
        <f t="shared" si="364"/>
        <v/>
      </c>
      <c r="BM150" s="65" t="str">
        <f t="shared" si="365"/>
        <v/>
      </c>
      <c r="BN150" s="65" t="str">
        <f t="shared" si="366"/>
        <v/>
      </c>
      <c r="BO150" s="65" t="str">
        <f t="shared" si="367"/>
        <v/>
      </c>
      <c r="BP150" s="68" t="str">
        <f>IF('Marks Entry'!AG150="","",'Marks Entry'!AG150)</f>
        <v/>
      </c>
      <c r="BQ150" s="68" t="str">
        <f>IF('Marks Entry'!AH150="","",'Marks Entry'!AH150)</f>
        <v/>
      </c>
      <c r="BR150" s="68" t="str">
        <f>IF('Marks Entry'!AI150="","",'Marks Entry'!AI150)</f>
        <v/>
      </c>
      <c r="BS150" s="514" t="str">
        <f t="shared" si="368"/>
        <v/>
      </c>
      <c r="BT150" s="68" t="str">
        <f>IF('Marks Entry'!AJ150="","",'Marks Entry'!AJ150)</f>
        <v/>
      </c>
      <c r="BU150" s="515" t="str">
        <f t="shared" si="369"/>
        <v/>
      </c>
      <c r="BV150" s="68" t="str">
        <f>IF('Marks Entry'!AK150="","",'Marks Entry'!AK150)</f>
        <v/>
      </c>
      <c r="BW150" s="96" t="str">
        <f t="shared" si="370"/>
        <v/>
      </c>
      <c r="BX150" s="65">
        <f t="shared" si="371"/>
        <v>0</v>
      </c>
      <c r="BY150" s="65">
        <f t="shared" si="372"/>
        <v>0</v>
      </c>
      <c r="BZ150" s="66" t="str">
        <f t="shared" si="373"/>
        <v/>
      </c>
      <c r="CA150" s="65" t="str">
        <f t="shared" si="374"/>
        <v/>
      </c>
      <c r="CB150" s="65" t="str">
        <f t="shared" si="375"/>
        <v/>
      </c>
      <c r="CC150" s="65" t="str">
        <f t="shared" si="376"/>
        <v/>
      </c>
      <c r="CD150" s="66">
        <f t="shared" si="377"/>
        <v>0</v>
      </c>
      <c r="CE150" s="68" t="str">
        <f>IF('Marks Entry'!AL150="","",'Marks Entry'!AL150)</f>
        <v/>
      </c>
      <c r="CF150" s="68" t="str">
        <f>IF('Marks Entry'!AM150="","",'Marks Entry'!AM150)</f>
        <v/>
      </c>
      <c r="CG150" s="68" t="str">
        <f>IF('Marks Entry'!AN150="","",'Marks Entry'!AN150)</f>
        <v/>
      </c>
      <c r="CH150" s="514" t="str">
        <f t="shared" si="378"/>
        <v/>
      </c>
      <c r="CI150" s="68" t="str">
        <f>IF('Marks Entry'!AO150="","",'Marks Entry'!AO150)</f>
        <v/>
      </c>
      <c r="CJ150" s="515" t="str">
        <f t="shared" si="379"/>
        <v/>
      </c>
      <c r="CK150" s="68" t="str">
        <f>IF('Marks Entry'!AP150="","",'Marks Entry'!AP150)</f>
        <v/>
      </c>
      <c r="CL150" s="96" t="str">
        <f t="shared" si="380"/>
        <v/>
      </c>
      <c r="CM150" s="65">
        <f t="shared" si="381"/>
        <v>0</v>
      </c>
      <c r="CN150" s="65">
        <f t="shared" si="382"/>
        <v>0</v>
      </c>
      <c r="CO150" s="66" t="str">
        <f t="shared" si="383"/>
        <v/>
      </c>
      <c r="CP150" s="65" t="str">
        <f t="shared" si="384"/>
        <v/>
      </c>
      <c r="CQ150" s="65" t="str">
        <f t="shared" si="385"/>
        <v/>
      </c>
      <c r="CR150" s="65" t="str">
        <f t="shared" si="386"/>
        <v/>
      </c>
      <c r="CS150" s="616"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8" t="str">
        <f>IF('School Profile'!$D$20="NO","",IF('Marks Entry'!AR150="","",'Marks Entry'!AR150))</f>
        <v/>
      </c>
      <c r="CU150" s="68" t="str">
        <f>IF('School Profile'!$D$20="NO","",IF('Marks Entry'!AS150="","",'Marks Entry'!AS150))</f>
        <v/>
      </c>
      <c r="CV150" s="68" t="str">
        <f>IF('School Profile'!$D$20="NO","",IF('Marks Entry'!AT150="","",'Marks Entry'!AT150))</f>
        <v/>
      </c>
      <c r="CW150" s="514" t="str">
        <f>IF('School Profile'!$D$20="NO","",IF(AND(CT150="",CU150="",CV150=""),"",SUM(CT150:CV150)))</f>
        <v/>
      </c>
      <c r="CX150" s="68" t="str">
        <f>IF('School Profile'!$D$20="NO","",IF('Marks Entry'!AU150="","",'Marks Entry'!AU150))</f>
        <v/>
      </c>
      <c r="CY150" s="68" t="str">
        <f>IF('School Profile'!$D$20="NO","",IF('Marks Entry'!AV150="","",'Marks Entry'!AV150))</f>
        <v/>
      </c>
      <c r="CZ150" s="515" t="str">
        <f>IF('School Profile'!$D$20="NO","",IF(AND(CX150="",CY150=""),"",SUM(CX150,CY150)))</f>
        <v/>
      </c>
      <c r="DA150" s="69" t="str">
        <f>IF('School Profile'!$D$20="NO","",IF(AND(CW150="",CZ150=""),"",SUM(CW150+CZ150)))</f>
        <v/>
      </c>
      <c r="DB150" s="68" t="str">
        <f>IF('School Profile'!$D$20="NO","",IF('Marks Entry'!AW150="","",'Marks Entry'!AW150))</f>
        <v/>
      </c>
      <c r="DC150" s="68" t="str">
        <f>IF('School Profile'!$D$20="NO","",IF('Marks Entry'!AX150="","",'Marks Entry'!AX150))</f>
        <v/>
      </c>
      <c r="DD150" s="515" t="str">
        <f>IF('School Profile'!$D$20="NO","",IF(AND(DB150="",DC150=""),"",SUM(DB150,DC150)))</f>
        <v/>
      </c>
      <c r="DE150" s="96" t="str">
        <f>IF('School Profile'!$D$20="NO","",IF(AND(DA150="",DD150=""),"",SUM(DA150,DD150)))</f>
        <v/>
      </c>
      <c r="DF150" s="532">
        <f t="shared" si="387"/>
        <v>0</v>
      </c>
      <c r="DG150" s="65">
        <f t="shared" si="388"/>
        <v>0</v>
      </c>
      <c r="DH150" s="66" t="str">
        <f t="shared" si="389"/>
        <v/>
      </c>
      <c r="DI150" s="65" t="str">
        <f t="shared" si="390"/>
        <v/>
      </c>
      <c r="DJ150" s="65" t="str">
        <f t="shared" si="391"/>
        <v/>
      </c>
      <c r="DK150" s="65" t="str">
        <f t="shared" si="392"/>
        <v/>
      </c>
      <c r="DL150" s="97" t="str">
        <f t="shared" si="432"/>
        <v/>
      </c>
      <c r="DM150" s="97" t="str">
        <f t="shared" si="433"/>
        <v/>
      </c>
      <c r="DN150" s="97" t="str">
        <f t="shared" si="434"/>
        <v/>
      </c>
      <c r="DO150" s="97" t="str">
        <f t="shared" si="435"/>
        <v/>
      </c>
      <c r="DP150" s="97" t="str">
        <f t="shared" si="436"/>
        <v/>
      </c>
      <c r="DQ150" s="97" t="str">
        <f t="shared" si="437"/>
        <v/>
      </c>
      <c r="DR150" s="97" t="str">
        <f t="shared" si="438"/>
        <v/>
      </c>
      <c r="DS150" s="98">
        <f t="shared" si="439"/>
        <v>0</v>
      </c>
      <c r="DT150" s="98">
        <f t="shared" si="440"/>
        <v>0</v>
      </c>
      <c r="DU150" s="98">
        <f t="shared" si="441"/>
        <v>0</v>
      </c>
      <c r="DV150" s="98">
        <f t="shared" si="442"/>
        <v>0</v>
      </c>
      <c r="DW150" s="98">
        <f t="shared" si="443"/>
        <v>0</v>
      </c>
      <c r="DX150" s="98" t="str">
        <f t="shared" si="444"/>
        <v/>
      </c>
      <c r="DY150" s="99" t="str">
        <f t="shared" si="445"/>
        <v/>
      </c>
      <c r="DZ150" s="74" t="str">
        <f>IF('Marks Entry'!AY150="","",'Marks Entry'!AY150)</f>
        <v/>
      </c>
      <c r="EA150" s="74" t="str">
        <f>IF('Marks Entry'!AZ150="","",'Marks Entry'!AZ150)</f>
        <v/>
      </c>
      <c r="EB150" s="74" t="str">
        <f>IF('Marks Entry'!BA150="","",'Marks Entry'!BA150)</f>
        <v/>
      </c>
      <c r="EC150" s="527" t="str">
        <f t="shared" si="393"/>
        <v/>
      </c>
      <c r="ED150" s="74" t="str">
        <f>IF('Marks Entry'!BB150="","",'Marks Entry'!BB150)</f>
        <v/>
      </c>
      <c r="EE150" s="528" t="str">
        <f t="shared" si="394"/>
        <v/>
      </c>
      <c r="EF150" s="74" t="str">
        <f>IF('Marks Entry'!BC150="","",'Marks Entry'!BC150)</f>
        <v/>
      </c>
      <c r="EG150" s="530" t="str">
        <f t="shared" si="395"/>
        <v/>
      </c>
      <c r="EH150" s="368" t="str">
        <f t="shared" si="446"/>
        <v/>
      </c>
      <c r="EI150" s="65">
        <f t="shared" si="447"/>
        <v>0</v>
      </c>
      <c r="EJ150" s="65">
        <f t="shared" si="448"/>
        <v>0</v>
      </c>
      <c r="EK150" s="66" t="str">
        <f t="shared" si="449"/>
        <v/>
      </c>
      <c r="EL150" s="74" t="str">
        <f>IF('Marks Entry'!BD150="","",'Marks Entry'!BD150)</f>
        <v/>
      </c>
      <c r="EM150" s="74" t="str">
        <f>IF('Marks Entry'!BE150="","",'Marks Entry'!BE150)</f>
        <v/>
      </c>
      <c r="EN150" s="74" t="str">
        <f>IF('Marks Entry'!BF150="","",'Marks Entry'!BF150)</f>
        <v/>
      </c>
      <c r="EO150" s="527" t="str">
        <f t="shared" si="396"/>
        <v/>
      </c>
      <c r="EP150" s="74" t="str">
        <f>IF('Marks Entry'!BG150="","",'Marks Entry'!BG150)</f>
        <v/>
      </c>
      <c r="EQ150" s="74" t="str">
        <f>IF('Marks Entry'!BH150="","",'Marks Entry'!BH150)</f>
        <v/>
      </c>
      <c r="ER150" s="528" t="str">
        <f t="shared" si="397"/>
        <v/>
      </c>
      <c r="ES150" s="529" t="str">
        <f t="shared" si="398"/>
        <v/>
      </c>
      <c r="ET150" s="74" t="str">
        <f>IF('Marks Entry'!BI150="","",'Marks Entry'!BI150)</f>
        <v/>
      </c>
      <c r="EU150" s="74" t="str">
        <f>IF('Marks Entry'!BJ150="","",'Marks Entry'!BJ150)</f>
        <v/>
      </c>
      <c r="EV150" s="528" t="str">
        <f t="shared" si="399"/>
        <v/>
      </c>
      <c r="EW150" s="530" t="str">
        <f t="shared" si="400"/>
        <v/>
      </c>
      <c r="EX150" s="368" t="str">
        <f t="shared" si="450"/>
        <v/>
      </c>
      <c r="EY150" s="65">
        <f t="shared" si="451"/>
        <v>0</v>
      </c>
      <c r="EZ150" s="65">
        <f t="shared" si="452"/>
        <v>0</v>
      </c>
      <c r="FA150" s="66" t="str">
        <f t="shared" si="453"/>
        <v/>
      </c>
      <c r="FB150" s="74" t="str">
        <f>IF('Marks Entry'!BK150="","",'Marks Entry'!BK150)</f>
        <v/>
      </c>
      <c r="FC150" s="74" t="str">
        <f>IF('Marks Entry'!BL150="","",'Marks Entry'!BL150)</f>
        <v/>
      </c>
      <c r="FD150" s="74" t="str">
        <f>IF('Marks Entry'!BM150="","",'Marks Entry'!BM150)</f>
        <v/>
      </c>
      <c r="FE150" s="74" t="str">
        <f>IF('Marks Entry'!BN150="","",'Marks Entry'!BN150)</f>
        <v/>
      </c>
      <c r="FF150" s="74" t="str">
        <f>IF('Marks Entry'!BO150="","",'Marks Entry'!BO150)</f>
        <v/>
      </c>
      <c r="FG150" s="74" t="str">
        <f>IF('Marks Entry'!BP150="","",'Marks Entry'!BP150)</f>
        <v/>
      </c>
      <c r="FH150" s="527" t="str">
        <f t="shared" si="401"/>
        <v/>
      </c>
      <c r="FI150" s="74" t="str">
        <f>IF('Marks Entry'!BQ150="","",'Marks Entry'!BQ150)</f>
        <v/>
      </c>
      <c r="FJ150" s="74" t="str">
        <f>IF('Marks Entry'!BR150="","",'Marks Entry'!BR150)</f>
        <v/>
      </c>
      <c r="FK150" s="528" t="str">
        <f t="shared" si="402"/>
        <v/>
      </c>
      <c r="FL150" s="529" t="str">
        <f t="shared" si="403"/>
        <v/>
      </c>
      <c r="FM150" s="74" t="str">
        <f>IF('Marks Entry'!BS150="","",'Marks Entry'!BS150)</f>
        <v/>
      </c>
      <c r="FN150" s="74" t="str">
        <f>IF('Marks Entry'!BT150="","",'Marks Entry'!BT150)</f>
        <v/>
      </c>
      <c r="FO150" s="528" t="str">
        <f t="shared" si="404"/>
        <v/>
      </c>
      <c r="FP150" s="530" t="str">
        <f t="shared" si="405"/>
        <v/>
      </c>
      <c r="FQ150" s="368" t="str">
        <f t="shared" si="454"/>
        <v/>
      </c>
      <c r="FR150" s="65">
        <f t="shared" si="455"/>
        <v>0</v>
      </c>
      <c r="FS150" s="65">
        <f t="shared" si="456"/>
        <v>0</v>
      </c>
      <c r="FT150" s="66" t="str">
        <f t="shared" si="457"/>
        <v/>
      </c>
      <c r="FU150" s="74" t="str">
        <f>IF('Marks Entry'!BU150="","",'Marks Entry'!BU150)</f>
        <v/>
      </c>
      <c r="FV150" s="74" t="str">
        <f>IF('Marks Entry'!BV150="","",'Marks Entry'!BV150)</f>
        <v/>
      </c>
      <c r="FW150" s="74" t="str">
        <f>IF('Marks Entry'!BW150="","",'Marks Entry'!BW150)</f>
        <v/>
      </c>
      <c r="FX150" s="75" t="str">
        <f t="shared" si="406"/>
        <v/>
      </c>
      <c r="FY150" s="368" t="str">
        <f t="shared" si="458"/>
        <v/>
      </c>
      <c r="FZ150" s="65">
        <f t="shared" si="459"/>
        <v>0</v>
      </c>
      <c r="GA150" s="66">
        <f t="shared" si="460"/>
        <v>0</v>
      </c>
      <c r="GB150" s="66" t="str">
        <f t="shared" si="461"/>
        <v/>
      </c>
      <c r="GC150" s="74" t="str">
        <f>IF('Marks Entry'!BX150="","",'Marks Entry'!BX150)</f>
        <v/>
      </c>
      <c r="GD150" s="74" t="str">
        <f>IF('Marks Entry'!BY150="","",'Marks Entry'!BY150)</f>
        <v/>
      </c>
      <c r="GE150" s="74" t="str">
        <f>IF('Marks Entry'!BZ150="","",'Marks Entry'!BZ150)</f>
        <v/>
      </c>
      <c r="GF150" s="75" t="str">
        <f t="shared" si="462"/>
        <v/>
      </c>
      <c r="GG150" s="368" t="str">
        <f t="shared" si="463"/>
        <v/>
      </c>
      <c r="GH150" s="65">
        <f t="shared" si="464"/>
        <v>0</v>
      </c>
      <c r="GI150" s="66">
        <f t="shared" si="465"/>
        <v>0</v>
      </c>
      <c r="GJ150" s="66" t="str">
        <f t="shared" si="466"/>
        <v/>
      </c>
      <c r="GK150" s="100" t="str">
        <f>IF(AND(F150="",B150=""),"",IF('Student DATA Entry'!M147="","",'Student DATA Entry'!M147))</f>
        <v/>
      </c>
      <c r="GL150" s="101" t="str">
        <f>IF(AND(B150="",F150=""),"",IF('Student DATA Entry'!N147="","",'Student DATA Entry'!N147))</f>
        <v/>
      </c>
      <c r="GM150" s="581" t="str">
        <f t="shared" si="467"/>
        <v/>
      </c>
      <c r="GN150" s="94" t="str">
        <f t="shared" si="468"/>
        <v/>
      </c>
      <c r="GO150" s="94" t="str">
        <f t="shared" si="469"/>
        <v/>
      </c>
      <c r="GP150" s="102" t="str">
        <f t="shared" si="407"/>
        <v/>
      </c>
      <c r="GQ150" s="94" t="str">
        <f t="shared" si="470"/>
        <v/>
      </c>
      <c r="GR150" s="103" t="str">
        <f t="shared" si="471"/>
        <v/>
      </c>
      <c r="GS150" s="102" t="str">
        <f t="shared" si="408"/>
        <v/>
      </c>
      <c r="GT150" s="104" t="str">
        <f t="shared" si="472"/>
        <v/>
      </c>
      <c r="GU150" s="94" t="str">
        <f>IF('Marks Entry'!V150=1,GT150,"")</f>
        <v/>
      </c>
      <c r="GV150" s="94" t="str">
        <f>IF('Marks Entry'!V150=2,GT150,"")</f>
        <v/>
      </c>
      <c r="GW150" s="94" t="str">
        <f>IF('Marks Entry'!V150=3,GT150,"")</f>
        <v/>
      </c>
      <c r="GX150" s="94" t="str">
        <f>IF('Marks Entry'!V150=4,GT150,"")</f>
        <v/>
      </c>
      <c r="GY150" s="94" t="str">
        <f>IF('Marks Entry'!V150=5,GT150,"")</f>
        <v/>
      </c>
      <c r="GZ150" s="94" t="str">
        <f t="shared" si="473"/>
        <v/>
      </c>
      <c r="HA150" s="105" t="str">
        <f t="shared" si="409"/>
        <v/>
      </c>
      <c r="HB150" s="94" t="str">
        <f t="shared" si="474"/>
        <v/>
      </c>
      <c r="HC150" s="94" t="str">
        <f t="shared" si="475"/>
        <v/>
      </c>
      <c r="HD150" s="105" t="str">
        <f t="shared" si="410"/>
        <v/>
      </c>
      <c r="HE150" s="94" t="str">
        <f t="shared" si="476"/>
        <v/>
      </c>
      <c r="HF150" s="94" t="str">
        <f t="shared" si="477"/>
        <v/>
      </c>
      <c r="HG150" s="105" t="str">
        <f t="shared" si="411"/>
        <v/>
      </c>
      <c r="HH150" s="94" t="str">
        <f t="shared" si="478"/>
        <v/>
      </c>
      <c r="HI150" s="94" t="str">
        <f t="shared" si="479"/>
        <v/>
      </c>
      <c r="HJ150" s="105" t="str">
        <f t="shared" si="412"/>
        <v/>
      </c>
      <c r="HK150" s="94" t="str">
        <f t="shared" si="480"/>
        <v/>
      </c>
      <c r="HL150" s="94" t="str">
        <f t="shared" si="481"/>
        <v/>
      </c>
      <c r="HM150" s="105" t="str">
        <f t="shared" si="413"/>
        <v/>
      </c>
      <c r="HN150" s="367" t="str">
        <f t="shared" si="482"/>
        <v xml:space="preserve">      </v>
      </c>
      <c r="HO150" s="418" t="str">
        <f t="shared" si="414"/>
        <v xml:space="preserve">      </v>
      </c>
      <c r="HP150" s="367" t="str">
        <f t="shared" si="483"/>
        <v xml:space="preserve">      </v>
      </c>
      <c r="HQ150" s="107" t="str">
        <f t="shared" si="484"/>
        <v xml:space="preserve">      </v>
      </c>
      <c r="HR150" s="366" t="str">
        <f t="shared" si="485"/>
        <v xml:space="preserve">      </v>
      </c>
      <c r="HS150" s="544" t="str">
        <f t="shared" si="415"/>
        <v/>
      </c>
      <c r="HT150" s="542" t="str">
        <f t="shared" si="486"/>
        <v/>
      </c>
      <c r="HU150" s="541" t="str">
        <f t="shared" si="487"/>
        <v/>
      </c>
      <c r="HV150" s="540" t="str">
        <f t="shared" si="488"/>
        <v/>
      </c>
      <c r="HW150" s="537" t="str">
        <f t="shared" si="489"/>
        <v/>
      </c>
      <c r="HX150" s="539" t="str">
        <f t="shared" si="490"/>
        <v/>
      </c>
      <c r="HY150" s="553" t="str">
        <f>IFERROR(IF(OR(HS150="SUPPLEMENTARY",HS150="RE-EXAM"),'Supp. Result Entry'!AQ148,""),"")</f>
        <v/>
      </c>
      <c r="HZ150" s="538" t="str">
        <f t="shared" si="491"/>
        <v/>
      </c>
      <c r="IA150" s="415" t="str">
        <f t="shared" si="492"/>
        <v/>
      </c>
      <c r="IB150" s="415" t="str">
        <f>IF(AND(HZ150="",IA150=""),"",IF(OR(HS150="SUPPLEMENTARY",HS150="RE-EXAM"),'Supp. Result Entry'!AQ148,HS150))</f>
        <v/>
      </c>
      <c r="IC150" s="87"/>
      <c r="IS150" s="109" t="str">
        <f>IF('Supp. Result Entry'!T148="","",'Supp. Result Entry'!$T$4)</f>
        <v/>
      </c>
      <c r="IT150" s="110" t="str">
        <f>IF('Supp. Result Entry'!W148="","",'Supp. Result Entry'!$W$4)</f>
        <v/>
      </c>
      <c r="IU150" s="110" t="str">
        <f>IF('Supp. Result Entry'!Z148="","",'Supp. Result Entry'!$Z$4)</f>
        <v/>
      </c>
      <c r="IV150" s="110" t="str">
        <f>IF('Supp. Result Entry'!AC148="","",'Supp. Result Entry'!$AC$4)</f>
        <v/>
      </c>
      <c r="IW150" s="110" t="str">
        <f>IF('Supp. Result Entry'!AF148="","",'Supp. Result Entry'!$AF$4)</f>
        <v/>
      </c>
      <c r="IX150" s="110" t="str">
        <f>IF('Supp. Result Entry'!AI148="","",'Supp. Result Entry'!$AI$4)</f>
        <v/>
      </c>
      <c r="IY150" s="110" t="str">
        <f>IF('Supp. Result Entry'!AI148="","",'Supp. Result Entry'!$AL$4)</f>
        <v/>
      </c>
      <c r="IZ150" s="110" t="str">
        <f>IF('Supp. Result Entry'!U148="","",'Supp. Result Entry'!U148)</f>
        <v/>
      </c>
      <c r="JA150" s="110" t="str">
        <f>IF('Supp. Result Entry'!X148="","",'Supp. Result Entry'!X148)</f>
        <v/>
      </c>
      <c r="JB150" s="110" t="str">
        <f>IF('Supp. Result Entry'!AA148="","",'Supp. Result Entry'!AA148)</f>
        <v/>
      </c>
      <c r="JC150" s="110" t="str">
        <f>IF('Supp. Result Entry'!AD148="","",'Supp. Result Entry'!AD148)</f>
        <v/>
      </c>
      <c r="JD150" s="110" t="str">
        <f>IF('Supp. Result Entry'!AG148="","",'Supp. Result Entry'!AG148)</f>
        <v/>
      </c>
      <c r="JE150" s="110" t="str">
        <f>IF('Supp. Result Entry'!AJ148="","",'Supp. Result Entry'!AJ148)</f>
        <v/>
      </c>
      <c r="JF150" s="110" t="str">
        <f>IF('Supp. Result Entry'!AM148="","",'Supp. Result Entry'!AM148)</f>
        <v/>
      </c>
      <c r="JG150" s="110" t="str">
        <f>IF('Supp. Result Entry'!V148="","",'Supp. Result Entry'!V148)</f>
        <v/>
      </c>
      <c r="JH150" s="110" t="str">
        <f>IF('Supp. Result Entry'!Y148="","",'Supp. Result Entry'!Y148)</f>
        <v/>
      </c>
      <c r="JI150" s="110" t="str">
        <f>IF('Supp. Result Entry'!AB148="","",'Supp. Result Entry'!AB148)</f>
        <v/>
      </c>
      <c r="JJ150" s="110" t="str">
        <f>IF('Supp. Result Entry'!AE148="","",'Supp. Result Entry'!AE148)</f>
        <v/>
      </c>
      <c r="JK150" s="110" t="str">
        <f>IF('Supp. Result Entry'!AH148="","",'Supp. Result Entry'!AH148)</f>
        <v/>
      </c>
      <c r="JL150" s="110" t="str">
        <f>IF('Supp. Result Entry'!AK148="","",'Supp. Result Entry'!AK148)</f>
        <v/>
      </c>
      <c r="JM150" s="110" t="str">
        <f>IF('Supp. Result Entry'!AN148="","",'Supp. Result Entry'!AN148)</f>
        <v/>
      </c>
      <c r="JN150" s="110">
        <f>COUNTIF('Supp. Result Entry'!K148:Q148,"S")</f>
        <v>0</v>
      </c>
      <c r="JO150" s="110">
        <f t="shared" si="416"/>
        <v>0</v>
      </c>
      <c r="JP150" s="110">
        <f t="shared" si="493"/>
        <v>0</v>
      </c>
      <c r="JQ150" s="110" t="str">
        <f t="shared" si="417"/>
        <v/>
      </c>
      <c r="JR150" s="110" t="str">
        <f t="shared" si="418"/>
        <v/>
      </c>
      <c r="JS150" s="110" t="str">
        <f t="shared" si="419"/>
        <v/>
      </c>
      <c r="JT150" s="110" t="str">
        <f t="shared" si="420"/>
        <v/>
      </c>
      <c r="JU150" s="110" t="str">
        <f t="shared" si="421"/>
        <v/>
      </c>
      <c r="JV150" s="110" t="str">
        <f t="shared" si="422"/>
        <v/>
      </c>
      <c r="JW150" s="110" t="str">
        <f t="shared" si="423"/>
        <v/>
      </c>
      <c r="JX150" s="110" t="str">
        <f t="shared" si="494"/>
        <v/>
      </c>
      <c r="JY150" s="110" t="str">
        <f t="shared" si="495"/>
        <v/>
      </c>
      <c r="JZ150" s="110" t="str">
        <f t="shared" si="424"/>
        <v/>
      </c>
      <c r="KA150" s="108" t="str">
        <f t="shared" si="496"/>
        <v/>
      </c>
    </row>
    <row r="151" spans="1:287" s="108" customFormat="1" ht="21.95" customHeight="1">
      <c r="A151" s="89">
        <v>145</v>
      </c>
      <c r="B151" s="90" t="str">
        <f>IF('Marks Entry'!B151="","",'Marks Entry'!B151)</f>
        <v/>
      </c>
      <c r="C151" s="94" t="str">
        <f>IF('Marks Entry'!D151="","",'Marks Entry'!D151)</f>
        <v/>
      </c>
      <c r="D151" s="91" t="str">
        <f>IF('Marks Entry'!E151="","",'Marks Entry'!E151)</f>
        <v/>
      </c>
      <c r="E151" s="92" t="str">
        <f>IF('Marks Entry'!F151="","",'Marks Entry'!F151)</f>
        <v/>
      </c>
      <c r="F151" s="93" t="str">
        <f>IF('Marks Entry'!G151="","",'Marks Entry'!G151)</f>
        <v/>
      </c>
      <c r="G151" s="93" t="str">
        <f>IF('Marks Entry'!H151="","",'Marks Entry'!H151)</f>
        <v/>
      </c>
      <c r="H151" s="93" t="str">
        <f>IF('Marks Entry'!I151="","",'Marks Entry'!I151)</f>
        <v/>
      </c>
      <c r="I151" s="94" t="str">
        <f>IF('Marks Entry'!J151="","",'Marks Entry'!J151)</f>
        <v/>
      </c>
      <c r="J151" s="95" t="str">
        <f>IF('Marks Entry'!K151="","",'Marks Entry'!K151)</f>
        <v/>
      </c>
      <c r="K151" s="68" t="str">
        <f>IF('Marks Entry'!L151="","",'Marks Entry'!L151)</f>
        <v/>
      </c>
      <c r="L151" s="68" t="str">
        <f>IF('Marks Entry'!M151="","",'Marks Entry'!M151)</f>
        <v/>
      </c>
      <c r="M151" s="68" t="str">
        <f>IF('Marks Entry'!N151="","",'Marks Entry'!N151)</f>
        <v/>
      </c>
      <c r="N151" s="514" t="str">
        <f t="shared" si="425"/>
        <v/>
      </c>
      <c r="O151" s="68" t="str">
        <f>IF('Marks Entry'!O151="","",'Marks Entry'!O151)</f>
        <v/>
      </c>
      <c r="P151" s="515" t="str">
        <f t="shared" si="426"/>
        <v/>
      </c>
      <c r="Q151" s="68" t="str">
        <f>IF('Marks Entry'!P151="","",'Marks Entry'!P151)</f>
        <v/>
      </c>
      <c r="R151" s="96" t="str">
        <f t="shared" si="427"/>
        <v/>
      </c>
      <c r="S151" s="65">
        <f t="shared" si="428"/>
        <v>0</v>
      </c>
      <c r="T151" s="65">
        <f t="shared" si="429"/>
        <v>0</v>
      </c>
      <c r="U151" s="66" t="str">
        <f t="shared" si="339"/>
        <v/>
      </c>
      <c r="V151" s="65" t="str">
        <f t="shared" si="340"/>
        <v/>
      </c>
      <c r="W151" s="65" t="str">
        <f t="shared" si="430"/>
        <v/>
      </c>
      <c r="X151" s="65" t="str">
        <f t="shared" si="341"/>
        <v/>
      </c>
      <c r="Y151" s="68" t="str">
        <f>IF('Marks Entry'!Q151="","",'Marks Entry'!Q151)</f>
        <v/>
      </c>
      <c r="Z151" s="68" t="str">
        <f>IF('Marks Entry'!R151="","",'Marks Entry'!R151)</f>
        <v/>
      </c>
      <c r="AA151" s="68" t="str">
        <f>IF('Marks Entry'!S151="","",'Marks Entry'!S151)</f>
        <v/>
      </c>
      <c r="AB151" s="514" t="str">
        <f t="shared" si="342"/>
        <v/>
      </c>
      <c r="AC151" s="68" t="str">
        <f>IF('Marks Entry'!T151="","",'Marks Entry'!T151)</f>
        <v/>
      </c>
      <c r="AD151" s="515" t="str">
        <f t="shared" si="343"/>
        <v/>
      </c>
      <c r="AE151" s="68" t="str">
        <f>IF('Marks Entry'!U151="","",'Marks Entry'!U151)</f>
        <v/>
      </c>
      <c r="AF151" s="96" t="str">
        <f t="shared" si="344"/>
        <v/>
      </c>
      <c r="AG151" s="65">
        <f t="shared" si="345"/>
        <v>0</v>
      </c>
      <c r="AH151" s="65">
        <f t="shared" si="346"/>
        <v>0</v>
      </c>
      <c r="AI151" s="66" t="str">
        <f t="shared" si="347"/>
        <v/>
      </c>
      <c r="AJ151" s="65" t="str">
        <f t="shared" si="348"/>
        <v/>
      </c>
      <c r="AK151" s="65" t="str">
        <f t="shared" si="349"/>
        <v/>
      </c>
      <c r="AL151" s="65" t="str">
        <f t="shared" si="350"/>
        <v/>
      </c>
      <c r="AM151" s="524" t="str">
        <f>IF('Marks Entry'!V151="","",IF('Marks Entry'!V151=1,'School Profile'!$I$9,IF('Marks Entry'!V151=2,'School Profile'!$I$10,IF('Marks Entry'!V151=3,'School Profile'!$I$11,IF('Marks Entry'!V151=4,'School Profile'!$I$12,IF('Marks Entry'!V151=5,'School Profile'!$I$13,IF('Marks Entry'!V151=6,'School Profile'!$I$14,"")))))))</f>
        <v/>
      </c>
      <c r="AN151" s="68" t="str">
        <f>IF('Marks Entry'!W151="","",'Marks Entry'!W151)</f>
        <v/>
      </c>
      <c r="AO151" s="68" t="str">
        <f>IF('Marks Entry'!X151="","",'Marks Entry'!X151)</f>
        <v/>
      </c>
      <c r="AP151" s="68" t="str">
        <f>IF('Marks Entry'!Y151="","",'Marks Entry'!Y151)</f>
        <v/>
      </c>
      <c r="AQ151" s="514" t="str">
        <f t="shared" si="351"/>
        <v/>
      </c>
      <c r="AR151" s="68" t="str">
        <f>IF('Marks Entry'!Z151="","",'Marks Entry'!Z151)</f>
        <v/>
      </c>
      <c r="AS151" s="515" t="str">
        <f t="shared" si="352"/>
        <v/>
      </c>
      <c r="AT151" s="68" t="str">
        <f>IF('Marks Entry'!AA151="","",'Marks Entry'!AA151)</f>
        <v/>
      </c>
      <c r="AU151" s="96" t="str">
        <f t="shared" si="353"/>
        <v/>
      </c>
      <c r="AV151" s="65">
        <f t="shared" si="354"/>
        <v>0</v>
      </c>
      <c r="AW151" s="65">
        <f t="shared" si="355"/>
        <v>0</v>
      </c>
      <c r="AX151" s="66" t="str">
        <f t="shared" si="356"/>
        <v/>
      </c>
      <c r="AY151" s="65" t="str">
        <f t="shared" si="357"/>
        <v/>
      </c>
      <c r="AZ151" s="65" t="str">
        <f t="shared" si="358"/>
        <v/>
      </c>
      <c r="BA151" s="65" t="str">
        <f t="shared" si="359"/>
        <v/>
      </c>
      <c r="BB151" s="68" t="str">
        <f>IF('Marks Entry'!AB151="","",'Marks Entry'!AB151)</f>
        <v/>
      </c>
      <c r="BC151" s="68" t="str">
        <f>IF('Marks Entry'!AC151="","",'Marks Entry'!AC151)</f>
        <v/>
      </c>
      <c r="BD151" s="68" t="str">
        <f>IF('Marks Entry'!AD151="","",'Marks Entry'!AD151)</f>
        <v/>
      </c>
      <c r="BE151" s="514" t="str">
        <f t="shared" si="360"/>
        <v/>
      </c>
      <c r="BF151" s="68" t="str">
        <f>IF('Marks Entry'!AE151="","",'Marks Entry'!AE151)</f>
        <v/>
      </c>
      <c r="BG151" s="515" t="str">
        <f t="shared" si="361"/>
        <v/>
      </c>
      <c r="BH151" s="68" t="str">
        <f>IF('Marks Entry'!AF151="","",'Marks Entry'!AF151)</f>
        <v/>
      </c>
      <c r="BI151" s="96" t="str">
        <f t="shared" si="362"/>
        <v/>
      </c>
      <c r="BJ151" s="65">
        <f t="shared" si="363"/>
        <v>0</v>
      </c>
      <c r="BK151" s="65">
        <f t="shared" si="431"/>
        <v>0</v>
      </c>
      <c r="BL151" s="66" t="str">
        <f t="shared" si="364"/>
        <v/>
      </c>
      <c r="BM151" s="65" t="str">
        <f t="shared" si="365"/>
        <v/>
      </c>
      <c r="BN151" s="65" t="str">
        <f t="shared" si="366"/>
        <v/>
      </c>
      <c r="BO151" s="65" t="str">
        <f t="shared" si="367"/>
        <v/>
      </c>
      <c r="BP151" s="68" t="str">
        <f>IF('Marks Entry'!AG151="","",'Marks Entry'!AG151)</f>
        <v/>
      </c>
      <c r="BQ151" s="68" t="str">
        <f>IF('Marks Entry'!AH151="","",'Marks Entry'!AH151)</f>
        <v/>
      </c>
      <c r="BR151" s="68" t="str">
        <f>IF('Marks Entry'!AI151="","",'Marks Entry'!AI151)</f>
        <v/>
      </c>
      <c r="BS151" s="514" t="str">
        <f t="shared" si="368"/>
        <v/>
      </c>
      <c r="BT151" s="68" t="str">
        <f>IF('Marks Entry'!AJ151="","",'Marks Entry'!AJ151)</f>
        <v/>
      </c>
      <c r="BU151" s="515" t="str">
        <f t="shared" si="369"/>
        <v/>
      </c>
      <c r="BV151" s="68" t="str">
        <f>IF('Marks Entry'!AK151="","",'Marks Entry'!AK151)</f>
        <v/>
      </c>
      <c r="BW151" s="96" t="str">
        <f t="shared" si="370"/>
        <v/>
      </c>
      <c r="BX151" s="65">
        <f t="shared" si="371"/>
        <v>0</v>
      </c>
      <c r="BY151" s="65">
        <f t="shared" si="372"/>
        <v>0</v>
      </c>
      <c r="BZ151" s="66" t="str">
        <f t="shared" si="373"/>
        <v/>
      </c>
      <c r="CA151" s="65" t="str">
        <f t="shared" si="374"/>
        <v/>
      </c>
      <c r="CB151" s="65" t="str">
        <f t="shared" si="375"/>
        <v/>
      </c>
      <c r="CC151" s="65" t="str">
        <f t="shared" si="376"/>
        <v/>
      </c>
      <c r="CD151" s="66">
        <f t="shared" si="377"/>
        <v>0</v>
      </c>
      <c r="CE151" s="68" t="str">
        <f>IF('Marks Entry'!AL151="","",'Marks Entry'!AL151)</f>
        <v/>
      </c>
      <c r="CF151" s="68" t="str">
        <f>IF('Marks Entry'!AM151="","",'Marks Entry'!AM151)</f>
        <v/>
      </c>
      <c r="CG151" s="68" t="str">
        <f>IF('Marks Entry'!AN151="","",'Marks Entry'!AN151)</f>
        <v/>
      </c>
      <c r="CH151" s="514" t="str">
        <f t="shared" si="378"/>
        <v/>
      </c>
      <c r="CI151" s="68" t="str">
        <f>IF('Marks Entry'!AO151="","",'Marks Entry'!AO151)</f>
        <v/>
      </c>
      <c r="CJ151" s="515" t="str">
        <f t="shared" si="379"/>
        <v/>
      </c>
      <c r="CK151" s="68" t="str">
        <f>IF('Marks Entry'!AP151="","",'Marks Entry'!AP151)</f>
        <v/>
      </c>
      <c r="CL151" s="96" t="str">
        <f t="shared" si="380"/>
        <v/>
      </c>
      <c r="CM151" s="65">
        <f t="shared" si="381"/>
        <v>0</v>
      </c>
      <c r="CN151" s="65">
        <f t="shared" si="382"/>
        <v>0</v>
      </c>
      <c r="CO151" s="66" t="str">
        <f t="shared" si="383"/>
        <v/>
      </c>
      <c r="CP151" s="65" t="str">
        <f t="shared" si="384"/>
        <v/>
      </c>
      <c r="CQ151" s="65" t="str">
        <f t="shared" si="385"/>
        <v/>
      </c>
      <c r="CR151" s="65" t="str">
        <f t="shared" si="386"/>
        <v/>
      </c>
      <c r="CS151" s="616"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8" t="str">
        <f>IF('School Profile'!$D$20="NO","",IF('Marks Entry'!AR151="","",'Marks Entry'!AR151))</f>
        <v/>
      </c>
      <c r="CU151" s="68" t="str">
        <f>IF('School Profile'!$D$20="NO","",IF('Marks Entry'!AS151="","",'Marks Entry'!AS151))</f>
        <v/>
      </c>
      <c r="CV151" s="68" t="str">
        <f>IF('School Profile'!$D$20="NO","",IF('Marks Entry'!AT151="","",'Marks Entry'!AT151))</f>
        <v/>
      </c>
      <c r="CW151" s="514" t="str">
        <f>IF('School Profile'!$D$20="NO","",IF(AND(CT151="",CU151="",CV151=""),"",SUM(CT151:CV151)))</f>
        <v/>
      </c>
      <c r="CX151" s="68" t="str">
        <f>IF('School Profile'!$D$20="NO","",IF('Marks Entry'!AU151="","",'Marks Entry'!AU151))</f>
        <v/>
      </c>
      <c r="CY151" s="68" t="str">
        <f>IF('School Profile'!$D$20="NO","",IF('Marks Entry'!AV151="","",'Marks Entry'!AV151))</f>
        <v/>
      </c>
      <c r="CZ151" s="515" t="str">
        <f>IF('School Profile'!$D$20="NO","",IF(AND(CX151="",CY151=""),"",SUM(CX151,CY151)))</f>
        <v/>
      </c>
      <c r="DA151" s="69" t="str">
        <f>IF('School Profile'!$D$20="NO","",IF(AND(CW151="",CZ151=""),"",SUM(CW151+CZ151)))</f>
        <v/>
      </c>
      <c r="DB151" s="68" t="str">
        <f>IF('School Profile'!$D$20="NO","",IF('Marks Entry'!AW151="","",'Marks Entry'!AW151))</f>
        <v/>
      </c>
      <c r="DC151" s="68" t="str">
        <f>IF('School Profile'!$D$20="NO","",IF('Marks Entry'!AX151="","",'Marks Entry'!AX151))</f>
        <v/>
      </c>
      <c r="DD151" s="515" t="str">
        <f>IF('School Profile'!$D$20="NO","",IF(AND(DB151="",DC151=""),"",SUM(DB151,DC151)))</f>
        <v/>
      </c>
      <c r="DE151" s="96" t="str">
        <f>IF('School Profile'!$D$20="NO","",IF(AND(DA151="",DD151=""),"",SUM(DA151,DD151)))</f>
        <v/>
      </c>
      <c r="DF151" s="532">
        <f t="shared" si="387"/>
        <v>0</v>
      </c>
      <c r="DG151" s="65">
        <f t="shared" si="388"/>
        <v>0</v>
      </c>
      <c r="DH151" s="66" t="str">
        <f t="shared" si="389"/>
        <v/>
      </c>
      <c r="DI151" s="65" t="str">
        <f t="shared" si="390"/>
        <v/>
      </c>
      <c r="DJ151" s="65" t="str">
        <f t="shared" si="391"/>
        <v/>
      </c>
      <c r="DK151" s="65" t="str">
        <f t="shared" si="392"/>
        <v/>
      </c>
      <c r="DL151" s="97" t="str">
        <f t="shared" si="432"/>
        <v/>
      </c>
      <c r="DM151" s="97" t="str">
        <f t="shared" si="433"/>
        <v/>
      </c>
      <c r="DN151" s="97" t="str">
        <f t="shared" si="434"/>
        <v/>
      </c>
      <c r="DO151" s="97" t="str">
        <f t="shared" si="435"/>
        <v/>
      </c>
      <c r="DP151" s="97" t="str">
        <f t="shared" si="436"/>
        <v/>
      </c>
      <c r="DQ151" s="97" t="str">
        <f t="shared" si="437"/>
        <v/>
      </c>
      <c r="DR151" s="97" t="str">
        <f t="shared" si="438"/>
        <v/>
      </c>
      <c r="DS151" s="98">
        <f t="shared" si="439"/>
        <v>0</v>
      </c>
      <c r="DT151" s="98">
        <f t="shared" si="440"/>
        <v>0</v>
      </c>
      <c r="DU151" s="98">
        <f t="shared" si="441"/>
        <v>0</v>
      </c>
      <c r="DV151" s="98">
        <f t="shared" si="442"/>
        <v>0</v>
      </c>
      <c r="DW151" s="98">
        <f t="shared" si="443"/>
        <v>0</v>
      </c>
      <c r="DX151" s="98" t="str">
        <f t="shared" si="444"/>
        <v/>
      </c>
      <c r="DY151" s="99" t="str">
        <f t="shared" si="445"/>
        <v/>
      </c>
      <c r="DZ151" s="74" t="str">
        <f>IF('Marks Entry'!AY151="","",'Marks Entry'!AY151)</f>
        <v/>
      </c>
      <c r="EA151" s="74" t="str">
        <f>IF('Marks Entry'!AZ151="","",'Marks Entry'!AZ151)</f>
        <v/>
      </c>
      <c r="EB151" s="74" t="str">
        <f>IF('Marks Entry'!BA151="","",'Marks Entry'!BA151)</f>
        <v/>
      </c>
      <c r="EC151" s="527" t="str">
        <f t="shared" si="393"/>
        <v/>
      </c>
      <c r="ED151" s="74" t="str">
        <f>IF('Marks Entry'!BB151="","",'Marks Entry'!BB151)</f>
        <v/>
      </c>
      <c r="EE151" s="528" t="str">
        <f t="shared" si="394"/>
        <v/>
      </c>
      <c r="EF151" s="74" t="str">
        <f>IF('Marks Entry'!BC151="","",'Marks Entry'!BC151)</f>
        <v/>
      </c>
      <c r="EG151" s="530" t="str">
        <f t="shared" si="395"/>
        <v/>
      </c>
      <c r="EH151" s="368" t="str">
        <f t="shared" si="446"/>
        <v/>
      </c>
      <c r="EI151" s="65">
        <f t="shared" si="447"/>
        <v>0</v>
      </c>
      <c r="EJ151" s="65">
        <f t="shared" si="448"/>
        <v>0</v>
      </c>
      <c r="EK151" s="66" t="str">
        <f t="shared" si="449"/>
        <v/>
      </c>
      <c r="EL151" s="74" t="str">
        <f>IF('Marks Entry'!BD151="","",'Marks Entry'!BD151)</f>
        <v/>
      </c>
      <c r="EM151" s="74" t="str">
        <f>IF('Marks Entry'!BE151="","",'Marks Entry'!BE151)</f>
        <v/>
      </c>
      <c r="EN151" s="74" t="str">
        <f>IF('Marks Entry'!BF151="","",'Marks Entry'!BF151)</f>
        <v/>
      </c>
      <c r="EO151" s="527" t="str">
        <f t="shared" si="396"/>
        <v/>
      </c>
      <c r="EP151" s="74" t="str">
        <f>IF('Marks Entry'!BG151="","",'Marks Entry'!BG151)</f>
        <v/>
      </c>
      <c r="EQ151" s="74" t="str">
        <f>IF('Marks Entry'!BH151="","",'Marks Entry'!BH151)</f>
        <v/>
      </c>
      <c r="ER151" s="528" t="str">
        <f t="shared" si="397"/>
        <v/>
      </c>
      <c r="ES151" s="529" t="str">
        <f t="shared" si="398"/>
        <v/>
      </c>
      <c r="ET151" s="74" t="str">
        <f>IF('Marks Entry'!BI151="","",'Marks Entry'!BI151)</f>
        <v/>
      </c>
      <c r="EU151" s="74" t="str">
        <f>IF('Marks Entry'!BJ151="","",'Marks Entry'!BJ151)</f>
        <v/>
      </c>
      <c r="EV151" s="528" t="str">
        <f t="shared" si="399"/>
        <v/>
      </c>
      <c r="EW151" s="530" t="str">
        <f t="shared" si="400"/>
        <v/>
      </c>
      <c r="EX151" s="368" t="str">
        <f t="shared" si="450"/>
        <v/>
      </c>
      <c r="EY151" s="65">
        <f t="shared" si="451"/>
        <v>0</v>
      </c>
      <c r="EZ151" s="65">
        <f t="shared" si="452"/>
        <v>0</v>
      </c>
      <c r="FA151" s="66" t="str">
        <f t="shared" si="453"/>
        <v/>
      </c>
      <c r="FB151" s="74" t="str">
        <f>IF('Marks Entry'!BK151="","",'Marks Entry'!BK151)</f>
        <v/>
      </c>
      <c r="FC151" s="74" t="str">
        <f>IF('Marks Entry'!BL151="","",'Marks Entry'!BL151)</f>
        <v/>
      </c>
      <c r="FD151" s="74" t="str">
        <f>IF('Marks Entry'!BM151="","",'Marks Entry'!BM151)</f>
        <v/>
      </c>
      <c r="FE151" s="74" t="str">
        <f>IF('Marks Entry'!BN151="","",'Marks Entry'!BN151)</f>
        <v/>
      </c>
      <c r="FF151" s="74" t="str">
        <f>IF('Marks Entry'!BO151="","",'Marks Entry'!BO151)</f>
        <v/>
      </c>
      <c r="FG151" s="74" t="str">
        <f>IF('Marks Entry'!BP151="","",'Marks Entry'!BP151)</f>
        <v/>
      </c>
      <c r="FH151" s="527" t="str">
        <f t="shared" si="401"/>
        <v/>
      </c>
      <c r="FI151" s="74" t="str">
        <f>IF('Marks Entry'!BQ151="","",'Marks Entry'!BQ151)</f>
        <v/>
      </c>
      <c r="FJ151" s="74" t="str">
        <f>IF('Marks Entry'!BR151="","",'Marks Entry'!BR151)</f>
        <v/>
      </c>
      <c r="FK151" s="528" t="str">
        <f t="shared" si="402"/>
        <v/>
      </c>
      <c r="FL151" s="529" t="str">
        <f t="shared" si="403"/>
        <v/>
      </c>
      <c r="FM151" s="74" t="str">
        <f>IF('Marks Entry'!BS151="","",'Marks Entry'!BS151)</f>
        <v/>
      </c>
      <c r="FN151" s="74" t="str">
        <f>IF('Marks Entry'!BT151="","",'Marks Entry'!BT151)</f>
        <v/>
      </c>
      <c r="FO151" s="528" t="str">
        <f t="shared" si="404"/>
        <v/>
      </c>
      <c r="FP151" s="530" t="str">
        <f t="shared" si="405"/>
        <v/>
      </c>
      <c r="FQ151" s="368" t="str">
        <f t="shared" si="454"/>
        <v/>
      </c>
      <c r="FR151" s="65">
        <f t="shared" si="455"/>
        <v>0</v>
      </c>
      <c r="FS151" s="65">
        <f t="shared" si="456"/>
        <v>0</v>
      </c>
      <c r="FT151" s="66" t="str">
        <f t="shared" si="457"/>
        <v/>
      </c>
      <c r="FU151" s="74" t="str">
        <f>IF('Marks Entry'!BU151="","",'Marks Entry'!BU151)</f>
        <v/>
      </c>
      <c r="FV151" s="74" t="str">
        <f>IF('Marks Entry'!BV151="","",'Marks Entry'!BV151)</f>
        <v/>
      </c>
      <c r="FW151" s="74" t="str">
        <f>IF('Marks Entry'!BW151="","",'Marks Entry'!BW151)</f>
        <v/>
      </c>
      <c r="FX151" s="75" t="str">
        <f t="shared" si="406"/>
        <v/>
      </c>
      <c r="FY151" s="368" t="str">
        <f t="shared" si="458"/>
        <v/>
      </c>
      <c r="FZ151" s="65">
        <f t="shared" si="459"/>
        <v>0</v>
      </c>
      <c r="GA151" s="66">
        <f t="shared" si="460"/>
        <v>0</v>
      </c>
      <c r="GB151" s="66" t="str">
        <f t="shared" si="461"/>
        <v/>
      </c>
      <c r="GC151" s="74" t="str">
        <f>IF('Marks Entry'!BX151="","",'Marks Entry'!BX151)</f>
        <v/>
      </c>
      <c r="GD151" s="74" t="str">
        <f>IF('Marks Entry'!BY151="","",'Marks Entry'!BY151)</f>
        <v/>
      </c>
      <c r="GE151" s="74" t="str">
        <f>IF('Marks Entry'!BZ151="","",'Marks Entry'!BZ151)</f>
        <v/>
      </c>
      <c r="GF151" s="75" t="str">
        <f t="shared" si="462"/>
        <v/>
      </c>
      <c r="GG151" s="368" t="str">
        <f t="shared" si="463"/>
        <v/>
      </c>
      <c r="GH151" s="65">
        <f t="shared" si="464"/>
        <v>0</v>
      </c>
      <c r="GI151" s="66">
        <f t="shared" si="465"/>
        <v>0</v>
      </c>
      <c r="GJ151" s="66" t="str">
        <f t="shared" si="466"/>
        <v/>
      </c>
      <c r="GK151" s="100" t="str">
        <f>IF(AND(F151="",B151=""),"",IF('Student DATA Entry'!M148="","",'Student DATA Entry'!M148))</f>
        <v/>
      </c>
      <c r="GL151" s="101" t="str">
        <f>IF(AND(B151="",F151=""),"",IF('Student DATA Entry'!N148="","",'Student DATA Entry'!N148))</f>
        <v/>
      </c>
      <c r="GM151" s="581" t="str">
        <f t="shared" si="467"/>
        <v/>
      </c>
      <c r="GN151" s="94" t="str">
        <f t="shared" si="468"/>
        <v/>
      </c>
      <c r="GO151" s="94" t="str">
        <f t="shared" si="469"/>
        <v/>
      </c>
      <c r="GP151" s="102" t="str">
        <f t="shared" si="407"/>
        <v/>
      </c>
      <c r="GQ151" s="94" t="str">
        <f t="shared" si="470"/>
        <v/>
      </c>
      <c r="GR151" s="103" t="str">
        <f t="shared" si="471"/>
        <v/>
      </c>
      <c r="GS151" s="102" t="str">
        <f t="shared" si="408"/>
        <v/>
      </c>
      <c r="GT151" s="104" t="str">
        <f t="shared" si="472"/>
        <v/>
      </c>
      <c r="GU151" s="94" t="str">
        <f>IF('Marks Entry'!V151=1,GT151,"")</f>
        <v/>
      </c>
      <c r="GV151" s="94" t="str">
        <f>IF('Marks Entry'!V151=2,GT151,"")</f>
        <v/>
      </c>
      <c r="GW151" s="94" t="str">
        <f>IF('Marks Entry'!V151=3,GT151,"")</f>
        <v/>
      </c>
      <c r="GX151" s="94" t="str">
        <f>IF('Marks Entry'!V151=4,GT151,"")</f>
        <v/>
      </c>
      <c r="GY151" s="94" t="str">
        <f>IF('Marks Entry'!V151=5,GT151,"")</f>
        <v/>
      </c>
      <c r="GZ151" s="94" t="str">
        <f t="shared" si="473"/>
        <v/>
      </c>
      <c r="HA151" s="105" t="str">
        <f t="shared" si="409"/>
        <v/>
      </c>
      <c r="HB151" s="94" t="str">
        <f t="shared" si="474"/>
        <v/>
      </c>
      <c r="HC151" s="94" t="str">
        <f t="shared" si="475"/>
        <v/>
      </c>
      <c r="HD151" s="105" t="str">
        <f t="shared" si="410"/>
        <v/>
      </c>
      <c r="HE151" s="94" t="str">
        <f t="shared" si="476"/>
        <v/>
      </c>
      <c r="HF151" s="94" t="str">
        <f t="shared" si="477"/>
        <v/>
      </c>
      <c r="HG151" s="105" t="str">
        <f t="shared" si="411"/>
        <v/>
      </c>
      <c r="HH151" s="94" t="str">
        <f t="shared" si="478"/>
        <v/>
      </c>
      <c r="HI151" s="94" t="str">
        <f t="shared" si="479"/>
        <v/>
      </c>
      <c r="HJ151" s="105" t="str">
        <f t="shared" si="412"/>
        <v/>
      </c>
      <c r="HK151" s="94" t="str">
        <f t="shared" si="480"/>
        <v/>
      </c>
      <c r="HL151" s="94" t="str">
        <f t="shared" si="481"/>
        <v/>
      </c>
      <c r="HM151" s="105" t="str">
        <f t="shared" si="413"/>
        <v/>
      </c>
      <c r="HN151" s="367" t="str">
        <f t="shared" si="482"/>
        <v xml:space="preserve">      </v>
      </c>
      <c r="HO151" s="418" t="str">
        <f t="shared" si="414"/>
        <v xml:space="preserve">      </v>
      </c>
      <c r="HP151" s="367" t="str">
        <f t="shared" si="483"/>
        <v xml:space="preserve">      </v>
      </c>
      <c r="HQ151" s="107" t="str">
        <f t="shared" si="484"/>
        <v xml:space="preserve">      </v>
      </c>
      <c r="HR151" s="366" t="str">
        <f t="shared" si="485"/>
        <v xml:space="preserve">      </v>
      </c>
      <c r="HS151" s="544" t="str">
        <f t="shared" si="415"/>
        <v/>
      </c>
      <c r="HT151" s="542" t="str">
        <f t="shared" si="486"/>
        <v/>
      </c>
      <c r="HU151" s="541" t="str">
        <f t="shared" si="487"/>
        <v/>
      </c>
      <c r="HV151" s="540" t="str">
        <f t="shared" si="488"/>
        <v/>
      </c>
      <c r="HW151" s="537" t="str">
        <f t="shared" si="489"/>
        <v/>
      </c>
      <c r="HX151" s="539" t="str">
        <f t="shared" si="490"/>
        <v/>
      </c>
      <c r="HY151" s="553" t="str">
        <f>IFERROR(IF(OR(HS151="SUPPLEMENTARY",HS151="RE-EXAM"),'Supp. Result Entry'!AQ149,""),"")</f>
        <v/>
      </c>
      <c r="HZ151" s="538" t="str">
        <f t="shared" si="491"/>
        <v/>
      </c>
      <c r="IA151" s="415" t="str">
        <f t="shared" si="492"/>
        <v/>
      </c>
      <c r="IB151" s="415" t="str">
        <f>IF(AND(HZ151="",IA151=""),"",IF(OR(HS151="SUPPLEMENTARY",HS151="RE-EXAM"),'Supp. Result Entry'!AQ149,HS151))</f>
        <v/>
      </c>
      <c r="IC151" s="87"/>
      <c r="IS151" s="109" t="str">
        <f>IF('Supp. Result Entry'!T149="","",'Supp. Result Entry'!$T$4)</f>
        <v/>
      </c>
      <c r="IT151" s="110" t="str">
        <f>IF('Supp. Result Entry'!W149="","",'Supp. Result Entry'!$W$4)</f>
        <v/>
      </c>
      <c r="IU151" s="110" t="str">
        <f>IF('Supp. Result Entry'!Z149="","",'Supp. Result Entry'!$Z$4)</f>
        <v/>
      </c>
      <c r="IV151" s="110" t="str">
        <f>IF('Supp. Result Entry'!AC149="","",'Supp. Result Entry'!$AC$4)</f>
        <v/>
      </c>
      <c r="IW151" s="110" t="str">
        <f>IF('Supp. Result Entry'!AF149="","",'Supp. Result Entry'!$AF$4)</f>
        <v/>
      </c>
      <c r="IX151" s="110" t="str">
        <f>IF('Supp. Result Entry'!AI149="","",'Supp. Result Entry'!$AI$4)</f>
        <v/>
      </c>
      <c r="IY151" s="110" t="str">
        <f>IF('Supp. Result Entry'!AI149="","",'Supp. Result Entry'!$AL$4)</f>
        <v/>
      </c>
      <c r="IZ151" s="110" t="str">
        <f>IF('Supp. Result Entry'!U149="","",'Supp. Result Entry'!U149)</f>
        <v/>
      </c>
      <c r="JA151" s="110" t="str">
        <f>IF('Supp. Result Entry'!X149="","",'Supp. Result Entry'!X149)</f>
        <v/>
      </c>
      <c r="JB151" s="110" t="str">
        <f>IF('Supp. Result Entry'!AA149="","",'Supp. Result Entry'!AA149)</f>
        <v/>
      </c>
      <c r="JC151" s="110" t="str">
        <f>IF('Supp. Result Entry'!AD149="","",'Supp. Result Entry'!AD149)</f>
        <v/>
      </c>
      <c r="JD151" s="110" t="str">
        <f>IF('Supp. Result Entry'!AG149="","",'Supp. Result Entry'!AG149)</f>
        <v/>
      </c>
      <c r="JE151" s="110" t="str">
        <f>IF('Supp. Result Entry'!AJ149="","",'Supp. Result Entry'!AJ149)</f>
        <v/>
      </c>
      <c r="JF151" s="110" t="str">
        <f>IF('Supp. Result Entry'!AM149="","",'Supp. Result Entry'!AM149)</f>
        <v/>
      </c>
      <c r="JG151" s="110" t="str">
        <f>IF('Supp. Result Entry'!V149="","",'Supp. Result Entry'!V149)</f>
        <v/>
      </c>
      <c r="JH151" s="110" t="str">
        <f>IF('Supp. Result Entry'!Y149="","",'Supp. Result Entry'!Y149)</f>
        <v/>
      </c>
      <c r="JI151" s="110" t="str">
        <f>IF('Supp. Result Entry'!AB149="","",'Supp. Result Entry'!AB149)</f>
        <v/>
      </c>
      <c r="JJ151" s="110" t="str">
        <f>IF('Supp. Result Entry'!AE149="","",'Supp. Result Entry'!AE149)</f>
        <v/>
      </c>
      <c r="JK151" s="110" t="str">
        <f>IF('Supp. Result Entry'!AH149="","",'Supp. Result Entry'!AH149)</f>
        <v/>
      </c>
      <c r="JL151" s="110" t="str">
        <f>IF('Supp. Result Entry'!AK149="","",'Supp. Result Entry'!AK149)</f>
        <v/>
      </c>
      <c r="JM151" s="110" t="str">
        <f>IF('Supp. Result Entry'!AN149="","",'Supp. Result Entry'!AN149)</f>
        <v/>
      </c>
      <c r="JN151" s="110">
        <f>COUNTIF('Supp. Result Entry'!K149:Q149,"S")</f>
        <v>0</v>
      </c>
      <c r="JO151" s="110">
        <f t="shared" si="416"/>
        <v>0</v>
      </c>
      <c r="JP151" s="110">
        <f t="shared" si="493"/>
        <v>0</v>
      </c>
      <c r="JQ151" s="110" t="str">
        <f t="shared" si="417"/>
        <v/>
      </c>
      <c r="JR151" s="110" t="str">
        <f t="shared" si="418"/>
        <v/>
      </c>
      <c r="JS151" s="110" t="str">
        <f t="shared" si="419"/>
        <v/>
      </c>
      <c r="JT151" s="110" t="str">
        <f t="shared" si="420"/>
        <v/>
      </c>
      <c r="JU151" s="110" t="str">
        <f t="shared" si="421"/>
        <v/>
      </c>
      <c r="JV151" s="110" t="str">
        <f t="shared" si="422"/>
        <v/>
      </c>
      <c r="JW151" s="110" t="str">
        <f t="shared" si="423"/>
        <v/>
      </c>
      <c r="JX151" s="110" t="str">
        <f t="shared" si="494"/>
        <v/>
      </c>
      <c r="JY151" s="110" t="str">
        <f t="shared" si="495"/>
        <v/>
      </c>
      <c r="JZ151" s="110" t="str">
        <f t="shared" si="424"/>
        <v/>
      </c>
      <c r="KA151" s="108" t="str">
        <f t="shared" si="496"/>
        <v/>
      </c>
    </row>
    <row r="152" spans="1:287" s="108" customFormat="1" ht="21.95" customHeight="1">
      <c r="A152" s="89">
        <v>146</v>
      </c>
      <c r="B152" s="90" t="str">
        <f>IF('Marks Entry'!B152="","",'Marks Entry'!B152)</f>
        <v/>
      </c>
      <c r="C152" s="94" t="str">
        <f>IF('Marks Entry'!D152="","",'Marks Entry'!D152)</f>
        <v/>
      </c>
      <c r="D152" s="91" t="str">
        <f>IF('Marks Entry'!E152="","",'Marks Entry'!E152)</f>
        <v/>
      </c>
      <c r="E152" s="92" t="str">
        <f>IF('Marks Entry'!F152="","",'Marks Entry'!F152)</f>
        <v/>
      </c>
      <c r="F152" s="93" t="str">
        <f>IF('Marks Entry'!G152="","",'Marks Entry'!G152)</f>
        <v/>
      </c>
      <c r="G152" s="93" t="str">
        <f>IF('Marks Entry'!H152="","",'Marks Entry'!H152)</f>
        <v/>
      </c>
      <c r="H152" s="93" t="str">
        <f>IF('Marks Entry'!I152="","",'Marks Entry'!I152)</f>
        <v/>
      </c>
      <c r="I152" s="94" t="str">
        <f>IF('Marks Entry'!J152="","",'Marks Entry'!J152)</f>
        <v/>
      </c>
      <c r="J152" s="95" t="str">
        <f>IF('Marks Entry'!K152="","",'Marks Entry'!K152)</f>
        <v/>
      </c>
      <c r="K152" s="68" t="str">
        <f>IF('Marks Entry'!L152="","",'Marks Entry'!L152)</f>
        <v/>
      </c>
      <c r="L152" s="68" t="str">
        <f>IF('Marks Entry'!M152="","",'Marks Entry'!M152)</f>
        <v/>
      </c>
      <c r="M152" s="68" t="str">
        <f>IF('Marks Entry'!N152="","",'Marks Entry'!N152)</f>
        <v/>
      </c>
      <c r="N152" s="514" t="str">
        <f t="shared" si="425"/>
        <v/>
      </c>
      <c r="O152" s="68" t="str">
        <f>IF('Marks Entry'!O152="","",'Marks Entry'!O152)</f>
        <v/>
      </c>
      <c r="P152" s="515" t="str">
        <f t="shared" si="426"/>
        <v/>
      </c>
      <c r="Q152" s="68" t="str">
        <f>IF('Marks Entry'!P152="","",'Marks Entry'!P152)</f>
        <v/>
      </c>
      <c r="R152" s="96" t="str">
        <f t="shared" si="427"/>
        <v/>
      </c>
      <c r="S152" s="65">
        <f t="shared" si="428"/>
        <v>0</v>
      </c>
      <c r="T152" s="65">
        <f t="shared" si="429"/>
        <v>0</v>
      </c>
      <c r="U152" s="66" t="str">
        <f t="shared" si="339"/>
        <v/>
      </c>
      <c r="V152" s="65" t="str">
        <f t="shared" si="340"/>
        <v/>
      </c>
      <c r="W152" s="65" t="str">
        <f t="shared" si="430"/>
        <v/>
      </c>
      <c r="X152" s="65" t="str">
        <f t="shared" si="341"/>
        <v/>
      </c>
      <c r="Y152" s="68" t="str">
        <f>IF('Marks Entry'!Q152="","",'Marks Entry'!Q152)</f>
        <v/>
      </c>
      <c r="Z152" s="68" t="str">
        <f>IF('Marks Entry'!R152="","",'Marks Entry'!R152)</f>
        <v/>
      </c>
      <c r="AA152" s="68" t="str">
        <f>IF('Marks Entry'!S152="","",'Marks Entry'!S152)</f>
        <v/>
      </c>
      <c r="AB152" s="514" t="str">
        <f t="shared" si="342"/>
        <v/>
      </c>
      <c r="AC152" s="68" t="str">
        <f>IF('Marks Entry'!T152="","",'Marks Entry'!T152)</f>
        <v/>
      </c>
      <c r="AD152" s="515" t="str">
        <f t="shared" si="343"/>
        <v/>
      </c>
      <c r="AE152" s="68" t="str">
        <f>IF('Marks Entry'!U152="","",'Marks Entry'!U152)</f>
        <v/>
      </c>
      <c r="AF152" s="96" t="str">
        <f t="shared" si="344"/>
        <v/>
      </c>
      <c r="AG152" s="65">
        <f t="shared" si="345"/>
        <v>0</v>
      </c>
      <c r="AH152" s="65">
        <f t="shared" si="346"/>
        <v>0</v>
      </c>
      <c r="AI152" s="66" t="str">
        <f t="shared" si="347"/>
        <v/>
      </c>
      <c r="AJ152" s="65" t="str">
        <f t="shared" si="348"/>
        <v/>
      </c>
      <c r="AK152" s="65" t="str">
        <f t="shared" si="349"/>
        <v/>
      </c>
      <c r="AL152" s="65" t="str">
        <f t="shared" si="350"/>
        <v/>
      </c>
      <c r="AM152" s="524" t="str">
        <f>IF('Marks Entry'!V152="","",IF('Marks Entry'!V152=1,'School Profile'!$I$9,IF('Marks Entry'!V152=2,'School Profile'!$I$10,IF('Marks Entry'!V152=3,'School Profile'!$I$11,IF('Marks Entry'!V152=4,'School Profile'!$I$12,IF('Marks Entry'!V152=5,'School Profile'!$I$13,IF('Marks Entry'!V152=6,'School Profile'!$I$14,"")))))))</f>
        <v/>
      </c>
      <c r="AN152" s="68" t="str">
        <f>IF('Marks Entry'!W152="","",'Marks Entry'!W152)</f>
        <v/>
      </c>
      <c r="AO152" s="68" t="str">
        <f>IF('Marks Entry'!X152="","",'Marks Entry'!X152)</f>
        <v/>
      </c>
      <c r="AP152" s="68" t="str">
        <f>IF('Marks Entry'!Y152="","",'Marks Entry'!Y152)</f>
        <v/>
      </c>
      <c r="AQ152" s="514" t="str">
        <f t="shared" si="351"/>
        <v/>
      </c>
      <c r="AR152" s="68" t="str">
        <f>IF('Marks Entry'!Z152="","",'Marks Entry'!Z152)</f>
        <v/>
      </c>
      <c r="AS152" s="515" t="str">
        <f t="shared" si="352"/>
        <v/>
      </c>
      <c r="AT152" s="68" t="str">
        <f>IF('Marks Entry'!AA152="","",'Marks Entry'!AA152)</f>
        <v/>
      </c>
      <c r="AU152" s="96" t="str">
        <f t="shared" si="353"/>
        <v/>
      </c>
      <c r="AV152" s="65">
        <f t="shared" si="354"/>
        <v>0</v>
      </c>
      <c r="AW152" s="65">
        <f t="shared" si="355"/>
        <v>0</v>
      </c>
      <c r="AX152" s="66" t="str">
        <f t="shared" si="356"/>
        <v/>
      </c>
      <c r="AY152" s="65" t="str">
        <f t="shared" si="357"/>
        <v/>
      </c>
      <c r="AZ152" s="65" t="str">
        <f t="shared" si="358"/>
        <v/>
      </c>
      <c r="BA152" s="65" t="str">
        <f t="shared" si="359"/>
        <v/>
      </c>
      <c r="BB152" s="68" t="str">
        <f>IF('Marks Entry'!AB152="","",'Marks Entry'!AB152)</f>
        <v/>
      </c>
      <c r="BC152" s="68" t="str">
        <f>IF('Marks Entry'!AC152="","",'Marks Entry'!AC152)</f>
        <v/>
      </c>
      <c r="BD152" s="68" t="str">
        <f>IF('Marks Entry'!AD152="","",'Marks Entry'!AD152)</f>
        <v/>
      </c>
      <c r="BE152" s="514" t="str">
        <f t="shared" si="360"/>
        <v/>
      </c>
      <c r="BF152" s="68" t="str">
        <f>IF('Marks Entry'!AE152="","",'Marks Entry'!AE152)</f>
        <v/>
      </c>
      <c r="BG152" s="515" t="str">
        <f t="shared" si="361"/>
        <v/>
      </c>
      <c r="BH152" s="68" t="str">
        <f>IF('Marks Entry'!AF152="","",'Marks Entry'!AF152)</f>
        <v/>
      </c>
      <c r="BI152" s="96" t="str">
        <f t="shared" si="362"/>
        <v/>
      </c>
      <c r="BJ152" s="65">
        <f t="shared" si="363"/>
        <v>0</v>
      </c>
      <c r="BK152" s="65">
        <f t="shared" si="431"/>
        <v>0</v>
      </c>
      <c r="BL152" s="66" t="str">
        <f t="shared" si="364"/>
        <v/>
      </c>
      <c r="BM152" s="65" t="str">
        <f t="shared" si="365"/>
        <v/>
      </c>
      <c r="BN152" s="65" t="str">
        <f t="shared" si="366"/>
        <v/>
      </c>
      <c r="BO152" s="65" t="str">
        <f t="shared" si="367"/>
        <v/>
      </c>
      <c r="BP152" s="68" t="str">
        <f>IF('Marks Entry'!AG152="","",'Marks Entry'!AG152)</f>
        <v/>
      </c>
      <c r="BQ152" s="68" t="str">
        <f>IF('Marks Entry'!AH152="","",'Marks Entry'!AH152)</f>
        <v/>
      </c>
      <c r="BR152" s="68" t="str">
        <f>IF('Marks Entry'!AI152="","",'Marks Entry'!AI152)</f>
        <v/>
      </c>
      <c r="BS152" s="514" t="str">
        <f t="shared" si="368"/>
        <v/>
      </c>
      <c r="BT152" s="68" t="str">
        <f>IF('Marks Entry'!AJ152="","",'Marks Entry'!AJ152)</f>
        <v/>
      </c>
      <c r="BU152" s="515" t="str">
        <f t="shared" si="369"/>
        <v/>
      </c>
      <c r="BV152" s="68" t="str">
        <f>IF('Marks Entry'!AK152="","",'Marks Entry'!AK152)</f>
        <v/>
      </c>
      <c r="BW152" s="96" t="str">
        <f t="shared" si="370"/>
        <v/>
      </c>
      <c r="BX152" s="65">
        <f t="shared" si="371"/>
        <v>0</v>
      </c>
      <c r="BY152" s="65">
        <f t="shared" si="372"/>
        <v>0</v>
      </c>
      <c r="BZ152" s="66" t="str">
        <f t="shared" si="373"/>
        <v/>
      </c>
      <c r="CA152" s="65" t="str">
        <f t="shared" si="374"/>
        <v/>
      </c>
      <c r="CB152" s="65" t="str">
        <f t="shared" si="375"/>
        <v/>
      </c>
      <c r="CC152" s="65" t="str">
        <f t="shared" si="376"/>
        <v/>
      </c>
      <c r="CD152" s="66">
        <f t="shared" si="377"/>
        <v>0</v>
      </c>
      <c r="CE152" s="68" t="str">
        <f>IF('Marks Entry'!AL152="","",'Marks Entry'!AL152)</f>
        <v/>
      </c>
      <c r="CF152" s="68" t="str">
        <f>IF('Marks Entry'!AM152="","",'Marks Entry'!AM152)</f>
        <v/>
      </c>
      <c r="CG152" s="68" t="str">
        <f>IF('Marks Entry'!AN152="","",'Marks Entry'!AN152)</f>
        <v/>
      </c>
      <c r="CH152" s="514" t="str">
        <f t="shared" si="378"/>
        <v/>
      </c>
      <c r="CI152" s="68" t="str">
        <f>IF('Marks Entry'!AO152="","",'Marks Entry'!AO152)</f>
        <v/>
      </c>
      <c r="CJ152" s="515" t="str">
        <f t="shared" si="379"/>
        <v/>
      </c>
      <c r="CK152" s="68" t="str">
        <f>IF('Marks Entry'!AP152="","",'Marks Entry'!AP152)</f>
        <v/>
      </c>
      <c r="CL152" s="96" t="str">
        <f t="shared" si="380"/>
        <v/>
      </c>
      <c r="CM152" s="65">
        <f t="shared" si="381"/>
        <v>0</v>
      </c>
      <c r="CN152" s="65">
        <f t="shared" si="382"/>
        <v>0</v>
      </c>
      <c r="CO152" s="66" t="str">
        <f t="shared" si="383"/>
        <v/>
      </c>
      <c r="CP152" s="65" t="str">
        <f t="shared" si="384"/>
        <v/>
      </c>
      <c r="CQ152" s="65" t="str">
        <f t="shared" si="385"/>
        <v/>
      </c>
      <c r="CR152" s="65" t="str">
        <f t="shared" si="386"/>
        <v/>
      </c>
      <c r="CS152" s="616"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8" t="str">
        <f>IF('School Profile'!$D$20="NO","",IF('Marks Entry'!AR152="","",'Marks Entry'!AR152))</f>
        <v/>
      </c>
      <c r="CU152" s="68" t="str">
        <f>IF('School Profile'!$D$20="NO","",IF('Marks Entry'!AS152="","",'Marks Entry'!AS152))</f>
        <v/>
      </c>
      <c r="CV152" s="68" t="str">
        <f>IF('School Profile'!$D$20="NO","",IF('Marks Entry'!AT152="","",'Marks Entry'!AT152))</f>
        <v/>
      </c>
      <c r="CW152" s="514" t="str">
        <f>IF('School Profile'!$D$20="NO","",IF(AND(CT152="",CU152="",CV152=""),"",SUM(CT152:CV152)))</f>
        <v/>
      </c>
      <c r="CX152" s="68" t="str">
        <f>IF('School Profile'!$D$20="NO","",IF('Marks Entry'!AU152="","",'Marks Entry'!AU152))</f>
        <v/>
      </c>
      <c r="CY152" s="68" t="str">
        <f>IF('School Profile'!$D$20="NO","",IF('Marks Entry'!AV152="","",'Marks Entry'!AV152))</f>
        <v/>
      </c>
      <c r="CZ152" s="515" t="str">
        <f>IF('School Profile'!$D$20="NO","",IF(AND(CX152="",CY152=""),"",SUM(CX152,CY152)))</f>
        <v/>
      </c>
      <c r="DA152" s="69" t="str">
        <f>IF('School Profile'!$D$20="NO","",IF(AND(CW152="",CZ152=""),"",SUM(CW152+CZ152)))</f>
        <v/>
      </c>
      <c r="DB152" s="68" t="str">
        <f>IF('School Profile'!$D$20="NO","",IF('Marks Entry'!AW152="","",'Marks Entry'!AW152))</f>
        <v/>
      </c>
      <c r="DC152" s="68" t="str">
        <f>IF('School Profile'!$D$20="NO","",IF('Marks Entry'!AX152="","",'Marks Entry'!AX152))</f>
        <v/>
      </c>
      <c r="DD152" s="515" t="str">
        <f>IF('School Profile'!$D$20="NO","",IF(AND(DB152="",DC152=""),"",SUM(DB152,DC152)))</f>
        <v/>
      </c>
      <c r="DE152" s="96" t="str">
        <f>IF('School Profile'!$D$20="NO","",IF(AND(DA152="",DD152=""),"",SUM(DA152,DD152)))</f>
        <v/>
      </c>
      <c r="DF152" s="532">
        <f t="shared" si="387"/>
        <v>0</v>
      </c>
      <c r="DG152" s="65">
        <f t="shared" si="388"/>
        <v>0</v>
      </c>
      <c r="DH152" s="66" t="str">
        <f t="shared" si="389"/>
        <v/>
      </c>
      <c r="DI152" s="65" t="str">
        <f t="shared" si="390"/>
        <v/>
      </c>
      <c r="DJ152" s="65" t="str">
        <f t="shared" si="391"/>
        <v/>
      </c>
      <c r="DK152" s="65" t="str">
        <f t="shared" si="392"/>
        <v/>
      </c>
      <c r="DL152" s="97" t="str">
        <f t="shared" si="432"/>
        <v/>
      </c>
      <c r="DM152" s="97" t="str">
        <f t="shared" si="433"/>
        <v/>
      </c>
      <c r="DN152" s="97" t="str">
        <f t="shared" si="434"/>
        <v/>
      </c>
      <c r="DO152" s="97" t="str">
        <f t="shared" si="435"/>
        <v/>
      </c>
      <c r="DP152" s="97" t="str">
        <f t="shared" si="436"/>
        <v/>
      </c>
      <c r="DQ152" s="97" t="str">
        <f t="shared" si="437"/>
        <v/>
      </c>
      <c r="DR152" s="97" t="str">
        <f t="shared" si="438"/>
        <v/>
      </c>
      <c r="DS152" s="98">
        <f t="shared" si="439"/>
        <v>0</v>
      </c>
      <c r="DT152" s="98">
        <f t="shared" si="440"/>
        <v>0</v>
      </c>
      <c r="DU152" s="98">
        <f t="shared" si="441"/>
        <v>0</v>
      </c>
      <c r="DV152" s="98">
        <f t="shared" si="442"/>
        <v>0</v>
      </c>
      <c r="DW152" s="98">
        <f t="shared" si="443"/>
        <v>0</v>
      </c>
      <c r="DX152" s="98" t="str">
        <f t="shared" si="444"/>
        <v/>
      </c>
      <c r="DY152" s="99" t="str">
        <f t="shared" si="445"/>
        <v/>
      </c>
      <c r="DZ152" s="74" t="str">
        <f>IF('Marks Entry'!AY152="","",'Marks Entry'!AY152)</f>
        <v/>
      </c>
      <c r="EA152" s="74" t="str">
        <f>IF('Marks Entry'!AZ152="","",'Marks Entry'!AZ152)</f>
        <v/>
      </c>
      <c r="EB152" s="74" t="str">
        <f>IF('Marks Entry'!BA152="","",'Marks Entry'!BA152)</f>
        <v/>
      </c>
      <c r="EC152" s="527" t="str">
        <f t="shared" si="393"/>
        <v/>
      </c>
      <c r="ED152" s="74" t="str">
        <f>IF('Marks Entry'!BB152="","",'Marks Entry'!BB152)</f>
        <v/>
      </c>
      <c r="EE152" s="528" t="str">
        <f t="shared" si="394"/>
        <v/>
      </c>
      <c r="EF152" s="74" t="str">
        <f>IF('Marks Entry'!BC152="","",'Marks Entry'!BC152)</f>
        <v/>
      </c>
      <c r="EG152" s="530" t="str">
        <f t="shared" si="395"/>
        <v/>
      </c>
      <c r="EH152" s="368" t="str">
        <f t="shared" si="446"/>
        <v/>
      </c>
      <c r="EI152" s="65">
        <f t="shared" si="447"/>
        <v>0</v>
      </c>
      <c r="EJ152" s="65">
        <f t="shared" si="448"/>
        <v>0</v>
      </c>
      <c r="EK152" s="66" t="str">
        <f t="shared" si="449"/>
        <v/>
      </c>
      <c r="EL152" s="74" t="str">
        <f>IF('Marks Entry'!BD152="","",'Marks Entry'!BD152)</f>
        <v/>
      </c>
      <c r="EM152" s="74" t="str">
        <f>IF('Marks Entry'!BE152="","",'Marks Entry'!BE152)</f>
        <v/>
      </c>
      <c r="EN152" s="74" t="str">
        <f>IF('Marks Entry'!BF152="","",'Marks Entry'!BF152)</f>
        <v/>
      </c>
      <c r="EO152" s="527" t="str">
        <f t="shared" si="396"/>
        <v/>
      </c>
      <c r="EP152" s="74" t="str">
        <f>IF('Marks Entry'!BG152="","",'Marks Entry'!BG152)</f>
        <v/>
      </c>
      <c r="EQ152" s="74" t="str">
        <f>IF('Marks Entry'!BH152="","",'Marks Entry'!BH152)</f>
        <v/>
      </c>
      <c r="ER152" s="528" t="str">
        <f t="shared" si="397"/>
        <v/>
      </c>
      <c r="ES152" s="529" t="str">
        <f t="shared" si="398"/>
        <v/>
      </c>
      <c r="ET152" s="74" t="str">
        <f>IF('Marks Entry'!BI152="","",'Marks Entry'!BI152)</f>
        <v/>
      </c>
      <c r="EU152" s="74" t="str">
        <f>IF('Marks Entry'!BJ152="","",'Marks Entry'!BJ152)</f>
        <v/>
      </c>
      <c r="EV152" s="528" t="str">
        <f t="shared" si="399"/>
        <v/>
      </c>
      <c r="EW152" s="530" t="str">
        <f t="shared" si="400"/>
        <v/>
      </c>
      <c r="EX152" s="368" t="str">
        <f t="shared" si="450"/>
        <v/>
      </c>
      <c r="EY152" s="65">
        <f t="shared" si="451"/>
        <v>0</v>
      </c>
      <c r="EZ152" s="65">
        <f t="shared" si="452"/>
        <v>0</v>
      </c>
      <c r="FA152" s="66" t="str">
        <f t="shared" si="453"/>
        <v/>
      </c>
      <c r="FB152" s="74" t="str">
        <f>IF('Marks Entry'!BK152="","",'Marks Entry'!BK152)</f>
        <v/>
      </c>
      <c r="FC152" s="74" t="str">
        <f>IF('Marks Entry'!BL152="","",'Marks Entry'!BL152)</f>
        <v/>
      </c>
      <c r="FD152" s="74" t="str">
        <f>IF('Marks Entry'!BM152="","",'Marks Entry'!BM152)</f>
        <v/>
      </c>
      <c r="FE152" s="74" t="str">
        <f>IF('Marks Entry'!BN152="","",'Marks Entry'!BN152)</f>
        <v/>
      </c>
      <c r="FF152" s="74" t="str">
        <f>IF('Marks Entry'!BO152="","",'Marks Entry'!BO152)</f>
        <v/>
      </c>
      <c r="FG152" s="74" t="str">
        <f>IF('Marks Entry'!BP152="","",'Marks Entry'!BP152)</f>
        <v/>
      </c>
      <c r="FH152" s="527" t="str">
        <f t="shared" si="401"/>
        <v/>
      </c>
      <c r="FI152" s="74" t="str">
        <f>IF('Marks Entry'!BQ152="","",'Marks Entry'!BQ152)</f>
        <v/>
      </c>
      <c r="FJ152" s="74" t="str">
        <f>IF('Marks Entry'!BR152="","",'Marks Entry'!BR152)</f>
        <v/>
      </c>
      <c r="FK152" s="528" t="str">
        <f t="shared" si="402"/>
        <v/>
      </c>
      <c r="FL152" s="529" t="str">
        <f t="shared" si="403"/>
        <v/>
      </c>
      <c r="FM152" s="74" t="str">
        <f>IF('Marks Entry'!BS152="","",'Marks Entry'!BS152)</f>
        <v/>
      </c>
      <c r="FN152" s="74" t="str">
        <f>IF('Marks Entry'!BT152="","",'Marks Entry'!BT152)</f>
        <v/>
      </c>
      <c r="FO152" s="528" t="str">
        <f t="shared" si="404"/>
        <v/>
      </c>
      <c r="FP152" s="530" t="str">
        <f t="shared" si="405"/>
        <v/>
      </c>
      <c r="FQ152" s="368" t="str">
        <f t="shared" si="454"/>
        <v/>
      </c>
      <c r="FR152" s="65">
        <f t="shared" si="455"/>
        <v>0</v>
      </c>
      <c r="FS152" s="65">
        <f t="shared" si="456"/>
        <v>0</v>
      </c>
      <c r="FT152" s="66" t="str">
        <f t="shared" si="457"/>
        <v/>
      </c>
      <c r="FU152" s="74" t="str">
        <f>IF('Marks Entry'!BU152="","",'Marks Entry'!BU152)</f>
        <v/>
      </c>
      <c r="FV152" s="74" t="str">
        <f>IF('Marks Entry'!BV152="","",'Marks Entry'!BV152)</f>
        <v/>
      </c>
      <c r="FW152" s="74" t="str">
        <f>IF('Marks Entry'!BW152="","",'Marks Entry'!BW152)</f>
        <v/>
      </c>
      <c r="FX152" s="75" t="str">
        <f t="shared" si="406"/>
        <v/>
      </c>
      <c r="FY152" s="368" t="str">
        <f t="shared" si="458"/>
        <v/>
      </c>
      <c r="FZ152" s="65">
        <f t="shared" si="459"/>
        <v>0</v>
      </c>
      <c r="GA152" s="66">
        <f t="shared" si="460"/>
        <v>0</v>
      </c>
      <c r="GB152" s="66" t="str">
        <f t="shared" si="461"/>
        <v/>
      </c>
      <c r="GC152" s="74" t="str">
        <f>IF('Marks Entry'!BX152="","",'Marks Entry'!BX152)</f>
        <v/>
      </c>
      <c r="GD152" s="74" t="str">
        <f>IF('Marks Entry'!BY152="","",'Marks Entry'!BY152)</f>
        <v/>
      </c>
      <c r="GE152" s="74" t="str">
        <f>IF('Marks Entry'!BZ152="","",'Marks Entry'!BZ152)</f>
        <v/>
      </c>
      <c r="GF152" s="75" t="str">
        <f t="shared" si="462"/>
        <v/>
      </c>
      <c r="GG152" s="368" t="str">
        <f t="shared" si="463"/>
        <v/>
      </c>
      <c r="GH152" s="65">
        <f t="shared" si="464"/>
        <v>0</v>
      </c>
      <c r="GI152" s="66">
        <f t="shared" si="465"/>
        <v>0</v>
      </c>
      <c r="GJ152" s="66" t="str">
        <f t="shared" si="466"/>
        <v/>
      </c>
      <c r="GK152" s="100" t="str">
        <f>IF(AND(F152="",B152=""),"",IF('Student DATA Entry'!M149="","",'Student DATA Entry'!M149))</f>
        <v/>
      </c>
      <c r="GL152" s="101" t="str">
        <f>IF(AND(B152="",F152=""),"",IF('Student DATA Entry'!N149="","",'Student DATA Entry'!N149))</f>
        <v/>
      </c>
      <c r="GM152" s="581" t="str">
        <f t="shared" si="467"/>
        <v/>
      </c>
      <c r="GN152" s="94" t="str">
        <f t="shared" si="468"/>
        <v/>
      </c>
      <c r="GO152" s="94" t="str">
        <f t="shared" si="469"/>
        <v/>
      </c>
      <c r="GP152" s="102" t="str">
        <f t="shared" si="407"/>
        <v/>
      </c>
      <c r="GQ152" s="94" t="str">
        <f t="shared" si="470"/>
        <v/>
      </c>
      <c r="GR152" s="103" t="str">
        <f t="shared" si="471"/>
        <v/>
      </c>
      <c r="GS152" s="102" t="str">
        <f t="shared" si="408"/>
        <v/>
      </c>
      <c r="GT152" s="104" t="str">
        <f t="shared" si="472"/>
        <v/>
      </c>
      <c r="GU152" s="94" t="str">
        <f>IF('Marks Entry'!V152=1,GT152,"")</f>
        <v/>
      </c>
      <c r="GV152" s="94" t="str">
        <f>IF('Marks Entry'!V152=2,GT152,"")</f>
        <v/>
      </c>
      <c r="GW152" s="94" t="str">
        <f>IF('Marks Entry'!V152=3,GT152,"")</f>
        <v/>
      </c>
      <c r="GX152" s="94" t="str">
        <f>IF('Marks Entry'!V152=4,GT152,"")</f>
        <v/>
      </c>
      <c r="GY152" s="94" t="str">
        <f>IF('Marks Entry'!V152=5,GT152,"")</f>
        <v/>
      </c>
      <c r="GZ152" s="94" t="str">
        <f t="shared" si="473"/>
        <v/>
      </c>
      <c r="HA152" s="105" t="str">
        <f t="shared" si="409"/>
        <v/>
      </c>
      <c r="HB152" s="94" t="str">
        <f t="shared" si="474"/>
        <v/>
      </c>
      <c r="HC152" s="94" t="str">
        <f t="shared" si="475"/>
        <v/>
      </c>
      <c r="HD152" s="105" t="str">
        <f t="shared" si="410"/>
        <v/>
      </c>
      <c r="HE152" s="94" t="str">
        <f t="shared" si="476"/>
        <v/>
      </c>
      <c r="HF152" s="94" t="str">
        <f t="shared" si="477"/>
        <v/>
      </c>
      <c r="HG152" s="105" t="str">
        <f t="shared" si="411"/>
        <v/>
      </c>
      <c r="HH152" s="94" t="str">
        <f t="shared" si="478"/>
        <v/>
      </c>
      <c r="HI152" s="94" t="str">
        <f t="shared" si="479"/>
        <v/>
      </c>
      <c r="HJ152" s="105" t="str">
        <f t="shared" si="412"/>
        <v/>
      </c>
      <c r="HK152" s="94" t="str">
        <f t="shared" si="480"/>
        <v/>
      </c>
      <c r="HL152" s="94" t="str">
        <f t="shared" si="481"/>
        <v/>
      </c>
      <c r="HM152" s="105" t="str">
        <f t="shared" si="413"/>
        <v/>
      </c>
      <c r="HN152" s="367" t="str">
        <f t="shared" si="482"/>
        <v xml:space="preserve">      </v>
      </c>
      <c r="HO152" s="418" t="str">
        <f t="shared" si="414"/>
        <v xml:space="preserve">      </v>
      </c>
      <c r="HP152" s="367" t="str">
        <f t="shared" si="483"/>
        <v xml:space="preserve">      </v>
      </c>
      <c r="HQ152" s="107" t="str">
        <f t="shared" si="484"/>
        <v xml:space="preserve">      </v>
      </c>
      <c r="HR152" s="366" t="str">
        <f t="shared" si="485"/>
        <v xml:space="preserve">      </v>
      </c>
      <c r="HS152" s="544" t="str">
        <f t="shared" si="415"/>
        <v/>
      </c>
      <c r="HT152" s="542" t="str">
        <f t="shared" si="486"/>
        <v/>
      </c>
      <c r="HU152" s="541" t="str">
        <f t="shared" si="487"/>
        <v/>
      </c>
      <c r="HV152" s="540" t="str">
        <f t="shared" si="488"/>
        <v/>
      </c>
      <c r="HW152" s="537" t="str">
        <f t="shared" si="489"/>
        <v/>
      </c>
      <c r="HX152" s="539" t="str">
        <f t="shared" si="490"/>
        <v/>
      </c>
      <c r="HY152" s="553" t="str">
        <f>IFERROR(IF(OR(HS152="SUPPLEMENTARY",HS152="RE-EXAM"),'Supp. Result Entry'!AQ150,""),"")</f>
        <v/>
      </c>
      <c r="HZ152" s="538" t="str">
        <f t="shared" si="491"/>
        <v/>
      </c>
      <c r="IA152" s="415" t="str">
        <f t="shared" si="492"/>
        <v/>
      </c>
      <c r="IB152" s="415" t="str">
        <f>IF(AND(HZ152="",IA152=""),"",IF(OR(HS152="SUPPLEMENTARY",HS152="RE-EXAM"),'Supp. Result Entry'!AQ150,HS152))</f>
        <v/>
      </c>
      <c r="IC152" s="87"/>
      <c r="IS152" s="109" t="str">
        <f>IF('Supp. Result Entry'!T150="","",'Supp. Result Entry'!$T$4)</f>
        <v/>
      </c>
      <c r="IT152" s="110" t="str">
        <f>IF('Supp. Result Entry'!W150="","",'Supp. Result Entry'!$W$4)</f>
        <v/>
      </c>
      <c r="IU152" s="110" t="str">
        <f>IF('Supp. Result Entry'!Z150="","",'Supp. Result Entry'!$Z$4)</f>
        <v/>
      </c>
      <c r="IV152" s="110" t="str">
        <f>IF('Supp. Result Entry'!AC150="","",'Supp. Result Entry'!$AC$4)</f>
        <v/>
      </c>
      <c r="IW152" s="110" t="str">
        <f>IF('Supp. Result Entry'!AF150="","",'Supp. Result Entry'!$AF$4)</f>
        <v/>
      </c>
      <c r="IX152" s="110" t="str">
        <f>IF('Supp. Result Entry'!AI150="","",'Supp. Result Entry'!$AI$4)</f>
        <v/>
      </c>
      <c r="IY152" s="110" t="str">
        <f>IF('Supp. Result Entry'!AI150="","",'Supp. Result Entry'!$AL$4)</f>
        <v/>
      </c>
      <c r="IZ152" s="110" t="str">
        <f>IF('Supp. Result Entry'!U150="","",'Supp. Result Entry'!U150)</f>
        <v/>
      </c>
      <c r="JA152" s="110" t="str">
        <f>IF('Supp. Result Entry'!X150="","",'Supp. Result Entry'!X150)</f>
        <v/>
      </c>
      <c r="JB152" s="110" t="str">
        <f>IF('Supp. Result Entry'!AA150="","",'Supp. Result Entry'!AA150)</f>
        <v/>
      </c>
      <c r="JC152" s="110" t="str">
        <f>IF('Supp. Result Entry'!AD150="","",'Supp. Result Entry'!AD150)</f>
        <v/>
      </c>
      <c r="JD152" s="110" t="str">
        <f>IF('Supp. Result Entry'!AG150="","",'Supp. Result Entry'!AG150)</f>
        <v/>
      </c>
      <c r="JE152" s="110" t="str">
        <f>IF('Supp. Result Entry'!AJ150="","",'Supp. Result Entry'!AJ150)</f>
        <v/>
      </c>
      <c r="JF152" s="110" t="str">
        <f>IF('Supp. Result Entry'!AM150="","",'Supp. Result Entry'!AM150)</f>
        <v/>
      </c>
      <c r="JG152" s="110" t="str">
        <f>IF('Supp. Result Entry'!V150="","",'Supp. Result Entry'!V150)</f>
        <v/>
      </c>
      <c r="JH152" s="110" t="str">
        <f>IF('Supp. Result Entry'!Y150="","",'Supp. Result Entry'!Y150)</f>
        <v/>
      </c>
      <c r="JI152" s="110" t="str">
        <f>IF('Supp. Result Entry'!AB150="","",'Supp. Result Entry'!AB150)</f>
        <v/>
      </c>
      <c r="JJ152" s="110" t="str">
        <f>IF('Supp. Result Entry'!AE150="","",'Supp. Result Entry'!AE150)</f>
        <v/>
      </c>
      <c r="JK152" s="110" t="str">
        <f>IF('Supp. Result Entry'!AH150="","",'Supp. Result Entry'!AH150)</f>
        <v/>
      </c>
      <c r="JL152" s="110" t="str">
        <f>IF('Supp. Result Entry'!AK150="","",'Supp. Result Entry'!AK150)</f>
        <v/>
      </c>
      <c r="JM152" s="110" t="str">
        <f>IF('Supp. Result Entry'!AN150="","",'Supp. Result Entry'!AN150)</f>
        <v/>
      </c>
      <c r="JN152" s="110">
        <f>COUNTIF('Supp. Result Entry'!K150:Q150,"S")</f>
        <v>0</v>
      </c>
      <c r="JO152" s="110">
        <f t="shared" si="416"/>
        <v>0</v>
      </c>
      <c r="JP152" s="110">
        <f t="shared" si="493"/>
        <v>0</v>
      </c>
      <c r="JQ152" s="110" t="str">
        <f t="shared" si="417"/>
        <v/>
      </c>
      <c r="JR152" s="110" t="str">
        <f t="shared" si="418"/>
        <v/>
      </c>
      <c r="JS152" s="110" t="str">
        <f t="shared" si="419"/>
        <v/>
      </c>
      <c r="JT152" s="110" t="str">
        <f t="shared" si="420"/>
        <v/>
      </c>
      <c r="JU152" s="110" t="str">
        <f t="shared" si="421"/>
        <v/>
      </c>
      <c r="JV152" s="110" t="str">
        <f t="shared" si="422"/>
        <v/>
      </c>
      <c r="JW152" s="110" t="str">
        <f t="shared" si="423"/>
        <v/>
      </c>
      <c r="JX152" s="110" t="str">
        <f t="shared" si="494"/>
        <v/>
      </c>
      <c r="JY152" s="110" t="str">
        <f t="shared" si="495"/>
        <v/>
      </c>
      <c r="JZ152" s="110" t="str">
        <f t="shared" si="424"/>
        <v/>
      </c>
      <c r="KA152" s="108" t="str">
        <f t="shared" si="496"/>
        <v/>
      </c>
    </row>
    <row r="153" spans="1:287" s="108" customFormat="1" ht="21.95" customHeight="1">
      <c r="A153" s="89">
        <v>147</v>
      </c>
      <c r="B153" s="90" t="str">
        <f>IF('Marks Entry'!B153="","",'Marks Entry'!B153)</f>
        <v/>
      </c>
      <c r="C153" s="94" t="str">
        <f>IF('Marks Entry'!D153="","",'Marks Entry'!D153)</f>
        <v/>
      </c>
      <c r="D153" s="91" t="str">
        <f>IF('Marks Entry'!E153="","",'Marks Entry'!E153)</f>
        <v/>
      </c>
      <c r="E153" s="92" t="str">
        <f>IF('Marks Entry'!F153="","",'Marks Entry'!F153)</f>
        <v/>
      </c>
      <c r="F153" s="93" t="str">
        <f>IF('Marks Entry'!G153="","",'Marks Entry'!G153)</f>
        <v/>
      </c>
      <c r="G153" s="93" t="str">
        <f>IF('Marks Entry'!H153="","",'Marks Entry'!H153)</f>
        <v/>
      </c>
      <c r="H153" s="93" t="str">
        <f>IF('Marks Entry'!I153="","",'Marks Entry'!I153)</f>
        <v/>
      </c>
      <c r="I153" s="94" t="str">
        <f>IF('Marks Entry'!J153="","",'Marks Entry'!J153)</f>
        <v/>
      </c>
      <c r="J153" s="95" t="str">
        <f>IF('Marks Entry'!K153="","",'Marks Entry'!K153)</f>
        <v/>
      </c>
      <c r="K153" s="68" t="str">
        <f>IF('Marks Entry'!L153="","",'Marks Entry'!L153)</f>
        <v/>
      </c>
      <c r="L153" s="68" t="str">
        <f>IF('Marks Entry'!M153="","",'Marks Entry'!M153)</f>
        <v/>
      </c>
      <c r="M153" s="68" t="str">
        <f>IF('Marks Entry'!N153="","",'Marks Entry'!N153)</f>
        <v/>
      </c>
      <c r="N153" s="514" t="str">
        <f t="shared" si="425"/>
        <v/>
      </c>
      <c r="O153" s="68" t="str">
        <f>IF('Marks Entry'!O153="","",'Marks Entry'!O153)</f>
        <v/>
      </c>
      <c r="P153" s="515" t="str">
        <f t="shared" si="426"/>
        <v/>
      </c>
      <c r="Q153" s="68" t="str">
        <f>IF('Marks Entry'!P153="","",'Marks Entry'!P153)</f>
        <v/>
      </c>
      <c r="R153" s="96" t="str">
        <f t="shared" si="427"/>
        <v/>
      </c>
      <c r="S153" s="65">
        <f t="shared" si="428"/>
        <v>0</v>
      </c>
      <c r="T153" s="65">
        <f t="shared" si="429"/>
        <v>0</v>
      </c>
      <c r="U153" s="66" t="str">
        <f t="shared" si="339"/>
        <v/>
      </c>
      <c r="V153" s="65" t="str">
        <f t="shared" si="340"/>
        <v/>
      </c>
      <c r="W153" s="65" t="str">
        <f t="shared" si="430"/>
        <v/>
      </c>
      <c r="X153" s="65" t="str">
        <f t="shared" si="341"/>
        <v/>
      </c>
      <c r="Y153" s="68" t="str">
        <f>IF('Marks Entry'!Q153="","",'Marks Entry'!Q153)</f>
        <v/>
      </c>
      <c r="Z153" s="68" t="str">
        <f>IF('Marks Entry'!R153="","",'Marks Entry'!R153)</f>
        <v/>
      </c>
      <c r="AA153" s="68" t="str">
        <f>IF('Marks Entry'!S153="","",'Marks Entry'!S153)</f>
        <v/>
      </c>
      <c r="AB153" s="514" t="str">
        <f t="shared" si="342"/>
        <v/>
      </c>
      <c r="AC153" s="68" t="str">
        <f>IF('Marks Entry'!T153="","",'Marks Entry'!T153)</f>
        <v/>
      </c>
      <c r="AD153" s="515" t="str">
        <f t="shared" si="343"/>
        <v/>
      </c>
      <c r="AE153" s="68" t="str">
        <f>IF('Marks Entry'!U153="","",'Marks Entry'!U153)</f>
        <v/>
      </c>
      <c r="AF153" s="96" t="str">
        <f t="shared" si="344"/>
        <v/>
      </c>
      <c r="AG153" s="65">
        <f t="shared" si="345"/>
        <v>0</v>
      </c>
      <c r="AH153" s="65">
        <f t="shared" si="346"/>
        <v>0</v>
      </c>
      <c r="AI153" s="66" t="str">
        <f t="shared" si="347"/>
        <v/>
      </c>
      <c r="AJ153" s="65" t="str">
        <f t="shared" si="348"/>
        <v/>
      </c>
      <c r="AK153" s="65" t="str">
        <f t="shared" si="349"/>
        <v/>
      </c>
      <c r="AL153" s="65" t="str">
        <f t="shared" si="350"/>
        <v/>
      </c>
      <c r="AM153" s="524" t="str">
        <f>IF('Marks Entry'!V153="","",IF('Marks Entry'!V153=1,'School Profile'!$I$9,IF('Marks Entry'!V153=2,'School Profile'!$I$10,IF('Marks Entry'!V153=3,'School Profile'!$I$11,IF('Marks Entry'!V153=4,'School Profile'!$I$12,IF('Marks Entry'!V153=5,'School Profile'!$I$13,IF('Marks Entry'!V153=6,'School Profile'!$I$14,"")))))))</f>
        <v/>
      </c>
      <c r="AN153" s="68" t="str">
        <f>IF('Marks Entry'!W153="","",'Marks Entry'!W153)</f>
        <v/>
      </c>
      <c r="AO153" s="68" t="str">
        <f>IF('Marks Entry'!X153="","",'Marks Entry'!X153)</f>
        <v/>
      </c>
      <c r="AP153" s="68" t="str">
        <f>IF('Marks Entry'!Y153="","",'Marks Entry'!Y153)</f>
        <v/>
      </c>
      <c r="AQ153" s="514" t="str">
        <f t="shared" si="351"/>
        <v/>
      </c>
      <c r="AR153" s="68" t="str">
        <f>IF('Marks Entry'!Z153="","",'Marks Entry'!Z153)</f>
        <v/>
      </c>
      <c r="AS153" s="515" t="str">
        <f t="shared" si="352"/>
        <v/>
      </c>
      <c r="AT153" s="68" t="str">
        <f>IF('Marks Entry'!AA153="","",'Marks Entry'!AA153)</f>
        <v/>
      </c>
      <c r="AU153" s="96" t="str">
        <f t="shared" si="353"/>
        <v/>
      </c>
      <c r="AV153" s="65">
        <f t="shared" si="354"/>
        <v>0</v>
      </c>
      <c r="AW153" s="65">
        <f t="shared" si="355"/>
        <v>0</v>
      </c>
      <c r="AX153" s="66" t="str">
        <f t="shared" si="356"/>
        <v/>
      </c>
      <c r="AY153" s="65" t="str">
        <f t="shared" si="357"/>
        <v/>
      </c>
      <c r="AZ153" s="65" t="str">
        <f t="shared" si="358"/>
        <v/>
      </c>
      <c r="BA153" s="65" t="str">
        <f t="shared" si="359"/>
        <v/>
      </c>
      <c r="BB153" s="68" t="str">
        <f>IF('Marks Entry'!AB153="","",'Marks Entry'!AB153)</f>
        <v/>
      </c>
      <c r="BC153" s="68" t="str">
        <f>IF('Marks Entry'!AC153="","",'Marks Entry'!AC153)</f>
        <v/>
      </c>
      <c r="BD153" s="68" t="str">
        <f>IF('Marks Entry'!AD153="","",'Marks Entry'!AD153)</f>
        <v/>
      </c>
      <c r="BE153" s="514" t="str">
        <f t="shared" si="360"/>
        <v/>
      </c>
      <c r="BF153" s="68" t="str">
        <f>IF('Marks Entry'!AE153="","",'Marks Entry'!AE153)</f>
        <v/>
      </c>
      <c r="BG153" s="515" t="str">
        <f t="shared" si="361"/>
        <v/>
      </c>
      <c r="BH153" s="68" t="str">
        <f>IF('Marks Entry'!AF153="","",'Marks Entry'!AF153)</f>
        <v/>
      </c>
      <c r="BI153" s="96" t="str">
        <f t="shared" si="362"/>
        <v/>
      </c>
      <c r="BJ153" s="65">
        <f t="shared" si="363"/>
        <v>0</v>
      </c>
      <c r="BK153" s="65">
        <f t="shared" si="431"/>
        <v>0</v>
      </c>
      <c r="BL153" s="66" t="str">
        <f t="shared" si="364"/>
        <v/>
      </c>
      <c r="BM153" s="65" t="str">
        <f t="shared" si="365"/>
        <v/>
      </c>
      <c r="BN153" s="65" t="str">
        <f t="shared" si="366"/>
        <v/>
      </c>
      <c r="BO153" s="65" t="str">
        <f t="shared" si="367"/>
        <v/>
      </c>
      <c r="BP153" s="68" t="str">
        <f>IF('Marks Entry'!AG153="","",'Marks Entry'!AG153)</f>
        <v/>
      </c>
      <c r="BQ153" s="68" t="str">
        <f>IF('Marks Entry'!AH153="","",'Marks Entry'!AH153)</f>
        <v/>
      </c>
      <c r="BR153" s="68" t="str">
        <f>IF('Marks Entry'!AI153="","",'Marks Entry'!AI153)</f>
        <v/>
      </c>
      <c r="BS153" s="514" t="str">
        <f t="shared" si="368"/>
        <v/>
      </c>
      <c r="BT153" s="68" t="str">
        <f>IF('Marks Entry'!AJ153="","",'Marks Entry'!AJ153)</f>
        <v/>
      </c>
      <c r="BU153" s="515" t="str">
        <f t="shared" si="369"/>
        <v/>
      </c>
      <c r="BV153" s="68" t="str">
        <f>IF('Marks Entry'!AK153="","",'Marks Entry'!AK153)</f>
        <v/>
      </c>
      <c r="BW153" s="96" t="str">
        <f t="shared" si="370"/>
        <v/>
      </c>
      <c r="BX153" s="65">
        <f t="shared" si="371"/>
        <v>0</v>
      </c>
      <c r="BY153" s="65">
        <f t="shared" si="372"/>
        <v>0</v>
      </c>
      <c r="BZ153" s="66" t="str">
        <f t="shared" si="373"/>
        <v/>
      </c>
      <c r="CA153" s="65" t="str">
        <f t="shared" si="374"/>
        <v/>
      </c>
      <c r="CB153" s="65" t="str">
        <f t="shared" si="375"/>
        <v/>
      </c>
      <c r="CC153" s="65" t="str">
        <f t="shared" si="376"/>
        <v/>
      </c>
      <c r="CD153" s="66">
        <f t="shared" si="377"/>
        <v>0</v>
      </c>
      <c r="CE153" s="68" t="str">
        <f>IF('Marks Entry'!AL153="","",'Marks Entry'!AL153)</f>
        <v/>
      </c>
      <c r="CF153" s="68" t="str">
        <f>IF('Marks Entry'!AM153="","",'Marks Entry'!AM153)</f>
        <v/>
      </c>
      <c r="CG153" s="68" t="str">
        <f>IF('Marks Entry'!AN153="","",'Marks Entry'!AN153)</f>
        <v/>
      </c>
      <c r="CH153" s="514" t="str">
        <f t="shared" si="378"/>
        <v/>
      </c>
      <c r="CI153" s="68" t="str">
        <f>IF('Marks Entry'!AO153="","",'Marks Entry'!AO153)</f>
        <v/>
      </c>
      <c r="CJ153" s="515" t="str">
        <f t="shared" si="379"/>
        <v/>
      </c>
      <c r="CK153" s="68" t="str">
        <f>IF('Marks Entry'!AP153="","",'Marks Entry'!AP153)</f>
        <v/>
      </c>
      <c r="CL153" s="96" t="str">
        <f t="shared" si="380"/>
        <v/>
      </c>
      <c r="CM153" s="65">
        <f t="shared" si="381"/>
        <v>0</v>
      </c>
      <c r="CN153" s="65">
        <f t="shared" si="382"/>
        <v>0</v>
      </c>
      <c r="CO153" s="66" t="str">
        <f t="shared" si="383"/>
        <v/>
      </c>
      <c r="CP153" s="65" t="str">
        <f t="shared" si="384"/>
        <v/>
      </c>
      <c r="CQ153" s="65" t="str">
        <f t="shared" si="385"/>
        <v/>
      </c>
      <c r="CR153" s="65" t="str">
        <f t="shared" si="386"/>
        <v/>
      </c>
      <c r="CS153" s="616"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8" t="str">
        <f>IF('School Profile'!$D$20="NO","",IF('Marks Entry'!AR153="","",'Marks Entry'!AR153))</f>
        <v/>
      </c>
      <c r="CU153" s="68" t="str">
        <f>IF('School Profile'!$D$20="NO","",IF('Marks Entry'!AS153="","",'Marks Entry'!AS153))</f>
        <v/>
      </c>
      <c r="CV153" s="68" t="str">
        <f>IF('School Profile'!$D$20="NO","",IF('Marks Entry'!AT153="","",'Marks Entry'!AT153))</f>
        <v/>
      </c>
      <c r="CW153" s="514" t="str">
        <f>IF('School Profile'!$D$20="NO","",IF(AND(CT153="",CU153="",CV153=""),"",SUM(CT153:CV153)))</f>
        <v/>
      </c>
      <c r="CX153" s="68" t="str">
        <f>IF('School Profile'!$D$20="NO","",IF('Marks Entry'!AU153="","",'Marks Entry'!AU153))</f>
        <v/>
      </c>
      <c r="CY153" s="68" t="str">
        <f>IF('School Profile'!$D$20="NO","",IF('Marks Entry'!AV153="","",'Marks Entry'!AV153))</f>
        <v/>
      </c>
      <c r="CZ153" s="515" t="str">
        <f>IF('School Profile'!$D$20="NO","",IF(AND(CX153="",CY153=""),"",SUM(CX153,CY153)))</f>
        <v/>
      </c>
      <c r="DA153" s="69" t="str">
        <f>IF('School Profile'!$D$20="NO","",IF(AND(CW153="",CZ153=""),"",SUM(CW153+CZ153)))</f>
        <v/>
      </c>
      <c r="DB153" s="68" t="str">
        <f>IF('School Profile'!$D$20="NO","",IF('Marks Entry'!AW153="","",'Marks Entry'!AW153))</f>
        <v/>
      </c>
      <c r="DC153" s="68" t="str">
        <f>IF('School Profile'!$D$20="NO","",IF('Marks Entry'!AX153="","",'Marks Entry'!AX153))</f>
        <v/>
      </c>
      <c r="DD153" s="515" t="str">
        <f>IF('School Profile'!$D$20="NO","",IF(AND(DB153="",DC153=""),"",SUM(DB153,DC153)))</f>
        <v/>
      </c>
      <c r="DE153" s="96" t="str">
        <f>IF('School Profile'!$D$20="NO","",IF(AND(DA153="",DD153=""),"",SUM(DA153,DD153)))</f>
        <v/>
      </c>
      <c r="DF153" s="532">
        <f t="shared" si="387"/>
        <v>0</v>
      </c>
      <c r="DG153" s="65">
        <f t="shared" si="388"/>
        <v>0</v>
      </c>
      <c r="DH153" s="66" t="str">
        <f t="shared" si="389"/>
        <v/>
      </c>
      <c r="DI153" s="65" t="str">
        <f t="shared" si="390"/>
        <v/>
      </c>
      <c r="DJ153" s="65" t="str">
        <f t="shared" si="391"/>
        <v/>
      </c>
      <c r="DK153" s="65" t="str">
        <f t="shared" si="392"/>
        <v/>
      </c>
      <c r="DL153" s="97" t="str">
        <f t="shared" si="432"/>
        <v/>
      </c>
      <c r="DM153" s="97" t="str">
        <f t="shared" si="433"/>
        <v/>
      </c>
      <c r="DN153" s="97" t="str">
        <f t="shared" si="434"/>
        <v/>
      </c>
      <c r="DO153" s="97" t="str">
        <f t="shared" si="435"/>
        <v/>
      </c>
      <c r="DP153" s="97" t="str">
        <f t="shared" si="436"/>
        <v/>
      </c>
      <c r="DQ153" s="97" t="str">
        <f t="shared" si="437"/>
        <v/>
      </c>
      <c r="DR153" s="97" t="str">
        <f t="shared" si="438"/>
        <v/>
      </c>
      <c r="DS153" s="98">
        <f t="shared" si="439"/>
        <v>0</v>
      </c>
      <c r="DT153" s="98">
        <f t="shared" si="440"/>
        <v>0</v>
      </c>
      <c r="DU153" s="98">
        <f t="shared" si="441"/>
        <v>0</v>
      </c>
      <c r="DV153" s="98">
        <f t="shared" si="442"/>
        <v>0</v>
      </c>
      <c r="DW153" s="98">
        <f t="shared" si="443"/>
        <v>0</v>
      </c>
      <c r="DX153" s="98" t="str">
        <f t="shared" si="444"/>
        <v/>
      </c>
      <c r="DY153" s="99" t="str">
        <f t="shared" si="445"/>
        <v/>
      </c>
      <c r="DZ153" s="74" t="str">
        <f>IF('Marks Entry'!AY153="","",'Marks Entry'!AY153)</f>
        <v/>
      </c>
      <c r="EA153" s="74" t="str">
        <f>IF('Marks Entry'!AZ153="","",'Marks Entry'!AZ153)</f>
        <v/>
      </c>
      <c r="EB153" s="74" t="str">
        <f>IF('Marks Entry'!BA153="","",'Marks Entry'!BA153)</f>
        <v/>
      </c>
      <c r="EC153" s="527" t="str">
        <f t="shared" si="393"/>
        <v/>
      </c>
      <c r="ED153" s="74" t="str">
        <f>IF('Marks Entry'!BB153="","",'Marks Entry'!BB153)</f>
        <v/>
      </c>
      <c r="EE153" s="528" t="str">
        <f t="shared" si="394"/>
        <v/>
      </c>
      <c r="EF153" s="74" t="str">
        <f>IF('Marks Entry'!BC153="","",'Marks Entry'!BC153)</f>
        <v/>
      </c>
      <c r="EG153" s="530" t="str">
        <f t="shared" si="395"/>
        <v/>
      </c>
      <c r="EH153" s="368" t="str">
        <f t="shared" si="446"/>
        <v/>
      </c>
      <c r="EI153" s="65">
        <f t="shared" si="447"/>
        <v>0</v>
      </c>
      <c r="EJ153" s="65">
        <f t="shared" si="448"/>
        <v>0</v>
      </c>
      <c r="EK153" s="66" t="str">
        <f t="shared" si="449"/>
        <v/>
      </c>
      <c r="EL153" s="74" t="str">
        <f>IF('Marks Entry'!BD153="","",'Marks Entry'!BD153)</f>
        <v/>
      </c>
      <c r="EM153" s="74" t="str">
        <f>IF('Marks Entry'!BE153="","",'Marks Entry'!BE153)</f>
        <v/>
      </c>
      <c r="EN153" s="74" t="str">
        <f>IF('Marks Entry'!BF153="","",'Marks Entry'!BF153)</f>
        <v/>
      </c>
      <c r="EO153" s="527" t="str">
        <f t="shared" si="396"/>
        <v/>
      </c>
      <c r="EP153" s="74" t="str">
        <f>IF('Marks Entry'!BG153="","",'Marks Entry'!BG153)</f>
        <v/>
      </c>
      <c r="EQ153" s="74" t="str">
        <f>IF('Marks Entry'!BH153="","",'Marks Entry'!BH153)</f>
        <v/>
      </c>
      <c r="ER153" s="528" t="str">
        <f t="shared" si="397"/>
        <v/>
      </c>
      <c r="ES153" s="529" t="str">
        <f t="shared" si="398"/>
        <v/>
      </c>
      <c r="ET153" s="74" t="str">
        <f>IF('Marks Entry'!BI153="","",'Marks Entry'!BI153)</f>
        <v/>
      </c>
      <c r="EU153" s="74" t="str">
        <f>IF('Marks Entry'!BJ153="","",'Marks Entry'!BJ153)</f>
        <v/>
      </c>
      <c r="EV153" s="528" t="str">
        <f t="shared" si="399"/>
        <v/>
      </c>
      <c r="EW153" s="530" t="str">
        <f t="shared" si="400"/>
        <v/>
      </c>
      <c r="EX153" s="368" t="str">
        <f t="shared" si="450"/>
        <v/>
      </c>
      <c r="EY153" s="65">
        <f t="shared" si="451"/>
        <v>0</v>
      </c>
      <c r="EZ153" s="65">
        <f t="shared" si="452"/>
        <v>0</v>
      </c>
      <c r="FA153" s="66" t="str">
        <f t="shared" si="453"/>
        <v/>
      </c>
      <c r="FB153" s="74" t="str">
        <f>IF('Marks Entry'!BK153="","",'Marks Entry'!BK153)</f>
        <v/>
      </c>
      <c r="FC153" s="74" t="str">
        <f>IF('Marks Entry'!BL153="","",'Marks Entry'!BL153)</f>
        <v/>
      </c>
      <c r="FD153" s="74" t="str">
        <f>IF('Marks Entry'!BM153="","",'Marks Entry'!BM153)</f>
        <v/>
      </c>
      <c r="FE153" s="74" t="str">
        <f>IF('Marks Entry'!BN153="","",'Marks Entry'!BN153)</f>
        <v/>
      </c>
      <c r="FF153" s="74" t="str">
        <f>IF('Marks Entry'!BO153="","",'Marks Entry'!BO153)</f>
        <v/>
      </c>
      <c r="FG153" s="74" t="str">
        <f>IF('Marks Entry'!BP153="","",'Marks Entry'!BP153)</f>
        <v/>
      </c>
      <c r="FH153" s="527" t="str">
        <f t="shared" si="401"/>
        <v/>
      </c>
      <c r="FI153" s="74" t="str">
        <f>IF('Marks Entry'!BQ153="","",'Marks Entry'!BQ153)</f>
        <v/>
      </c>
      <c r="FJ153" s="74" t="str">
        <f>IF('Marks Entry'!BR153="","",'Marks Entry'!BR153)</f>
        <v/>
      </c>
      <c r="FK153" s="528" t="str">
        <f t="shared" si="402"/>
        <v/>
      </c>
      <c r="FL153" s="529" t="str">
        <f t="shared" si="403"/>
        <v/>
      </c>
      <c r="FM153" s="74" t="str">
        <f>IF('Marks Entry'!BS153="","",'Marks Entry'!BS153)</f>
        <v/>
      </c>
      <c r="FN153" s="74" t="str">
        <f>IF('Marks Entry'!BT153="","",'Marks Entry'!BT153)</f>
        <v/>
      </c>
      <c r="FO153" s="528" t="str">
        <f t="shared" si="404"/>
        <v/>
      </c>
      <c r="FP153" s="530" t="str">
        <f t="shared" si="405"/>
        <v/>
      </c>
      <c r="FQ153" s="368" t="str">
        <f t="shared" si="454"/>
        <v/>
      </c>
      <c r="FR153" s="65">
        <f t="shared" si="455"/>
        <v>0</v>
      </c>
      <c r="FS153" s="65">
        <f t="shared" si="456"/>
        <v>0</v>
      </c>
      <c r="FT153" s="66" t="str">
        <f t="shared" si="457"/>
        <v/>
      </c>
      <c r="FU153" s="74" t="str">
        <f>IF('Marks Entry'!BU153="","",'Marks Entry'!BU153)</f>
        <v/>
      </c>
      <c r="FV153" s="74" t="str">
        <f>IF('Marks Entry'!BV153="","",'Marks Entry'!BV153)</f>
        <v/>
      </c>
      <c r="FW153" s="74" t="str">
        <f>IF('Marks Entry'!BW153="","",'Marks Entry'!BW153)</f>
        <v/>
      </c>
      <c r="FX153" s="75" t="str">
        <f t="shared" si="406"/>
        <v/>
      </c>
      <c r="FY153" s="368" t="str">
        <f t="shared" si="458"/>
        <v/>
      </c>
      <c r="FZ153" s="65">
        <f t="shared" si="459"/>
        <v>0</v>
      </c>
      <c r="GA153" s="66">
        <f t="shared" si="460"/>
        <v>0</v>
      </c>
      <c r="GB153" s="66" t="str">
        <f t="shared" si="461"/>
        <v/>
      </c>
      <c r="GC153" s="74" t="str">
        <f>IF('Marks Entry'!BX153="","",'Marks Entry'!BX153)</f>
        <v/>
      </c>
      <c r="GD153" s="74" t="str">
        <f>IF('Marks Entry'!BY153="","",'Marks Entry'!BY153)</f>
        <v/>
      </c>
      <c r="GE153" s="74" t="str">
        <f>IF('Marks Entry'!BZ153="","",'Marks Entry'!BZ153)</f>
        <v/>
      </c>
      <c r="GF153" s="75" t="str">
        <f t="shared" si="462"/>
        <v/>
      </c>
      <c r="GG153" s="368" t="str">
        <f t="shared" si="463"/>
        <v/>
      </c>
      <c r="GH153" s="65">
        <f t="shared" si="464"/>
        <v>0</v>
      </c>
      <c r="GI153" s="66">
        <f t="shared" si="465"/>
        <v>0</v>
      </c>
      <c r="GJ153" s="66" t="str">
        <f t="shared" si="466"/>
        <v/>
      </c>
      <c r="GK153" s="100" t="str">
        <f>IF(AND(F153="",B153=""),"",IF('Student DATA Entry'!M150="","",'Student DATA Entry'!M150))</f>
        <v/>
      </c>
      <c r="GL153" s="101" t="str">
        <f>IF(AND(B153="",F153=""),"",IF('Student DATA Entry'!N150="","",'Student DATA Entry'!N150))</f>
        <v/>
      </c>
      <c r="GM153" s="581" t="str">
        <f t="shared" si="467"/>
        <v/>
      </c>
      <c r="GN153" s="94" t="str">
        <f t="shared" si="468"/>
        <v/>
      </c>
      <c r="GO153" s="94" t="str">
        <f t="shared" si="469"/>
        <v/>
      </c>
      <c r="GP153" s="102" t="str">
        <f t="shared" si="407"/>
        <v/>
      </c>
      <c r="GQ153" s="94" t="str">
        <f t="shared" si="470"/>
        <v/>
      </c>
      <c r="GR153" s="103" t="str">
        <f t="shared" si="471"/>
        <v/>
      </c>
      <c r="GS153" s="102" t="str">
        <f t="shared" si="408"/>
        <v/>
      </c>
      <c r="GT153" s="104" t="str">
        <f t="shared" si="472"/>
        <v/>
      </c>
      <c r="GU153" s="94" t="str">
        <f>IF('Marks Entry'!V153=1,GT153,"")</f>
        <v/>
      </c>
      <c r="GV153" s="94" t="str">
        <f>IF('Marks Entry'!V153=2,GT153,"")</f>
        <v/>
      </c>
      <c r="GW153" s="94" t="str">
        <f>IF('Marks Entry'!V153=3,GT153,"")</f>
        <v/>
      </c>
      <c r="GX153" s="94" t="str">
        <f>IF('Marks Entry'!V153=4,GT153,"")</f>
        <v/>
      </c>
      <c r="GY153" s="94" t="str">
        <f>IF('Marks Entry'!V153=5,GT153,"")</f>
        <v/>
      </c>
      <c r="GZ153" s="94" t="str">
        <f t="shared" si="473"/>
        <v/>
      </c>
      <c r="HA153" s="105" t="str">
        <f t="shared" si="409"/>
        <v/>
      </c>
      <c r="HB153" s="94" t="str">
        <f t="shared" si="474"/>
        <v/>
      </c>
      <c r="HC153" s="94" t="str">
        <f t="shared" si="475"/>
        <v/>
      </c>
      <c r="HD153" s="105" t="str">
        <f t="shared" si="410"/>
        <v/>
      </c>
      <c r="HE153" s="94" t="str">
        <f t="shared" si="476"/>
        <v/>
      </c>
      <c r="HF153" s="94" t="str">
        <f t="shared" si="477"/>
        <v/>
      </c>
      <c r="HG153" s="105" t="str">
        <f t="shared" si="411"/>
        <v/>
      </c>
      <c r="HH153" s="94" t="str">
        <f t="shared" si="478"/>
        <v/>
      </c>
      <c r="HI153" s="94" t="str">
        <f t="shared" si="479"/>
        <v/>
      </c>
      <c r="HJ153" s="105" t="str">
        <f t="shared" si="412"/>
        <v/>
      </c>
      <c r="HK153" s="94" t="str">
        <f t="shared" si="480"/>
        <v/>
      </c>
      <c r="HL153" s="94" t="str">
        <f t="shared" si="481"/>
        <v/>
      </c>
      <c r="HM153" s="105" t="str">
        <f t="shared" si="413"/>
        <v/>
      </c>
      <c r="HN153" s="367" t="str">
        <f t="shared" si="482"/>
        <v xml:space="preserve">      </v>
      </c>
      <c r="HO153" s="418" t="str">
        <f t="shared" si="414"/>
        <v xml:space="preserve">      </v>
      </c>
      <c r="HP153" s="367" t="str">
        <f t="shared" si="483"/>
        <v xml:space="preserve">      </v>
      </c>
      <c r="HQ153" s="107" t="str">
        <f t="shared" si="484"/>
        <v xml:space="preserve">      </v>
      </c>
      <c r="HR153" s="366" t="str">
        <f t="shared" si="485"/>
        <v xml:space="preserve">      </v>
      </c>
      <c r="HS153" s="544" t="str">
        <f t="shared" si="415"/>
        <v/>
      </c>
      <c r="HT153" s="542" t="str">
        <f t="shared" si="486"/>
        <v/>
      </c>
      <c r="HU153" s="541" t="str">
        <f t="shared" si="487"/>
        <v/>
      </c>
      <c r="HV153" s="540" t="str">
        <f t="shared" si="488"/>
        <v/>
      </c>
      <c r="HW153" s="537" t="str">
        <f t="shared" si="489"/>
        <v/>
      </c>
      <c r="HX153" s="539" t="str">
        <f t="shared" si="490"/>
        <v/>
      </c>
      <c r="HY153" s="553" t="str">
        <f>IFERROR(IF(OR(HS153="SUPPLEMENTARY",HS153="RE-EXAM"),'Supp. Result Entry'!AQ151,""),"")</f>
        <v/>
      </c>
      <c r="HZ153" s="538" t="str">
        <f t="shared" si="491"/>
        <v/>
      </c>
      <c r="IA153" s="415" t="str">
        <f t="shared" si="492"/>
        <v/>
      </c>
      <c r="IB153" s="415" t="str">
        <f>IF(AND(HZ153="",IA153=""),"",IF(OR(HS153="SUPPLEMENTARY",HS153="RE-EXAM"),'Supp. Result Entry'!AQ151,HS153))</f>
        <v/>
      </c>
      <c r="IC153" s="87"/>
      <c r="IS153" s="109" t="str">
        <f>IF('Supp. Result Entry'!T151="","",'Supp. Result Entry'!$T$4)</f>
        <v/>
      </c>
      <c r="IT153" s="110" t="str">
        <f>IF('Supp. Result Entry'!W151="","",'Supp. Result Entry'!$W$4)</f>
        <v/>
      </c>
      <c r="IU153" s="110" t="str">
        <f>IF('Supp. Result Entry'!Z151="","",'Supp. Result Entry'!$Z$4)</f>
        <v/>
      </c>
      <c r="IV153" s="110" t="str">
        <f>IF('Supp. Result Entry'!AC151="","",'Supp. Result Entry'!$AC$4)</f>
        <v/>
      </c>
      <c r="IW153" s="110" t="str">
        <f>IF('Supp. Result Entry'!AF151="","",'Supp. Result Entry'!$AF$4)</f>
        <v/>
      </c>
      <c r="IX153" s="110" t="str">
        <f>IF('Supp. Result Entry'!AI151="","",'Supp. Result Entry'!$AI$4)</f>
        <v/>
      </c>
      <c r="IY153" s="110" t="str">
        <f>IF('Supp. Result Entry'!AI151="","",'Supp. Result Entry'!$AL$4)</f>
        <v/>
      </c>
      <c r="IZ153" s="110" t="str">
        <f>IF('Supp. Result Entry'!U151="","",'Supp. Result Entry'!U151)</f>
        <v/>
      </c>
      <c r="JA153" s="110" t="str">
        <f>IF('Supp. Result Entry'!X151="","",'Supp. Result Entry'!X151)</f>
        <v/>
      </c>
      <c r="JB153" s="110" t="str">
        <f>IF('Supp. Result Entry'!AA151="","",'Supp. Result Entry'!AA151)</f>
        <v/>
      </c>
      <c r="JC153" s="110" t="str">
        <f>IF('Supp. Result Entry'!AD151="","",'Supp. Result Entry'!AD151)</f>
        <v/>
      </c>
      <c r="JD153" s="110" t="str">
        <f>IF('Supp. Result Entry'!AG151="","",'Supp. Result Entry'!AG151)</f>
        <v/>
      </c>
      <c r="JE153" s="110" t="str">
        <f>IF('Supp. Result Entry'!AJ151="","",'Supp. Result Entry'!AJ151)</f>
        <v/>
      </c>
      <c r="JF153" s="110" t="str">
        <f>IF('Supp. Result Entry'!AM151="","",'Supp. Result Entry'!AM151)</f>
        <v/>
      </c>
      <c r="JG153" s="110" t="str">
        <f>IF('Supp. Result Entry'!V151="","",'Supp. Result Entry'!V151)</f>
        <v/>
      </c>
      <c r="JH153" s="110" t="str">
        <f>IF('Supp. Result Entry'!Y151="","",'Supp. Result Entry'!Y151)</f>
        <v/>
      </c>
      <c r="JI153" s="110" t="str">
        <f>IF('Supp. Result Entry'!AB151="","",'Supp. Result Entry'!AB151)</f>
        <v/>
      </c>
      <c r="JJ153" s="110" t="str">
        <f>IF('Supp. Result Entry'!AE151="","",'Supp. Result Entry'!AE151)</f>
        <v/>
      </c>
      <c r="JK153" s="110" t="str">
        <f>IF('Supp. Result Entry'!AH151="","",'Supp. Result Entry'!AH151)</f>
        <v/>
      </c>
      <c r="JL153" s="110" t="str">
        <f>IF('Supp. Result Entry'!AK151="","",'Supp. Result Entry'!AK151)</f>
        <v/>
      </c>
      <c r="JM153" s="110" t="str">
        <f>IF('Supp. Result Entry'!AN151="","",'Supp. Result Entry'!AN151)</f>
        <v/>
      </c>
      <c r="JN153" s="110">
        <f>COUNTIF('Supp. Result Entry'!K151:Q151,"S")</f>
        <v>0</v>
      </c>
      <c r="JO153" s="110">
        <f t="shared" si="416"/>
        <v>0</v>
      </c>
      <c r="JP153" s="110">
        <f t="shared" si="493"/>
        <v>0</v>
      </c>
      <c r="JQ153" s="110" t="str">
        <f t="shared" si="417"/>
        <v/>
      </c>
      <c r="JR153" s="110" t="str">
        <f t="shared" si="418"/>
        <v/>
      </c>
      <c r="JS153" s="110" t="str">
        <f t="shared" si="419"/>
        <v/>
      </c>
      <c r="JT153" s="110" t="str">
        <f t="shared" si="420"/>
        <v/>
      </c>
      <c r="JU153" s="110" t="str">
        <f t="shared" si="421"/>
        <v/>
      </c>
      <c r="JV153" s="110" t="str">
        <f t="shared" si="422"/>
        <v/>
      </c>
      <c r="JW153" s="110" t="str">
        <f t="shared" si="423"/>
        <v/>
      </c>
      <c r="JX153" s="110" t="str">
        <f t="shared" si="494"/>
        <v/>
      </c>
      <c r="JY153" s="110" t="str">
        <f t="shared" si="495"/>
        <v/>
      </c>
      <c r="JZ153" s="110" t="str">
        <f t="shared" si="424"/>
        <v/>
      </c>
      <c r="KA153" s="108" t="str">
        <f t="shared" si="496"/>
        <v/>
      </c>
    </row>
    <row r="154" spans="1:287" s="108" customFormat="1" ht="21.95" customHeight="1">
      <c r="A154" s="89">
        <v>148</v>
      </c>
      <c r="B154" s="90" t="str">
        <f>IF('Marks Entry'!B154="","",'Marks Entry'!B154)</f>
        <v/>
      </c>
      <c r="C154" s="94" t="str">
        <f>IF('Marks Entry'!D154="","",'Marks Entry'!D154)</f>
        <v/>
      </c>
      <c r="D154" s="91" t="str">
        <f>IF('Marks Entry'!E154="","",'Marks Entry'!E154)</f>
        <v/>
      </c>
      <c r="E154" s="92" t="str">
        <f>IF('Marks Entry'!F154="","",'Marks Entry'!F154)</f>
        <v/>
      </c>
      <c r="F154" s="93" t="str">
        <f>IF('Marks Entry'!G154="","",'Marks Entry'!G154)</f>
        <v/>
      </c>
      <c r="G154" s="93" t="str">
        <f>IF('Marks Entry'!H154="","",'Marks Entry'!H154)</f>
        <v/>
      </c>
      <c r="H154" s="93" t="str">
        <f>IF('Marks Entry'!I154="","",'Marks Entry'!I154)</f>
        <v/>
      </c>
      <c r="I154" s="94" t="str">
        <f>IF('Marks Entry'!J154="","",'Marks Entry'!J154)</f>
        <v/>
      </c>
      <c r="J154" s="95" t="str">
        <f>IF('Marks Entry'!K154="","",'Marks Entry'!K154)</f>
        <v/>
      </c>
      <c r="K154" s="68" t="str">
        <f>IF('Marks Entry'!L154="","",'Marks Entry'!L154)</f>
        <v/>
      </c>
      <c r="L154" s="68" t="str">
        <f>IF('Marks Entry'!M154="","",'Marks Entry'!M154)</f>
        <v/>
      </c>
      <c r="M154" s="68" t="str">
        <f>IF('Marks Entry'!N154="","",'Marks Entry'!N154)</f>
        <v/>
      </c>
      <c r="N154" s="514" t="str">
        <f t="shared" si="425"/>
        <v/>
      </c>
      <c r="O154" s="68" t="str">
        <f>IF('Marks Entry'!O154="","",'Marks Entry'!O154)</f>
        <v/>
      </c>
      <c r="P154" s="515" t="str">
        <f t="shared" si="426"/>
        <v/>
      </c>
      <c r="Q154" s="68" t="str">
        <f>IF('Marks Entry'!P154="","",'Marks Entry'!P154)</f>
        <v/>
      </c>
      <c r="R154" s="96" t="str">
        <f t="shared" si="427"/>
        <v/>
      </c>
      <c r="S154" s="65">
        <f t="shared" si="428"/>
        <v>0</v>
      </c>
      <c r="T154" s="65">
        <f t="shared" si="429"/>
        <v>0</v>
      </c>
      <c r="U154" s="66" t="str">
        <f t="shared" si="339"/>
        <v/>
      </c>
      <c r="V154" s="65" t="str">
        <f t="shared" si="340"/>
        <v/>
      </c>
      <c r="W154" s="65" t="str">
        <f t="shared" si="430"/>
        <v/>
      </c>
      <c r="X154" s="65" t="str">
        <f t="shared" si="341"/>
        <v/>
      </c>
      <c r="Y154" s="68" t="str">
        <f>IF('Marks Entry'!Q154="","",'Marks Entry'!Q154)</f>
        <v/>
      </c>
      <c r="Z154" s="68" t="str">
        <f>IF('Marks Entry'!R154="","",'Marks Entry'!R154)</f>
        <v/>
      </c>
      <c r="AA154" s="68" t="str">
        <f>IF('Marks Entry'!S154="","",'Marks Entry'!S154)</f>
        <v/>
      </c>
      <c r="AB154" s="514" t="str">
        <f t="shared" si="342"/>
        <v/>
      </c>
      <c r="AC154" s="68" t="str">
        <f>IF('Marks Entry'!T154="","",'Marks Entry'!T154)</f>
        <v/>
      </c>
      <c r="AD154" s="515" t="str">
        <f t="shared" si="343"/>
        <v/>
      </c>
      <c r="AE154" s="68" t="str">
        <f>IF('Marks Entry'!U154="","",'Marks Entry'!U154)</f>
        <v/>
      </c>
      <c r="AF154" s="96" t="str">
        <f t="shared" si="344"/>
        <v/>
      </c>
      <c r="AG154" s="65">
        <f t="shared" si="345"/>
        <v>0</v>
      </c>
      <c r="AH154" s="65">
        <f t="shared" si="346"/>
        <v>0</v>
      </c>
      <c r="AI154" s="66" t="str">
        <f t="shared" si="347"/>
        <v/>
      </c>
      <c r="AJ154" s="65" t="str">
        <f t="shared" si="348"/>
        <v/>
      </c>
      <c r="AK154" s="65" t="str">
        <f t="shared" si="349"/>
        <v/>
      </c>
      <c r="AL154" s="65" t="str">
        <f t="shared" si="350"/>
        <v/>
      </c>
      <c r="AM154" s="524" t="str">
        <f>IF('Marks Entry'!V154="","",IF('Marks Entry'!V154=1,'School Profile'!$I$9,IF('Marks Entry'!V154=2,'School Profile'!$I$10,IF('Marks Entry'!V154=3,'School Profile'!$I$11,IF('Marks Entry'!V154=4,'School Profile'!$I$12,IF('Marks Entry'!V154=5,'School Profile'!$I$13,IF('Marks Entry'!V154=6,'School Profile'!$I$14,"")))))))</f>
        <v/>
      </c>
      <c r="AN154" s="68" t="str">
        <f>IF('Marks Entry'!W154="","",'Marks Entry'!W154)</f>
        <v/>
      </c>
      <c r="AO154" s="68" t="str">
        <f>IF('Marks Entry'!X154="","",'Marks Entry'!X154)</f>
        <v/>
      </c>
      <c r="AP154" s="68" t="str">
        <f>IF('Marks Entry'!Y154="","",'Marks Entry'!Y154)</f>
        <v/>
      </c>
      <c r="AQ154" s="514" t="str">
        <f t="shared" si="351"/>
        <v/>
      </c>
      <c r="AR154" s="68" t="str">
        <f>IF('Marks Entry'!Z154="","",'Marks Entry'!Z154)</f>
        <v/>
      </c>
      <c r="AS154" s="515" t="str">
        <f t="shared" si="352"/>
        <v/>
      </c>
      <c r="AT154" s="68" t="str">
        <f>IF('Marks Entry'!AA154="","",'Marks Entry'!AA154)</f>
        <v/>
      </c>
      <c r="AU154" s="96" t="str">
        <f t="shared" si="353"/>
        <v/>
      </c>
      <c r="AV154" s="65">
        <f t="shared" si="354"/>
        <v>0</v>
      </c>
      <c r="AW154" s="65">
        <f t="shared" si="355"/>
        <v>0</v>
      </c>
      <c r="AX154" s="66" t="str">
        <f t="shared" si="356"/>
        <v/>
      </c>
      <c r="AY154" s="65" t="str">
        <f t="shared" si="357"/>
        <v/>
      </c>
      <c r="AZ154" s="65" t="str">
        <f t="shared" si="358"/>
        <v/>
      </c>
      <c r="BA154" s="65" t="str">
        <f t="shared" si="359"/>
        <v/>
      </c>
      <c r="BB154" s="68" t="str">
        <f>IF('Marks Entry'!AB154="","",'Marks Entry'!AB154)</f>
        <v/>
      </c>
      <c r="BC154" s="68" t="str">
        <f>IF('Marks Entry'!AC154="","",'Marks Entry'!AC154)</f>
        <v/>
      </c>
      <c r="BD154" s="68" t="str">
        <f>IF('Marks Entry'!AD154="","",'Marks Entry'!AD154)</f>
        <v/>
      </c>
      <c r="BE154" s="514" t="str">
        <f t="shared" si="360"/>
        <v/>
      </c>
      <c r="BF154" s="68" t="str">
        <f>IF('Marks Entry'!AE154="","",'Marks Entry'!AE154)</f>
        <v/>
      </c>
      <c r="BG154" s="515" t="str">
        <f t="shared" si="361"/>
        <v/>
      </c>
      <c r="BH154" s="68" t="str">
        <f>IF('Marks Entry'!AF154="","",'Marks Entry'!AF154)</f>
        <v/>
      </c>
      <c r="BI154" s="96" t="str">
        <f t="shared" si="362"/>
        <v/>
      </c>
      <c r="BJ154" s="65">
        <f t="shared" si="363"/>
        <v>0</v>
      </c>
      <c r="BK154" s="65">
        <f t="shared" si="431"/>
        <v>0</v>
      </c>
      <c r="BL154" s="66" t="str">
        <f t="shared" si="364"/>
        <v/>
      </c>
      <c r="BM154" s="65" t="str">
        <f t="shared" si="365"/>
        <v/>
      </c>
      <c r="BN154" s="65" t="str">
        <f t="shared" si="366"/>
        <v/>
      </c>
      <c r="BO154" s="65" t="str">
        <f t="shared" si="367"/>
        <v/>
      </c>
      <c r="BP154" s="68" t="str">
        <f>IF('Marks Entry'!AG154="","",'Marks Entry'!AG154)</f>
        <v/>
      </c>
      <c r="BQ154" s="68" t="str">
        <f>IF('Marks Entry'!AH154="","",'Marks Entry'!AH154)</f>
        <v/>
      </c>
      <c r="BR154" s="68" t="str">
        <f>IF('Marks Entry'!AI154="","",'Marks Entry'!AI154)</f>
        <v/>
      </c>
      <c r="BS154" s="514" t="str">
        <f t="shared" si="368"/>
        <v/>
      </c>
      <c r="BT154" s="68" t="str">
        <f>IF('Marks Entry'!AJ154="","",'Marks Entry'!AJ154)</f>
        <v/>
      </c>
      <c r="BU154" s="515" t="str">
        <f t="shared" si="369"/>
        <v/>
      </c>
      <c r="BV154" s="68" t="str">
        <f>IF('Marks Entry'!AK154="","",'Marks Entry'!AK154)</f>
        <v/>
      </c>
      <c r="BW154" s="96" t="str">
        <f t="shared" si="370"/>
        <v/>
      </c>
      <c r="BX154" s="65">
        <f t="shared" si="371"/>
        <v>0</v>
      </c>
      <c r="BY154" s="65">
        <f t="shared" si="372"/>
        <v>0</v>
      </c>
      <c r="BZ154" s="66" t="str">
        <f t="shared" si="373"/>
        <v/>
      </c>
      <c r="CA154" s="65" t="str">
        <f t="shared" si="374"/>
        <v/>
      </c>
      <c r="CB154" s="65" t="str">
        <f t="shared" si="375"/>
        <v/>
      </c>
      <c r="CC154" s="65" t="str">
        <f t="shared" si="376"/>
        <v/>
      </c>
      <c r="CD154" s="66">
        <f t="shared" si="377"/>
        <v>0</v>
      </c>
      <c r="CE154" s="68" t="str">
        <f>IF('Marks Entry'!AL154="","",'Marks Entry'!AL154)</f>
        <v/>
      </c>
      <c r="CF154" s="68" t="str">
        <f>IF('Marks Entry'!AM154="","",'Marks Entry'!AM154)</f>
        <v/>
      </c>
      <c r="CG154" s="68" t="str">
        <f>IF('Marks Entry'!AN154="","",'Marks Entry'!AN154)</f>
        <v/>
      </c>
      <c r="CH154" s="514" t="str">
        <f t="shared" si="378"/>
        <v/>
      </c>
      <c r="CI154" s="68" t="str">
        <f>IF('Marks Entry'!AO154="","",'Marks Entry'!AO154)</f>
        <v/>
      </c>
      <c r="CJ154" s="515" t="str">
        <f t="shared" si="379"/>
        <v/>
      </c>
      <c r="CK154" s="68" t="str">
        <f>IF('Marks Entry'!AP154="","",'Marks Entry'!AP154)</f>
        <v/>
      </c>
      <c r="CL154" s="96" t="str">
        <f t="shared" si="380"/>
        <v/>
      </c>
      <c r="CM154" s="65">
        <f t="shared" si="381"/>
        <v>0</v>
      </c>
      <c r="CN154" s="65">
        <f t="shared" si="382"/>
        <v>0</v>
      </c>
      <c r="CO154" s="66" t="str">
        <f t="shared" si="383"/>
        <v/>
      </c>
      <c r="CP154" s="65" t="str">
        <f t="shared" si="384"/>
        <v/>
      </c>
      <c r="CQ154" s="65" t="str">
        <f t="shared" si="385"/>
        <v/>
      </c>
      <c r="CR154" s="65" t="str">
        <f t="shared" si="386"/>
        <v/>
      </c>
      <c r="CS154" s="616"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8" t="str">
        <f>IF('School Profile'!$D$20="NO","",IF('Marks Entry'!AR154="","",'Marks Entry'!AR154))</f>
        <v/>
      </c>
      <c r="CU154" s="68" t="str">
        <f>IF('School Profile'!$D$20="NO","",IF('Marks Entry'!AS154="","",'Marks Entry'!AS154))</f>
        <v/>
      </c>
      <c r="CV154" s="68" t="str">
        <f>IF('School Profile'!$D$20="NO","",IF('Marks Entry'!AT154="","",'Marks Entry'!AT154))</f>
        <v/>
      </c>
      <c r="CW154" s="514" t="str">
        <f>IF('School Profile'!$D$20="NO","",IF(AND(CT154="",CU154="",CV154=""),"",SUM(CT154:CV154)))</f>
        <v/>
      </c>
      <c r="CX154" s="68" t="str">
        <f>IF('School Profile'!$D$20="NO","",IF('Marks Entry'!AU154="","",'Marks Entry'!AU154))</f>
        <v/>
      </c>
      <c r="CY154" s="68" t="str">
        <f>IF('School Profile'!$D$20="NO","",IF('Marks Entry'!AV154="","",'Marks Entry'!AV154))</f>
        <v/>
      </c>
      <c r="CZ154" s="515" t="str">
        <f>IF('School Profile'!$D$20="NO","",IF(AND(CX154="",CY154=""),"",SUM(CX154,CY154)))</f>
        <v/>
      </c>
      <c r="DA154" s="69" t="str">
        <f>IF('School Profile'!$D$20="NO","",IF(AND(CW154="",CZ154=""),"",SUM(CW154+CZ154)))</f>
        <v/>
      </c>
      <c r="DB154" s="68" t="str">
        <f>IF('School Profile'!$D$20="NO","",IF('Marks Entry'!AW154="","",'Marks Entry'!AW154))</f>
        <v/>
      </c>
      <c r="DC154" s="68" t="str">
        <f>IF('School Profile'!$D$20="NO","",IF('Marks Entry'!AX154="","",'Marks Entry'!AX154))</f>
        <v/>
      </c>
      <c r="DD154" s="515" t="str">
        <f>IF('School Profile'!$D$20="NO","",IF(AND(DB154="",DC154=""),"",SUM(DB154,DC154)))</f>
        <v/>
      </c>
      <c r="DE154" s="96" t="str">
        <f>IF('School Profile'!$D$20="NO","",IF(AND(DA154="",DD154=""),"",SUM(DA154,DD154)))</f>
        <v/>
      </c>
      <c r="DF154" s="532">
        <f t="shared" si="387"/>
        <v>0</v>
      </c>
      <c r="DG154" s="65">
        <f t="shared" si="388"/>
        <v>0</v>
      </c>
      <c r="DH154" s="66" t="str">
        <f t="shared" si="389"/>
        <v/>
      </c>
      <c r="DI154" s="65" t="str">
        <f t="shared" si="390"/>
        <v/>
      </c>
      <c r="DJ154" s="65" t="str">
        <f t="shared" si="391"/>
        <v/>
      </c>
      <c r="DK154" s="65" t="str">
        <f t="shared" si="392"/>
        <v/>
      </c>
      <c r="DL154" s="97" t="str">
        <f t="shared" si="432"/>
        <v/>
      </c>
      <c r="DM154" s="97" t="str">
        <f t="shared" si="433"/>
        <v/>
      </c>
      <c r="DN154" s="97" t="str">
        <f t="shared" si="434"/>
        <v/>
      </c>
      <c r="DO154" s="97" t="str">
        <f t="shared" si="435"/>
        <v/>
      </c>
      <c r="DP154" s="97" t="str">
        <f t="shared" si="436"/>
        <v/>
      </c>
      <c r="DQ154" s="97" t="str">
        <f t="shared" si="437"/>
        <v/>
      </c>
      <c r="DR154" s="97" t="str">
        <f t="shared" si="438"/>
        <v/>
      </c>
      <c r="DS154" s="98">
        <f t="shared" si="439"/>
        <v>0</v>
      </c>
      <c r="DT154" s="98">
        <f t="shared" si="440"/>
        <v>0</v>
      </c>
      <c r="DU154" s="98">
        <f t="shared" si="441"/>
        <v>0</v>
      </c>
      <c r="DV154" s="98">
        <f t="shared" si="442"/>
        <v>0</v>
      </c>
      <c r="DW154" s="98">
        <f t="shared" si="443"/>
        <v>0</v>
      </c>
      <c r="DX154" s="98" t="str">
        <f t="shared" si="444"/>
        <v/>
      </c>
      <c r="DY154" s="99" t="str">
        <f t="shared" si="445"/>
        <v/>
      </c>
      <c r="DZ154" s="74" t="str">
        <f>IF('Marks Entry'!AY154="","",'Marks Entry'!AY154)</f>
        <v/>
      </c>
      <c r="EA154" s="74" t="str">
        <f>IF('Marks Entry'!AZ154="","",'Marks Entry'!AZ154)</f>
        <v/>
      </c>
      <c r="EB154" s="74" t="str">
        <f>IF('Marks Entry'!BA154="","",'Marks Entry'!BA154)</f>
        <v/>
      </c>
      <c r="EC154" s="527" t="str">
        <f t="shared" si="393"/>
        <v/>
      </c>
      <c r="ED154" s="74" t="str">
        <f>IF('Marks Entry'!BB154="","",'Marks Entry'!BB154)</f>
        <v/>
      </c>
      <c r="EE154" s="528" t="str">
        <f t="shared" si="394"/>
        <v/>
      </c>
      <c r="EF154" s="74" t="str">
        <f>IF('Marks Entry'!BC154="","",'Marks Entry'!BC154)</f>
        <v/>
      </c>
      <c r="EG154" s="530" t="str">
        <f t="shared" si="395"/>
        <v/>
      </c>
      <c r="EH154" s="368" t="str">
        <f t="shared" si="446"/>
        <v/>
      </c>
      <c r="EI154" s="65">
        <f t="shared" si="447"/>
        <v>0</v>
      </c>
      <c r="EJ154" s="65">
        <f t="shared" si="448"/>
        <v>0</v>
      </c>
      <c r="EK154" s="66" t="str">
        <f t="shared" si="449"/>
        <v/>
      </c>
      <c r="EL154" s="74" t="str">
        <f>IF('Marks Entry'!BD154="","",'Marks Entry'!BD154)</f>
        <v/>
      </c>
      <c r="EM154" s="74" t="str">
        <f>IF('Marks Entry'!BE154="","",'Marks Entry'!BE154)</f>
        <v/>
      </c>
      <c r="EN154" s="74" t="str">
        <f>IF('Marks Entry'!BF154="","",'Marks Entry'!BF154)</f>
        <v/>
      </c>
      <c r="EO154" s="527" t="str">
        <f t="shared" si="396"/>
        <v/>
      </c>
      <c r="EP154" s="74" t="str">
        <f>IF('Marks Entry'!BG154="","",'Marks Entry'!BG154)</f>
        <v/>
      </c>
      <c r="EQ154" s="74" t="str">
        <f>IF('Marks Entry'!BH154="","",'Marks Entry'!BH154)</f>
        <v/>
      </c>
      <c r="ER154" s="528" t="str">
        <f t="shared" si="397"/>
        <v/>
      </c>
      <c r="ES154" s="529" t="str">
        <f t="shared" si="398"/>
        <v/>
      </c>
      <c r="ET154" s="74" t="str">
        <f>IF('Marks Entry'!BI154="","",'Marks Entry'!BI154)</f>
        <v/>
      </c>
      <c r="EU154" s="74" t="str">
        <f>IF('Marks Entry'!BJ154="","",'Marks Entry'!BJ154)</f>
        <v/>
      </c>
      <c r="EV154" s="528" t="str">
        <f t="shared" si="399"/>
        <v/>
      </c>
      <c r="EW154" s="530" t="str">
        <f t="shared" si="400"/>
        <v/>
      </c>
      <c r="EX154" s="368" t="str">
        <f t="shared" si="450"/>
        <v/>
      </c>
      <c r="EY154" s="65">
        <f t="shared" si="451"/>
        <v>0</v>
      </c>
      <c r="EZ154" s="65">
        <f t="shared" si="452"/>
        <v>0</v>
      </c>
      <c r="FA154" s="66" t="str">
        <f t="shared" si="453"/>
        <v/>
      </c>
      <c r="FB154" s="74" t="str">
        <f>IF('Marks Entry'!BK154="","",'Marks Entry'!BK154)</f>
        <v/>
      </c>
      <c r="FC154" s="74" t="str">
        <f>IF('Marks Entry'!BL154="","",'Marks Entry'!BL154)</f>
        <v/>
      </c>
      <c r="FD154" s="74" t="str">
        <f>IF('Marks Entry'!BM154="","",'Marks Entry'!BM154)</f>
        <v/>
      </c>
      <c r="FE154" s="74" t="str">
        <f>IF('Marks Entry'!BN154="","",'Marks Entry'!BN154)</f>
        <v/>
      </c>
      <c r="FF154" s="74" t="str">
        <f>IF('Marks Entry'!BO154="","",'Marks Entry'!BO154)</f>
        <v/>
      </c>
      <c r="FG154" s="74" t="str">
        <f>IF('Marks Entry'!BP154="","",'Marks Entry'!BP154)</f>
        <v/>
      </c>
      <c r="FH154" s="527" t="str">
        <f t="shared" si="401"/>
        <v/>
      </c>
      <c r="FI154" s="74" t="str">
        <f>IF('Marks Entry'!BQ154="","",'Marks Entry'!BQ154)</f>
        <v/>
      </c>
      <c r="FJ154" s="74" t="str">
        <f>IF('Marks Entry'!BR154="","",'Marks Entry'!BR154)</f>
        <v/>
      </c>
      <c r="FK154" s="528" t="str">
        <f t="shared" si="402"/>
        <v/>
      </c>
      <c r="FL154" s="529" t="str">
        <f t="shared" si="403"/>
        <v/>
      </c>
      <c r="FM154" s="74" t="str">
        <f>IF('Marks Entry'!BS154="","",'Marks Entry'!BS154)</f>
        <v/>
      </c>
      <c r="FN154" s="74" t="str">
        <f>IF('Marks Entry'!BT154="","",'Marks Entry'!BT154)</f>
        <v/>
      </c>
      <c r="FO154" s="528" t="str">
        <f t="shared" si="404"/>
        <v/>
      </c>
      <c r="FP154" s="530" t="str">
        <f t="shared" si="405"/>
        <v/>
      </c>
      <c r="FQ154" s="368" t="str">
        <f t="shared" si="454"/>
        <v/>
      </c>
      <c r="FR154" s="65">
        <f t="shared" si="455"/>
        <v>0</v>
      </c>
      <c r="FS154" s="65">
        <f t="shared" si="456"/>
        <v>0</v>
      </c>
      <c r="FT154" s="66" t="str">
        <f t="shared" si="457"/>
        <v/>
      </c>
      <c r="FU154" s="74" t="str">
        <f>IF('Marks Entry'!BU154="","",'Marks Entry'!BU154)</f>
        <v/>
      </c>
      <c r="FV154" s="74" t="str">
        <f>IF('Marks Entry'!BV154="","",'Marks Entry'!BV154)</f>
        <v/>
      </c>
      <c r="FW154" s="74" t="str">
        <f>IF('Marks Entry'!BW154="","",'Marks Entry'!BW154)</f>
        <v/>
      </c>
      <c r="FX154" s="75" t="str">
        <f t="shared" si="406"/>
        <v/>
      </c>
      <c r="FY154" s="368" t="str">
        <f t="shared" si="458"/>
        <v/>
      </c>
      <c r="FZ154" s="65">
        <f t="shared" si="459"/>
        <v>0</v>
      </c>
      <c r="GA154" s="66">
        <f t="shared" si="460"/>
        <v>0</v>
      </c>
      <c r="GB154" s="66" t="str">
        <f t="shared" si="461"/>
        <v/>
      </c>
      <c r="GC154" s="74" t="str">
        <f>IF('Marks Entry'!BX154="","",'Marks Entry'!BX154)</f>
        <v/>
      </c>
      <c r="GD154" s="74" t="str">
        <f>IF('Marks Entry'!BY154="","",'Marks Entry'!BY154)</f>
        <v/>
      </c>
      <c r="GE154" s="74" t="str">
        <f>IF('Marks Entry'!BZ154="","",'Marks Entry'!BZ154)</f>
        <v/>
      </c>
      <c r="GF154" s="75" t="str">
        <f t="shared" si="462"/>
        <v/>
      </c>
      <c r="GG154" s="368" t="str">
        <f t="shared" si="463"/>
        <v/>
      </c>
      <c r="GH154" s="65">
        <f t="shared" si="464"/>
        <v>0</v>
      </c>
      <c r="GI154" s="66">
        <f t="shared" si="465"/>
        <v>0</v>
      </c>
      <c r="GJ154" s="66" t="str">
        <f t="shared" si="466"/>
        <v/>
      </c>
      <c r="GK154" s="100" t="str">
        <f>IF(AND(F154="",B154=""),"",IF('Student DATA Entry'!M151="","",'Student DATA Entry'!M151))</f>
        <v/>
      </c>
      <c r="GL154" s="101" t="str">
        <f>IF(AND(B154="",F154=""),"",IF('Student DATA Entry'!N151="","",'Student DATA Entry'!N151))</f>
        <v/>
      </c>
      <c r="GM154" s="581" t="str">
        <f t="shared" si="467"/>
        <v/>
      </c>
      <c r="GN154" s="94" t="str">
        <f t="shared" si="468"/>
        <v/>
      </c>
      <c r="GO154" s="94" t="str">
        <f t="shared" si="469"/>
        <v/>
      </c>
      <c r="GP154" s="102" t="str">
        <f t="shared" si="407"/>
        <v/>
      </c>
      <c r="GQ154" s="94" t="str">
        <f t="shared" si="470"/>
        <v/>
      </c>
      <c r="GR154" s="103" t="str">
        <f t="shared" si="471"/>
        <v/>
      </c>
      <c r="GS154" s="102" t="str">
        <f t="shared" si="408"/>
        <v/>
      </c>
      <c r="GT154" s="104" t="str">
        <f t="shared" si="472"/>
        <v/>
      </c>
      <c r="GU154" s="94" t="str">
        <f>IF('Marks Entry'!V154=1,GT154,"")</f>
        <v/>
      </c>
      <c r="GV154" s="94" t="str">
        <f>IF('Marks Entry'!V154=2,GT154,"")</f>
        <v/>
      </c>
      <c r="GW154" s="94" t="str">
        <f>IF('Marks Entry'!V154=3,GT154,"")</f>
        <v/>
      </c>
      <c r="GX154" s="94" t="str">
        <f>IF('Marks Entry'!V154=4,GT154,"")</f>
        <v/>
      </c>
      <c r="GY154" s="94" t="str">
        <f>IF('Marks Entry'!V154=5,GT154,"")</f>
        <v/>
      </c>
      <c r="GZ154" s="94" t="str">
        <f t="shared" si="473"/>
        <v/>
      </c>
      <c r="HA154" s="105" t="str">
        <f t="shared" si="409"/>
        <v/>
      </c>
      <c r="HB154" s="94" t="str">
        <f t="shared" si="474"/>
        <v/>
      </c>
      <c r="HC154" s="94" t="str">
        <f t="shared" si="475"/>
        <v/>
      </c>
      <c r="HD154" s="105" t="str">
        <f t="shared" si="410"/>
        <v/>
      </c>
      <c r="HE154" s="94" t="str">
        <f t="shared" si="476"/>
        <v/>
      </c>
      <c r="HF154" s="94" t="str">
        <f t="shared" si="477"/>
        <v/>
      </c>
      <c r="HG154" s="105" t="str">
        <f t="shared" si="411"/>
        <v/>
      </c>
      <c r="HH154" s="94" t="str">
        <f t="shared" si="478"/>
        <v/>
      </c>
      <c r="HI154" s="94" t="str">
        <f t="shared" si="479"/>
        <v/>
      </c>
      <c r="HJ154" s="105" t="str">
        <f t="shared" si="412"/>
        <v/>
      </c>
      <c r="HK154" s="94" t="str">
        <f t="shared" si="480"/>
        <v/>
      </c>
      <c r="HL154" s="94" t="str">
        <f t="shared" si="481"/>
        <v/>
      </c>
      <c r="HM154" s="105" t="str">
        <f t="shared" si="413"/>
        <v/>
      </c>
      <c r="HN154" s="367" t="str">
        <f t="shared" si="482"/>
        <v xml:space="preserve">      </v>
      </c>
      <c r="HO154" s="418" t="str">
        <f t="shared" si="414"/>
        <v xml:space="preserve">      </v>
      </c>
      <c r="HP154" s="367" t="str">
        <f t="shared" si="483"/>
        <v xml:space="preserve">      </v>
      </c>
      <c r="HQ154" s="107" t="str">
        <f t="shared" si="484"/>
        <v xml:space="preserve">      </v>
      </c>
      <c r="HR154" s="366" t="str">
        <f t="shared" si="485"/>
        <v xml:space="preserve">      </v>
      </c>
      <c r="HS154" s="544" t="str">
        <f t="shared" si="415"/>
        <v/>
      </c>
      <c r="HT154" s="542" t="str">
        <f t="shared" si="486"/>
        <v/>
      </c>
      <c r="HU154" s="541" t="str">
        <f t="shared" si="487"/>
        <v/>
      </c>
      <c r="HV154" s="540" t="str">
        <f t="shared" si="488"/>
        <v/>
      </c>
      <c r="HW154" s="537" t="str">
        <f t="shared" si="489"/>
        <v/>
      </c>
      <c r="HX154" s="539" t="str">
        <f t="shared" si="490"/>
        <v/>
      </c>
      <c r="HY154" s="553" t="str">
        <f>IFERROR(IF(OR(HS154="SUPPLEMENTARY",HS154="RE-EXAM"),'Supp. Result Entry'!AQ152,""),"")</f>
        <v/>
      </c>
      <c r="HZ154" s="538" t="str">
        <f t="shared" si="491"/>
        <v/>
      </c>
      <c r="IA154" s="415" t="str">
        <f t="shared" si="492"/>
        <v/>
      </c>
      <c r="IB154" s="415" t="str">
        <f>IF(AND(HZ154="",IA154=""),"",IF(OR(HS154="SUPPLEMENTARY",HS154="RE-EXAM"),'Supp. Result Entry'!AQ152,HS154))</f>
        <v/>
      </c>
      <c r="IC154" s="87"/>
      <c r="IS154" s="109" t="str">
        <f>IF('Supp. Result Entry'!T152="","",'Supp. Result Entry'!$T$4)</f>
        <v/>
      </c>
      <c r="IT154" s="110" t="str">
        <f>IF('Supp. Result Entry'!W152="","",'Supp. Result Entry'!$W$4)</f>
        <v/>
      </c>
      <c r="IU154" s="110" t="str">
        <f>IF('Supp. Result Entry'!Z152="","",'Supp. Result Entry'!$Z$4)</f>
        <v/>
      </c>
      <c r="IV154" s="110" t="str">
        <f>IF('Supp. Result Entry'!AC152="","",'Supp. Result Entry'!$AC$4)</f>
        <v/>
      </c>
      <c r="IW154" s="110" t="str">
        <f>IF('Supp. Result Entry'!AF152="","",'Supp. Result Entry'!$AF$4)</f>
        <v/>
      </c>
      <c r="IX154" s="110" t="str">
        <f>IF('Supp. Result Entry'!AI152="","",'Supp. Result Entry'!$AI$4)</f>
        <v/>
      </c>
      <c r="IY154" s="110" t="str">
        <f>IF('Supp. Result Entry'!AI152="","",'Supp. Result Entry'!$AL$4)</f>
        <v/>
      </c>
      <c r="IZ154" s="110" t="str">
        <f>IF('Supp. Result Entry'!U152="","",'Supp. Result Entry'!U152)</f>
        <v/>
      </c>
      <c r="JA154" s="110" t="str">
        <f>IF('Supp. Result Entry'!X152="","",'Supp. Result Entry'!X152)</f>
        <v/>
      </c>
      <c r="JB154" s="110" t="str">
        <f>IF('Supp. Result Entry'!AA152="","",'Supp. Result Entry'!AA152)</f>
        <v/>
      </c>
      <c r="JC154" s="110" t="str">
        <f>IF('Supp. Result Entry'!AD152="","",'Supp. Result Entry'!AD152)</f>
        <v/>
      </c>
      <c r="JD154" s="110" t="str">
        <f>IF('Supp. Result Entry'!AG152="","",'Supp. Result Entry'!AG152)</f>
        <v/>
      </c>
      <c r="JE154" s="110" t="str">
        <f>IF('Supp. Result Entry'!AJ152="","",'Supp. Result Entry'!AJ152)</f>
        <v/>
      </c>
      <c r="JF154" s="110" t="str">
        <f>IF('Supp. Result Entry'!AM152="","",'Supp. Result Entry'!AM152)</f>
        <v/>
      </c>
      <c r="JG154" s="110" t="str">
        <f>IF('Supp. Result Entry'!V152="","",'Supp. Result Entry'!V152)</f>
        <v/>
      </c>
      <c r="JH154" s="110" t="str">
        <f>IF('Supp. Result Entry'!Y152="","",'Supp. Result Entry'!Y152)</f>
        <v/>
      </c>
      <c r="JI154" s="110" t="str">
        <f>IF('Supp. Result Entry'!AB152="","",'Supp. Result Entry'!AB152)</f>
        <v/>
      </c>
      <c r="JJ154" s="110" t="str">
        <f>IF('Supp. Result Entry'!AE152="","",'Supp. Result Entry'!AE152)</f>
        <v/>
      </c>
      <c r="JK154" s="110" t="str">
        <f>IF('Supp. Result Entry'!AH152="","",'Supp. Result Entry'!AH152)</f>
        <v/>
      </c>
      <c r="JL154" s="110" t="str">
        <f>IF('Supp. Result Entry'!AK152="","",'Supp. Result Entry'!AK152)</f>
        <v/>
      </c>
      <c r="JM154" s="110" t="str">
        <f>IF('Supp. Result Entry'!AN152="","",'Supp. Result Entry'!AN152)</f>
        <v/>
      </c>
      <c r="JN154" s="110">
        <f>COUNTIF('Supp. Result Entry'!K152:Q152,"S")</f>
        <v>0</v>
      </c>
      <c r="JO154" s="110">
        <f t="shared" si="416"/>
        <v>0</v>
      </c>
      <c r="JP154" s="110">
        <f t="shared" si="493"/>
        <v>0</v>
      </c>
      <c r="JQ154" s="110" t="str">
        <f t="shared" si="417"/>
        <v/>
      </c>
      <c r="JR154" s="110" t="str">
        <f t="shared" si="418"/>
        <v/>
      </c>
      <c r="JS154" s="110" t="str">
        <f t="shared" si="419"/>
        <v/>
      </c>
      <c r="JT154" s="110" t="str">
        <f t="shared" si="420"/>
        <v/>
      </c>
      <c r="JU154" s="110" t="str">
        <f t="shared" si="421"/>
        <v/>
      </c>
      <c r="JV154" s="110" t="str">
        <f t="shared" si="422"/>
        <v/>
      </c>
      <c r="JW154" s="110" t="str">
        <f t="shared" si="423"/>
        <v/>
      </c>
      <c r="JX154" s="110" t="str">
        <f t="shared" si="494"/>
        <v/>
      </c>
      <c r="JY154" s="110" t="str">
        <f t="shared" si="495"/>
        <v/>
      </c>
      <c r="JZ154" s="110" t="str">
        <f t="shared" si="424"/>
        <v/>
      </c>
      <c r="KA154" s="108" t="str">
        <f t="shared" si="496"/>
        <v/>
      </c>
    </row>
    <row r="155" spans="1:287" s="108" customFormat="1" ht="21.95" customHeight="1">
      <c r="A155" s="89">
        <v>149</v>
      </c>
      <c r="B155" s="90" t="str">
        <f>IF('Marks Entry'!B155="","",'Marks Entry'!B155)</f>
        <v/>
      </c>
      <c r="C155" s="94" t="str">
        <f>IF('Marks Entry'!D155="","",'Marks Entry'!D155)</f>
        <v/>
      </c>
      <c r="D155" s="91" t="str">
        <f>IF('Marks Entry'!E155="","",'Marks Entry'!E155)</f>
        <v/>
      </c>
      <c r="E155" s="92" t="str">
        <f>IF('Marks Entry'!F155="","",'Marks Entry'!F155)</f>
        <v/>
      </c>
      <c r="F155" s="93" t="str">
        <f>IF('Marks Entry'!G155="","",'Marks Entry'!G155)</f>
        <v/>
      </c>
      <c r="G155" s="93" t="str">
        <f>IF('Marks Entry'!H155="","",'Marks Entry'!H155)</f>
        <v/>
      </c>
      <c r="H155" s="93" t="str">
        <f>IF('Marks Entry'!I155="","",'Marks Entry'!I155)</f>
        <v/>
      </c>
      <c r="I155" s="94" t="str">
        <f>IF('Marks Entry'!J155="","",'Marks Entry'!J155)</f>
        <v/>
      </c>
      <c r="J155" s="95" t="str">
        <f>IF('Marks Entry'!K155="","",'Marks Entry'!K155)</f>
        <v/>
      </c>
      <c r="K155" s="68" t="str">
        <f>IF('Marks Entry'!L155="","",'Marks Entry'!L155)</f>
        <v/>
      </c>
      <c r="L155" s="68" t="str">
        <f>IF('Marks Entry'!M155="","",'Marks Entry'!M155)</f>
        <v/>
      </c>
      <c r="M155" s="68" t="str">
        <f>IF('Marks Entry'!N155="","",'Marks Entry'!N155)</f>
        <v/>
      </c>
      <c r="N155" s="514" t="str">
        <f t="shared" si="425"/>
        <v/>
      </c>
      <c r="O155" s="68" t="str">
        <f>IF('Marks Entry'!O155="","",'Marks Entry'!O155)</f>
        <v/>
      </c>
      <c r="P155" s="515" t="str">
        <f t="shared" si="426"/>
        <v/>
      </c>
      <c r="Q155" s="68" t="str">
        <f>IF('Marks Entry'!P155="","",'Marks Entry'!P155)</f>
        <v/>
      </c>
      <c r="R155" s="96" t="str">
        <f t="shared" si="427"/>
        <v/>
      </c>
      <c r="S155" s="65">
        <f t="shared" si="428"/>
        <v>0</v>
      </c>
      <c r="T155" s="65">
        <f t="shared" si="429"/>
        <v>0</v>
      </c>
      <c r="U155" s="66" t="str">
        <f t="shared" si="339"/>
        <v/>
      </c>
      <c r="V155" s="65" t="str">
        <f t="shared" si="340"/>
        <v/>
      </c>
      <c r="W155" s="65" t="str">
        <f t="shared" si="430"/>
        <v/>
      </c>
      <c r="X155" s="65" t="str">
        <f t="shared" si="341"/>
        <v/>
      </c>
      <c r="Y155" s="68" t="str">
        <f>IF('Marks Entry'!Q155="","",'Marks Entry'!Q155)</f>
        <v/>
      </c>
      <c r="Z155" s="68" t="str">
        <f>IF('Marks Entry'!R155="","",'Marks Entry'!R155)</f>
        <v/>
      </c>
      <c r="AA155" s="68" t="str">
        <f>IF('Marks Entry'!S155="","",'Marks Entry'!S155)</f>
        <v/>
      </c>
      <c r="AB155" s="514" t="str">
        <f t="shared" si="342"/>
        <v/>
      </c>
      <c r="AC155" s="68" t="str">
        <f>IF('Marks Entry'!T155="","",'Marks Entry'!T155)</f>
        <v/>
      </c>
      <c r="AD155" s="515" t="str">
        <f t="shared" si="343"/>
        <v/>
      </c>
      <c r="AE155" s="68" t="str">
        <f>IF('Marks Entry'!U155="","",'Marks Entry'!U155)</f>
        <v/>
      </c>
      <c r="AF155" s="96" t="str">
        <f t="shared" si="344"/>
        <v/>
      </c>
      <c r="AG155" s="65">
        <f t="shared" si="345"/>
        <v>0</v>
      </c>
      <c r="AH155" s="65">
        <f t="shared" si="346"/>
        <v>0</v>
      </c>
      <c r="AI155" s="66" t="str">
        <f t="shared" si="347"/>
        <v/>
      </c>
      <c r="AJ155" s="65" t="str">
        <f t="shared" si="348"/>
        <v/>
      </c>
      <c r="AK155" s="65" t="str">
        <f t="shared" si="349"/>
        <v/>
      </c>
      <c r="AL155" s="65" t="str">
        <f t="shared" si="350"/>
        <v/>
      </c>
      <c r="AM155" s="524" t="str">
        <f>IF('Marks Entry'!V155="","",IF('Marks Entry'!V155=1,'School Profile'!$I$9,IF('Marks Entry'!V155=2,'School Profile'!$I$10,IF('Marks Entry'!V155=3,'School Profile'!$I$11,IF('Marks Entry'!V155=4,'School Profile'!$I$12,IF('Marks Entry'!V155=5,'School Profile'!$I$13,IF('Marks Entry'!V155=6,'School Profile'!$I$14,"")))))))</f>
        <v/>
      </c>
      <c r="AN155" s="68" t="str">
        <f>IF('Marks Entry'!W155="","",'Marks Entry'!W155)</f>
        <v/>
      </c>
      <c r="AO155" s="68" t="str">
        <f>IF('Marks Entry'!X155="","",'Marks Entry'!X155)</f>
        <v/>
      </c>
      <c r="AP155" s="68" t="str">
        <f>IF('Marks Entry'!Y155="","",'Marks Entry'!Y155)</f>
        <v/>
      </c>
      <c r="AQ155" s="514" t="str">
        <f t="shared" si="351"/>
        <v/>
      </c>
      <c r="AR155" s="68" t="str">
        <f>IF('Marks Entry'!Z155="","",'Marks Entry'!Z155)</f>
        <v/>
      </c>
      <c r="AS155" s="515" t="str">
        <f t="shared" si="352"/>
        <v/>
      </c>
      <c r="AT155" s="68" t="str">
        <f>IF('Marks Entry'!AA155="","",'Marks Entry'!AA155)</f>
        <v/>
      </c>
      <c r="AU155" s="96" t="str">
        <f t="shared" si="353"/>
        <v/>
      </c>
      <c r="AV155" s="65">
        <f t="shared" si="354"/>
        <v>0</v>
      </c>
      <c r="AW155" s="65">
        <f t="shared" si="355"/>
        <v>0</v>
      </c>
      <c r="AX155" s="66" t="str">
        <f t="shared" si="356"/>
        <v/>
      </c>
      <c r="AY155" s="65" t="str">
        <f t="shared" si="357"/>
        <v/>
      </c>
      <c r="AZ155" s="65" t="str">
        <f t="shared" si="358"/>
        <v/>
      </c>
      <c r="BA155" s="65" t="str">
        <f t="shared" si="359"/>
        <v/>
      </c>
      <c r="BB155" s="68" t="str">
        <f>IF('Marks Entry'!AB155="","",'Marks Entry'!AB155)</f>
        <v/>
      </c>
      <c r="BC155" s="68" t="str">
        <f>IF('Marks Entry'!AC155="","",'Marks Entry'!AC155)</f>
        <v/>
      </c>
      <c r="BD155" s="68" t="str">
        <f>IF('Marks Entry'!AD155="","",'Marks Entry'!AD155)</f>
        <v/>
      </c>
      <c r="BE155" s="514" t="str">
        <f t="shared" si="360"/>
        <v/>
      </c>
      <c r="BF155" s="68" t="str">
        <f>IF('Marks Entry'!AE155="","",'Marks Entry'!AE155)</f>
        <v/>
      </c>
      <c r="BG155" s="515" t="str">
        <f t="shared" si="361"/>
        <v/>
      </c>
      <c r="BH155" s="68" t="str">
        <f>IF('Marks Entry'!AF155="","",'Marks Entry'!AF155)</f>
        <v/>
      </c>
      <c r="BI155" s="96" t="str">
        <f t="shared" si="362"/>
        <v/>
      </c>
      <c r="BJ155" s="65">
        <f t="shared" si="363"/>
        <v>0</v>
      </c>
      <c r="BK155" s="65">
        <f t="shared" si="431"/>
        <v>0</v>
      </c>
      <c r="BL155" s="66" t="str">
        <f t="shared" si="364"/>
        <v/>
      </c>
      <c r="BM155" s="65" t="str">
        <f t="shared" si="365"/>
        <v/>
      </c>
      <c r="BN155" s="65" t="str">
        <f t="shared" si="366"/>
        <v/>
      </c>
      <c r="BO155" s="65" t="str">
        <f t="shared" si="367"/>
        <v/>
      </c>
      <c r="BP155" s="68" t="str">
        <f>IF('Marks Entry'!AG155="","",'Marks Entry'!AG155)</f>
        <v/>
      </c>
      <c r="BQ155" s="68" t="str">
        <f>IF('Marks Entry'!AH155="","",'Marks Entry'!AH155)</f>
        <v/>
      </c>
      <c r="BR155" s="68" t="str">
        <f>IF('Marks Entry'!AI155="","",'Marks Entry'!AI155)</f>
        <v/>
      </c>
      <c r="BS155" s="514" t="str">
        <f t="shared" si="368"/>
        <v/>
      </c>
      <c r="BT155" s="68" t="str">
        <f>IF('Marks Entry'!AJ155="","",'Marks Entry'!AJ155)</f>
        <v/>
      </c>
      <c r="BU155" s="515" t="str">
        <f t="shared" si="369"/>
        <v/>
      </c>
      <c r="BV155" s="68" t="str">
        <f>IF('Marks Entry'!AK155="","",'Marks Entry'!AK155)</f>
        <v/>
      </c>
      <c r="BW155" s="96" t="str">
        <f t="shared" si="370"/>
        <v/>
      </c>
      <c r="BX155" s="65">
        <f t="shared" si="371"/>
        <v>0</v>
      </c>
      <c r="BY155" s="65">
        <f t="shared" si="372"/>
        <v>0</v>
      </c>
      <c r="BZ155" s="66" t="str">
        <f t="shared" si="373"/>
        <v/>
      </c>
      <c r="CA155" s="65" t="str">
        <f t="shared" si="374"/>
        <v/>
      </c>
      <c r="CB155" s="65" t="str">
        <f t="shared" si="375"/>
        <v/>
      </c>
      <c r="CC155" s="65" t="str">
        <f t="shared" si="376"/>
        <v/>
      </c>
      <c r="CD155" s="66">
        <f t="shared" si="377"/>
        <v>0</v>
      </c>
      <c r="CE155" s="68" t="str">
        <f>IF('Marks Entry'!AL155="","",'Marks Entry'!AL155)</f>
        <v/>
      </c>
      <c r="CF155" s="68" t="str">
        <f>IF('Marks Entry'!AM155="","",'Marks Entry'!AM155)</f>
        <v/>
      </c>
      <c r="CG155" s="68" t="str">
        <f>IF('Marks Entry'!AN155="","",'Marks Entry'!AN155)</f>
        <v/>
      </c>
      <c r="CH155" s="514" t="str">
        <f t="shared" si="378"/>
        <v/>
      </c>
      <c r="CI155" s="68" t="str">
        <f>IF('Marks Entry'!AO155="","",'Marks Entry'!AO155)</f>
        <v/>
      </c>
      <c r="CJ155" s="515" t="str">
        <f t="shared" si="379"/>
        <v/>
      </c>
      <c r="CK155" s="68" t="str">
        <f>IF('Marks Entry'!AP155="","",'Marks Entry'!AP155)</f>
        <v/>
      </c>
      <c r="CL155" s="96" t="str">
        <f t="shared" si="380"/>
        <v/>
      </c>
      <c r="CM155" s="65">
        <f t="shared" si="381"/>
        <v>0</v>
      </c>
      <c r="CN155" s="65">
        <f t="shared" si="382"/>
        <v>0</v>
      </c>
      <c r="CO155" s="66" t="str">
        <f t="shared" si="383"/>
        <v/>
      </c>
      <c r="CP155" s="65" t="str">
        <f t="shared" si="384"/>
        <v/>
      </c>
      <c r="CQ155" s="65" t="str">
        <f t="shared" si="385"/>
        <v/>
      </c>
      <c r="CR155" s="65" t="str">
        <f t="shared" si="386"/>
        <v/>
      </c>
      <c r="CS155" s="616"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8" t="str">
        <f>IF('School Profile'!$D$20="NO","",IF('Marks Entry'!AR155="","",'Marks Entry'!AR155))</f>
        <v/>
      </c>
      <c r="CU155" s="68" t="str">
        <f>IF('School Profile'!$D$20="NO","",IF('Marks Entry'!AS155="","",'Marks Entry'!AS155))</f>
        <v/>
      </c>
      <c r="CV155" s="68" t="str">
        <f>IF('School Profile'!$D$20="NO","",IF('Marks Entry'!AT155="","",'Marks Entry'!AT155))</f>
        <v/>
      </c>
      <c r="CW155" s="514" t="str">
        <f>IF('School Profile'!$D$20="NO","",IF(AND(CT155="",CU155="",CV155=""),"",SUM(CT155:CV155)))</f>
        <v/>
      </c>
      <c r="CX155" s="68" t="str">
        <f>IF('School Profile'!$D$20="NO","",IF('Marks Entry'!AU155="","",'Marks Entry'!AU155))</f>
        <v/>
      </c>
      <c r="CY155" s="68" t="str">
        <f>IF('School Profile'!$D$20="NO","",IF('Marks Entry'!AV155="","",'Marks Entry'!AV155))</f>
        <v/>
      </c>
      <c r="CZ155" s="515" t="str">
        <f>IF('School Profile'!$D$20="NO","",IF(AND(CX155="",CY155=""),"",SUM(CX155,CY155)))</f>
        <v/>
      </c>
      <c r="DA155" s="69" t="str">
        <f>IF('School Profile'!$D$20="NO","",IF(AND(CW155="",CZ155=""),"",SUM(CW155+CZ155)))</f>
        <v/>
      </c>
      <c r="DB155" s="68" t="str">
        <f>IF('School Profile'!$D$20="NO","",IF('Marks Entry'!AW155="","",'Marks Entry'!AW155))</f>
        <v/>
      </c>
      <c r="DC155" s="68" t="str">
        <f>IF('School Profile'!$D$20="NO","",IF('Marks Entry'!AX155="","",'Marks Entry'!AX155))</f>
        <v/>
      </c>
      <c r="DD155" s="515" t="str">
        <f>IF('School Profile'!$D$20="NO","",IF(AND(DB155="",DC155=""),"",SUM(DB155,DC155)))</f>
        <v/>
      </c>
      <c r="DE155" s="96" t="str">
        <f>IF('School Profile'!$D$20="NO","",IF(AND(DA155="",DD155=""),"",SUM(DA155,DD155)))</f>
        <v/>
      </c>
      <c r="DF155" s="532">
        <f t="shared" si="387"/>
        <v>0</v>
      </c>
      <c r="DG155" s="65">
        <f t="shared" si="388"/>
        <v>0</v>
      </c>
      <c r="DH155" s="66" t="str">
        <f t="shared" si="389"/>
        <v/>
      </c>
      <c r="DI155" s="65" t="str">
        <f t="shared" si="390"/>
        <v/>
      </c>
      <c r="DJ155" s="65" t="str">
        <f t="shared" si="391"/>
        <v/>
      </c>
      <c r="DK155" s="65" t="str">
        <f t="shared" si="392"/>
        <v/>
      </c>
      <c r="DL155" s="97" t="str">
        <f t="shared" si="432"/>
        <v/>
      </c>
      <c r="DM155" s="97" t="str">
        <f t="shared" si="433"/>
        <v/>
      </c>
      <c r="DN155" s="97" t="str">
        <f t="shared" si="434"/>
        <v/>
      </c>
      <c r="DO155" s="97" t="str">
        <f t="shared" si="435"/>
        <v/>
      </c>
      <c r="DP155" s="97" t="str">
        <f t="shared" si="436"/>
        <v/>
      </c>
      <c r="DQ155" s="97" t="str">
        <f t="shared" si="437"/>
        <v/>
      </c>
      <c r="DR155" s="97" t="str">
        <f t="shared" si="438"/>
        <v/>
      </c>
      <c r="DS155" s="98">
        <f t="shared" si="439"/>
        <v>0</v>
      </c>
      <c r="DT155" s="98">
        <f t="shared" si="440"/>
        <v>0</v>
      </c>
      <c r="DU155" s="98">
        <f t="shared" si="441"/>
        <v>0</v>
      </c>
      <c r="DV155" s="98">
        <f t="shared" si="442"/>
        <v>0</v>
      </c>
      <c r="DW155" s="98">
        <f t="shared" si="443"/>
        <v>0</v>
      </c>
      <c r="DX155" s="98" t="str">
        <f t="shared" si="444"/>
        <v/>
      </c>
      <c r="DY155" s="99" t="str">
        <f t="shared" si="445"/>
        <v/>
      </c>
      <c r="DZ155" s="74" t="str">
        <f>IF('Marks Entry'!AY155="","",'Marks Entry'!AY155)</f>
        <v/>
      </c>
      <c r="EA155" s="74" t="str">
        <f>IF('Marks Entry'!AZ155="","",'Marks Entry'!AZ155)</f>
        <v/>
      </c>
      <c r="EB155" s="74" t="str">
        <f>IF('Marks Entry'!BA155="","",'Marks Entry'!BA155)</f>
        <v/>
      </c>
      <c r="EC155" s="527" t="str">
        <f t="shared" si="393"/>
        <v/>
      </c>
      <c r="ED155" s="74" t="str">
        <f>IF('Marks Entry'!BB155="","",'Marks Entry'!BB155)</f>
        <v/>
      </c>
      <c r="EE155" s="528" t="str">
        <f t="shared" si="394"/>
        <v/>
      </c>
      <c r="EF155" s="74" t="str">
        <f>IF('Marks Entry'!BC155="","",'Marks Entry'!BC155)</f>
        <v/>
      </c>
      <c r="EG155" s="530" t="str">
        <f t="shared" si="395"/>
        <v/>
      </c>
      <c r="EH155" s="368" t="str">
        <f t="shared" si="446"/>
        <v/>
      </c>
      <c r="EI155" s="65">
        <f t="shared" si="447"/>
        <v>0</v>
      </c>
      <c r="EJ155" s="65">
        <f t="shared" si="448"/>
        <v>0</v>
      </c>
      <c r="EK155" s="66" t="str">
        <f t="shared" si="449"/>
        <v/>
      </c>
      <c r="EL155" s="74" t="str">
        <f>IF('Marks Entry'!BD155="","",'Marks Entry'!BD155)</f>
        <v/>
      </c>
      <c r="EM155" s="74" t="str">
        <f>IF('Marks Entry'!BE155="","",'Marks Entry'!BE155)</f>
        <v/>
      </c>
      <c r="EN155" s="74" t="str">
        <f>IF('Marks Entry'!BF155="","",'Marks Entry'!BF155)</f>
        <v/>
      </c>
      <c r="EO155" s="527" t="str">
        <f t="shared" si="396"/>
        <v/>
      </c>
      <c r="EP155" s="74" t="str">
        <f>IF('Marks Entry'!BG155="","",'Marks Entry'!BG155)</f>
        <v/>
      </c>
      <c r="EQ155" s="74" t="str">
        <f>IF('Marks Entry'!BH155="","",'Marks Entry'!BH155)</f>
        <v/>
      </c>
      <c r="ER155" s="528" t="str">
        <f t="shared" si="397"/>
        <v/>
      </c>
      <c r="ES155" s="529" t="str">
        <f t="shared" si="398"/>
        <v/>
      </c>
      <c r="ET155" s="74" t="str">
        <f>IF('Marks Entry'!BI155="","",'Marks Entry'!BI155)</f>
        <v/>
      </c>
      <c r="EU155" s="74" t="str">
        <f>IF('Marks Entry'!BJ155="","",'Marks Entry'!BJ155)</f>
        <v/>
      </c>
      <c r="EV155" s="528" t="str">
        <f t="shared" si="399"/>
        <v/>
      </c>
      <c r="EW155" s="530" t="str">
        <f t="shared" si="400"/>
        <v/>
      </c>
      <c r="EX155" s="368" t="str">
        <f t="shared" si="450"/>
        <v/>
      </c>
      <c r="EY155" s="65">
        <f t="shared" si="451"/>
        <v>0</v>
      </c>
      <c r="EZ155" s="65">
        <f t="shared" si="452"/>
        <v>0</v>
      </c>
      <c r="FA155" s="66" t="str">
        <f t="shared" si="453"/>
        <v/>
      </c>
      <c r="FB155" s="74" t="str">
        <f>IF('Marks Entry'!BK155="","",'Marks Entry'!BK155)</f>
        <v/>
      </c>
      <c r="FC155" s="74" t="str">
        <f>IF('Marks Entry'!BL155="","",'Marks Entry'!BL155)</f>
        <v/>
      </c>
      <c r="FD155" s="74" t="str">
        <f>IF('Marks Entry'!BM155="","",'Marks Entry'!BM155)</f>
        <v/>
      </c>
      <c r="FE155" s="74" t="str">
        <f>IF('Marks Entry'!BN155="","",'Marks Entry'!BN155)</f>
        <v/>
      </c>
      <c r="FF155" s="74" t="str">
        <f>IF('Marks Entry'!BO155="","",'Marks Entry'!BO155)</f>
        <v/>
      </c>
      <c r="FG155" s="74" t="str">
        <f>IF('Marks Entry'!BP155="","",'Marks Entry'!BP155)</f>
        <v/>
      </c>
      <c r="FH155" s="527" t="str">
        <f t="shared" si="401"/>
        <v/>
      </c>
      <c r="FI155" s="74" t="str">
        <f>IF('Marks Entry'!BQ155="","",'Marks Entry'!BQ155)</f>
        <v/>
      </c>
      <c r="FJ155" s="74" t="str">
        <f>IF('Marks Entry'!BR155="","",'Marks Entry'!BR155)</f>
        <v/>
      </c>
      <c r="FK155" s="528" t="str">
        <f t="shared" si="402"/>
        <v/>
      </c>
      <c r="FL155" s="529" t="str">
        <f t="shared" si="403"/>
        <v/>
      </c>
      <c r="FM155" s="74" t="str">
        <f>IF('Marks Entry'!BS155="","",'Marks Entry'!BS155)</f>
        <v/>
      </c>
      <c r="FN155" s="74" t="str">
        <f>IF('Marks Entry'!BT155="","",'Marks Entry'!BT155)</f>
        <v/>
      </c>
      <c r="FO155" s="528" t="str">
        <f t="shared" si="404"/>
        <v/>
      </c>
      <c r="FP155" s="530" t="str">
        <f t="shared" si="405"/>
        <v/>
      </c>
      <c r="FQ155" s="368" t="str">
        <f t="shared" si="454"/>
        <v/>
      </c>
      <c r="FR155" s="65">
        <f t="shared" si="455"/>
        <v>0</v>
      </c>
      <c r="FS155" s="65">
        <f t="shared" si="456"/>
        <v>0</v>
      </c>
      <c r="FT155" s="66" t="str">
        <f t="shared" si="457"/>
        <v/>
      </c>
      <c r="FU155" s="74" t="str">
        <f>IF('Marks Entry'!BU155="","",'Marks Entry'!BU155)</f>
        <v/>
      </c>
      <c r="FV155" s="74" t="str">
        <f>IF('Marks Entry'!BV155="","",'Marks Entry'!BV155)</f>
        <v/>
      </c>
      <c r="FW155" s="74" t="str">
        <f>IF('Marks Entry'!BW155="","",'Marks Entry'!BW155)</f>
        <v/>
      </c>
      <c r="FX155" s="75" t="str">
        <f t="shared" si="406"/>
        <v/>
      </c>
      <c r="FY155" s="368" t="str">
        <f t="shared" si="458"/>
        <v/>
      </c>
      <c r="FZ155" s="65">
        <f t="shared" si="459"/>
        <v>0</v>
      </c>
      <c r="GA155" s="66">
        <f t="shared" si="460"/>
        <v>0</v>
      </c>
      <c r="GB155" s="66" t="str">
        <f t="shared" si="461"/>
        <v/>
      </c>
      <c r="GC155" s="74" t="str">
        <f>IF('Marks Entry'!BX155="","",'Marks Entry'!BX155)</f>
        <v/>
      </c>
      <c r="GD155" s="74" t="str">
        <f>IF('Marks Entry'!BY155="","",'Marks Entry'!BY155)</f>
        <v/>
      </c>
      <c r="GE155" s="74" t="str">
        <f>IF('Marks Entry'!BZ155="","",'Marks Entry'!BZ155)</f>
        <v/>
      </c>
      <c r="GF155" s="75" t="str">
        <f t="shared" si="462"/>
        <v/>
      </c>
      <c r="GG155" s="368" t="str">
        <f t="shared" si="463"/>
        <v/>
      </c>
      <c r="GH155" s="65">
        <f t="shared" si="464"/>
        <v>0</v>
      </c>
      <c r="GI155" s="66">
        <f t="shared" si="465"/>
        <v>0</v>
      </c>
      <c r="GJ155" s="66" t="str">
        <f t="shared" si="466"/>
        <v/>
      </c>
      <c r="GK155" s="100" t="str">
        <f>IF(AND(F155="",B155=""),"",IF('Student DATA Entry'!M152="","",'Student DATA Entry'!M152))</f>
        <v/>
      </c>
      <c r="GL155" s="101" t="str">
        <f>IF(AND(B155="",F155=""),"",IF('Student DATA Entry'!N152="","",'Student DATA Entry'!N152))</f>
        <v/>
      </c>
      <c r="GM155" s="581" t="str">
        <f t="shared" si="467"/>
        <v/>
      </c>
      <c r="GN155" s="94" t="str">
        <f t="shared" si="468"/>
        <v/>
      </c>
      <c r="GO155" s="94" t="str">
        <f t="shared" si="469"/>
        <v/>
      </c>
      <c r="GP155" s="102" t="str">
        <f t="shared" si="407"/>
        <v/>
      </c>
      <c r="GQ155" s="94" t="str">
        <f t="shared" si="470"/>
        <v/>
      </c>
      <c r="GR155" s="103" t="str">
        <f t="shared" si="471"/>
        <v/>
      </c>
      <c r="GS155" s="102" t="str">
        <f t="shared" si="408"/>
        <v/>
      </c>
      <c r="GT155" s="104" t="str">
        <f t="shared" si="472"/>
        <v/>
      </c>
      <c r="GU155" s="94" t="str">
        <f>IF('Marks Entry'!V155=1,GT155,"")</f>
        <v/>
      </c>
      <c r="GV155" s="94" t="str">
        <f>IF('Marks Entry'!V155=2,GT155,"")</f>
        <v/>
      </c>
      <c r="GW155" s="94" t="str">
        <f>IF('Marks Entry'!V155=3,GT155,"")</f>
        <v/>
      </c>
      <c r="GX155" s="94" t="str">
        <f>IF('Marks Entry'!V155=4,GT155,"")</f>
        <v/>
      </c>
      <c r="GY155" s="94" t="str">
        <f>IF('Marks Entry'!V155=5,GT155,"")</f>
        <v/>
      </c>
      <c r="GZ155" s="94" t="str">
        <f t="shared" si="473"/>
        <v/>
      </c>
      <c r="HA155" s="105" t="str">
        <f t="shared" si="409"/>
        <v/>
      </c>
      <c r="HB155" s="94" t="str">
        <f t="shared" si="474"/>
        <v/>
      </c>
      <c r="HC155" s="94" t="str">
        <f t="shared" si="475"/>
        <v/>
      </c>
      <c r="HD155" s="105" t="str">
        <f t="shared" si="410"/>
        <v/>
      </c>
      <c r="HE155" s="94" t="str">
        <f t="shared" si="476"/>
        <v/>
      </c>
      <c r="HF155" s="94" t="str">
        <f t="shared" si="477"/>
        <v/>
      </c>
      <c r="HG155" s="105" t="str">
        <f t="shared" si="411"/>
        <v/>
      </c>
      <c r="HH155" s="94" t="str">
        <f t="shared" si="478"/>
        <v/>
      </c>
      <c r="HI155" s="94" t="str">
        <f t="shared" si="479"/>
        <v/>
      </c>
      <c r="HJ155" s="105" t="str">
        <f t="shared" si="412"/>
        <v/>
      </c>
      <c r="HK155" s="94" t="str">
        <f t="shared" si="480"/>
        <v/>
      </c>
      <c r="HL155" s="94" t="str">
        <f t="shared" si="481"/>
        <v/>
      </c>
      <c r="HM155" s="105" t="str">
        <f t="shared" si="413"/>
        <v/>
      </c>
      <c r="HN155" s="367" t="str">
        <f t="shared" si="482"/>
        <v xml:space="preserve">      </v>
      </c>
      <c r="HO155" s="418" t="str">
        <f t="shared" si="414"/>
        <v xml:space="preserve">      </v>
      </c>
      <c r="HP155" s="367" t="str">
        <f t="shared" si="483"/>
        <v xml:space="preserve">      </v>
      </c>
      <c r="HQ155" s="107" t="str">
        <f t="shared" si="484"/>
        <v xml:space="preserve">      </v>
      </c>
      <c r="HR155" s="366" t="str">
        <f t="shared" si="485"/>
        <v xml:space="preserve">      </v>
      </c>
      <c r="HS155" s="544" t="str">
        <f t="shared" si="415"/>
        <v/>
      </c>
      <c r="HT155" s="542" t="str">
        <f t="shared" si="486"/>
        <v/>
      </c>
      <c r="HU155" s="541" t="str">
        <f t="shared" si="487"/>
        <v/>
      </c>
      <c r="HV155" s="540" t="str">
        <f t="shared" si="488"/>
        <v/>
      </c>
      <c r="HW155" s="537" t="str">
        <f t="shared" si="489"/>
        <v/>
      </c>
      <c r="HX155" s="539" t="str">
        <f t="shared" si="490"/>
        <v/>
      </c>
      <c r="HY155" s="553" t="str">
        <f>IFERROR(IF(OR(HS155="SUPPLEMENTARY",HS155="RE-EXAM"),'Supp. Result Entry'!AQ153,""),"")</f>
        <v/>
      </c>
      <c r="HZ155" s="538" t="str">
        <f t="shared" si="491"/>
        <v/>
      </c>
      <c r="IA155" s="415" t="str">
        <f t="shared" si="492"/>
        <v/>
      </c>
      <c r="IB155" s="415" t="str">
        <f>IF(AND(HZ155="",IA155=""),"",IF(OR(HS155="SUPPLEMENTARY",HS155="RE-EXAM"),'Supp. Result Entry'!AQ153,HS155))</f>
        <v/>
      </c>
      <c r="IC155" s="87"/>
      <c r="IS155" s="109" t="str">
        <f>IF('Supp. Result Entry'!T153="","",'Supp. Result Entry'!$T$4)</f>
        <v/>
      </c>
      <c r="IT155" s="110" t="str">
        <f>IF('Supp. Result Entry'!W153="","",'Supp. Result Entry'!$W$4)</f>
        <v/>
      </c>
      <c r="IU155" s="110" t="str">
        <f>IF('Supp. Result Entry'!Z153="","",'Supp. Result Entry'!$Z$4)</f>
        <v/>
      </c>
      <c r="IV155" s="110" t="str">
        <f>IF('Supp. Result Entry'!AC153="","",'Supp. Result Entry'!$AC$4)</f>
        <v/>
      </c>
      <c r="IW155" s="110" t="str">
        <f>IF('Supp. Result Entry'!AF153="","",'Supp. Result Entry'!$AF$4)</f>
        <v/>
      </c>
      <c r="IX155" s="110" t="str">
        <f>IF('Supp. Result Entry'!AI153="","",'Supp. Result Entry'!$AI$4)</f>
        <v/>
      </c>
      <c r="IY155" s="110" t="str">
        <f>IF('Supp. Result Entry'!AI153="","",'Supp. Result Entry'!$AL$4)</f>
        <v/>
      </c>
      <c r="IZ155" s="110" t="str">
        <f>IF('Supp. Result Entry'!U153="","",'Supp. Result Entry'!U153)</f>
        <v/>
      </c>
      <c r="JA155" s="110" t="str">
        <f>IF('Supp. Result Entry'!X153="","",'Supp. Result Entry'!X153)</f>
        <v/>
      </c>
      <c r="JB155" s="110" t="str">
        <f>IF('Supp. Result Entry'!AA153="","",'Supp. Result Entry'!AA153)</f>
        <v/>
      </c>
      <c r="JC155" s="110" t="str">
        <f>IF('Supp. Result Entry'!AD153="","",'Supp. Result Entry'!AD153)</f>
        <v/>
      </c>
      <c r="JD155" s="110" t="str">
        <f>IF('Supp. Result Entry'!AG153="","",'Supp. Result Entry'!AG153)</f>
        <v/>
      </c>
      <c r="JE155" s="110" t="str">
        <f>IF('Supp. Result Entry'!AJ153="","",'Supp. Result Entry'!AJ153)</f>
        <v/>
      </c>
      <c r="JF155" s="110" t="str">
        <f>IF('Supp. Result Entry'!AM153="","",'Supp. Result Entry'!AM153)</f>
        <v/>
      </c>
      <c r="JG155" s="110" t="str">
        <f>IF('Supp. Result Entry'!V153="","",'Supp. Result Entry'!V153)</f>
        <v/>
      </c>
      <c r="JH155" s="110" t="str">
        <f>IF('Supp. Result Entry'!Y153="","",'Supp. Result Entry'!Y153)</f>
        <v/>
      </c>
      <c r="JI155" s="110" t="str">
        <f>IF('Supp. Result Entry'!AB153="","",'Supp. Result Entry'!AB153)</f>
        <v/>
      </c>
      <c r="JJ155" s="110" t="str">
        <f>IF('Supp. Result Entry'!AE153="","",'Supp. Result Entry'!AE153)</f>
        <v/>
      </c>
      <c r="JK155" s="110" t="str">
        <f>IF('Supp. Result Entry'!AH153="","",'Supp. Result Entry'!AH153)</f>
        <v/>
      </c>
      <c r="JL155" s="110" t="str">
        <f>IF('Supp. Result Entry'!AK153="","",'Supp. Result Entry'!AK153)</f>
        <v/>
      </c>
      <c r="JM155" s="110" t="str">
        <f>IF('Supp. Result Entry'!AN153="","",'Supp. Result Entry'!AN153)</f>
        <v/>
      </c>
      <c r="JN155" s="110">
        <f>COUNTIF('Supp. Result Entry'!K153:Q153,"S")</f>
        <v>0</v>
      </c>
      <c r="JO155" s="110">
        <f t="shared" si="416"/>
        <v>0</v>
      </c>
      <c r="JP155" s="110">
        <f t="shared" si="493"/>
        <v>0</v>
      </c>
      <c r="JQ155" s="110" t="str">
        <f t="shared" si="417"/>
        <v/>
      </c>
      <c r="JR155" s="110" t="str">
        <f t="shared" si="418"/>
        <v/>
      </c>
      <c r="JS155" s="110" t="str">
        <f t="shared" si="419"/>
        <v/>
      </c>
      <c r="JT155" s="110" t="str">
        <f t="shared" si="420"/>
        <v/>
      </c>
      <c r="JU155" s="110" t="str">
        <f t="shared" si="421"/>
        <v/>
      </c>
      <c r="JV155" s="110" t="str">
        <f t="shared" si="422"/>
        <v/>
      </c>
      <c r="JW155" s="110" t="str">
        <f t="shared" si="423"/>
        <v/>
      </c>
      <c r="JX155" s="110" t="str">
        <f t="shared" si="494"/>
        <v/>
      </c>
      <c r="JY155" s="110" t="str">
        <f t="shared" si="495"/>
        <v/>
      </c>
      <c r="JZ155" s="110" t="str">
        <f t="shared" si="424"/>
        <v/>
      </c>
      <c r="KA155" s="108" t="str">
        <f t="shared" si="496"/>
        <v/>
      </c>
    </row>
    <row r="156" spans="1:287" s="108" customFormat="1" ht="21.95" customHeight="1">
      <c r="A156" s="89">
        <v>150</v>
      </c>
      <c r="B156" s="90" t="str">
        <f>IF('Marks Entry'!B156="","",'Marks Entry'!B156)</f>
        <v/>
      </c>
      <c r="C156" s="94" t="str">
        <f>IF('Marks Entry'!D156="","",'Marks Entry'!D156)</f>
        <v/>
      </c>
      <c r="D156" s="91" t="str">
        <f>IF('Marks Entry'!E156="","",'Marks Entry'!E156)</f>
        <v/>
      </c>
      <c r="E156" s="92" t="str">
        <f>IF('Marks Entry'!F156="","",'Marks Entry'!F156)</f>
        <v/>
      </c>
      <c r="F156" s="93" t="str">
        <f>IF('Marks Entry'!G156="","",'Marks Entry'!G156)</f>
        <v/>
      </c>
      <c r="G156" s="93" t="str">
        <f>IF('Marks Entry'!H156="","",'Marks Entry'!H156)</f>
        <v/>
      </c>
      <c r="H156" s="93" t="str">
        <f>IF('Marks Entry'!I156="","",'Marks Entry'!I156)</f>
        <v/>
      </c>
      <c r="I156" s="94" t="str">
        <f>IF('Marks Entry'!J156="","",'Marks Entry'!J156)</f>
        <v/>
      </c>
      <c r="J156" s="95" t="str">
        <f>IF('Marks Entry'!K156="","",'Marks Entry'!K156)</f>
        <v/>
      </c>
      <c r="K156" s="68" t="str">
        <f>IF('Marks Entry'!L156="","",'Marks Entry'!L156)</f>
        <v/>
      </c>
      <c r="L156" s="68" t="str">
        <f>IF('Marks Entry'!M156="","",'Marks Entry'!M156)</f>
        <v/>
      </c>
      <c r="M156" s="68" t="str">
        <f>IF('Marks Entry'!N156="","",'Marks Entry'!N156)</f>
        <v/>
      </c>
      <c r="N156" s="514" t="str">
        <f t="shared" si="425"/>
        <v/>
      </c>
      <c r="O156" s="68" t="str">
        <f>IF('Marks Entry'!O156="","",'Marks Entry'!O156)</f>
        <v/>
      </c>
      <c r="P156" s="515" t="str">
        <f t="shared" si="426"/>
        <v/>
      </c>
      <c r="Q156" s="68" t="str">
        <f>IF('Marks Entry'!P156="","",'Marks Entry'!P156)</f>
        <v/>
      </c>
      <c r="R156" s="96" t="str">
        <f t="shared" si="427"/>
        <v/>
      </c>
      <c r="S156" s="65">
        <f t="shared" si="428"/>
        <v>0</v>
      </c>
      <c r="T156" s="65">
        <f t="shared" si="429"/>
        <v>0</v>
      </c>
      <c r="U156" s="66" t="str">
        <f t="shared" si="339"/>
        <v/>
      </c>
      <c r="V156" s="65" t="str">
        <f t="shared" si="340"/>
        <v/>
      </c>
      <c r="W156" s="65" t="str">
        <f t="shared" si="430"/>
        <v/>
      </c>
      <c r="X156" s="65" t="str">
        <f t="shared" si="341"/>
        <v/>
      </c>
      <c r="Y156" s="68" t="str">
        <f>IF('Marks Entry'!Q156="","",'Marks Entry'!Q156)</f>
        <v/>
      </c>
      <c r="Z156" s="68" t="str">
        <f>IF('Marks Entry'!R156="","",'Marks Entry'!R156)</f>
        <v/>
      </c>
      <c r="AA156" s="68" t="str">
        <f>IF('Marks Entry'!S156="","",'Marks Entry'!S156)</f>
        <v/>
      </c>
      <c r="AB156" s="514" t="str">
        <f t="shared" si="342"/>
        <v/>
      </c>
      <c r="AC156" s="68" t="str">
        <f>IF('Marks Entry'!T156="","",'Marks Entry'!T156)</f>
        <v/>
      </c>
      <c r="AD156" s="515" t="str">
        <f t="shared" si="343"/>
        <v/>
      </c>
      <c r="AE156" s="68" t="str">
        <f>IF('Marks Entry'!U156="","",'Marks Entry'!U156)</f>
        <v/>
      </c>
      <c r="AF156" s="96" t="str">
        <f t="shared" si="344"/>
        <v/>
      </c>
      <c r="AG156" s="65">
        <f t="shared" si="345"/>
        <v>0</v>
      </c>
      <c r="AH156" s="65">
        <f t="shared" si="346"/>
        <v>0</v>
      </c>
      <c r="AI156" s="66" t="str">
        <f t="shared" si="347"/>
        <v/>
      </c>
      <c r="AJ156" s="65" t="str">
        <f t="shared" si="348"/>
        <v/>
      </c>
      <c r="AK156" s="65" t="str">
        <f t="shared" si="349"/>
        <v/>
      </c>
      <c r="AL156" s="65" t="str">
        <f t="shared" si="350"/>
        <v/>
      </c>
      <c r="AM156" s="524" t="str">
        <f>IF('Marks Entry'!V156="","",IF('Marks Entry'!V156=1,'School Profile'!$I$9,IF('Marks Entry'!V156=2,'School Profile'!$I$10,IF('Marks Entry'!V156=3,'School Profile'!$I$11,IF('Marks Entry'!V156=4,'School Profile'!$I$12,IF('Marks Entry'!V156=5,'School Profile'!$I$13,IF('Marks Entry'!V156=6,'School Profile'!$I$14,"")))))))</f>
        <v/>
      </c>
      <c r="AN156" s="68" t="str">
        <f>IF('Marks Entry'!W156="","",'Marks Entry'!W156)</f>
        <v/>
      </c>
      <c r="AO156" s="68" t="str">
        <f>IF('Marks Entry'!X156="","",'Marks Entry'!X156)</f>
        <v/>
      </c>
      <c r="AP156" s="68" t="str">
        <f>IF('Marks Entry'!Y156="","",'Marks Entry'!Y156)</f>
        <v/>
      </c>
      <c r="AQ156" s="514" t="str">
        <f t="shared" si="351"/>
        <v/>
      </c>
      <c r="AR156" s="68" t="str">
        <f>IF('Marks Entry'!Z156="","",'Marks Entry'!Z156)</f>
        <v/>
      </c>
      <c r="AS156" s="515" t="str">
        <f t="shared" si="352"/>
        <v/>
      </c>
      <c r="AT156" s="68" t="str">
        <f>IF('Marks Entry'!AA156="","",'Marks Entry'!AA156)</f>
        <v/>
      </c>
      <c r="AU156" s="96" t="str">
        <f t="shared" si="353"/>
        <v/>
      </c>
      <c r="AV156" s="65">
        <f t="shared" si="354"/>
        <v>0</v>
      </c>
      <c r="AW156" s="65">
        <f t="shared" si="355"/>
        <v>0</v>
      </c>
      <c r="AX156" s="66" t="str">
        <f t="shared" si="356"/>
        <v/>
      </c>
      <c r="AY156" s="65" t="str">
        <f t="shared" si="357"/>
        <v/>
      </c>
      <c r="AZ156" s="65" t="str">
        <f t="shared" si="358"/>
        <v/>
      </c>
      <c r="BA156" s="65" t="str">
        <f t="shared" si="359"/>
        <v/>
      </c>
      <c r="BB156" s="68" t="str">
        <f>IF('Marks Entry'!AB156="","",'Marks Entry'!AB156)</f>
        <v/>
      </c>
      <c r="BC156" s="68" t="str">
        <f>IF('Marks Entry'!AC156="","",'Marks Entry'!AC156)</f>
        <v/>
      </c>
      <c r="BD156" s="68" t="str">
        <f>IF('Marks Entry'!AD156="","",'Marks Entry'!AD156)</f>
        <v/>
      </c>
      <c r="BE156" s="514" t="str">
        <f t="shared" si="360"/>
        <v/>
      </c>
      <c r="BF156" s="68" t="str">
        <f>IF('Marks Entry'!AE156="","",'Marks Entry'!AE156)</f>
        <v/>
      </c>
      <c r="BG156" s="515" t="str">
        <f t="shared" si="361"/>
        <v/>
      </c>
      <c r="BH156" s="68" t="str">
        <f>IF('Marks Entry'!AF156="","",'Marks Entry'!AF156)</f>
        <v/>
      </c>
      <c r="BI156" s="96" t="str">
        <f t="shared" si="362"/>
        <v/>
      </c>
      <c r="BJ156" s="65">
        <f t="shared" si="363"/>
        <v>0</v>
      </c>
      <c r="BK156" s="65">
        <f t="shared" si="431"/>
        <v>0</v>
      </c>
      <c r="BL156" s="66" t="str">
        <f t="shared" si="364"/>
        <v/>
      </c>
      <c r="BM156" s="65" t="str">
        <f t="shared" si="365"/>
        <v/>
      </c>
      <c r="BN156" s="65" t="str">
        <f t="shared" si="366"/>
        <v/>
      </c>
      <c r="BO156" s="65" t="str">
        <f t="shared" si="367"/>
        <v/>
      </c>
      <c r="BP156" s="68" t="str">
        <f>IF('Marks Entry'!AG156="","",'Marks Entry'!AG156)</f>
        <v/>
      </c>
      <c r="BQ156" s="68" t="str">
        <f>IF('Marks Entry'!AH156="","",'Marks Entry'!AH156)</f>
        <v/>
      </c>
      <c r="BR156" s="68" t="str">
        <f>IF('Marks Entry'!AI156="","",'Marks Entry'!AI156)</f>
        <v/>
      </c>
      <c r="BS156" s="514" t="str">
        <f t="shared" si="368"/>
        <v/>
      </c>
      <c r="BT156" s="68" t="str">
        <f>IF('Marks Entry'!AJ156="","",'Marks Entry'!AJ156)</f>
        <v/>
      </c>
      <c r="BU156" s="515" t="str">
        <f t="shared" si="369"/>
        <v/>
      </c>
      <c r="BV156" s="68" t="str">
        <f>IF('Marks Entry'!AK156="","",'Marks Entry'!AK156)</f>
        <v/>
      </c>
      <c r="BW156" s="96" t="str">
        <f t="shared" si="370"/>
        <v/>
      </c>
      <c r="BX156" s="65">
        <f t="shared" si="371"/>
        <v>0</v>
      </c>
      <c r="BY156" s="65">
        <f t="shared" si="372"/>
        <v>0</v>
      </c>
      <c r="BZ156" s="66" t="str">
        <f t="shared" si="373"/>
        <v/>
      </c>
      <c r="CA156" s="65" t="str">
        <f t="shared" si="374"/>
        <v/>
      </c>
      <c r="CB156" s="65" t="str">
        <f t="shared" si="375"/>
        <v/>
      </c>
      <c r="CC156" s="65" t="str">
        <f t="shared" si="376"/>
        <v/>
      </c>
      <c r="CD156" s="66">
        <f t="shared" si="377"/>
        <v>0</v>
      </c>
      <c r="CE156" s="68" t="str">
        <f>IF('Marks Entry'!AL156="","",'Marks Entry'!AL156)</f>
        <v/>
      </c>
      <c r="CF156" s="68" t="str">
        <f>IF('Marks Entry'!AM156="","",'Marks Entry'!AM156)</f>
        <v/>
      </c>
      <c r="CG156" s="68" t="str">
        <f>IF('Marks Entry'!AN156="","",'Marks Entry'!AN156)</f>
        <v/>
      </c>
      <c r="CH156" s="514" t="str">
        <f t="shared" si="378"/>
        <v/>
      </c>
      <c r="CI156" s="68" t="str">
        <f>IF('Marks Entry'!AO156="","",'Marks Entry'!AO156)</f>
        <v/>
      </c>
      <c r="CJ156" s="515" t="str">
        <f t="shared" si="379"/>
        <v/>
      </c>
      <c r="CK156" s="68" t="str">
        <f>IF('Marks Entry'!AP156="","",'Marks Entry'!AP156)</f>
        <v/>
      </c>
      <c r="CL156" s="96" t="str">
        <f t="shared" si="380"/>
        <v/>
      </c>
      <c r="CM156" s="65">
        <f t="shared" si="381"/>
        <v>0</v>
      </c>
      <c r="CN156" s="65">
        <f t="shared" si="382"/>
        <v>0</v>
      </c>
      <c r="CO156" s="66" t="str">
        <f t="shared" si="383"/>
        <v/>
      </c>
      <c r="CP156" s="65" t="str">
        <f t="shared" si="384"/>
        <v/>
      </c>
      <c r="CQ156" s="65" t="str">
        <f t="shared" si="385"/>
        <v/>
      </c>
      <c r="CR156" s="65" t="str">
        <f t="shared" si="386"/>
        <v/>
      </c>
      <c r="CS156" s="616"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8" t="str">
        <f>IF('School Profile'!$D$20="NO","",IF('Marks Entry'!AR156="","",'Marks Entry'!AR156))</f>
        <v/>
      </c>
      <c r="CU156" s="68" t="str">
        <f>IF('School Profile'!$D$20="NO","",IF('Marks Entry'!AS156="","",'Marks Entry'!AS156))</f>
        <v/>
      </c>
      <c r="CV156" s="68" t="str">
        <f>IF('School Profile'!$D$20="NO","",IF('Marks Entry'!AT156="","",'Marks Entry'!AT156))</f>
        <v/>
      </c>
      <c r="CW156" s="514" t="str">
        <f>IF('School Profile'!$D$20="NO","",IF(AND(CT156="",CU156="",CV156=""),"",SUM(CT156:CV156)))</f>
        <v/>
      </c>
      <c r="CX156" s="68" t="str">
        <f>IF('School Profile'!$D$20="NO","",IF('Marks Entry'!AU156="","",'Marks Entry'!AU156))</f>
        <v/>
      </c>
      <c r="CY156" s="68" t="str">
        <f>IF('School Profile'!$D$20="NO","",IF('Marks Entry'!AV156="","",'Marks Entry'!AV156))</f>
        <v/>
      </c>
      <c r="CZ156" s="515" t="str">
        <f>IF('School Profile'!$D$20="NO","",IF(AND(CX156="",CY156=""),"",SUM(CX156,CY156)))</f>
        <v/>
      </c>
      <c r="DA156" s="69" t="str">
        <f>IF('School Profile'!$D$20="NO","",IF(AND(CW156="",CZ156=""),"",SUM(CW156+CZ156)))</f>
        <v/>
      </c>
      <c r="DB156" s="68" t="str">
        <f>IF('School Profile'!$D$20="NO","",IF('Marks Entry'!AW156="","",'Marks Entry'!AW156))</f>
        <v/>
      </c>
      <c r="DC156" s="68" t="str">
        <f>IF('School Profile'!$D$20="NO","",IF('Marks Entry'!AX156="","",'Marks Entry'!AX156))</f>
        <v/>
      </c>
      <c r="DD156" s="515" t="str">
        <f>IF('School Profile'!$D$20="NO","",IF(AND(DB156="",DC156=""),"",SUM(DB156,DC156)))</f>
        <v/>
      </c>
      <c r="DE156" s="96" t="str">
        <f>IF('School Profile'!$D$20="NO","",IF(AND(DA156="",DD156=""),"",SUM(DA156,DD156)))</f>
        <v/>
      </c>
      <c r="DF156" s="532">
        <f t="shared" si="387"/>
        <v>0</v>
      </c>
      <c r="DG156" s="65">
        <f t="shared" si="388"/>
        <v>0</v>
      </c>
      <c r="DH156" s="66" t="str">
        <f t="shared" si="389"/>
        <v/>
      </c>
      <c r="DI156" s="65" t="str">
        <f t="shared" si="390"/>
        <v/>
      </c>
      <c r="DJ156" s="65" t="str">
        <f t="shared" si="391"/>
        <v/>
      </c>
      <c r="DK156" s="65" t="str">
        <f t="shared" si="392"/>
        <v/>
      </c>
      <c r="DL156" s="97" t="str">
        <f t="shared" si="432"/>
        <v/>
      </c>
      <c r="DM156" s="97" t="str">
        <f t="shared" si="433"/>
        <v/>
      </c>
      <c r="DN156" s="97" t="str">
        <f t="shared" si="434"/>
        <v/>
      </c>
      <c r="DO156" s="97" t="str">
        <f t="shared" si="435"/>
        <v/>
      </c>
      <c r="DP156" s="97" t="str">
        <f t="shared" si="436"/>
        <v/>
      </c>
      <c r="DQ156" s="97" t="str">
        <f t="shared" si="437"/>
        <v/>
      </c>
      <c r="DR156" s="97" t="str">
        <f t="shared" si="438"/>
        <v/>
      </c>
      <c r="DS156" s="98">
        <f t="shared" si="439"/>
        <v>0</v>
      </c>
      <c r="DT156" s="98">
        <f t="shared" si="440"/>
        <v>0</v>
      </c>
      <c r="DU156" s="98">
        <f t="shared" si="441"/>
        <v>0</v>
      </c>
      <c r="DV156" s="98">
        <f t="shared" si="442"/>
        <v>0</v>
      </c>
      <c r="DW156" s="98">
        <f t="shared" si="443"/>
        <v>0</v>
      </c>
      <c r="DX156" s="98" t="str">
        <f t="shared" si="444"/>
        <v/>
      </c>
      <c r="DY156" s="99" t="str">
        <f t="shared" si="445"/>
        <v/>
      </c>
      <c r="DZ156" s="74" t="str">
        <f>IF('Marks Entry'!AY156="","",'Marks Entry'!AY156)</f>
        <v/>
      </c>
      <c r="EA156" s="74" t="str">
        <f>IF('Marks Entry'!AZ156="","",'Marks Entry'!AZ156)</f>
        <v/>
      </c>
      <c r="EB156" s="74" t="str">
        <f>IF('Marks Entry'!BA156="","",'Marks Entry'!BA156)</f>
        <v/>
      </c>
      <c r="EC156" s="527" t="str">
        <f t="shared" si="393"/>
        <v/>
      </c>
      <c r="ED156" s="74" t="str">
        <f>IF('Marks Entry'!BB156="","",'Marks Entry'!BB156)</f>
        <v/>
      </c>
      <c r="EE156" s="528" t="str">
        <f t="shared" si="394"/>
        <v/>
      </c>
      <c r="EF156" s="74" t="str">
        <f>IF('Marks Entry'!BC156="","",'Marks Entry'!BC156)</f>
        <v/>
      </c>
      <c r="EG156" s="530" t="str">
        <f t="shared" si="395"/>
        <v/>
      </c>
      <c r="EH156" s="368" t="str">
        <f t="shared" si="446"/>
        <v/>
      </c>
      <c r="EI156" s="65">
        <f t="shared" si="447"/>
        <v>0</v>
      </c>
      <c r="EJ156" s="65">
        <f t="shared" si="448"/>
        <v>0</v>
      </c>
      <c r="EK156" s="66" t="str">
        <f t="shared" si="449"/>
        <v/>
      </c>
      <c r="EL156" s="74" t="str">
        <f>IF('Marks Entry'!BD156="","",'Marks Entry'!BD156)</f>
        <v/>
      </c>
      <c r="EM156" s="74" t="str">
        <f>IF('Marks Entry'!BE156="","",'Marks Entry'!BE156)</f>
        <v/>
      </c>
      <c r="EN156" s="74" t="str">
        <f>IF('Marks Entry'!BF156="","",'Marks Entry'!BF156)</f>
        <v/>
      </c>
      <c r="EO156" s="527" t="str">
        <f t="shared" si="396"/>
        <v/>
      </c>
      <c r="EP156" s="74" t="str">
        <f>IF('Marks Entry'!BG156="","",'Marks Entry'!BG156)</f>
        <v/>
      </c>
      <c r="EQ156" s="74" t="str">
        <f>IF('Marks Entry'!BH156="","",'Marks Entry'!BH156)</f>
        <v/>
      </c>
      <c r="ER156" s="528" t="str">
        <f t="shared" si="397"/>
        <v/>
      </c>
      <c r="ES156" s="529" t="str">
        <f t="shared" si="398"/>
        <v/>
      </c>
      <c r="ET156" s="74" t="str">
        <f>IF('Marks Entry'!BI156="","",'Marks Entry'!BI156)</f>
        <v/>
      </c>
      <c r="EU156" s="74" t="str">
        <f>IF('Marks Entry'!BJ156="","",'Marks Entry'!BJ156)</f>
        <v/>
      </c>
      <c r="EV156" s="528" t="str">
        <f t="shared" si="399"/>
        <v/>
      </c>
      <c r="EW156" s="530" t="str">
        <f t="shared" si="400"/>
        <v/>
      </c>
      <c r="EX156" s="368" t="str">
        <f t="shared" si="450"/>
        <v/>
      </c>
      <c r="EY156" s="65">
        <f t="shared" si="451"/>
        <v>0</v>
      </c>
      <c r="EZ156" s="65">
        <f t="shared" si="452"/>
        <v>0</v>
      </c>
      <c r="FA156" s="66" t="str">
        <f t="shared" si="453"/>
        <v/>
      </c>
      <c r="FB156" s="74" t="str">
        <f>IF('Marks Entry'!BK156="","",'Marks Entry'!BK156)</f>
        <v/>
      </c>
      <c r="FC156" s="74" t="str">
        <f>IF('Marks Entry'!BL156="","",'Marks Entry'!BL156)</f>
        <v/>
      </c>
      <c r="FD156" s="74" t="str">
        <f>IF('Marks Entry'!BM156="","",'Marks Entry'!BM156)</f>
        <v/>
      </c>
      <c r="FE156" s="74" t="str">
        <f>IF('Marks Entry'!BN156="","",'Marks Entry'!BN156)</f>
        <v/>
      </c>
      <c r="FF156" s="74" t="str">
        <f>IF('Marks Entry'!BO156="","",'Marks Entry'!BO156)</f>
        <v/>
      </c>
      <c r="FG156" s="74" t="str">
        <f>IF('Marks Entry'!BP156="","",'Marks Entry'!BP156)</f>
        <v/>
      </c>
      <c r="FH156" s="527" t="str">
        <f t="shared" si="401"/>
        <v/>
      </c>
      <c r="FI156" s="74" t="str">
        <f>IF('Marks Entry'!BQ156="","",'Marks Entry'!BQ156)</f>
        <v/>
      </c>
      <c r="FJ156" s="74" t="str">
        <f>IF('Marks Entry'!BR156="","",'Marks Entry'!BR156)</f>
        <v/>
      </c>
      <c r="FK156" s="528" t="str">
        <f t="shared" si="402"/>
        <v/>
      </c>
      <c r="FL156" s="529" t="str">
        <f t="shared" si="403"/>
        <v/>
      </c>
      <c r="FM156" s="74" t="str">
        <f>IF('Marks Entry'!BS156="","",'Marks Entry'!BS156)</f>
        <v/>
      </c>
      <c r="FN156" s="74" t="str">
        <f>IF('Marks Entry'!BT156="","",'Marks Entry'!BT156)</f>
        <v/>
      </c>
      <c r="FO156" s="528" t="str">
        <f t="shared" si="404"/>
        <v/>
      </c>
      <c r="FP156" s="530" t="str">
        <f t="shared" si="405"/>
        <v/>
      </c>
      <c r="FQ156" s="368" t="str">
        <f t="shared" si="454"/>
        <v/>
      </c>
      <c r="FR156" s="65">
        <f t="shared" si="455"/>
        <v>0</v>
      </c>
      <c r="FS156" s="65">
        <f t="shared" si="456"/>
        <v>0</v>
      </c>
      <c r="FT156" s="66" t="str">
        <f t="shared" si="457"/>
        <v/>
      </c>
      <c r="FU156" s="74" t="str">
        <f>IF('Marks Entry'!BU156="","",'Marks Entry'!BU156)</f>
        <v/>
      </c>
      <c r="FV156" s="74" t="str">
        <f>IF('Marks Entry'!BV156="","",'Marks Entry'!BV156)</f>
        <v/>
      </c>
      <c r="FW156" s="74" t="str">
        <f>IF('Marks Entry'!BW156="","",'Marks Entry'!BW156)</f>
        <v/>
      </c>
      <c r="FX156" s="75" t="str">
        <f t="shared" si="406"/>
        <v/>
      </c>
      <c r="FY156" s="368" t="str">
        <f t="shared" si="458"/>
        <v/>
      </c>
      <c r="FZ156" s="65">
        <f t="shared" si="459"/>
        <v>0</v>
      </c>
      <c r="GA156" s="66">
        <f t="shared" si="460"/>
        <v>0</v>
      </c>
      <c r="GB156" s="66" t="str">
        <f t="shared" si="461"/>
        <v/>
      </c>
      <c r="GC156" s="74" t="str">
        <f>IF('Marks Entry'!BX156="","",'Marks Entry'!BX156)</f>
        <v/>
      </c>
      <c r="GD156" s="74" t="str">
        <f>IF('Marks Entry'!BY156="","",'Marks Entry'!BY156)</f>
        <v/>
      </c>
      <c r="GE156" s="74" t="str">
        <f>IF('Marks Entry'!BZ156="","",'Marks Entry'!BZ156)</f>
        <v/>
      </c>
      <c r="GF156" s="75" t="str">
        <f t="shared" si="462"/>
        <v/>
      </c>
      <c r="GG156" s="368" t="str">
        <f t="shared" si="463"/>
        <v/>
      </c>
      <c r="GH156" s="65">
        <f t="shared" si="464"/>
        <v>0</v>
      </c>
      <c r="GI156" s="66">
        <f t="shared" si="465"/>
        <v>0</v>
      </c>
      <c r="GJ156" s="66" t="str">
        <f t="shared" si="466"/>
        <v/>
      </c>
      <c r="GK156" s="100" t="str">
        <f>IF(AND(F156="",B156=""),"",IF('Student DATA Entry'!M153="","",'Student DATA Entry'!M153))</f>
        <v/>
      </c>
      <c r="GL156" s="101" t="str">
        <f>IF(AND(B156="",F156=""),"",IF('Student DATA Entry'!N153="","",'Student DATA Entry'!N153))</f>
        <v/>
      </c>
      <c r="GM156" s="581" t="str">
        <f t="shared" si="467"/>
        <v/>
      </c>
      <c r="GN156" s="94" t="str">
        <f t="shared" si="468"/>
        <v/>
      </c>
      <c r="GO156" s="94" t="str">
        <f t="shared" si="469"/>
        <v/>
      </c>
      <c r="GP156" s="102" t="str">
        <f t="shared" si="407"/>
        <v/>
      </c>
      <c r="GQ156" s="94" t="str">
        <f t="shared" si="470"/>
        <v/>
      </c>
      <c r="GR156" s="103" t="str">
        <f t="shared" si="471"/>
        <v/>
      </c>
      <c r="GS156" s="102" t="str">
        <f t="shared" si="408"/>
        <v/>
      </c>
      <c r="GT156" s="104" t="str">
        <f t="shared" si="472"/>
        <v/>
      </c>
      <c r="GU156" s="94" t="str">
        <f>IF('Marks Entry'!V156=1,GT156,"")</f>
        <v/>
      </c>
      <c r="GV156" s="94" t="str">
        <f>IF('Marks Entry'!V156=2,GT156,"")</f>
        <v/>
      </c>
      <c r="GW156" s="94" t="str">
        <f>IF('Marks Entry'!V156=3,GT156,"")</f>
        <v/>
      </c>
      <c r="GX156" s="94" t="str">
        <f>IF('Marks Entry'!V156=4,GT156,"")</f>
        <v/>
      </c>
      <c r="GY156" s="94" t="str">
        <f>IF('Marks Entry'!V156=5,GT156,"")</f>
        <v/>
      </c>
      <c r="GZ156" s="94" t="str">
        <f t="shared" si="473"/>
        <v/>
      </c>
      <c r="HA156" s="105" t="str">
        <f t="shared" si="409"/>
        <v/>
      </c>
      <c r="HB156" s="94" t="str">
        <f t="shared" si="474"/>
        <v/>
      </c>
      <c r="HC156" s="94" t="str">
        <f t="shared" si="475"/>
        <v/>
      </c>
      <c r="HD156" s="105" t="str">
        <f t="shared" si="410"/>
        <v/>
      </c>
      <c r="HE156" s="94" t="str">
        <f t="shared" si="476"/>
        <v/>
      </c>
      <c r="HF156" s="94" t="str">
        <f t="shared" si="477"/>
        <v/>
      </c>
      <c r="HG156" s="105" t="str">
        <f t="shared" si="411"/>
        <v/>
      </c>
      <c r="HH156" s="94" t="str">
        <f t="shared" si="478"/>
        <v/>
      </c>
      <c r="HI156" s="94" t="str">
        <f t="shared" si="479"/>
        <v/>
      </c>
      <c r="HJ156" s="105" t="str">
        <f t="shared" si="412"/>
        <v/>
      </c>
      <c r="HK156" s="94" t="str">
        <f t="shared" si="480"/>
        <v/>
      </c>
      <c r="HL156" s="94" t="str">
        <f t="shared" si="481"/>
        <v/>
      </c>
      <c r="HM156" s="105" t="str">
        <f t="shared" si="413"/>
        <v/>
      </c>
      <c r="HN156" s="367" t="str">
        <f t="shared" si="482"/>
        <v xml:space="preserve">      </v>
      </c>
      <c r="HO156" s="418" t="str">
        <f t="shared" si="414"/>
        <v xml:space="preserve">      </v>
      </c>
      <c r="HP156" s="367" t="str">
        <f t="shared" si="483"/>
        <v xml:space="preserve">      </v>
      </c>
      <c r="HQ156" s="107" t="str">
        <f t="shared" si="484"/>
        <v xml:space="preserve">      </v>
      </c>
      <c r="HR156" s="366" t="str">
        <f t="shared" si="485"/>
        <v xml:space="preserve">      </v>
      </c>
      <c r="HS156" s="544" t="str">
        <f t="shared" si="415"/>
        <v/>
      </c>
      <c r="HT156" s="542" t="str">
        <f t="shared" si="486"/>
        <v/>
      </c>
      <c r="HU156" s="541" t="str">
        <f t="shared" si="487"/>
        <v/>
      </c>
      <c r="HV156" s="540" t="str">
        <f t="shared" si="488"/>
        <v/>
      </c>
      <c r="HW156" s="537" t="str">
        <f t="shared" si="489"/>
        <v/>
      </c>
      <c r="HX156" s="539" t="str">
        <f t="shared" si="490"/>
        <v/>
      </c>
      <c r="HY156" s="553" t="str">
        <f>IFERROR(IF(OR(HS156="SUPPLEMENTARY",HS156="RE-EXAM"),'Supp. Result Entry'!AQ154,""),"")</f>
        <v/>
      </c>
      <c r="HZ156" s="538" t="str">
        <f t="shared" si="491"/>
        <v/>
      </c>
      <c r="IA156" s="415" t="str">
        <f t="shared" si="492"/>
        <v/>
      </c>
      <c r="IB156" s="415" t="str">
        <f>IF(AND(HZ156="",IA156=""),"",IF(OR(HS156="SUPPLEMENTARY",HS156="RE-EXAM"),'Supp. Result Entry'!AQ154,HS156))</f>
        <v/>
      </c>
      <c r="IC156" s="87"/>
      <c r="IS156" s="109" t="str">
        <f>IF('Supp. Result Entry'!T154="","",'Supp. Result Entry'!$T$4)</f>
        <v/>
      </c>
      <c r="IT156" s="110" t="str">
        <f>IF('Supp. Result Entry'!W154="","",'Supp. Result Entry'!$W$4)</f>
        <v/>
      </c>
      <c r="IU156" s="110" t="str">
        <f>IF('Supp. Result Entry'!Z154="","",'Supp. Result Entry'!$Z$4)</f>
        <v/>
      </c>
      <c r="IV156" s="110" t="str">
        <f>IF('Supp. Result Entry'!AC154="","",'Supp. Result Entry'!$AC$4)</f>
        <v/>
      </c>
      <c r="IW156" s="110" t="str">
        <f>IF('Supp. Result Entry'!AF154="","",'Supp. Result Entry'!$AF$4)</f>
        <v/>
      </c>
      <c r="IX156" s="110" t="str">
        <f>IF('Supp. Result Entry'!AI154="","",'Supp. Result Entry'!$AI$4)</f>
        <v/>
      </c>
      <c r="IY156" s="110" t="str">
        <f>IF('Supp. Result Entry'!AI154="","",'Supp. Result Entry'!$AL$4)</f>
        <v/>
      </c>
      <c r="IZ156" s="110" t="str">
        <f>IF('Supp. Result Entry'!U154="","",'Supp. Result Entry'!U154)</f>
        <v/>
      </c>
      <c r="JA156" s="110" t="str">
        <f>IF('Supp. Result Entry'!X154="","",'Supp. Result Entry'!X154)</f>
        <v/>
      </c>
      <c r="JB156" s="110" t="str">
        <f>IF('Supp. Result Entry'!AA154="","",'Supp. Result Entry'!AA154)</f>
        <v/>
      </c>
      <c r="JC156" s="110" t="str">
        <f>IF('Supp. Result Entry'!AD154="","",'Supp. Result Entry'!AD154)</f>
        <v/>
      </c>
      <c r="JD156" s="110" t="str">
        <f>IF('Supp. Result Entry'!AG154="","",'Supp. Result Entry'!AG154)</f>
        <v/>
      </c>
      <c r="JE156" s="110" t="str">
        <f>IF('Supp. Result Entry'!AJ154="","",'Supp. Result Entry'!AJ154)</f>
        <v/>
      </c>
      <c r="JF156" s="110" t="str">
        <f>IF('Supp. Result Entry'!AM154="","",'Supp. Result Entry'!AM154)</f>
        <v/>
      </c>
      <c r="JG156" s="110" t="str">
        <f>IF('Supp. Result Entry'!V154="","",'Supp. Result Entry'!V154)</f>
        <v/>
      </c>
      <c r="JH156" s="110" t="str">
        <f>IF('Supp. Result Entry'!Y154="","",'Supp. Result Entry'!Y154)</f>
        <v/>
      </c>
      <c r="JI156" s="110" t="str">
        <f>IF('Supp. Result Entry'!AB154="","",'Supp. Result Entry'!AB154)</f>
        <v/>
      </c>
      <c r="JJ156" s="110" t="str">
        <f>IF('Supp. Result Entry'!AE154="","",'Supp. Result Entry'!AE154)</f>
        <v/>
      </c>
      <c r="JK156" s="110" t="str">
        <f>IF('Supp. Result Entry'!AH154="","",'Supp. Result Entry'!AH154)</f>
        <v/>
      </c>
      <c r="JL156" s="110" t="str">
        <f>IF('Supp. Result Entry'!AK154="","",'Supp. Result Entry'!AK154)</f>
        <v/>
      </c>
      <c r="JM156" s="110" t="str">
        <f>IF('Supp. Result Entry'!AN154="","",'Supp. Result Entry'!AN154)</f>
        <v/>
      </c>
      <c r="JN156" s="110">
        <f>COUNTIF('Supp. Result Entry'!K154:Q154,"S")</f>
        <v>0</v>
      </c>
      <c r="JO156" s="110">
        <f t="shared" si="416"/>
        <v>0</v>
      </c>
      <c r="JP156" s="110">
        <f t="shared" si="493"/>
        <v>0</v>
      </c>
      <c r="JQ156" s="110" t="str">
        <f t="shared" si="417"/>
        <v/>
      </c>
      <c r="JR156" s="110" t="str">
        <f t="shared" si="418"/>
        <v/>
      </c>
      <c r="JS156" s="110" t="str">
        <f t="shared" si="419"/>
        <v/>
      </c>
      <c r="JT156" s="110" t="str">
        <f t="shared" si="420"/>
        <v/>
      </c>
      <c r="JU156" s="110" t="str">
        <f t="shared" si="421"/>
        <v/>
      </c>
      <c r="JV156" s="110" t="str">
        <f t="shared" si="422"/>
        <v/>
      </c>
      <c r="JW156" s="110" t="str">
        <f t="shared" si="423"/>
        <v/>
      </c>
      <c r="JX156" s="110" t="str">
        <f t="shared" si="494"/>
        <v/>
      </c>
      <c r="JY156" s="110" t="str">
        <f t="shared" si="495"/>
        <v/>
      </c>
      <c r="JZ156" s="110" t="str">
        <f t="shared" si="424"/>
        <v/>
      </c>
      <c r="KA156" s="108" t="str">
        <f t="shared" si="496"/>
        <v/>
      </c>
    </row>
    <row r="157" spans="1:287" s="108" customFormat="1" ht="21.95" customHeight="1">
      <c r="A157" s="89">
        <v>151</v>
      </c>
      <c r="B157" s="90" t="str">
        <f>IF('Marks Entry'!B157="","",'Marks Entry'!B157)</f>
        <v/>
      </c>
      <c r="C157" s="94" t="str">
        <f>IF('Marks Entry'!D157="","",'Marks Entry'!D157)</f>
        <v/>
      </c>
      <c r="D157" s="91" t="str">
        <f>IF('Marks Entry'!E157="","",'Marks Entry'!E157)</f>
        <v/>
      </c>
      <c r="E157" s="92" t="str">
        <f>IF('Marks Entry'!F157="","",'Marks Entry'!F157)</f>
        <v/>
      </c>
      <c r="F157" s="93" t="str">
        <f>IF('Marks Entry'!G157="","",'Marks Entry'!G157)</f>
        <v/>
      </c>
      <c r="G157" s="93" t="str">
        <f>IF('Marks Entry'!H157="","",'Marks Entry'!H157)</f>
        <v/>
      </c>
      <c r="H157" s="93" t="str">
        <f>IF('Marks Entry'!I157="","",'Marks Entry'!I157)</f>
        <v/>
      </c>
      <c r="I157" s="94" t="str">
        <f>IF('Marks Entry'!J157="","",'Marks Entry'!J157)</f>
        <v/>
      </c>
      <c r="J157" s="95" t="str">
        <f>IF('Marks Entry'!K157="","",'Marks Entry'!K157)</f>
        <v/>
      </c>
      <c r="K157" s="68" t="str">
        <f>IF('Marks Entry'!L157="","",'Marks Entry'!L157)</f>
        <v/>
      </c>
      <c r="L157" s="68" t="str">
        <f>IF('Marks Entry'!M157="","",'Marks Entry'!M157)</f>
        <v/>
      </c>
      <c r="M157" s="68" t="str">
        <f>IF('Marks Entry'!N157="","",'Marks Entry'!N157)</f>
        <v/>
      </c>
      <c r="N157" s="514" t="str">
        <f t="shared" si="425"/>
        <v/>
      </c>
      <c r="O157" s="68" t="str">
        <f>IF('Marks Entry'!O157="","",'Marks Entry'!O157)</f>
        <v/>
      </c>
      <c r="P157" s="515" t="str">
        <f t="shared" si="426"/>
        <v/>
      </c>
      <c r="Q157" s="68" t="str">
        <f>IF('Marks Entry'!P157="","",'Marks Entry'!P157)</f>
        <v/>
      </c>
      <c r="R157" s="96" t="str">
        <f t="shared" si="427"/>
        <v/>
      </c>
      <c r="S157" s="65">
        <f t="shared" si="428"/>
        <v>0</v>
      </c>
      <c r="T157" s="65">
        <f t="shared" si="429"/>
        <v>0</v>
      </c>
      <c r="U157" s="66" t="str">
        <f t="shared" si="339"/>
        <v/>
      </c>
      <c r="V157" s="65" t="str">
        <f t="shared" si="340"/>
        <v/>
      </c>
      <c r="W157" s="65" t="str">
        <f t="shared" si="430"/>
        <v/>
      </c>
      <c r="X157" s="65" t="str">
        <f t="shared" si="341"/>
        <v/>
      </c>
      <c r="Y157" s="68" t="str">
        <f>IF('Marks Entry'!Q157="","",'Marks Entry'!Q157)</f>
        <v/>
      </c>
      <c r="Z157" s="68" t="str">
        <f>IF('Marks Entry'!R157="","",'Marks Entry'!R157)</f>
        <v/>
      </c>
      <c r="AA157" s="68" t="str">
        <f>IF('Marks Entry'!S157="","",'Marks Entry'!S157)</f>
        <v/>
      </c>
      <c r="AB157" s="514" t="str">
        <f t="shared" si="342"/>
        <v/>
      </c>
      <c r="AC157" s="68" t="str">
        <f>IF('Marks Entry'!T157="","",'Marks Entry'!T157)</f>
        <v/>
      </c>
      <c r="AD157" s="515" t="str">
        <f t="shared" si="343"/>
        <v/>
      </c>
      <c r="AE157" s="68" t="str">
        <f>IF('Marks Entry'!U157="","",'Marks Entry'!U157)</f>
        <v/>
      </c>
      <c r="AF157" s="96" t="str">
        <f t="shared" si="344"/>
        <v/>
      </c>
      <c r="AG157" s="65">
        <f t="shared" si="345"/>
        <v>0</v>
      </c>
      <c r="AH157" s="65">
        <f t="shared" si="346"/>
        <v>0</v>
      </c>
      <c r="AI157" s="66" t="str">
        <f t="shared" si="347"/>
        <v/>
      </c>
      <c r="AJ157" s="65" t="str">
        <f t="shared" si="348"/>
        <v/>
      </c>
      <c r="AK157" s="65" t="str">
        <f t="shared" si="349"/>
        <v/>
      </c>
      <c r="AL157" s="65" t="str">
        <f t="shared" si="350"/>
        <v/>
      </c>
      <c r="AM157" s="524" t="str">
        <f>IF('Marks Entry'!V157="","",IF('Marks Entry'!V157=1,'School Profile'!$I$9,IF('Marks Entry'!V157=2,'School Profile'!$I$10,IF('Marks Entry'!V157=3,'School Profile'!$I$11,IF('Marks Entry'!V157=4,'School Profile'!$I$12,IF('Marks Entry'!V157=5,'School Profile'!$I$13,IF('Marks Entry'!V157=6,'School Profile'!$I$14,"")))))))</f>
        <v/>
      </c>
      <c r="AN157" s="68" t="str">
        <f>IF('Marks Entry'!W157="","",'Marks Entry'!W157)</f>
        <v/>
      </c>
      <c r="AO157" s="68" t="str">
        <f>IF('Marks Entry'!X157="","",'Marks Entry'!X157)</f>
        <v/>
      </c>
      <c r="AP157" s="68" t="str">
        <f>IF('Marks Entry'!Y157="","",'Marks Entry'!Y157)</f>
        <v/>
      </c>
      <c r="AQ157" s="514" t="str">
        <f t="shared" si="351"/>
        <v/>
      </c>
      <c r="AR157" s="68" t="str">
        <f>IF('Marks Entry'!Z157="","",'Marks Entry'!Z157)</f>
        <v/>
      </c>
      <c r="AS157" s="515" t="str">
        <f t="shared" si="352"/>
        <v/>
      </c>
      <c r="AT157" s="68" t="str">
        <f>IF('Marks Entry'!AA157="","",'Marks Entry'!AA157)</f>
        <v/>
      </c>
      <c r="AU157" s="96" t="str">
        <f t="shared" si="353"/>
        <v/>
      </c>
      <c r="AV157" s="65">
        <f t="shared" si="354"/>
        <v>0</v>
      </c>
      <c r="AW157" s="65">
        <f t="shared" si="355"/>
        <v>0</v>
      </c>
      <c r="AX157" s="66" t="str">
        <f t="shared" si="356"/>
        <v/>
      </c>
      <c r="AY157" s="65" t="str">
        <f t="shared" si="357"/>
        <v/>
      </c>
      <c r="AZ157" s="65" t="str">
        <f t="shared" si="358"/>
        <v/>
      </c>
      <c r="BA157" s="65" t="str">
        <f t="shared" si="359"/>
        <v/>
      </c>
      <c r="BB157" s="68" t="str">
        <f>IF('Marks Entry'!AB157="","",'Marks Entry'!AB157)</f>
        <v/>
      </c>
      <c r="BC157" s="68" t="str">
        <f>IF('Marks Entry'!AC157="","",'Marks Entry'!AC157)</f>
        <v/>
      </c>
      <c r="BD157" s="68" t="str">
        <f>IF('Marks Entry'!AD157="","",'Marks Entry'!AD157)</f>
        <v/>
      </c>
      <c r="BE157" s="514" t="str">
        <f t="shared" si="360"/>
        <v/>
      </c>
      <c r="BF157" s="68" t="str">
        <f>IF('Marks Entry'!AE157="","",'Marks Entry'!AE157)</f>
        <v/>
      </c>
      <c r="BG157" s="515" t="str">
        <f t="shared" si="361"/>
        <v/>
      </c>
      <c r="BH157" s="68" t="str">
        <f>IF('Marks Entry'!AF157="","",'Marks Entry'!AF157)</f>
        <v/>
      </c>
      <c r="BI157" s="96" t="str">
        <f t="shared" si="362"/>
        <v/>
      </c>
      <c r="BJ157" s="65">
        <f t="shared" si="363"/>
        <v>0</v>
      </c>
      <c r="BK157" s="65">
        <f t="shared" si="431"/>
        <v>0</v>
      </c>
      <c r="BL157" s="66" t="str">
        <f t="shared" si="364"/>
        <v/>
      </c>
      <c r="BM157" s="65" t="str">
        <f t="shared" si="365"/>
        <v/>
      </c>
      <c r="BN157" s="65" t="str">
        <f t="shared" si="366"/>
        <v/>
      </c>
      <c r="BO157" s="65" t="str">
        <f t="shared" si="367"/>
        <v/>
      </c>
      <c r="BP157" s="68" t="str">
        <f>IF('Marks Entry'!AG157="","",'Marks Entry'!AG157)</f>
        <v/>
      </c>
      <c r="BQ157" s="68" t="str">
        <f>IF('Marks Entry'!AH157="","",'Marks Entry'!AH157)</f>
        <v/>
      </c>
      <c r="BR157" s="68" t="str">
        <f>IF('Marks Entry'!AI157="","",'Marks Entry'!AI157)</f>
        <v/>
      </c>
      <c r="BS157" s="514" t="str">
        <f t="shared" si="368"/>
        <v/>
      </c>
      <c r="BT157" s="68" t="str">
        <f>IF('Marks Entry'!AJ157="","",'Marks Entry'!AJ157)</f>
        <v/>
      </c>
      <c r="BU157" s="515" t="str">
        <f t="shared" si="369"/>
        <v/>
      </c>
      <c r="BV157" s="68" t="str">
        <f>IF('Marks Entry'!AK157="","",'Marks Entry'!AK157)</f>
        <v/>
      </c>
      <c r="BW157" s="96" t="str">
        <f t="shared" si="370"/>
        <v/>
      </c>
      <c r="BX157" s="65">
        <f t="shared" si="371"/>
        <v>0</v>
      </c>
      <c r="BY157" s="65">
        <f t="shared" si="372"/>
        <v>0</v>
      </c>
      <c r="BZ157" s="66" t="str">
        <f t="shared" si="373"/>
        <v/>
      </c>
      <c r="CA157" s="65" t="str">
        <f t="shared" si="374"/>
        <v/>
      </c>
      <c r="CB157" s="65" t="str">
        <f t="shared" si="375"/>
        <v/>
      </c>
      <c r="CC157" s="65" t="str">
        <f t="shared" si="376"/>
        <v/>
      </c>
      <c r="CD157" s="66">
        <f t="shared" si="377"/>
        <v>0</v>
      </c>
      <c r="CE157" s="68" t="str">
        <f>IF('Marks Entry'!AL157="","",'Marks Entry'!AL157)</f>
        <v/>
      </c>
      <c r="CF157" s="68" t="str">
        <f>IF('Marks Entry'!AM157="","",'Marks Entry'!AM157)</f>
        <v/>
      </c>
      <c r="CG157" s="68" t="str">
        <f>IF('Marks Entry'!AN157="","",'Marks Entry'!AN157)</f>
        <v/>
      </c>
      <c r="CH157" s="514" t="str">
        <f t="shared" si="378"/>
        <v/>
      </c>
      <c r="CI157" s="68" t="str">
        <f>IF('Marks Entry'!AO157="","",'Marks Entry'!AO157)</f>
        <v/>
      </c>
      <c r="CJ157" s="515" t="str">
        <f t="shared" si="379"/>
        <v/>
      </c>
      <c r="CK157" s="68" t="str">
        <f>IF('Marks Entry'!AP157="","",'Marks Entry'!AP157)</f>
        <v/>
      </c>
      <c r="CL157" s="96" t="str">
        <f t="shared" si="380"/>
        <v/>
      </c>
      <c r="CM157" s="65">
        <f t="shared" si="381"/>
        <v>0</v>
      </c>
      <c r="CN157" s="65">
        <f t="shared" si="382"/>
        <v>0</v>
      </c>
      <c r="CO157" s="66" t="str">
        <f t="shared" si="383"/>
        <v/>
      </c>
      <c r="CP157" s="65" t="str">
        <f t="shared" si="384"/>
        <v/>
      </c>
      <c r="CQ157" s="65" t="str">
        <f t="shared" si="385"/>
        <v/>
      </c>
      <c r="CR157" s="65" t="str">
        <f t="shared" si="386"/>
        <v/>
      </c>
      <c r="CS157" s="616"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8" t="str">
        <f>IF('School Profile'!$D$20="NO","",IF('Marks Entry'!AR157="","",'Marks Entry'!AR157))</f>
        <v/>
      </c>
      <c r="CU157" s="68" t="str">
        <f>IF('School Profile'!$D$20="NO","",IF('Marks Entry'!AS157="","",'Marks Entry'!AS157))</f>
        <v/>
      </c>
      <c r="CV157" s="68" t="str">
        <f>IF('School Profile'!$D$20="NO","",IF('Marks Entry'!AT157="","",'Marks Entry'!AT157))</f>
        <v/>
      </c>
      <c r="CW157" s="514" t="str">
        <f>IF('School Profile'!$D$20="NO","",IF(AND(CT157="",CU157="",CV157=""),"",SUM(CT157:CV157)))</f>
        <v/>
      </c>
      <c r="CX157" s="68" t="str">
        <f>IF('School Profile'!$D$20="NO","",IF('Marks Entry'!AU157="","",'Marks Entry'!AU157))</f>
        <v/>
      </c>
      <c r="CY157" s="68" t="str">
        <f>IF('School Profile'!$D$20="NO","",IF('Marks Entry'!AV157="","",'Marks Entry'!AV157))</f>
        <v/>
      </c>
      <c r="CZ157" s="515" t="str">
        <f>IF('School Profile'!$D$20="NO","",IF(AND(CX157="",CY157=""),"",SUM(CX157,CY157)))</f>
        <v/>
      </c>
      <c r="DA157" s="69" t="str">
        <f>IF('School Profile'!$D$20="NO","",IF(AND(CW157="",CZ157=""),"",SUM(CW157+CZ157)))</f>
        <v/>
      </c>
      <c r="DB157" s="68" t="str">
        <f>IF('School Profile'!$D$20="NO","",IF('Marks Entry'!AW157="","",'Marks Entry'!AW157))</f>
        <v/>
      </c>
      <c r="DC157" s="68" t="str">
        <f>IF('School Profile'!$D$20="NO","",IF('Marks Entry'!AX157="","",'Marks Entry'!AX157))</f>
        <v/>
      </c>
      <c r="DD157" s="515" t="str">
        <f>IF('School Profile'!$D$20="NO","",IF(AND(DB157="",DC157=""),"",SUM(DB157,DC157)))</f>
        <v/>
      </c>
      <c r="DE157" s="96" t="str">
        <f>IF('School Profile'!$D$20="NO","",IF(AND(DA157="",DD157=""),"",SUM(DA157,DD157)))</f>
        <v/>
      </c>
      <c r="DF157" s="532">
        <f t="shared" si="387"/>
        <v>0</v>
      </c>
      <c r="DG157" s="65">
        <f t="shared" si="388"/>
        <v>0</v>
      </c>
      <c r="DH157" s="66" t="str">
        <f t="shared" si="389"/>
        <v/>
      </c>
      <c r="DI157" s="65" t="str">
        <f t="shared" si="390"/>
        <v/>
      </c>
      <c r="DJ157" s="65" t="str">
        <f t="shared" si="391"/>
        <v/>
      </c>
      <c r="DK157" s="65" t="str">
        <f t="shared" si="392"/>
        <v/>
      </c>
      <c r="DL157" s="97" t="str">
        <f t="shared" si="432"/>
        <v/>
      </c>
      <c r="DM157" s="97" t="str">
        <f t="shared" si="433"/>
        <v/>
      </c>
      <c r="DN157" s="97" t="str">
        <f t="shared" si="434"/>
        <v/>
      </c>
      <c r="DO157" s="97" t="str">
        <f t="shared" si="435"/>
        <v/>
      </c>
      <c r="DP157" s="97" t="str">
        <f t="shared" si="436"/>
        <v/>
      </c>
      <c r="DQ157" s="97" t="str">
        <f t="shared" si="437"/>
        <v/>
      </c>
      <c r="DR157" s="97" t="str">
        <f t="shared" si="438"/>
        <v/>
      </c>
      <c r="DS157" s="98">
        <f t="shared" si="439"/>
        <v>0</v>
      </c>
      <c r="DT157" s="98">
        <f t="shared" si="440"/>
        <v>0</v>
      </c>
      <c r="DU157" s="98">
        <f t="shared" si="441"/>
        <v>0</v>
      </c>
      <c r="DV157" s="98">
        <f t="shared" si="442"/>
        <v>0</v>
      </c>
      <c r="DW157" s="98">
        <f t="shared" si="443"/>
        <v>0</v>
      </c>
      <c r="DX157" s="98" t="str">
        <f t="shared" si="444"/>
        <v/>
      </c>
      <c r="DY157" s="99" t="str">
        <f t="shared" si="445"/>
        <v/>
      </c>
      <c r="DZ157" s="74" t="str">
        <f>IF('Marks Entry'!AY157="","",'Marks Entry'!AY157)</f>
        <v/>
      </c>
      <c r="EA157" s="74" t="str">
        <f>IF('Marks Entry'!AZ157="","",'Marks Entry'!AZ157)</f>
        <v/>
      </c>
      <c r="EB157" s="74" t="str">
        <f>IF('Marks Entry'!BA157="","",'Marks Entry'!BA157)</f>
        <v/>
      </c>
      <c r="EC157" s="527" t="str">
        <f t="shared" si="393"/>
        <v/>
      </c>
      <c r="ED157" s="74" t="str">
        <f>IF('Marks Entry'!BB157="","",'Marks Entry'!BB157)</f>
        <v/>
      </c>
      <c r="EE157" s="528" t="str">
        <f t="shared" si="394"/>
        <v/>
      </c>
      <c r="EF157" s="74" t="str">
        <f>IF('Marks Entry'!BC157="","",'Marks Entry'!BC157)</f>
        <v/>
      </c>
      <c r="EG157" s="530" t="str">
        <f t="shared" si="395"/>
        <v/>
      </c>
      <c r="EH157" s="368" t="str">
        <f t="shared" si="446"/>
        <v/>
      </c>
      <c r="EI157" s="65">
        <f t="shared" si="447"/>
        <v>0</v>
      </c>
      <c r="EJ157" s="65">
        <f t="shared" si="448"/>
        <v>0</v>
      </c>
      <c r="EK157" s="66" t="str">
        <f t="shared" si="449"/>
        <v/>
      </c>
      <c r="EL157" s="74" t="str">
        <f>IF('Marks Entry'!BD157="","",'Marks Entry'!BD157)</f>
        <v/>
      </c>
      <c r="EM157" s="74" t="str">
        <f>IF('Marks Entry'!BE157="","",'Marks Entry'!BE157)</f>
        <v/>
      </c>
      <c r="EN157" s="74" t="str">
        <f>IF('Marks Entry'!BF157="","",'Marks Entry'!BF157)</f>
        <v/>
      </c>
      <c r="EO157" s="527" t="str">
        <f t="shared" si="396"/>
        <v/>
      </c>
      <c r="EP157" s="74" t="str">
        <f>IF('Marks Entry'!BG157="","",'Marks Entry'!BG157)</f>
        <v/>
      </c>
      <c r="EQ157" s="74" t="str">
        <f>IF('Marks Entry'!BH157="","",'Marks Entry'!BH157)</f>
        <v/>
      </c>
      <c r="ER157" s="528" t="str">
        <f t="shared" si="397"/>
        <v/>
      </c>
      <c r="ES157" s="529" t="str">
        <f t="shared" si="398"/>
        <v/>
      </c>
      <c r="ET157" s="74" t="str">
        <f>IF('Marks Entry'!BI157="","",'Marks Entry'!BI157)</f>
        <v/>
      </c>
      <c r="EU157" s="74" t="str">
        <f>IF('Marks Entry'!BJ157="","",'Marks Entry'!BJ157)</f>
        <v/>
      </c>
      <c r="EV157" s="528" t="str">
        <f t="shared" si="399"/>
        <v/>
      </c>
      <c r="EW157" s="530" t="str">
        <f t="shared" si="400"/>
        <v/>
      </c>
      <c r="EX157" s="368" t="str">
        <f t="shared" si="450"/>
        <v/>
      </c>
      <c r="EY157" s="65">
        <f t="shared" si="451"/>
        <v>0</v>
      </c>
      <c r="EZ157" s="65">
        <f t="shared" si="452"/>
        <v>0</v>
      </c>
      <c r="FA157" s="66" t="str">
        <f t="shared" si="453"/>
        <v/>
      </c>
      <c r="FB157" s="74" t="str">
        <f>IF('Marks Entry'!BK157="","",'Marks Entry'!BK157)</f>
        <v/>
      </c>
      <c r="FC157" s="74" t="str">
        <f>IF('Marks Entry'!BL157="","",'Marks Entry'!BL157)</f>
        <v/>
      </c>
      <c r="FD157" s="74" t="str">
        <f>IF('Marks Entry'!BM157="","",'Marks Entry'!BM157)</f>
        <v/>
      </c>
      <c r="FE157" s="74" t="str">
        <f>IF('Marks Entry'!BN157="","",'Marks Entry'!BN157)</f>
        <v/>
      </c>
      <c r="FF157" s="74" t="str">
        <f>IF('Marks Entry'!BO157="","",'Marks Entry'!BO157)</f>
        <v/>
      </c>
      <c r="FG157" s="74" t="str">
        <f>IF('Marks Entry'!BP157="","",'Marks Entry'!BP157)</f>
        <v/>
      </c>
      <c r="FH157" s="527" t="str">
        <f t="shared" si="401"/>
        <v/>
      </c>
      <c r="FI157" s="74" t="str">
        <f>IF('Marks Entry'!BQ157="","",'Marks Entry'!BQ157)</f>
        <v/>
      </c>
      <c r="FJ157" s="74" t="str">
        <f>IF('Marks Entry'!BR157="","",'Marks Entry'!BR157)</f>
        <v/>
      </c>
      <c r="FK157" s="528" t="str">
        <f t="shared" si="402"/>
        <v/>
      </c>
      <c r="FL157" s="529" t="str">
        <f t="shared" si="403"/>
        <v/>
      </c>
      <c r="FM157" s="74" t="str">
        <f>IF('Marks Entry'!BS157="","",'Marks Entry'!BS157)</f>
        <v/>
      </c>
      <c r="FN157" s="74" t="str">
        <f>IF('Marks Entry'!BT157="","",'Marks Entry'!BT157)</f>
        <v/>
      </c>
      <c r="FO157" s="528" t="str">
        <f t="shared" si="404"/>
        <v/>
      </c>
      <c r="FP157" s="530" t="str">
        <f t="shared" si="405"/>
        <v/>
      </c>
      <c r="FQ157" s="368" t="str">
        <f t="shared" si="454"/>
        <v/>
      </c>
      <c r="FR157" s="65">
        <f t="shared" si="455"/>
        <v>0</v>
      </c>
      <c r="FS157" s="65">
        <f t="shared" si="456"/>
        <v>0</v>
      </c>
      <c r="FT157" s="66" t="str">
        <f t="shared" si="457"/>
        <v/>
      </c>
      <c r="FU157" s="74" t="str">
        <f>IF('Marks Entry'!BU157="","",'Marks Entry'!BU157)</f>
        <v/>
      </c>
      <c r="FV157" s="74" t="str">
        <f>IF('Marks Entry'!BV157="","",'Marks Entry'!BV157)</f>
        <v/>
      </c>
      <c r="FW157" s="74" t="str">
        <f>IF('Marks Entry'!BW157="","",'Marks Entry'!BW157)</f>
        <v/>
      </c>
      <c r="FX157" s="75" t="str">
        <f t="shared" si="406"/>
        <v/>
      </c>
      <c r="FY157" s="368" t="str">
        <f t="shared" si="458"/>
        <v/>
      </c>
      <c r="FZ157" s="65">
        <f t="shared" si="459"/>
        <v>0</v>
      </c>
      <c r="GA157" s="66">
        <f t="shared" si="460"/>
        <v>0</v>
      </c>
      <c r="GB157" s="66" t="str">
        <f t="shared" si="461"/>
        <v/>
      </c>
      <c r="GC157" s="74" t="str">
        <f>IF('Marks Entry'!BX157="","",'Marks Entry'!BX157)</f>
        <v/>
      </c>
      <c r="GD157" s="74" t="str">
        <f>IF('Marks Entry'!BY157="","",'Marks Entry'!BY157)</f>
        <v/>
      </c>
      <c r="GE157" s="74" t="str">
        <f>IF('Marks Entry'!BZ157="","",'Marks Entry'!BZ157)</f>
        <v/>
      </c>
      <c r="GF157" s="75" t="str">
        <f t="shared" si="462"/>
        <v/>
      </c>
      <c r="GG157" s="368" t="str">
        <f t="shared" si="463"/>
        <v/>
      </c>
      <c r="GH157" s="65">
        <f t="shared" si="464"/>
        <v>0</v>
      </c>
      <c r="GI157" s="66">
        <f t="shared" si="465"/>
        <v>0</v>
      </c>
      <c r="GJ157" s="66" t="str">
        <f t="shared" si="466"/>
        <v/>
      </c>
      <c r="GK157" s="100" t="str">
        <f>IF(AND(F157="",B157=""),"",IF('Student DATA Entry'!M154="","",'Student DATA Entry'!M154))</f>
        <v/>
      </c>
      <c r="GL157" s="101" t="str">
        <f>IF(AND(B157="",F157=""),"",IF('Student DATA Entry'!N154="","",'Student DATA Entry'!N154))</f>
        <v/>
      </c>
      <c r="GM157" s="581" t="str">
        <f t="shared" si="467"/>
        <v/>
      </c>
      <c r="GN157" s="94" t="str">
        <f t="shared" si="468"/>
        <v/>
      </c>
      <c r="GO157" s="94" t="str">
        <f t="shared" si="469"/>
        <v/>
      </c>
      <c r="GP157" s="102" t="str">
        <f t="shared" si="407"/>
        <v/>
      </c>
      <c r="GQ157" s="94" t="str">
        <f t="shared" si="470"/>
        <v/>
      </c>
      <c r="GR157" s="103" t="str">
        <f t="shared" si="471"/>
        <v/>
      </c>
      <c r="GS157" s="102" t="str">
        <f t="shared" si="408"/>
        <v/>
      </c>
      <c r="GT157" s="104" t="str">
        <f t="shared" si="472"/>
        <v/>
      </c>
      <c r="GU157" s="94" t="str">
        <f>IF('Marks Entry'!V157=1,GT157,"")</f>
        <v/>
      </c>
      <c r="GV157" s="94" t="str">
        <f>IF('Marks Entry'!V157=2,GT157,"")</f>
        <v/>
      </c>
      <c r="GW157" s="94" t="str">
        <f>IF('Marks Entry'!V157=3,GT157,"")</f>
        <v/>
      </c>
      <c r="GX157" s="94" t="str">
        <f>IF('Marks Entry'!V157=4,GT157,"")</f>
        <v/>
      </c>
      <c r="GY157" s="94" t="str">
        <f>IF('Marks Entry'!V157=5,GT157,"")</f>
        <v/>
      </c>
      <c r="GZ157" s="94" t="str">
        <f t="shared" si="473"/>
        <v/>
      </c>
      <c r="HA157" s="105" t="str">
        <f t="shared" si="409"/>
        <v/>
      </c>
      <c r="HB157" s="94" t="str">
        <f t="shared" si="474"/>
        <v/>
      </c>
      <c r="HC157" s="94" t="str">
        <f t="shared" si="475"/>
        <v/>
      </c>
      <c r="HD157" s="105" t="str">
        <f t="shared" si="410"/>
        <v/>
      </c>
      <c r="HE157" s="94" t="str">
        <f t="shared" si="476"/>
        <v/>
      </c>
      <c r="HF157" s="94" t="str">
        <f t="shared" si="477"/>
        <v/>
      </c>
      <c r="HG157" s="105" t="str">
        <f t="shared" si="411"/>
        <v/>
      </c>
      <c r="HH157" s="94" t="str">
        <f t="shared" si="478"/>
        <v/>
      </c>
      <c r="HI157" s="94" t="str">
        <f t="shared" si="479"/>
        <v/>
      </c>
      <c r="HJ157" s="105" t="str">
        <f t="shared" si="412"/>
        <v/>
      </c>
      <c r="HK157" s="94" t="str">
        <f t="shared" si="480"/>
        <v/>
      </c>
      <c r="HL157" s="94" t="str">
        <f t="shared" si="481"/>
        <v/>
      </c>
      <c r="HM157" s="105" t="str">
        <f t="shared" si="413"/>
        <v/>
      </c>
      <c r="HN157" s="367" t="str">
        <f t="shared" si="482"/>
        <v xml:space="preserve">      </v>
      </c>
      <c r="HO157" s="418" t="str">
        <f t="shared" si="414"/>
        <v xml:space="preserve">      </v>
      </c>
      <c r="HP157" s="367" t="str">
        <f t="shared" si="483"/>
        <v xml:space="preserve">      </v>
      </c>
      <c r="HQ157" s="107" t="str">
        <f t="shared" si="484"/>
        <v xml:space="preserve">      </v>
      </c>
      <c r="HR157" s="366" t="str">
        <f t="shared" si="485"/>
        <v xml:space="preserve">      </v>
      </c>
      <c r="HS157" s="544" t="str">
        <f t="shared" si="415"/>
        <v/>
      </c>
      <c r="HT157" s="542" t="str">
        <f t="shared" si="486"/>
        <v/>
      </c>
      <c r="HU157" s="541" t="str">
        <f t="shared" si="487"/>
        <v/>
      </c>
      <c r="HV157" s="540" t="str">
        <f t="shared" si="488"/>
        <v/>
      </c>
      <c r="HW157" s="537" t="str">
        <f t="shared" si="489"/>
        <v/>
      </c>
      <c r="HX157" s="539" t="str">
        <f t="shared" si="490"/>
        <v/>
      </c>
      <c r="HY157" s="553" t="str">
        <f>IFERROR(IF(OR(HS157="SUPPLEMENTARY",HS157="RE-EXAM"),'Supp. Result Entry'!AQ155,""),"")</f>
        <v/>
      </c>
      <c r="HZ157" s="538" t="str">
        <f t="shared" si="491"/>
        <v/>
      </c>
      <c r="IA157" s="415" t="str">
        <f t="shared" si="492"/>
        <v/>
      </c>
      <c r="IB157" s="415" t="str">
        <f>IF(AND(HZ157="",IA157=""),"",IF(OR(HS157="SUPPLEMENTARY",HS157="RE-EXAM"),'Supp. Result Entry'!AQ155,HS157))</f>
        <v/>
      </c>
      <c r="IC157" s="87"/>
      <c r="IS157" s="109" t="str">
        <f>IF('Supp. Result Entry'!T155="","",'Supp. Result Entry'!$T$4)</f>
        <v/>
      </c>
      <c r="IT157" s="110" t="str">
        <f>IF('Supp. Result Entry'!W155="","",'Supp. Result Entry'!$W$4)</f>
        <v/>
      </c>
      <c r="IU157" s="110" t="str">
        <f>IF('Supp. Result Entry'!Z155="","",'Supp. Result Entry'!$Z$4)</f>
        <v/>
      </c>
      <c r="IV157" s="110" t="str">
        <f>IF('Supp. Result Entry'!AC155="","",'Supp. Result Entry'!$AC$4)</f>
        <v/>
      </c>
      <c r="IW157" s="110" t="str">
        <f>IF('Supp. Result Entry'!AF155="","",'Supp. Result Entry'!$AF$4)</f>
        <v/>
      </c>
      <c r="IX157" s="110" t="str">
        <f>IF('Supp. Result Entry'!AI155="","",'Supp. Result Entry'!$AI$4)</f>
        <v/>
      </c>
      <c r="IY157" s="110" t="str">
        <f>IF('Supp. Result Entry'!AI155="","",'Supp. Result Entry'!$AL$4)</f>
        <v/>
      </c>
      <c r="IZ157" s="110" t="str">
        <f>IF('Supp. Result Entry'!U155="","",'Supp. Result Entry'!U155)</f>
        <v/>
      </c>
      <c r="JA157" s="110" t="str">
        <f>IF('Supp. Result Entry'!X155="","",'Supp. Result Entry'!X155)</f>
        <v/>
      </c>
      <c r="JB157" s="110" t="str">
        <f>IF('Supp. Result Entry'!AA155="","",'Supp. Result Entry'!AA155)</f>
        <v/>
      </c>
      <c r="JC157" s="110" t="str">
        <f>IF('Supp. Result Entry'!AD155="","",'Supp. Result Entry'!AD155)</f>
        <v/>
      </c>
      <c r="JD157" s="110" t="str">
        <f>IF('Supp. Result Entry'!AG155="","",'Supp. Result Entry'!AG155)</f>
        <v/>
      </c>
      <c r="JE157" s="110" t="str">
        <f>IF('Supp. Result Entry'!AJ155="","",'Supp. Result Entry'!AJ155)</f>
        <v/>
      </c>
      <c r="JF157" s="110" t="str">
        <f>IF('Supp. Result Entry'!AM155="","",'Supp. Result Entry'!AM155)</f>
        <v/>
      </c>
      <c r="JG157" s="110" t="str">
        <f>IF('Supp. Result Entry'!V155="","",'Supp. Result Entry'!V155)</f>
        <v/>
      </c>
      <c r="JH157" s="110" t="str">
        <f>IF('Supp. Result Entry'!Y155="","",'Supp. Result Entry'!Y155)</f>
        <v/>
      </c>
      <c r="JI157" s="110" t="str">
        <f>IF('Supp. Result Entry'!AB155="","",'Supp. Result Entry'!AB155)</f>
        <v/>
      </c>
      <c r="JJ157" s="110" t="str">
        <f>IF('Supp. Result Entry'!AE155="","",'Supp. Result Entry'!AE155)</f>
        <v/>
      </c>
      <c r="JK157" s="110" t="str">
        <f>IF('Supp. Result Entry'!AH155="","",'Supp. Result Entry'!AH155)</f>
        <v/>
      </c>
      <c r="JL157" s="110" t="str">
        <f>IF('Supp. Result Entry'!AK155="","",'Supp. Result Entry'!AK155)</f>
        <v/>
      </c>
      <c r="JM157" s="110" t="str">
        <f>IF('Supp. Result Entry'!AN155="","",'Supp. Result Entry'!AN155)</f>
        <v/>
      </c>
      <c r="JN157" s="110">
        <f>COUNTIF('Supp. Result Entry'!K155:Q155,"S")</f>
        <v>0</v>
      </c>
      <c r="JO157" s="110">
        <f t="shared" si="416"/>
        <v>0</v>
      </c>
      <c r="JP157" s="110">
        <f t="shared" si="493"/>
        <v>0</v>
      </c>
      <c r="JQ157" s="110" t="str">
        <f t="shared" si="417"/>
        <v/>
      </c>
      <c r="JR157" s="110" t="str">
        <f t="shared" si="418"/>
        <v/>
      </c>
      <c r="JS157" s="110" t="str">
        <f t="shared" si="419"/>
        <v/>
      </c>
      <c r="JT157" s="110" t="str">
        <f t="shared" si="420"/>
        <v/>
      </c>
      <c r="JU157" s="110" t="str">
        <f t="shared" si="421"/>
        <v/>
      </c>
      <c r="JV157" s="110" t="str">
        <f t="shared" si="422"/>
        <v/>
      </c>
      <c r="JW157" s="110" t="str">
        <f t="shared" si="423"/>
        <v/>
      </c>
      <c r="JX157" s="110" t="str">
        <f t="shared" si="494"/>
        <v/>
      </c>
      <c r="JY157" s="110" t="str">
        <f t="shared" si="495"/>
        <v/>
      </c>
      <c r="JZ157" s="110" t="str">
        <f t="shared" si="424"/>
        <v/>
      </c>
      <c r="KA157" s="108" t="str">
        <f t="shared" si="496"/>
        <v/>
      </c>
    </row>
    <row r="158" spans="1:287" s="108" customFormat="1" ht="21.95" customHeight="1">
      <c r="A158" s="89">
        <v>152</v>
      </c>
      <c r="B158" s="90" t="str">
        <f>IF('Marks Entry'!B158="","",'Marks Entry'!B158)</f>
        <v/>
      </c>
      <c r="C158" s="94" t="str">
        <f>IF('Marks Entry'!D158="","",'Marks Entry'!D158)</f>
        <v/>
      </c>
      <c r="D158" s="91" t="str">
        <f>IF('Marks Entry'!E158="","",'Marks Entry'!E158)</f>
        <v/>
      </c>
      <c r="E158" s="92" t="str">
        <f>IF('Marks Entry'!F158="","",'Marks Entry'!F158)</f>
        <v/>
      </c>
      <c r="F158" s="93" t="str">
        <f>IF('Marks Entry'!G158="","",'Marks Entry'!G158)</f>
        <v/>
      </c>
      <c r="G158" s="93" t="str">
        <f>IF('Marks Entry'!H158="","",'Marks Entry'!H158)</f>
        <v/>
      </c>
      <c r="H158" s="93" t="str">
        <f>IF('Marks Entry'!I158="","",'Marks Entry'!I158)</f>
        <v/>
      </c>
      <c r="I158" s="94" t="str">
        <f>IF('Marks Entry'!J158="","",'Marks Entry'!J158)</f>
        <v/>
      </c>
      <c r="J158" s="95" t="str">
        <f>IF('Marks Entry'!K158="","",'Marks Entry'!K158)</f>
        <v/>
      </c>
      <c r="K158" s="68" t="str">
        <f>IF('Marks Entry'!L158="","",'Marks Entry'!L158)</f>
        <v/>
      </c>
      <c r="L158" s="68" t="str">
        <f>IF('Marks Entry'!M158="","",'Marks Entry'!M158)</f>
        <v/>
      </c>
      <c r="M158" s="68" t="str">
        <f>IF('Marks Entry'!N158="","",'Marks Entry'!N158)</f>
        <v/>
      </c>
      <c r="N158" s="514" t="str">
        <f t="shared" si="425"/>
        <v/>
      </c>
      <c r="O158" s="68" t="str">
        <f>IF('Marks Entry'!O158="","",'Marks Entry'!O158)</f>
        <v/>
      </c>
      <c r="P158" s="515" t="str">
        <f t="shared" si="426"/>
        <v/>
      </c>
      <c r="Q158" s="68" t="str">
        <f>IF('Marks Entry'!P158="","",'Marks Entry'!P158)</f>
        <v/>
      </c>
      <c r="R158" s="96" t="str">
        <f t="shared" si="427"/>
        <v/>
      </c>
      <c r="S158" s="65">
        <f t="shared" si="428"/>
        <v>0</v>
      </c>
      <c r="T158" s="65">
        <f t="shared" si="429"/>
        <v>0</v>
      </c>
      <c r="U158" s="66" t="str">
        <f t="shared" si="339"/>
        <v/>
      </c>
      <c r="V158" s="65" t="str">
        <f t="shared" si="340"/>
        <v/>
      </c>
      <c r="W158" s="65" t="str">
        <f t="shared" si="430"/>
        <v/>
      </c>
      <c r="X158" s="65" t="str">
        <f t="shared" si="341"/>
        <v/>
      </c>
      <c r="Y158" s="68" t="str">
        <f>IF('Marks Entry'!Q158="","",'Marks Entry'!Q158)</f>
        <v/>
      </c>
      <c r="Z158" s="68" t="str">
        <f>IF('Marks Entry'!R158="","",'Marks Entry'!R158)</f>
        <v/>
      </c>
      <c r="AA158" s="68" t="str">
        <f>IF('Marks Entry'!S158="","",'Marks Entry'!S158)</f>
        <v/>
      </c>
      <c r="AB158" s="514" t="str">
        <f t="shared" si="342"/>
        <v/>
      </c>
      <c r="AC158" s="68" t="str">
        <f>IF('Marks Entry'!T158="","",'Marks Entry'!T158)</f>
        <v/>
      </c>
      <c r="AD158" s="515" t="str">
        <f t="shared" si="343"/>
        <v/>
      </c>
      <c r="AE158" s="68" t="str">
        <f>IF('Marks Entry'!U158="","",'Marks Entry'!U158)</f>
        <v/>
      </c>
      <c r="AF158" s="96" t="str">
        <f t="shared" si="344"/>
        <v/>
      </c>
      <c r="AG158" s="65">
        <f t="shared" si="345"/>
        <v>0</v>
      </c>
      <c r="AH158" s="65">
        <f t="shared" si="346"/>
        <v>0</v>
      </c>
      <c r="AI158" s="66" t="str">
        <f t="shared" si="347"/>
        <v/>
      </c>
      <c r="AJ158" s="65" t="str">
        <f t="shared" si="348"/>
        <v/>
      </c>
      <c r="AK158" s="65" t="str">
        <f t="shared" si="349"/>
        <v/>
      </c>
      <c r="AL158" s="65" t="str">
        <f t="shared" si="350"/>
        <v/>
      </c>
      <c r="AM158" s="524" t="str">
        <f>IF('Marks Entry'!V158="","",IF('Marks Entry'!V158=1,'School Profile'!$I$9,IF('Marks Entry'!V158=2,'School Profile'!$I$10,IF('Marks Entry'!V158=3,'School Profile'!$I$11,IF('Marks Entry'!V158=4,'School Profile'!$I$12,IF('Marks Entry'!V158=5,'School Profile'!$I$13,IF('Marks Entry'!V158=6,'School Profile'!$I$14,"")))))))</f>
        <v/>
      </c>
      <c r="AN158" s="68" t="str">
        <f>IF('Marks Entry'!W158="","",'Marks Entry'!W158)</f>
        <v/>
      </c>
      <c r="AO158" s="68" t="str">
        <f>IF('Marks Entry'!X158="","",'Marks Entry'!X158)</f>
        <v/>
      </c>
      <c r="AP158" s="68" t="str">
        <f>IF('Marks Entry'!Y158="","",'Marks Entry'!Y158)</f>
        <v/>
      </c>
      <c r="AQ158" s="514" t="str">
        <f t="shared" si="351"/>
        <v/>
      </c>
      <c r="AR158" s="68" t="str">
        <f>IF('Marks Entry'!Z158="","",'Marks Entry'!Z158)</f>
        <v/>
      </c>
      <c r="AS158" s="515" t="str">
        <f t="shared" si="352"/>
        <v/>
      </c>
      <c r="AT158" s="68" t="str">
        <f>IF('Marks Entry'!AA158="","",'Marks Entry'!AA158)</f>
        <v/>
      </c>
      <c r="AU158" s="96" t="str">
        <f t="shared" si="353"/>
        <v/>
      </c>
      <c r="AV158" s="65">
        <f t="shared" si="354"/>
        <v>0</v>
      </c>
      <c r="AW158" s="65">
        <f t="shared" si="355"/>
        <v>0</v>
      </c>
      <c r="AX158" s="66" t="str">
        <f t="shared" si="356"/>
        <v/>
      </c>
      <c r="AY158" s="65" t="str">
        <f t="shared" si="357"/>
        <v/>
      </c>
      <c r="AZ158" s="65" t="str">
        <f t="shared" si="358"/>
        <v/>
      </c>
      <c r="BA158" s="65" t="str">
        <f t="shared" si="359"/>
        <v/>
      </c>
      <c r="BB158" s="68" t="str">
        <f>IF('Marks Entry'!AB158="","",'Marks Entry'!AB158)</f>
        <v/>
      </c>
      <c r="BC158" s="68" t="str">
        <f>IF('Marks Entry'!AC158="","",'Marks Entry'!AC158)</f>
        <v/>
      </c>
      <c r="BD158" s="68" t="str">
        <f>IF('Marks Entry'!AD158="","",'Marks Entry'!AD158)</f>
        <v/>
      </c>
      <c r="BE158" s="514" t="str">
        <f t="shared" si="360"/>
        <v/>
      </c>
      <c r="BF158" s="68" t="str">
        <f>IF('Marks Entry'!AE158="","",'Marks Entry'!AE158)</f>
        <v/>
      </c>
      <c r="BG158" s="515" t="str">
        <f t="shared" si="361"/>
        <v/>
      </c>
      <c r="BH158" s="68" t="str">
        <f>IF('Marks Entry'!AF158="","",'Marks Entry'!AF158)</f>
        <v/>
      </c>
      <c r="BI158" s="96" t="str">
        <f t="shared" si="362"/>
        <v/>
      </c>
      <c r="BJ158" s="65">
        <f t="shared" si="363"/>
        <v>0</v>
      </c>
      <c r="BK158" s="65">
        <f t="shared" si="431"/>
        <v>0</v>
      </c>
      <c r="BL158" s="66" t="str">
        <f t="shared" si="364"/>
        <v/>
      </c>
      <c r="BM158" s="65" t="str">
        <f t="shared" si="365"/>
        <v/>
      </c>
      <c r="BN158" s="65" t="str">
        <f t="shared" si="366"/>
        <v/>
      </c>
      <c r="BO158" s="65" t="str">
        <f t="shared" si="367"/>
        <v/>
      </c>
      <c r="BP158" s="68" t="str">
        <f>IF('Marks Entry'!AG158="","",'Marks Entry'!AG158)</f>
        <v/>
      </c>
      <c r="BQ158" s="68" t="str">
        <f>IF('Marks Entry'!AH158="","",'Marks Entry'!AH158)</f>
        <v/>
      </c>
      <c r="BR158" s="68" t="str">
        <f>IF('Marks Entry'!AI158="","",'Marks Entry'!AI158)</f>
        <v/>
      </c>
      <c r="BS158" s="514" t="str">
        <f t="shared" si="368"/>
        <v/>
      </c>
      <c r="BT158" s="68" t="str">
        <f>IF('Marks Entry'!AJ158="","",'Marks Entry'!AJ158)</f>
        <v/>
      </c>
      <c r="BU158" s="515" t="str">
        <f t="shared" si="369"/>
        <v/>
      </c>
      <c r="BV158" s="68" t="str">
        <f>IF('Marks Entry'!AK158="","",'Marks Entry'!AK158)</f>
        <v/>
      </c>
      <c r="BW158" s="96" t="str">
        <f t="shared" si="370"/>
        <v/>
      </c>
      <c r="BX158" s="65">
        <f t="shared" si="371"/>
        <v>0</v>
      </c>
      <c r="BY158" s="65">
        <f t="shared" si="372"/>
        <v>0</v>
      </c>
      <c r="BZ158" s="66" t="str">
        <f t="shared" si="373"/>
        <v/>
      </c>
      <c r="CA158" s="65" t="str">
        <f t="shared" si="374"/>
        <v/>
      </c>
      <c r="CB158" s="65" t="str">
        <f t="shared" si="375"/>
        <v/>
      </c>
      <c r="CC158" s="65" t="str">
        <f t="shared" si="376"/>
        <v/>
      </c>
      <c r="CD158" s="66">
        <f t="shared" si="377"/>
        <v>0</v>
      </c>
      <c r="CE158" s="68" t="str">
        <f>IF('Marks Entry'!AL158="","",'Marks Entry'!AL158)</f>
        <v/>
      </c>
      <c r="CF158" s="68" t="str">
        <f>IF('Marks Entry'!AM158="","",'Marks Entry'!AM158)</f>
        <v/>
      </c>
      <c r="CG158" s="68" t="str">
        <f>IF('Marks Entry'!AN158="","",'Marks Entry'!AN158)</f>
        <v/>
      </c>
      <c r="CH158" s="514" t="str">
        <f t="shared" si="378"/>
        <v/>
      </c>
      <c r="CI158" s="68" t="str">
        <f>IF('Marks Entry'!AO158="","",'Marks Entry'!AO158)</f>
        <v/>
      </c>
      <c r="CJ158" s="515" t="str">
        <f t="shared" si="379"/>
        <v/>
      </c>
      <c r="CK158" s="68" t="str">
        <f>IF('Marks Entry'!AP158="","",'Marks Entry'!AP158)</f>
        <v/>
      </c>
      <c r="CL158" s="96" t="str">
        <f t="shared" si="380"/>
        <v/>
      </c>
      <c r="CM158" s="65">
        <f t="shared" si="381"/>
        <v>0</v>
      </c>
      <c r="CN158" s="65">
        <f t="shared" si="382"/>
        <v>0</v>
      </c>
      <c r="CO158" s="66" t="str">
        <f t="shared" si="383"/>
        <v/>
      </c>
      <c r="CP158" s="65" t="str">
        <f t="shared" si="384"/>
        <v/>
      </c>
      <c r="CQ158" s="65" t="str">
        <f t="shared" si="385"/>
        <v/>
      </c>
      <c r="CR158" s="65" t="str">
        <f t="shared" si="386"/>
        <v/>
      </c>
      <c r="CS158" s="616"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8" t="str">
        <f>IF('School Profile'!$D$20="NO","",IF('Marks Entry'!AR158="","",'Marks Entry'!AR158))</f>
        <v/>
      </c>
      <c r="CU158" s="68" t="str">
        <f>IF('School Profile'!$D$20="NO","",IF('Marks Entry'!AS158="","",'Marks Entry'!AS158))</f>
        <v/>
      </c>
      <c r="CV158" s="68" t="str">
        <f>IF('School Profile'!$D$20="NO","",IF('Marks Entry'!AT158="","",'Marks Entry'!AT158))</f>
        <v/>
      </c>
      <c r="CW158" s="514" t="str">
        <f>IF('School Profile'!$D$20="NO","",IF(AND(CT158="",CU158="",CV158=""),"",SUM(CT158:CV158)))</f>
        <v/>
      </c>
      <c r="CX158" s="68" t="str">
        <f>IF('School Profile'!$D$20="NO","",IF('Marks Entry'!AU158="","",'Marks Entry'!AU158))</f>
        <v/>
      </c>
      <c r="CY158" s="68" t="str">
        <f>IF('School Profile'!$D$20="NO","",IF('Marks Entry'!AV158="","",'Marks Entry'!AV158))</f>
        <v/>
      </c>
      <c r="CZ158" s="515" t="str">
        <f>IF('School Profile'!$D$20="NO","",IF(AND(CX158="",CY158=""),"",SUM(CX158,CY158)))</f>
        <v/>
      </c>
      <c r="DA158" s="69" t="str">
        <f>IF('School Profile'!$D$20="NO","",IF(AND(CW158="",CZ158=""),"",SUM(CW158+CZ158)))</f>
        <v/>
      </c>
      <c r="DB158" s="68" t="str">
        <f>IF('School Profile'!$D$20="NO","",IF('Marks Entry'!AW158="","",'Marks Entry'!AW158))</f>
        <v/>
      </c>
      <c r="DC158" s="68" t="str">
        <f>IF('School Profile'!$D$20="NO","",IF('Marks Entry'!AX158="","",'Marks Entry'!AX158))</f>
        <v/>
      </c>
      <c r="DD158" s="515" t="str">
        <f>IF('School Profile'!$D$20="NO","",IF(AND(DB158="",DC158=""),"",SUM(DB158,DC158)))</f>
        <v/>
      </c>
      <c r="DE158" s="96" t="str">
        <f>IF('School Profile'!$D$20="NO","",IF(AND(DA158="",DD158=""),"",SUM(DA158,DD158)))</f>
        <v/>
      </c>
      <c r="DF158" s="532">
        <f t="shared" si="387"/>
        <v>0</v>
      </c>
      <c r="DG158" s="65">
        <f t="shared" si="388"/>
        <v>0</v>
      </c>
      <c r="DH158" s="66" t="str">
        <f t="shared" si="389"/>
        <v/>
      </c>
      <c r="DI158" s="65" t="str">
        <f t="shared" si="390"/>
        <v/>
      </c>
      <c r="DJ158" s="65" t="str">
        <f t="shared" si="391"/>
        <v/>
      </c>
      <c r="DK158" s="65" t="str">
        <f t="shared" si="392"/>
        <v/>
      </c>
      <c r="DL158" s="97" t="str">
        <f t="shared" si="432"/>
        <v/>
      </c>
      <c r="DM158" s="97" t="str">
        <f t="shared" si="433"/>
        <v/>
      </c>
      <c r="DN158" s="97" t="str">
        <f t="shared" si="434"/>
        <v/>
      </c>
      <c r="DO158" s="97" t="str">
        <f t="shared" si="435"/>
        <v/>
      </c>
      <c r="DP158" s="97" t="str">
        <f t="shared" si="436"/>
        <v/>
      </c>
      <c r="DQ158" s="97" t="str">
        <f t="shared" si="437"/>
        <v/>
      </c>
      <c r="DR158" s="97" t="str">
        <f t="shared" si="438"/>
        <v/>
      </c>
      <c r="DS158" s="98">
        <f t="shared" si="439"/>
        <v>0</v>
      </c>
      <c r="DT158" s="98">
        <f t="shared" si="440"/>
        <v>0</v>
      </c>
      <c r="DU158" s="98">
        <f t="shared" si="441"/>
        <v>0</v>
      </c>
      <c r="DV158" s="98">
        <f t="shared" si="442"/>
        <v>0</v>
      </c>
      <c r="DW158" s="98">
        <f t="shared" si="443"/>
        <v>0</v>
      </c>
      <c r="DX158" s="98" t="str">
        <f t="shared" si="444"/>
        <v/>
      </c>
      <c r="DY158" s="99" t="str">
        <f t="shared" si="445"/>
        <v/>
      </c>
      <c r="DZ158" s="74" t="str">
        <f>IF('Marks Entry'!AY158="","",'Marks Entry'!AY158)</f>
        <v/>
      </c>
      <c r="EA158" s="74" t="str">
        <f>IF('Marks Entry'!AZ158="","",'Marks Entry'!AZ158)</f>
        <v/>
      </c>
      <c r="EB158" s="74" t="str">
        <f>IF('Marks Entry'!BA158="","",'Marks Entry'!BA158)</f>
        <v/>
      </c>
      <c r="EC158" s="527" t="str">
        <f t="shared" si="393"/>
        <v/>
      </c>
      <c r="ED158" s="74" t="str">
        <f>IF('Marks Entry'!BB158="","",'Marks Entry'!BB158)</f>
        <v/>
      </c>
      <c r="EE158" s="528" t="str">
        <f t="shared" si="394"/>
        <v/>
      </c>
      <c r="EF158" s="74" t="str">
        <f>IF('Marks Entry'!BC158="","",'Marks Entry'!BC158)</f>
        <v/>
      </c>
      <c r="EG158" s="530" t="str">
        <f t="shared" si="395"/>
        <v/>
      </c>
      <c r="EH158" s="368" t="str">
        <f t="shared" si="446"/>
        <v/>
      </c>
      <c r="EI158" s="65">
        <f t="shared" si="447"/>
        <v>0</v>
      </c>
      <c r="EJ158" s="65">
        <f t="shared" si="448"/>
        <v>0</v>
      </c>
      <c r="EK158" s="66" t="str">
        <f t="shared" si="449"/>
        <v/>
      </c>
      <c r="EL158" s="74" t="str">
        <f>IF('Marks Entry'!BD158="","",'Marks Entry'!BD158)</f>
        <v/>
      </c>
      <c r="EM158" s="74" t="str">
        <f>IF('Marks Entry'!BE158="","",'Marks Entry'!BE158)</f>
        <v/>
      </c>
      <c r="EN158" s="74" t="str">
        <f>IF('Marks Entry'!BF158="","",'Marks Entry'!BF158)</f>
        <v/>
      </c>
      <c r="EO158" s="527" t="str">
        <f t="shared" si="396"/>
        <v/>
      </c>
      <c r="EP158" s="74" t="str">
        <f>IF('Marks Entry'!BG158="","",'Marks Entry'!BG158)</f>
        <v/>
      </c>
      <c r="EQ158" s="74" t="str">
        <f>IF('Marks Entry'!BH158="","",'Marks Entry'!BH158)</f>
        <v/>
      </c>
      <c r="ER158" s="528" t="str">
        <f t="shared" si="397"/>
        <v/>
      </c>
      <c r="ES158" s="529" t="str">
        <f t="shared" si="398"/>
        <v/>
      </c>
      <c r="ET158" s="74" t="str">
        <f>IF('Marks Entry'!BI158="","",'Marks Entry'!BI158)</f>
        <v/>
      </c>
      <c r="EU158" s="74" t="str">
        <f>IF('Marks Entry'!BJ158="","",'Marks Entry'!BJ158)</f>
        <v/>
      </c>
      <c r="EV158" s="528" t="str">
        <f t="shared" si="399"/>
        <v/>
      </c>
      <c r="EW158" s="530" t="str">
        <f t="shared" si="400"/>
        <v/>
      </c>
      <c r="EX158" s="368" t="str">
        <f t="shared" si="450"/>
        <v/>
      </c>
      <c r="EY158" s="65">
        <f t="shared" si="451"/>
        <v>0</v>
      </c>
      <c r="EZ158" s="65">
        <f t="shared" si="452"/>
        <v>0</v>
      </c>
      <c r="FA158" s="66" t="str">
        <f t="shared" si="453"/>
        <v/>
      </c>
      <c r="FB158" s="74" t="str">
        <f>IF('Marks Entry'!BK158="","",'Marks Entry'!BK158)</f>
        <v/>
      </c>
      <c r="FC158" s="74" t="str">
        <f>IF('Marks Entry'!BL158="","",'Marks Entry'!BL158)</f>
        <v/>
      </c>
      <c r="FD158" s="74" t="str">
        <f>IF('Marks Entry'!BM158="","",'Marks Entry'!BM158)</f>
        <v/>
      </c>
      <c r="FE158" s="74" t="str">
        <f>IF('Marks Entry'!BN158="","",'Marks Entry'!BN158)</f>
        <v/>
      </c>
      <c r="FF158" s="74" t="str">
        <f>IF('Marks Entry'!BO158="","",'Marks Entry'!BO158)</f>
        <v/>
      </c>
      <c r="FG158" s="74" t="str">
        <f>IF('Marks Entry'!BP158="","",'Marks Entry'!BP158)</f>
        <v/>
      </c>
      <c r="FH158" s="527" t="str">
        <f t="shared" si="401"/>
        <v/>
      </c>
      <c r="FI158" s="74" t="str">
        <f>IF('Marks Entry'!BQ158="","",'Marks Entry'!BQ158)</f>
        <v/>
      </c>
      <c r="FJ158" s="74" t="str">
        <f>IF('Marks Entry'!BR158="","",'Marks Entry'!BR158)</f>
        <v/>
      </c>
      <c r="FK158" s="528" t="str">
        <f t="shared" si="402"/>
        <v/>
      </c>
      <c r="FL158" s="529" t="str">
        <f t="shared" si="403"/>
        <v/>
      </c>
      <c r="FM158" s="74" t="str">
        <f>IF('Marks Entry'!BS158="","",'Marks Entry'!BS158)</f>
        <v/>
      </c>
      <c r="FN158" s="74" t="str">
        <f>IF('Marks Entry'!BT158="","",'Marks Entry'!BT158)</f>
        <v/>
      </c>
      <c r="FO158" s="528" t="str">
        <f t="shared" si="404"/>
        <v/>
      </c>
      <c r="FP158" s="530" t="str">
        <f t="shared" si="405"/>
        <v/>
      </c>
      <c r="FQ158" s="368" t="str">
        <f t="shared" si="454"/>
        <v/>
      </c>
      <c r="FR158" s="65">
        <f t="shared" si="455"/>
        <v>0</v>
      </c>
      <c r="FS158" s="65">
        <f t="shared" si="456"/>
        <v>0</v>
      </c>
      <c r="FT158" s="66" t="str">
        <f t="shared" si="457"/>
        <v/>
      </c>
      <c r="FU158" s="74" t="str">
        <f>IF('Marks Entry'!BU158="","",'Marks Entry'!BU158)</f>
        <v/>
      </c>
      <c r="FV158" s="74" t="str">
        <f>IF('Marks Entry'!BV158="","",'Marks Entry'!BV158)</f>
        <v/>
      </c>
      <c r="FW158" s="74" t="str">
        <f>IF('Marks Entry'!BW158="","",'Marks Entry'!BW158)</f>
        <v/>
      </c>
      <c r="FX158" s="75" t="str">
        <f t="shared" si="406"/>
        <v/>
      </c>
      <c r="FY158" s="368" t="str">
        <f t="shared" si="458"/>
        <v/>
      </c>
      <c r="FZ158" s="65">
        <f t="shared" si="459"/>
        <v>0</v>
      </c>
      <c r="GA158" s="66">
        <f t="shared" si="460"/>
        <v>0</v>
      </c>
      <c r="GB158" s="66" t="str">
        <f t="shared" si="461"/>
        <v/>
      </c>
      <c r="GC158" s="74" t="str">
        <f>IF('Marks Entry'!BX158="","",'Marks Entry'!BX158)</f>
        <v/>
      </c>
      <c r="GD158" s="74" t="str">
        <f>IF('Marks Entry'!BY158="","",'Marks Entry'!BY158)</f>
        <v/>
      </c>
      <c r="GE158" s="74" t="str">
        <f>IF('Marks Entry'!BZ158="","",'Marks Entry'!BZ158)</f>
        <v/>
      </c>
      <c r="GF158" s="75" t="str">
        <f t="shared" si="462"/>
        <v/>
      </c>
      <c r="GG158" s="368" t="str">
        <f t="shared" si="463"/>
        <v/>
      </c>
      <c r="GH158" s="65">
        <f t="shared" si="464"/>
        <v>0</v>
      </c>
      <c r="GI158" s="66">
        <f t="shared" si="465"/>
        <v>0</v>
      </c>
      <c r="GJ158" s="66" t="str">
        <f t="shared" si="466"/>
        <v/>
      </c>
      <c r="GK158" s="100" t="str">
        <f>IF(AND(F158="",B158=""),"",IF('Student DATA Entry'!M155="","",'Student DATA Entry'!M155))</f>
        <v/>
      </c>
      <c r="GL158" s="101" t="str">
        <f>IF(AND(B158="",F158=""),"",IF('Student DATA Entry'!N155="","",'Student DATA Entry'!N155))</f>
        <v/>
      </c>
      <c r="GM158" s="581" t="str">
        <f t="shared" si="467"/>
        <v/>
      </c>
      <c r="GN158" s="94" t="str">
        <f t="shared" si="468"/>
        <v/>
      </c>
      <c r="GO158" s="94" t="str">
        <f t="shared" si="469"/>
        <v/>
      </c>
      <c r="GP158" s="102" t="str">
        <f t="shared" si="407"/>
        <v/>
      </c>
      <c r="GQ158" s="94" t="str">
        <f t="shared" si="470"/>
        <v/>
      </c>
      <c r="GR158" s="103" t="str">
        <f t="shared" si="471"/>
        <v/>
      </c>
      <c r="GS158" s="102" t="str">
        <f t="shared" si="408"/>
        <v/>
      </c>
      <c r="GT158" s="104" t="str">
        <f t="shared" si="472"/>
        <v/>
      </c>
      <c r="GU158" s="94" t="str">
        <f>IF('Marks Entry'!V158=1,GT158,"")</f>
        <v/>
      </c>
      <c r="GV158" s="94" t="str">
        <f>IF('Marks Entry'!V158=2,GT158,"")</f>
        <v/>
      </c>
      <c r="GW158" s="94" t="str">
        <f>IF('Marks Entry'!V158=3,GT158,"")</f>
        <v/>
      </c>
      <c r="GX158" s="94" t="str">
        <f>IF('Marks Entry'!V158=4,GT158,"")</f>
        <v/>
      </c>
      <c r="GY158" s="94" t="str">
        <f>IF('Marks Entry'!V158=5,GT158,"")</f>
        <v/>
      </c>
      <c r="GZ158" s="94" t="str">
        <f t="shared" si="473"/>
        <v/>
      </c>
      <c r="HA158" s="105" t="str">
        <f t="shared" si="409"/>
        <v/>
      </c>
      <c r="HB158" s="94" t="str">
        <f t="shared" si="474"/>
        <v/>
      </c>
      <c r="HC158" s="94" t="str">
        <f t="shared" si="475"/>
        <v/>
      </c>
      <c r="HD158" s="105" t="str">
        <f t="shared" si="410"/>
        <v/>
      </c>
      <c r="HE158" s="94" t="str">
        <f t="shared" si="476"/>
        <v/>
      </c>
      <c r="HF158" s="94" t="str">
        <f t="shared" si="477"/>
        <v/>
      </c>
      <c r="HG158" s="105" t="str">
        <f t="shared" si="411"/>
        <v/>
      </c>
      <c r="HH158" s="94" t="str">
        <f t="shared" si="478"/>
        <v/>
      </c>
      <c r="HI158" s="94" t="str">
        <f t="shared" si="479"/>
        <v/>
      </c>
      <c r="HJ158" s="105" t="str">
        <f t="shared" si="412"/>
        <v/>
      </c>
      <c r="HK158" s="94" t="str">
        <f t="shared" si="480"/>
        <v/>
      </c>
      <c r="HL158" s="94" t="str">
        <f t="shared" si="481"/>
        <v/>
      </c>
      <c r="HM158" s="105" t="str">
        <f t="shared" si="413"/>
        <v/>
      </c>
      <c r="HN158" s="367" t="str">
        <f t="shared" si="482"/>
        <v xml:space="preserve">      </v>
      </c>
      <c r="HO158" s="418" t="str">
        <f t="shared" si="414"/>
        <v xml:space="preserve">      </v>
      </c>
      <c r="HP158" s="367" t="str">
        <f t="shared" si="483"/>
        <v xml:space="preserve">      </v>
      </c>
      <c r="HQ158" s="107" t="str">
        <f t="shared" si="484"/>
        <v xml:space="preserve">      </v>
      </c>
      <c r="HR158" s="366" t="str">
        <f t="shared" si="485"/>
        <v xml:space="preserve">      </v>
      </c>
      <c r="HS158" s="544" t="str">
        <f t="shared" si="415"/>
        <v/>
      </c>
      <c r="HT158" s="542" t="str">
        <f t="shared" si="486"/>
        <v/>
      </c>
      <c r="HU158" s="541" t="str">
        <f t="shared" si="487"/>
        <v/>
      </c>
      <c r="HV158" s="540" t="str">
        <f t="shared" si="488"/>
        <v/>
      </c>
      <c r="HW158" s="537" t="str">
        <f t="shared" si="489"/>
        <v/>
      </c>
      <c r="HX158" s="539" t="str">
        <f t="shared" si="490"/>
        <v/>
      </c>
      <c r="HY158" s="553" t="str">
        <f>IFERROR(IF(OR(HS158="SUPPLEMENTARY",HS158="RE-EXAM"),'Supp. Result Entry'!AQ156,""),"")</f>
        <v/>
      </c>
      <c r="HZ158" s="538" t="str">
        <f t="shared" si="491"/>
        <v/>
      </c>
      <c r="IA158" s="415" t="str">
        <f t="shared" si="492"/>
        <v/>
      </c>
      <c r="IB158" s="415" t="str">
        <f>IF(AND(HZ158="",IA158=""),"",IF(OR(HS158="SUPPLEMENTARY",HS158="RE-EXAM"),'Supp. Result Entry'!AQ156,HS158))</f>
        <v/>
      </c>
      <c r="IC158" s="87"/>
      <c r="IS158" s="109" t="str">
        <f>IF('Supp. Result Entry'!T156="","",'Supp. Result Entry'!$T$4)</f>
        <v/>
      </c>
      <c r="IT158" s="110" t="str">
        <f>IF('Supp. Result Entry'!W156="","",'Supp. Result Entry'!$W$4)</f>
        <v/>
      </c>
      <c r="IU158" s="110" t="str">
        <f>IF('Supp. Result Entry'!Z156="","",'Supp. Result Entry'!$Z$4)</f>
        <v/>
      </c>
      <c r="IV158" s="110" t="str">
        <f>IF('Supp. Result Entry'!AC156="","",'Supp. Result Entry'!$AC$4)</f>
        <v/>
      </c>
      <c r="IW158" s="110" t="str">
        <f>IF('Supp. Result Entry'!AF156="","",'Supp. Result Entry'!$AF$4)</f>
        <v/>
      </c>
      <c r="IX158" s="110" t="str">
        <f>IF('Supp. Result Entry'!AI156="","",'Supp. Result Entry'!$AI$4)</f>
        <v/>
      </c>
      <c r="IY158" s="110" t="str">
        <f>IF('Supp. Result Entry'!AI156="","",'Supp. Result Entry'!$AL$4)</f>
        <v/>
      </c>
      <c r="IZ158" s="110" t="str">
        <f>IF('Supp. Result Entry'!U156="","",'Supp. Result Entry'!U156)</f>
        <v/>
      </c>
      <c r="JA158" s="110" t="str">
        <f>IF('Supp. Result Entry'!X156="","",'Supp. Result Entry'!X156)</f>
        <v/>
      </c>
      <c r="JB158" s="110" t="str">
        <f>IF('Supp. Result Entry'!AA156="","",'Supp. Result Entry'!AA156)</f>
        <v/>
      </c>
      <c r="JC158" s="110" t="str">
        <f>IF('Supp. Result Entry'!AD156="","",'Supp. Result Entry'!AD156)</f>
        <v/>
      </c>
      <c r="JD158" s="110" t="str">
        <f>IF('Supp. Result Entry'!AG156="","",'Supp. Result Entry'!AG156)</f>
        <v/>
      </c>
      <c r="JE158" s="110" t="str">
        <f>IF('Supp. Result Entry'!AJ156="","",'Supp. Result Entry'!AJ156)</f>
        <v/>
      </c>
      <c r="JF158" s="110" t="str">
        <f>IF('Supp. Result Entry'!AM156="","",'Supp. Result Entry'!AM156)</f>
        <v/>
      </c>
      <c r="JG158" s="110" t="str">
        <f>IF('Supp. Result Entry'!V156="","",'Supp. Result Entry'!V156)</f>
        <v/>
      </c>
      <c r="JH158" s="110" t="str">
        <f>IF('Supp. Result Entry'!Y156="","",'Supp. Result Entry'!Y156)</f>
        <v/>
      </c>
      <c r="JI158" s="110" t="str">
        <f>IF('Supp. Result Entry'!AB156="","",'Supp. Result Entry'!AB156)</f>
        <v/>
      </c>
      <c r="JJ158" s="110" t="str">
        <f>IF('Supp. Result Entry'!AE156="","",'Supp. Result Entry'!AE156)</f>
        <v/>
      </c>
      <c r="JK158" s="110" t="str">
        <f>IF('Supp. Result Entry'!AH156="","",'Supp. Result Entry'!AH156)</f>
        <v/>
      </c>
      <c r="JL158" s="110" t="str">
        <f>IF('Supp. Result Entry'!AK156="","",'Supp. Result Entry'!AK156)</f>
        <v/>
      </c>
      <c r="JM158" s="110" t="str">
        <f>IF('Supp. Result Entry'!AN156="","",'Supp. Result Entry'!AN156)</f>
        <v/>
      </c>
      <c r="JN158" s="110">
        <f>COUNTIF('Supp. Result Entry'!K156:Q156,"S")</f>
        <v>0</v>
      </c>
      <c r="JO158" s="110">
        <f t="shared" si="416"/>
        <v>0</v>
      </c>
      <c r="JP158" s="110">
        <f t="shared" si="493"/>
        <v>0</v>
      </c>
      <c r="JQ158" s="110" t="str">
        <f t="shared" si="417"/>
        <v/>
      </c>
      <c r="JR158" s="110" t="str">
        <f t="shared" si="418"/>
        <v/>
      </c>
      <c r="JS158" s="110" t="str">
        <f t="shared" si="419"/>
        <v/>
      </c>
      <c r="JT158" s="110" t="str">
        <f t="shared" si="420"/>
        <v/>
      </c>
      <c r="JU158" s="110" t="str">
        <f t="shared" si="421"/>
        <v/>
      </c>
      <c r="JV158" s="110" t="str">
        <f t="shared" si="422"/>
        <v/>
      </c>
      <c r="JW158" s="110" t="str">
        <f t="shared" si="423"/>
        <v/>
      </c>
      <c r="JX158" s="110" t="str">
        <f t="shared" si="494"/>
        <v/>
      </c>
      <c r="JY158" s="110" t="str">
        <f t="shared" si="495"/>
        <v/>
      </c>
      <c r="JZ158" s="110" t="str">
        <f t="shared" si="424"/>
        <v/>
      </c>
      <c r="KA158" s="108" t="str">
        <f t="shared" si="496"/>
        <v/>
      </c>
    </row>
    <row r="159" spans="1:287" s="108" customFormat="1" ht="21.95" customHeight="1">
      <c r="A159" s="89">
        <v>153</v>
      </c>
      <c r="B159" s="90" t="str">
        <f>IF('Marks Entry'!B159="","",'Marks Entry'!B159)</f>
        <v/>
      </c>
      <c r="C159" s="94" t="str">
        <f>IF('Marks Entry'!D159="","",'Marks Entry'!D159)</f>
        <v/>
      </c>
      <c r="D159" s="91" t="str">
        <f>IF('Marks Entry'!E159="","",'Marks Entry'!E159)</f>
        <v/>
      </c>
      <c r="E159" s="92" t="str">
        <f>IF('Marks Entry'!F159="","",'Marks Entry'!F159)</f>
        <v/>
      </c>
      <c r="F159" s="93" t="str">
        <f>IF('Marks Entry'!G159="","",'Marks Entry'!G159)</f>
        <v/>
      </c>
      <c r="G159" s="93" t="str">
        <f>IF('Marks Entry'!H159="","",'Marks Entry'!H159)</f>
        <v/>
      </c>
      <c r="H159" s="93" t="str">
        <f>IF('Marks Entry'!I159="","",'Marks Entry'!I159)</f>
        <v/>
      </c>
      <c r="I159" s="94" t="str">
        <f>IF('Marks Entry'!J159="","",'Marks Entry'!J159)</f>
        <v/>
      </c>
      <c r="J159" s="95" t="str">
        <f>IF('Marks Entry'!K159="","",'Marks Entry'!K159)</f>
        <v/>
      </c>
      <c r="K159" s="68" t="str">
        <f>IF('Marks Entry'!L159="","",'Marks Entry'!L159)</f>
        <v/>
      </c>
      <c r="L159" s="68" t="str">
        <f>IF('Marks Entry'!M159="","",'Marks Entry'!M159)</f>
        <v/>
      </c>
      <c r="M159" s="68" t="str">
        <f>IF('Marks Entry'!N159="","",'Marks Entry'!N159)</f>
        <v/>
      </c>
      <c r="N159" s="514" t="str">
        <f t="shared" si="425"/>
        <v/>
      </c>
      <c r="O159" s="68" t="str">
        <f>IF('Marks Entry'!O159="","",'Marks Entry'!O159)</f>
        <v/>
      </c>
      <c r="P159" s="515" t="str">
        <f t="shared" si="426"/>
        <v/>
      </c>
      <c r="Q159" s="68" t="str">
        <f>IF('Marks Entry'!P159="","",'Marks Entry'!P159)</f>
        <v/>
      </c>
      <c r="R159" s="96" t="str">
        <f t="shared" si="427"/>
        <v/>
      </c>
      <c r="S159" s="65">
        <f t="shared" si="428"/>
        <v>0</v>
      </c>
      <c r="T159" s="65">
        <f t="shared" si="429"/>
        <v>0</v>
      </c>
      <c r="U159" s="66" t="str">
        <f t="shared" si="339"/>
        <v/>
      </c>
      <c r="V159" s="65" t="str">
        <f t="shared" si="340"/>
        <v/>
      </c>
      <c r="W159" s="65" t="str">
        <f t="shared" si="430"/>
        <v/>
      </c>
      <c r="X159" s="65" t="str">
        <f t="shared" si="341"/>
        <v/>
      </c>
      <c r="Y159" s="68" t="str">
        <f>IF('Marks Entry'!Q159="","",'Marks Entry'!Q159)</f>
        <v/>
      </c>
      <c r="Z159" s="68" t="str">
        <f>IF('Marks Entry'!R159="","",'Marks Entry'!R159)</f>
        <v/>
      </c>
      <c r="AA159" s="68" t="str">
        <f>IF('Marks Entry'!S159="","",'Marks Entry'!S159)</f>
        <v/>
      </c>
      <c r="AB159" s="514" t="str">
        <f t="shared" si="342"/>
        <v/>
      </c>
      <c r="AC159" s="68" t="str">
        <f>IF('Marks Entry'!T159="","",'Marks Entry'!T159)</f>
        <v/>
      </c>
      <c r="AD159" s="515" t="str">
        <f t="shared" si="343"/>
        <v/>
      </c>
      <c r="AE159" s="68" t="str">
        <f>IF('Marks Entry'!U159="","",'Marks Entry'!U159)</f>
        <v/>
      </c>
      <c r="AF159" s="96" t="str">
        <f t="shared" si="344"/>
        <v/>
      </c>
      <c r="AG159" s="65">
        <f t="shared" si="345"/>
        <v>0</v>
      </c>
      <c r="AH159" s="65">
        <f t="shared" si="346"/>
        <v>0</v>
      </c>
      <c r="AI159" s="66" t="str">
        <f t="shared" si="347"/>
        <v/>
      </c>
      <c r="AJ159" s="65" t="str">
        <f t="shared" si="348"/>
        <v/>
      </c>
      <c r="AK159" s="65" t="str">
        <f t="shared" si="349"/>
        <v/>
      </c>
      <c r="AL159" s="65" t="str">
        <f t="shared" si="350"/>
        <v/>
      </c>
      <c r="AM159" s="524" t="str">
        <f>IF('Marks Entry'!V159="","",IF('Marks Entry'!V159=1,'School Profile'!$I$9,IF('Marks Entry'!V159=2,'School Profile'!$I$10,IF('Marks Entry'!V159=3,'School Profile'!$I$11,IF('Marks Entry'!V159=4,'School Profile'!$I$12,IF('Marks Entry'!V159=5,'School Profile'!$I$13,IF('Marks Entry'!V159=6,'School Profile'!$I$14,"")))))))</f>
        <v/>
      </c>
      <c r="AN159" s="68" t="str">
        <f>IF('Marks Entry'!W159="","",'Marks Entry'!W159)</f>
        <v/>
      </c>
      <c r="AO159" s="68" t="str">
        <f>IF('Marks Entry'!X159="","",'Marks Entry'!X159)</f>
        <v/>
      </c>
      <c r="AP159" s="68" t="str">
        <f>IF('Marks Entry'!Y159="","",'Marks Entry'!Y159)</f>
        <v/>
      </c>
      <c r="AQ159" s="514" t="str">
        <f t="shared" si="351"/>
        <v/>
      </c>
      <c r="AR159" s="68" t="str">
        <f>IF('Marks Entry'!Z159="","",'Marks Entry'!Z159)</f>
        <v/>
      </c>
      <c r="AS159" s="515" t="str">
        <f t="shared" si="352"/>
        <v/>
      </c>
      <c r="AT159" s="68" t="str">
        <f>IF('Marks Entry'!AA159="","",'Marks Entry'!AA159)</f>
        <v/>
      </c>
      <c r="AU159" s="96" t="str">
        <f t="shared" si="353"/>
        <v/>
      </c>
      <c r="AV159" s="65">
        <f t="shared" si="354"/>
        <v>0</v>
      </c>
      <c r="AW159" s="65">
        <f t="shared" si="355"/>
        <v>0</v>
      </c>
      <c r="AX159" s="66" t="str">
        <f t="shared" si="356"/>
        <v/>
      </c>
      <c r="AY159" s="65" t="str">
        <f t="shared" si="357"/>
        <v/>
      </c>
      <c r="AZ159" s="65" t="str">
        <f t="shared" si="358"/>
        <v/>
      </c>
      <c r="BA159" s="65" t="str">
        <f t="shared" si="359"/>
        <v/>
      </c>
      <c r="BB159" s="68" t="str">
        <f>IF('Marks Entry'!AB159="","",'Marks Entry'!AB159)</f>
        <v/>
      </c>
      <c r="BC159" s="68" t="str">
        <f>IF('Marks Entry'!AC159="","",'Marks Entry'!AC159)</f>
        <v/>
      </c>
      <c r="BD159" s="68" t="str">
        <f>IF('Marks Entry'!AD159="","",'Marks Entry'!AD159)</f>
        <v/>
      </c>
      <c r="BE159" s="514" t="str">
        <f t="shared" si="360"/>
        <v/>
      </c>
      <c r="BF159" s="68" t="str">
        <f>IF('Marks Entry'!AE159="","",'Marks Entry'!AE159)</f>
        <v/>
      </c>
      <c r="BG159" s="515" t="str">
        <f t="shared" si="361"/>
        <v/>
      </c>
      <c r="BH159" s="68" t="str">
        <f>IF('Marks Entry'!AF159="","",'Marks Entry'!AF159)</f>
        <v/>
      </c>
      <c r="BI159" s="96" t="str">
        <f t="shared" si="362"/>
        <v/>
      </c>
      <c r="BJ159" s="65">
        <f t="shared" si="363"/>
        <v>0</v>
      </c>
      <c r="BK159" s="65">
        <f t="shared" si="431"/>
        <v>0</v>
      </c>
      <c r="BL159" s="66" t="str">
        <f t="shared" si="364"/>
        <v/>
      </c>
      <c r="BM159" s="65" t="str">
        <f t="shared" si="365"/>
        <v/>
      </c>
      <c r="BN159" s="65" t="str">
        <f t="shared" si="366"/>
        <v/>
      </c>
      <c r="BO159" s="65" t="str">
        <f t="shared" si="367"/>
        <v/>
      </c>
      <c r="BP159" s="68" t="str">
        <f>IF('Marks Entry'!AG159="","",'Marks Entry'!AG159)</f>
        <v/>
      </c>
      <c r="BQ159" s="68" t="str">
        <f>IF('Marks Entry'!AH159="","",'Marks Entry'!AH159)</f>
        <v/>
      </c>
      <c r="BR159" s="68" t="str">
        <f>IF('Marks Entry'!AI159="","",'Marks Entry'!AI159)</f>
        <v/>
      </c>
      <c r="BS159" s="514" t="str">
        <f t="shared" si="368"/>
        <v/>
      </c>
      <c r="BT159" s="68" t="str">
        <f>IF('Marks Entry'!AJ159="","",'Marks Entry'!AJ159)</f>
        <v/>
      </c>
      <c r="BU159" s="515" t="str">
        <f t="shared" si="369"/>
        <v/>
      </c>
      <c r="BV159" s="68" t="str">
        <f>IF('Marks Entry'!AK159="","",'Marks Entry'!AK159)</f>
        <v/>
      </c>
      <c r="BW159" s="96" t="str">
        <f t="shared" si="370"/>
        <v/>
      </c>
      <c r="BX159" s="65">
        <f t="shared" si="371"/>
        <v>0</v>
      </c>
      <c r="BY159" s="65">
        <f t="shared" si="372"/>
        <v>0</v>
      </c>
      <c r="BZ159" s="66" t="str">
        <f t="shared" si="373"/>
        <v/>
      </c>
      <c r="CA159" s="65" t="str">
        <f t="shared" si="374"/>
        <v/>
      </c>
      <c r="CB159" s="65" t="str">
        <f t="shared" si="375"/>
        <v/>
      </c>
      <c r="CC159" s="65" t="str">
        <f t="shared" si="376"/>
        <v/>
      </c>
      <c r="CD159" s="66">
        <f t="shared" si="377"/>
        <v>0</v>
      </c>
      <c r="CE159" s="68" t="str">
        <f>IF('Marks Entry'!AL159="","",'Marks Entry'!AL159)</f>
        <v/>
      </c>
      <c r="CF159" s="68" t="str">
        <f>IF('Marks Entry'!AM159="","",'Marks Entry'!AM159)</f>
        <v/>
      </c>
      <c r="CG159" s="68" t="str">
        <f>IF('Marks Entry'!AN159="","",'Marks Entry'!AN159)</f>
        <v/>
      </c>
      <c r="CH159" s="514" t="str">
        <f t="shared" si="378"/>
        <v/>
      </c>
      <c r="CI159" s="68" t="str">
        <f>IF('Marks Entry'!AO159="","",'Marks Entry'!AO159)</f>
        <v/>
      </c>
      <c r="CJ159" s="515" t="str">
        <f t="shared" si="379"/>
        <v/>
      </c>
      <c r="CK159" s="68" t="str">
        <f>IF('Marks Entry'!AP159="","",'Marks Entry'!AP159)</f>
        <v/>
      </c>
      <c r="CL159" s="96" t="str">
        <f t="shared" si="380"/>
        <v/>
      </c>
      <c r="CM159" s="65">
        <f t="shared" si="381"/>
        <v>0</v>
      </c>
      <c r="CN159" s="65">
        <f t="shared" si="382"/>
        <v>0</v>
      </c>
      <c r="CO159" s="66" t="str">
        <f t="shared" si="383"/>
        <v/>
      </c>
      <c r="CP159" s="65" t="str">
        <f t="shared" si="384"/>
        <v/>
      </c>
      <c r="CQ159" s="65" t="str">
        <f t="shared" si="385"/>
        <v/>
      </c>
      <c r="CR159" s="65" t="str">
        <f t="shared" si="386"/>
        <v/>
      </c>
      <c r="CS159" s="616"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8" t="str">
        <f>IF('School Profile'!$D$20="NO","",IF('Marks Entry'!AR159="","",'Marks Entry'!AR159))</f>
        <v/>
      </c>
      <c r="CU159" s="68" t="str">
        <f>IF('School Profile'!$D$20="NO","",IF('Marks Entry'!AS159="","",'Marks Entry'!AS159))</f>
        <v/>
      </c>
      <c r="CV159" s="68" t="str">
        <f>IF('School Profile'!$D$20="NO","",IF('Marks Entry'!AT159="","",'Marks Entry'!AT159))</f>
        <v/>
      </c>
      <c r="CW159" s="514" t="str">
        <f>IF('School Profile'!$D$20="NO","",IF(AND(CT159="",CU159="",CV159=""),"",SUM(CT159:CV159)))</f>
        <v/>
      </c>
      <c r="CX159" s="68" t="str">
        <f>IF('School Profile'!$D$20="NO","",IF('Marks Entry'!AU159="","",'Marks Entry'!AU159))</f>
        <v/>
      </c>
      <c r="CY159" s="68" t="str">
        <f>IF('School Profile'!$D$20="NO","",IF('Marks Entry'!AV159="","",'Marks Entry'!AV159))</f>
        <v/>
      </c>
      <c r="CZ159" s="515" t="str">
        <f>IF('School Profile'!$D$20="NO","",IF(AND(CX159="",CY159=""),"",SUM(CX159,CY159)))</f>
        <v/>
      </c>
      <c r="DA159" s="69" t="str">
        <f>IF('School Profile'!$D$20="NO","",IF(AND(CW159="",CZ159=""),"",SUM(CW159+CZ159)))</f>
        <v/>
      </c>
      <c r="DB159" s="68" t="str">
        <f>IF('School Profile'!$D$20="NO","",IF('Marks Entry'!AW159="","",'Marks Entry'!AW159))</f>
        <v/>
      </c>
      <c r="DC159" s="68" t="str">
        <f>IF('School Profile'!$D$20="NO","",IF('Marks Entry'!AX159="","",'Marks Entry'!AX159))</f>
        <v/>
      </c>
      <c r="DD159" s="515" t="str">
        <f>IF('School Profile'!$D$20="NO","",IF(AND(DB159="",DC159=""),"",SUM(DB159,DC159)))</f>
        <v/>
      </c>
      <c r="DE159" s="96" t="str">
        <f>IF('School Profile'!$D$20="NO","",IF(AND(DA159="",DD159=""),"",SUM(DA159,DD159)))</f>
        <v/>
      </c>
      <c r="DF159" s="532">
        <f t="shared" si="387"/>
        <v>0</v>
      </c>
      <c r="DG159" s="65">
        <f t="shared" si="388"/>
        <v>0</v>
      </c>
      <c r="DH159" s="66" t="str">
        <f t="shared" si="389"/>
        <v/>
      </c>
      <c r="DI159" s="65" t="str">
        <f t="shared" si="390"/>
        <v/>
      </c>
      <c r="DJ159" s="65" t="str">
        <f t="shared" si="391"/>
        <v/>
      </c>
      <c r="DK159" s="65" t="str">
        <f t="shared" si="392"/>
        <v/>
      </c>
      <c r="DL159" s="97" t="str">
        <f t="shared" si="432"/>
        <v/>
      </c>
      <c r="DM159" s="97" t="str">
        <f t="shared" si="433"/>
        <v/>
      </c>
      <c r="DN159" s="97" t="str">
        <f t="shared" si="434"/>
        <v/>
      </c>
      <c r="DO159" s="97" t="str">
        <f t="shared" si="435"/>
        <v/>
      </c>
      <c r="DP159" s="97" t="str">
        <f t="shared" si="436"/>
        <v/>
      </c>
      <c r="DQ159" s="97" t="str">
        <f t="shared" si="437"/>
        <v/>
      </c>
      <c r="DR159" s="97" t="str">
        <f t="shared" si="438"/>
        <v/>
      </c>
      <c r="DS159" s="98">
        <f t="shared" si="439"/>
        <v>0</v>
      </c>
      <c r="DT159" s="98">
        <f t="shared" si="440"/>
        <v>0</v>
      </c>
      <c r="DU159" s="98">
        <f t="shared" si="441"/>
        <v>0</v>
      </c>
      <c r="DV159" s="98">
        <f t="shared" si="442"/>
        <v>0</v>
      </c>
      <c r="DW159" s="98">
        <f t="shared" si="443"/>
        <v>0</v>
      </c>
      <c r="DX159" s="98" t="str">
        <f t="shared" si="444"/>
        <v/>
      </c>
      <c r="DY159" s="99" t="str">
        <f t="shared" si="445"/>
        <v/>
      </c>
      <c r="DZ159" s="74" t="str">
        <f>IF('Marks Entry'!AY159="","",'Marks Entry'!AY159)</f>
        <v/>
      </c>
      <c r="EA159" s="74" t="str">
        <f>IF('Marks Entry'!AZ159="","",'Marks Entry'!AZ159)</f>
        <v/>
      </c>
      <c r="EB159" s="74" t="str">
        <f>IF('Marks Entry'!BA159="","",'Marks Entry'!BA159)</f>
        <v/>
      </c>
      <c r="EC159" s="527" t="str">
        <f t="shared" si="393"/>
        <v/>
      </c>
      <c r="ED159" s="74" t="str">
        <f>IF('Marks Entry'!BB159="","",'Marks Entry'!BB159)</f>
        <v/>
      </c>
      <c r="EE159" s="528" t="str">
        <f t="shared" si="394"/>
        <v/>
      </c>
      <c r="EF159" s="74" t="str">
        <f>IF('Marks Entry'!BC159="","",'Marks Entry'!BC159)</f>
        <v/>
      </c>
      <c r="EG159" s="530" t="str">
        <f t="shared" si="395"/>
        <v/>
      </c>
      <c r="EH159" s="368" t="str">
        <f t="shared" si="446"/>
        <v/>
      </c>
      <c r="EI159" s="65">
        <f t="shared" si="447"/>
        <v>0</v>
      </c>
      <c r="EJ159" s="65">
        <f t="shared" si="448"/>
        <v>0</v>
      </c>
      <c r="EK159" s="66" t="str">
        <f t="shared" si="449"/>
        <v/>
      </c>
      <c r="EL159" s="74" t="str">
        <f>IF('Marks Entry'!BD159="","",'Marks Entry'!BD159)</f>
        <v/>
      </c>
      <c r="EM159" s="74" t="str">
        <f>IF('Marks Entry'!BE159="","",'Marks Entry'!BE159)</f>
        <v/>
      </c>
      <c r="EN159" s="74" t="str">
        <f>IF('Marks Entry'!BF159="","",'Marks Entry'!BF159)</f>
        <v/>
      </c>
      <c r="EO159" s="527" t="str">
        <f t="shared" si="396"/>
        <v/>
      </c>
      <c r="EP159" s="74" t="str">
        <f>IF('Marks Entry'!BG159="","",'Marks Entry'!BG159)</f>
        <v/>
      </c>
      <c r="EQ159" s="74" t="str">
        <f>IF('Marks Entry'!BH159="","",'Marks Entry'!BH159)</f>
        <v/>
      </c>
      <c r="ER159" s="528" t="str">
        <f t="shared" si="397"/>
        <v/>
      </c>
      <c r="ES159" s="529" t="str">
        <f t="shared" si="398"/>
        <v/>
      </c>
      <c r="ET159" s="74" t="str">
        <f>IF('Marks Entry'!BI159="","",'Marks Entry'!BI159)</f>
        <v/>
      </c>
      <c r="EU159" s="74" t="str">
        <f>IF('Marks Entry'!BJ159="","",'Marks Entry'!BJ159)</f>
        <v/>
      </c>
      <c r="EV159" s="528" t="str">
        <f t="shared" si="399"/>
        <v/>
      </c>
      <c r="EW159" s="530" t="str">
        <f t="shared" si="400"/>
        <v/>
      </c>
      <c r="EX159" s="368" t="str">
        <f t="shared" si="450"/>
        <v/>
      </c>
      <c r="EY159" s="65">
        <f t="shared" si="451"/>
        <v>0</v>
      </c>
      <c r="EZ159" s="65">
        <f t="shared" si="452"/>
        <v>0</v>
      </c>
      <c r="FA159" s="66" t="str">
        <f t="shared" si="453"/>
        <v/>
      </c>
      <c r="FB159" s="74" t="str">
        <f>IF('Marks Entry'!BK159="","",'Marks Entry'!BK159)</f>
        <v/>
      </c>
      <c r="FC159" s="74" t="str">
        <f>IF('Marks Entry'!BL159="","",'Marks Entry'!BL159)</f>
        <v/>
      </c>
      <c r="FD159" s="74" t="str">
        <f>IF('Marks Entry'!BM159="","",'Marks Entry'!BM159)</f>
        <v/>
      </c>
      <c r="FE159" s="74" t="str">
        <f>IF('Marks Entry'!BN159="","",'Marks Entry'!BN159)</f>
        <v/>
      </c>
      <c r="FF159" s="74" t="str">
        <f>IF('Marks Entry'!BO159="","",'Marks Entry'!BO159)</f>
        <v/>
      </c>
      <c r="FG159" s="74" t="str">
        <f>IF('Marks Entry'!BP159="","",'Marks Entry'!BP159)</f>
        <v/>
      </c>
      <c r="FH159" s="527" t="str">
        <f t="shared" si="401"/>
        <v/>
      </c>
      <c r="FI159" s="74" t="str">
        <f>IF('Marks Entry'!BQ159="","",'Marks Entry'!BQ159)</f>
        <v/>
      </c>
      <c r="FJ159" s="74" t="str">
        <f>IF('Marks Entry'!BR159="","",'Marks Entry'!BR159)</f>
        <v/>
      </c>
      <c r="FK159" s="528" t="str">
        <f t="shared" si="402"/>
        <v/>
      </c>
      <c r="FL159" s="529" t="str">
        <f t="shared" si="403"/>
        <v/>
      </c>
      <c r="FM159" s="74" t="str">
        <f>IF('Marks Entry'!BS159="","",'Marks Entry'!BS159)</f>
        <v/>
      </c>
      <c r="FN159" s="74" t="str">
        <f>IF('Marks Entry'!BT159="","",'Marks Entry'!BT159)</f>
        <v/>
      </c>
      <c r="FO159" s="528" t="str">
        <f t="shared" si="404"/>
        <v/>
      </c>
      <c r="FP159" s="530" t="str">
        <f t="shared" si="405"/>
        <v/>
      </c>
      <c r="FQ159" s="368" t="str">
        <f t="shared" si="454"/>
        <v/>
      </c>
      <c r="FR159" s="65">
        <f t="shared" si="455"/>
        <v>0</v>
      </c>
      <c r="FS159" s="65">
        <f t="shared" si="456"/>
        <v>0</v>
      </c>
      <c r="FT159" s="66" t="str">
        <f t="shared" si="457"/>
        <v/>
      </c>
      <c r="FU159" s="74" t="str">
        <f>IF('Marks Entry'!BU159="","",'Marks Entry'!BU159)</f>
        <v/>
      </c>
      <c r="FV159" s="74" t="str">
        <f>IF('Marks Entry'!BV159="","",'Marks Entry'!BV159)</f>
        <v/>
      </c>
      <c r="FW159" s="74" t="str">
        <f>IF('Marks Entry'!BW159="","",'Marks Entry'!BW159)</f>
        <v/>
      </c>
      <c r="FX159" s="75" t="str">
        <f t="shared" si="406"/>
        <v/>
      </c>
      <c r="FY159" s="368" t="str">
        <f t="shared" si="458"/>
        <v/>
      </c>
      <c r="FZ159" s="65">
        <f t="shared" si="459"/>
        <v>0</v>
      </c>
      <c r="GA159" s="66">
        <f t="shared" si="460"/>
        <v>0</v>
      </c>
      <c r="GB159" s="66" t="str">
        <f t="shared" si="461"/>
        <v/>
      </c>
      <c r="GC159" s="74" t="str">
        <f>IF('Marks Entry'!BX159="","",'Marks Entry'!BX159)</f>
        <v/>
      </c>
      <c r="GD159" s="74" t="str">
        <f>IF('Marks Entry'!BY159="","",'Marks Entry'!BY159)</f>
        <v/>
      </c>
      <c r="GE159" s="74" t="str">
        <f>IF('Marks Entry'!BZ159="","",'Marks Entry'!BZ159)</f>
        <v/>
      </c>
      <c r="GF159" s="75" t="str">
        <f t="shared" si="462"/>
        <v/>
      </c>
      <c r="GG159" s="368" t="str">
        <f t="shared" si="463"/>
        <v/>
      </c>
      <c r="GH159" s="65">
        <f t="shared" si="464"/>
        <v>0</v>
      </c>
      <c r="GI159" s="66">
        <f t="shared" si="465"/>
        <v>0</v>
      </c>
      <c r="GJ159" s="66" t="str">
        <f t="shared" si="466"/>
        <v/>
      </c>
      <c r="GK159" s="100" t="str">
        <f>IF(AND(F159="",B159=""),"",IF('Student DATA Entry'!M156="","",'Student DATA Entry'!M156))</f>
        <v/>
      </c>
      <c r="GL159" s="101" t="str">
        <f>IF(AND(B159="",F159=""),"",IF('Student DATA Entry'!N156="","",'Student DATA Entry'!N156))</f>
        <v/>
      </c>
      <c r="GM159" s="581" t="str">
        <f t="shared" si="467"/>
        <v/>
      </c>
      <c r="GN159" s="94" t="str">
        <f t="shared" si="468"/>
        <v/>
      </c>
      <c r="GO159" s="94" t="str">
        <f t="shared" si="469"/>
        <v/>
      </c>
      <c r="GP159" s="102" t="str">
        <f t="shared" si="407"/>
        <v/>
      </c>
      <c r="GQ159" s="94" t="str">
        <f t="shared" si="470"/>
        <v/>
      </c>
      <c r="GR159" s="103" t="str">
        <f t="shared" si="471"/>
        <v/>
      </c>
      <c r="GS159" s="102" t="str">
        <f t="shared" si="408"/>
        <v/>
      </c>
      <c r="GT159" s="104" t="str">
        <f t="shared" si="472"/>
        <v/>
      </c>
      <c r="GU159" s="94" t="str">
        <f>IF('Marks Entry'!V159=1,GT159,"")</f>
        <v/>
      </c>
      <c r="GV159" s="94" t="str">
        <f>IF('Marks Entry'!V159=2,GT159,"")</f>
        <v/>
      </c>
      <c r="GW159" s="94" t="str">
        <f>IF('Marks Entry'!V159=3,GT159,"")</f>
        <v/>
      </c>
      <c r="GX159" s="94" t="str">
        <f>IF('Marks Entry'!V159=4,GT159,"")</f>
        <v/>
      </c>
      <c r="GY159" s="94" t="str">
        <f>IF('Marks Entry'!V159=5,GT159,"")</f>
        <v/>
      </c>
      <c r="GZ159" s="94" t="str">
        <f t="shared" si="473"/>
        <v/>
      </c>
      <c r="HA159" s="105" t="str">
        <f t="shared" si="409"/>
        <v/>
      </c>
      <c r="HB159" s="94" t="str">
        <f t="shared" si="474"/>
        <v/>
      </c>
      <c r="HC159" s="94" t="str">
        <f t="shared" si="475"/>
        <v/>
      </c>
      <c r="HD159" s="105" t="str">
        <f t="shared" si="410"/>
        <v/>
      </c>
      <c r="HE159" s="94" t="str">
        <f t="shared" si="476"/>
        <v/>
      </c>
      <c r="HF159" s="94" t="str">
        <f t="shared" si="477"/>
        <v/>
      </c>
      <c r="HG159" s="105" t="str">
        <f t="shared" si="411"/>
        <v/>
      </c>
      <c r="HH159" s="94" t="str">
        <f t="shared" si="478"/>
        <v/>
      </c>
      <c r="HI159" s="94" t="str">
        <f t="shared" si="479"/>
        <v/>
      </c>
      <c r="HJ159" s="105" t="str">
        <f t="shared" si="412"/>
        <v/>
      </c>
      <c r="HK159" s="94" t="str">
        <f t="shared" si="480"/>
        <v/>
      </c>
      <c r="HL159" s="94" t="str">
        <f t="shared" si="481"/>
        <v/>
      </c>
      <c r="HM159" s="105" t="str">
        <f t="shared" si="413"/>
        <v/>
      </c>
      <c r="HN159" s="367" t="str">
        <f t="shared" si="482"/>
        <v xml:space="preserve">      </v>
      </c>
      <c r="HO159" s="418" t="str">
        <f t="shared" si="414"/>
        <v xml:space="preserve">      </v>
      </c>
      <c r="HP159" s="367" t="str">
        <f t="shared" si="483"/>
        <v xml:space="preserve">      </v>
      </c>
      <c r="HQ159" s="107" t="str">
        <f t="shared" si="484"/>
        <v xml:space="preserve">      </v>
      </c>
      <c r="HR159" s="366" t="str">
        <f t="shared" si="485"/>
        <v xml:space="preserve">      </v>
      </c>
      <c r="HS159" s="544" t="str">
        <f t="shared" si="415"/>
        <v/>
      </c>
      <c r="HT159" s="542" t="str">
        <f t="shared" si="486"/>
        <v/>
      </c>
      <c r="HU159" s="541" t="str">
        <f t="shared" si="487"/>
        <v/>
      </c>
      <c r="HV159" s="540" t="str">
        <f t="shared" si="488"/>
        <v/>
      </c>
      <c r="HW159" s="537" t="str">
        <f t="shared" si="489"/>
        <v/>
      </c>
      <c r="HX159" s="539" t="str">
        <f t="shared" si="490"/>
        <v/>
      </c>
      <c r="HY159" s="553" t="str">
        <f>IFERROR(IF(OR(HS159="SUPPLEMENTARY",HS159="RE-EXAM"),'Supp. Result Entry'!AQ157,""),"")</f>
        <v/>
      </c>
      <c r="HZ159" s="538" t="str">
        <f t="shared" si="491"/>
        <v/>
      </c>
      <c r="IA159" s="415" t="str">
        <f t="shared" si="492"/>
        <v/>
      </c>
      <c r="IB159" s="415" t="str">
        <f>IF(AND(HZ159="",IA159=""),"",IF(OR(HS159="SUPPLEMENTARY",HS159="RE-EXAM"),'Supp. Result Entry'!AQ157,HS159))</f>
        <v/>
      </c>
      <c r="IC159" s="87"/>
      <c r="IS159" s="109" t="str">
        <f>IF('Supp. Result Entry'!T157="","",'Supp. Result Entry'!$T$4)</f>
        <v/>
      </c>
      <c r="IT159" s="110" t="str">
        <f>IF('Supp. Result Entry'!W157="","",'Supp. Result Entry'!$W$4)</f>
        <v/>
      </c>
      <c r="IU159" s="110" t="str">
        <f>IF('Supp. Result Entry'!Z157="","",'Supp. Result Entry'!$Z$4)</f>
        <v/>
      </c>
      <c r="IV159" s="110" t="str">
        <f>IF('Supp. Result Entry'!AC157="","",'Supp. Result Entry'!$AC$4)</f>
        <v/>
      </c>
      <c r="IW159" s="110" t="str">
        <f>IF('Supp. Result Entry'!AF157="","",'Supp. Result Entry'!$AF$4)</f>
        <v/>
      </c>
      <c r="IX159" s="110" t="str">
        <f>IF('Supp. Result Entry'!AI157="","",'Supp. Result Entry'!$AI$4)</f>
        <v/>
      </c>
      <c r="IY159" s="110" t="str">
        <f>IF('Supp. Result Entry'!AI157="","",'Supp. Result Entry'!$AL$4)</f>
        <v/>
      </c>
      <c r="IZ159" s="110" t="str">
        <f>IF('Supp. Result Entry'!U157="","",'Supp. Result Entry'!U157)</f>
        <v/>
      </c>
      <c r="JA159" s="110" t="str">
        <f>IF('Supp. Result Entry'!X157="","",'Supp. Result Entry'!X157)</f>
        <v/>
      </c>
      <c r="JB159" s="110" t="str">
        <f>IF('Supp. Result Entry'!AA157="","",'Supp. Result Entry'!AA157)</f>
        <v/>
      </c>
      <c r="JC159" s="110" t="str">
        <f>IF('Supp. Result Entry'!AD157="","",'Supp. Result Entry'!AD157)</f>
        <v/>
      </c>
      <c r="JD159" s="110" t="str">
        <f>IF('Supp. Result Entry'!AG157="","",'Supp. Result Entry'!AG157)</f>
        <v/>
      </c>
      <c r="JE159" s="110" t="str">
        <f>IF('Supp. Result Entry'!AJ157="","",'Supp. Result Entry'!AJ157)</f>
        <v/>
      </c>
      <c r="JF159" s="110" t="str">
        <f>IF('Supp. Result Entry'!AM157="","",'Supp. Result Entry'!AM157)</f>
        <v/>
      </c>
      <c r="JG159" s="110" t="str">
        <f>IF('Supp. Result Entry'!V157="","",'Supp. Result Entry'!V157)</f>
        <v/>
      </c>
      <c r="JH159" s="110" t="str">
        <f>IF('Supp. Result Entry'!Y157="","",'Supp. Result Entry'!Y157)</f>
        <v/>
      </c>
      <c r="JI159" s="110" t="str">
        <f>IF('Supp. Result Entry'!AB157="","",'Supp. Result Entry'!AB157)</f>
        <v/>
      </c>
      <c r="JJ159" s="110" t="str">
        <f>IF('Supp. Result Entry'!AE157="","",'Supp. Result Entry'!AE157)</f>
        <v/>
      </c>
      <c r="JK159" s="110" t="str">
        <f>IF('Supp. Result Entry'!AH157="","",'Supp. Result Entry'!AH157)</f>
        <v/>
      </c>
      <c r="JL159" s="110" t="str">
        <f>IF('Supp. Result Entry'!AK157="","",'Supp. Result Entry'!AK157)</f>
        <v/>
      </c>
      <c r="JM159" s="110" t="str">
        <f>IF('Supp. Result Entry'!AN157="","",'Supp. Result Entry'!AN157)</f>
        <v/>
      </c>
      <c r="JN159" s="110">
        <f>COUNTIF('Supp. Result Entry'!K157:Q157,"S")</f>
        <v>0</v>
      </c>
      <c r="JO159" s="110">
        <f t="shared" si="416"/>
        <v>0</v>
      </c>
      <c r="JP159" s="110">
        <f t="shared" si="493"/>
        <v>0</v>
      </c>
      <c r="JQ159" s="110" t="str">
        <f t="shared" si="417"/>
        <v/>
      </c>
      <c r="JR159" s="110" t="str">
        <f t="shared" si="418"/>
        <v/>
      </c>
      <c r="JS159" s="110" t="str">
        <f t="shared" si="419"/>
        <v/>
      </c>
      <c r="JT159" s="110" t="str">
        <f t="shared" si="420"/>
        <v/>
      </c>
      <c r="JU159" s="110" t="str">
        <f t="shared" si="421"/>
        <v/>
      </c>
      <c r="JV159" s="110" t="str">
        <f t="shared" si="422"/>
        <v/>
      </c>
      <c r="JW159" s="110" t="str">
        <f t="shared" si="423"/>
        <v/>
      </c>
      <c r="JX159" s="110" t="str">
        <f t="shared" si="494"/>
        <v/>
      </c>
      <c r="JY159" s="110" t="str">
        <f t="shared" si="495"/>
        <v/>
      </c>
      <c r="JZ159" s="110" t="str">
        <f t="shared" si="424"/>
        <v/>
      </c>
      <c r="KA159" s="108" t="str">
        <f t="shared" si="496"/>
        <v/>
      </c>
    </row>
    <row r="160" spans="1:287" s="108" customFormat="1" ht="21.95" customHeight="1">
      <c r="A160" s="89">
        <v>154</v>
      </c>
      <c r="B160" s="90" t="str">
        <f>IF('Marks Entry'!B160="","",'Marks Entry'!B160)</f>
        <v/>
      </c>
      <c r="C160" s="94" t="str">
        <f>IF('Marks Entry'!D160="","",'Marks Entry'!D160)</f>
        <v/>
      </c>
      <c r="D160" s="91" t="str">
        <f>IF('Marks Entry'!E160="","",'Marks Entry'!E160)</f>
        <v/>
      </c>
      <c r="E160" s="92" t="str">
        <f>IF('Marks Entry'!F160="","",'Marks Entry'!F160)</f>
        <v/>
      </c>
      <c r="F160" s="93" t="str">
        <f>IF('Marks Entry'!G160="","",'Marks Entry'!G160)</f>
        <v/>
      </c>
      <c r="G160" s="93" t="str">
        <f>IF('Marks Entry'!H160="","",'Marks Entry'!H160)</f>
        <v/>
      </c>
      <c r="H160" s="93" t="str">
        <f>IF('Marks Entry'!I160="","",'Marks Entry'!I160)</f>
        <v/>
      </c>
      <c r="I160" s="94" t="str">
        <f>IF('Marks Entry'!J160="","",'Marks Entry'!J160)</f>
        <v/>
      </c>
      <c r="J160" s="95" t="str">
        <f>IF('Marks Entry'!K160="","",'Marks Entry'!K160)</f>
        <v/>
      </c>
      <c r="K160" s="68" t="str">
        <f>IF('Marks Entry'!L160="","",'Marks Entry'!L160)</f>
        <v/>
      </c>
      <c r="L160" s="68" t="str">
        <f>IF('Marks Entry'!M160="","",'Marks Entry'!M160)</f>
        <v/>
      </c>
      <c r="M160" s="68" t="str">
        <f>IF('Marks Entry'!N160="","",'Marks Entry'!N160)</f>
        <v/>
      </c>
      <c r="N160" s="514" t="str">
        <f t="shared" si="425"/>
        <v/>
      </c>
      <c r="O160" s="68" t="str">
        <f>IF('Marks Entry'!O160="","",'Marks Entry'!O160)</f>
        <v/>
      </c>
      <c r="P160" s="515" t="str">
        <f t="shared" si="426"/>
        <v/>
      </c>
      <c r="Q160" s="68" t="str">
        <f>IF('Marks Entry'!P160="","",'Marks Entry'!P160)</f>
        <v/>
      </c>
      <c r="R160" s="96" t="str">
        <f t="shared" si="427"/>
        <v/>
      </c>
      <c r="S160" s="65">
        <f t="shared" si="428"/>
        <v>0</v>
      </c>
      <c r="T160" s="65">
        <f t="shared" si="429"/>
        <v>0</v>
      </c>
      <c r="U160" s="66" t="str">
        <f t="shared" si="339"/>
        <v/>
      </c>
      <c r="V160" s="65" t="str">
        <f t="shared" si="340"/>
        <v/>
      </c>
      <c r="W160" s="65" t="str">
        <f t="shared" si="430"/>
        <v/>
      </c>
      <c r="X160" s="65" t="str">
        <f t="shared" si="341"/>
        <v/>
      </c>
      <c r="Y160" s="68" t="str">
        <f>IF('Marks Entry'!Q160="","",'Marks Entry'!Q160)</f>
        <v/>
      </c>
      <c r="Z160" s="68" t="str">
        <f>IF('Marks Entry'!R160="","",'Marks Entry'!R160)</f>
        <v/>
      </c>
      <c r="AA160" s="68" t="str">
        <f>IF('Marks Entry'!S160="","",'Marks Entry'!S160)</f>
        <v/>
      </c>
      <c r="AB160" s="514" t="str">
        <f t="shared" si="342"/>
        <v/>
      </c>
      <c r="AC160" s="68" t="str">
        <f>IF('Marks Entry'!T160="","",'Marks Entry'!T160)</f>
        <v/>
      </c>
      <c r="AD160" s="515" t="str">
        <f t="shared" si="343"/>
        <v/>
      </c>
      <c r="AE160" s="68" t="str">
        <f>IF('Marks Entry'!U160="","",'Marks Entry'!U160)</f>
        <v/>
      </c>
      <c r="AF160" s="96" t="str">
        <f t="shared" si="344"/>
        <v/>
      </c>
      <c r="AG160" s="65">
        <f t="shared" si="345"/>
        <v>0</v>
      </c>
      <c r="AH160" s="65">
        <f t="shared" si="346"/>
        <v>0</v>
      </c>
      <c r="AI160" s="66" t="str">
        <f t="shared" si="347"/>
        <v/>
      </c>
      <c r="AJ160" s="65" t="str">
        <f t="shared" si="348"/>
        <v/>
      </c>
      <c r="AK160" s="65" t="str">
        <f t="shared" si="349"/>
        <v/>
      </c>
      <c r="AL160" s="65" t="str">
        <f t="shared" si="350"/>
        <v/>
      </c>
      <c r="AM160" s="524" t="str">
        <f>IF('Marks Entry'!V160="","",IF('Marks Entry'!V160=1,'School Profile'!$I$9,IF('Marks Entry'!V160=2,'School Profile'!$I$10,IF('Marks Entry'!V160=3,'School Profile'!$I$11,IF('Marks Entry'!V160=4,'School Profile'!$I$12,IF('Marks Entry'!V160=5,'School Profile'!$I$13,IF('Marks Entry'!V160=6,'School Profile'!$I$14,"")))))))</f>
        <v/>
      </c>
      <c r="AN160" s="68" t="str">
        <f>IF('Marks Entry'!W160="","",'Marks Entry'!W160)</f>
        <v/>
      </c>
      <c r="AO160" s="68" t="str">
        <f>IF('Marks Entry'!X160="","",'Marks Entry'!X160)</f>
        <v/>
      </c>
      <c r="AP160" s="68" t="str">
        <f>IF('Marks Entry'!Y160="","",'Marks Entry'!Y160)</f>
        <v/>
      </c>
      <c r="AQ160" s="514" t="str">
        <f t="shared" si="351"/>
        <v/>
      </c>
      <c r="AR160" s="68" t="str">
        <f>IF('Marks Entry'!Z160="","",'Marks Entry'!Z160)</f>
        <v/>
      </c>
      <c r="AS160" s="515" t="str">
        <f t="shared" si="352"/>
        <v/>
      </c>
      <c r="AT160" s="68" t="str">
        <f>IF('Marks Entry'!AA160="","",'Marks Entry'!AA160)</f>
        <v/>
      </c>
      <c r="AU160" s="96" t="str">
        <f t="shared" si="353"/>
        <v/>
      </c>
      <c r="AV160" s="65">
        <f t="shared" si="354"/>
        <v>0</v>
      </c>
      <c r="AW160" s="65">
        <f t="shared" si="355"/>
        <v>0</v>
      </c>
      <c r="AX160" s="66" t="str">
        <f t="shared" si="356"/>
        <v/>
      </c>
      <c r="AY160" s="65" t="str">
        <f t="shared" si="357"/>
        <v/>
      </c>
      <c r="AZ160" s="65" t="str">
        <f t="shared" si="358"/>
        <v/>
      </c>
      <c r="BA160" s="65" t="str">
        <f t="shared" si="359"/>
        <v/>
      </c>
      <c r="BB160" s="68" t="str">
        <f>IF('Marks Entry'!AB160="","",'Marks Entry'!AB160)</f>
        <v/>
      </c>
      <c r="BC160" s="68" t="str">
        <f>IF('Marks Entry'!AC160="","",'Marks Entry'!AC160)</f>
        <v/>
      </c>
      <c r="BD160" s="68" t="str">
        <f>IF('Marks Entry'!AD160="","",'Marks Entry'!AD160)</f>
        <v/>
      </c>
      <c r="BE160" s="514" t="str">
        <f t="shared" si="360"/>
        <v/>
      </c>
      <c r="BF160" s="68" t="str">
        <f>IF('Marks Entry'!AE160="","",'Marks Entry'!AE160)</f>
        <v/>
      </c>
      <c r="BG160" s="515" t="str">
        <f t="shared" si="361"/>
        <v/>
      </c>
      <c r="BH160" s="68" t="str">
        <f>IF('Marks Entry'!AF160="","",'Marks Entry'!AF160)</f>
        <v/>
      </c>
      <c r="BI160" s="96" t="str">
        <f t="shared" si="362"/>
        <v/>
      </c>
      <c r="BJ160" s="65">
        <f t="shared" si="363"/>
        <v>0</v>
      </c>
      <c r="BK160" s="65">
        <f t="shared" si="431"/>
        <v>0</v>
      </c>
      <c r="BL160" s="66" t="str">
        <f t="shared" si="364"/>
        <v/>
      </c>
      <c r="BM160" s="65" t="str">
        <f t="shared" si="365"/>
        <v/>
      </c>
      <c r="BN160" s="65" t="str">
        <f t="shared" si="366"/>
        <v/>
      </c>
      <c r="BO160" s="65" t="str">
        <f t="shared" si="367"/>
        <v/>
      </c>
      <c r="BP160" s="68" t="str">
        <f>IF('Marks Entry'!AG160="","",'Marks Entry'!AG160)</f>
        <v/>
      </c>
      <c r="BQ160" s="68" t="str">
        <f>IF('Marks Entry'!AH160="","",'Marks Entry'!AH160)</f>
        <v/>
      </c>
      <c r="BR160" s="68" t="str">
        <f>IF('Marks Entry'!AI160="","",'Marks Entry'!AI160)</f>
        <v/>
      </c>
      <c r="BS160" s="514" t="str">
        <f t="shared" si="368"/>
        <v/>
      </c>
      <c r="BT160" s="68" t="str">
        <f>IF('Marks Entry'!AJ160="","",'Marks Entry'!AJ160)</f>
        <v/>
      </c>
      <c r="BU160" s="515" t="str">
        <f t="shared" si="369"/>
        <v/>
      </c>
      <c r="BV160" s="68" t="str">
        <f>IF('Marks Entry'!AK160="","",'Marks Entry'!AK160)</f>
        <v/>
      </c>
      <c r="BW160" s="96" t="str">
        <f t="shared" si="370"/>
        <v/>
      </c>
      <c r="BX160" s="65">
        <f t="shared" si="371"/>
        <v>0</v>
      </c>
      <c r="BY160" s="65">
        <f t="shared" si="372"/>
        <v>0</v>
      </c>
      <c r="BZ160" s="66" t="str">
        <f t="shared" si="373"/>
        <v/>
      </c>
      <c r="CA160" s="65" t="str">
        <f t="shared" si="374"/>
        <v/>
      </c>
      <c r="CB160" s="65" t="str">
        <f t="shared" si="375"/>
        <v/>
      </c>
      <c r="CC160" s="65" t="str">
        <f t="shared" si="376"/>
        <v/>
      </c>
      <c r="CD160" s="66">
        <f t="shared" si="377"/>
        <v>0</v>
      </c>
      <c r="CE160" s="68" t="str">
        <f>IF('Marks Entry'!AL160="","",'Marks Entry'!AL160)</f>
        <v/>
      </c>
      <c r="CF160" s="68" t="str">
        <f>IF('Marks Entry'!AM160="","",'Marks Entry'!AM160)</f>
        <v/>
      </c>
      <c r="CG160" s="68" t="str">
        <f>IF('Marks Entry'!AN160="","",'Marks Entry'!AN160)</f>
        <v/>
      </c>
      <c r="CH160" s="514" t="str">
        <f t="shared" si="378"/>
        <v/>
      </c>
      <c r="CI160" s="68" t="str">
        <f>IF('Marks Entry'!AO160="","",'Marks Entry'!AO160)</f>
        <v/>
      </c>
      <c r="CJ160" s="515" t="str">
        <f t="shared" si="379"/>
        <v/>
      </c>
      <c r="CK160" s="68" t="str">
        <f>IF('Marks Entry'!AP160="","",'Marks Entry'!AP160)</f>
        <v/>
      </c>
      <c r="CL160" s="96" t="str">
        <f t="shared" si="380"/>
        <v/>
      </c>
      <c r="CM160" s="65">
        <f t="shared" si="381"/>
        <v>0</v>
      </c>
      <c r="CN160" s="65">
        <f t="shared" si="382"/>
        <v>0</v>
      </c>
      <c r="CO160" s="66" t="str">
        <f t="shared" si="383"/>
        <v/>
      </c>
      <c r="CP160" s="65" t="str">
        <f t="shared" si="384"/>
        <v/>
      </c>
      <c r="CQ160" s="65" t="str">
        <f t="shared" si="385"/>
        <v/>
      </c>
      <c r="CR160" s="65" t="str">
        <f t="shared" si="386"/>
        <v/>
      </c>
      <c r="CS160" s="616"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8" t="str">
        <f>IF('School Profile'!$D$20="NO","",IF('Marks Entry'!AR160="","",'Marks Entry'!AR160))</f>
        <v/>
      </c>
      <c r="CU160" s="68" t="str">
        <f>IF('School Profile'!$D$20="NO","",IF('Marks Entry'!AS160="","",'Marks Entry'!AS160))</f>
        <v/>
      </c>
      <c r="CV160" s="68" t="str">
        <f>IF('School Profile'!$D$20="NO","",IF('Marks Entry'!AT160="","",'Marks Entry'!AT160))</f>
        <v/>
      </c>
      <c r="CW160" s="514" t="str">
        <f>IF('School Profile'!$D$20="NO","",IF(AND(CT160="",CU160="",CV160=""),"",SUM(CT160:CV160)))</f>
        <v/>
      </c>
      <c r="CX160" s="68" t="str">
        <f>IF('School Profile'!$D$20="NO","",IF('Marks Entry'!AU160="","",'Marks Entry'!AU160))</f>
        <v/>
      </c>
      <c r="CY160" s="68" t="str">
        <f>IF('School Profile'!$D$20="NO","",IF('Marks Entry'!AV160="","",'Marks Entry'!AV160))</f>
        <v/>
      </c>
      <c r="CZ160" s="515" t="str">
        <f>IF('School Profile'!$D$20="NO","",IF(AND(CX160="",CY160=""),"",SUM(CX160,CY160)))</f>
        <v/>
      </c>
      <c r="DA160" s="69" t="str">
        <f>IF('School Profile'!$D$20="NO","",IF(AND(CW160="",CZ160=""),"",SUM(CW160+CZ160)))</f>
        <v/>
      </c>
      <c r="DB160" s="68" t="str">
        <f>IF('School Profile'!$D$20="NO","",IF('Marks Entry'!AW160="","",'Marks Entry'!AW160))</f>
        <v/>
      </c>
      <c r="DC160" s="68" t="str">
        <f>IF('School Profile'!$D$20="NO","",IF('Marks Entry'!AX160="","",'Marks Entry'!AX160))</f>
        <v/>
      </c>
      <c r="DD160" s="515" t="str">
        <f>IF('School Profile'!$D$20="NO","",IF(AND(DB160="",DC160=""),"",SUM(DB160,DC160)))</f>
        <v/>
      </c>
      <c r="DE160" s="96" t="str">
        <f>IF('School Profile'!$D$20="NO","",IF(AND(DA160="",DD160=""),"",SUM(DA160,DD160)))</f>
        <v/>
      </c>
      <c r="DF160" s="532">
        <f t="shared" si="387"/>
        <v>0</v>
      </c>
      <c r="DG160" s="65">
        <f t="shared" si="388"/>
        <v>0</v>
      </c>
      <c r="DH160" s="66" t="str">
        <f t="shared" si="389"/>
        <v/>
      </c>
      <c r="DI160" s="65" t="str">
        <f t="shared" si="390"/>
        <v/>
      </c>
      <c r="DJ160" s="65" t="str">
        <f t="shared" si="391"/>
        <v/>
      </c>
      <c r="DK160" s="65" t="str">
        <f t="shared" si="392"/>
        <v/>
      </c>
      <c r="DL160" s="97" t="str">
        <f t="shared" si="432"/>
        <v/>
      </c>
      <c r="DM160" s="97" t="str">
        <f t="shared" si="433"/>
        <v/>
      </c>
      <c r="DN160" s="97" t="str">
        <f t="shared" si="434"/>
        <v/>
      </c>
      <c r="DO160" s="97" t="str">
        <f t="shared" si="435"/>
        <v/>
      </c>
      <c r="DP160" s="97" t="str">
        <f t="shared" si="436"/>
        <v/>
      </c>
      <c r="DQ160" s="97" t="str">
        <f t="shared" si="437"/>
        <v/>
      </c>
      <c r="DR160" s="97" t="str">
        <f t="shared" si="438"/>
        <v/>
      </c>
      <c r="DS160" s="98">
        <f t="shared" si="439"/>
        <v>0</v>
      </c>
      <c r="DT160" s="98">
        <f t="shared" si="440"/>
        <v>0</v>
      </c>
      <c r="DU160" s="98">
        <f t="shared" si="441"/>
        <v>0</v>
      </c>
      <c r="DV160" s="98">
        <f t="shared" si="442"/>
        <v>0</v>
      </c>
      <c r="DW160" s="98">
        <f t="shared" si="443"/>
        <v>0</v>
      </c>
      <c r="DX160" s="98" t="str">
        <f t="shared" si="444"/>
        <v/>
      </c>
      <c r="DY160" s="99" t="str">
        <f t="shared" si="445"/>
        <v/>
      </c>
      <c r="DZ160" s="74" t="str">
        <f>IF('Marks Entry'!AY160="","",'Marks Entry'!AY160)</f>
        <v/>
      </c>
      <c r="EA160" s="74" t="str">
        <f>IF('Marks Entry'!AZ160="","",'Marks Entry'!AZ160)</f>
        <v/>
      </c>
      <c r="EB160" s="74" t="str">
        <f>IF('Marks Entry'!BA160="","",'Marks Entry'!BA160)</f>
        <v/>
      </c>
      <c r="EC160" s="527" t="str">
        <f t="shared" si="393"/>
        <v/>
      </c>
      <c r="ED160" s="74" t="str">
        <f>IF('Marks Entry'!BB160="","",'Marks Entry'!BB160)</f>
        <v/>
      </c>
      <c r="EE160" s="528" t="str">
        <f t="shared" si="394"/>
        <v/>
      </c>
      <c r="EF160" s="74" t="str">
        <f>IF('Marks Entry'!BC160="","",'Marks Entry'!BC160)</f>
        <v/>
      </c>
      <c r="EG160" s="530" t="str">
        <f t="shared" si="395"/>
        <v/>
      </c>
      <c r="EH160" s="368" t="str">
        <f t="shared" si="446"/>
        <v/>
      </c>
      <c r="EI160" s="65">
        <f t="shared" si="447"/>
        <v>0</v>
      </c>
      <c r="EJ160" s="65">
        <f t="shared" si="448"/>
        <v>0</v>
      </c>
      <c r="EK160" s="66" t="str">
        <f t="shared" si="449"/>
        <v/>
      </c>
      <c r="EL160" s="74" t="str">
        <f>IF('Marks Entry'!BD160="","",'Marks Entry'!BD160)</f>
        <v/>
      </c>
      <c r="EM160" s="74" t="str">
        <f>IF('Marks Entry'!BE160="","",'Marks Entry'!BE160)</f>
        <v/>
      </c>
      <c r="EN160" s="74" t="str">
        <f>IF('Marks Entry'!BF160="","",'Marks Entry'!BF160)</f>
        <v/>
      </c>
      <c r="EO160" s="527" t="str">
        <f t="shared" si="396"/>
        <v/>
      </c>
      <c r="EP160" s="74" t="str">
        <f>IF('Marks Entry'!BG160="","",'Marks Entry'!BG160)</f>
        <v/>
      </c>
      <c r="EQ160" s="74" t="str">
        <f>IF('Marks Entry'!BH160="","",'Marks Entry'!BH160)</f>
        <v/>
      </c>
      <c r="ER160" s="528" t="str">
        <f t="shared" si="397"/>
        <v/>
      </c>
      <c r="ES160" s="529" t="str">
        <f t="shared" si="398"/>
        <v/>
      </c>
      <c r="ET160" s="74" t="str">
        <f>IF('Marks Entry'!BI160="","",'Marks Entry'!BI160)</f>
        <v/>
      </c>
      <c r="EU160" s="74" t="str">
        <f>IF('Marks Entry'!BJ160="","",'Marks Entry'!BJ160)</f>
        <v/>
      </c>
      <c r="EV160" s="528" t="str">
        <f t="shared" si="399"/>
        <v/>
      </c>
      <c r="EW160" s="530" t="str">
        <f t="shared" si="400"/>
        <v/>
      </c>
      <c r="EX160" s="368" t="str">
        <f t="shared" si="450"/>
        <v/>
      </c>
      <c r="EY160" s="65">
        <f t="shared" si="451"/>
        <v>0</v>
      </c>
      <c r="EZ160" s="65">
        <f t="shared" si="452"/>
        <v>0</v>
      </c>
      <c r="FA160" s="66" t="str">
        <f t="shared" si="453"/>
        <v/>
      </c>
      <c r="FB160" s="74" t="str">
        <f>IF('Marks Entry'!BK160="","",'Marks Entry'!BK160)</f>
        <v/>
      </c>
      <c r="FC160" s="74" t="str">
        <f>IF('Marks Entry'!BL160="","",'Marks Entry'!BL160)</f>
        <v/>
      </c>
      <c r="FD160" s="74" t="str">
        <f>IF('Marks Entry'!BM160="","",'Marks Entry'!BM160)</f>
        <v/>
      </c>
      <c r="FE160" s="74" t="str">
        <f>IF('Marks Entry'!BN160="","",'Marks Entry'!BN160)</f>
        <v/>
      </c>
      <c r="FF160" s="74" t="str">
        <f>IF('Marks Entry'!BO160="","",'Marks Entry'!BO160)</f>
        <v/>
      </c>
      <c r="FG160" s="74" t="str">
        <f>IF('Marks Entry'!BP160="","",'Marks Entry'!BP160)</f>
        <v/>
      </c>
      <c r="FH160" s="527" t="str">
        <f t="shared" si="401"/>
        <v/>
      </c>
      <c r="FI160" s="74" t="str">
        <f>IF('Marks Entry'!BQ160="","",'Marks Entry'!BQ160)</f>
        <v/>
      </c>
      <c r="FJ160" s="74" t="str">
        <f>IF('Marks Entry'!BR160="","",'Marks Entry'!BR160)</f>
        <v/>
      </c>
      <c r="FK160" s="528" t="str">
        <f t="shared" si="402"/>
        <v/>
      </c>
      <c r="FL160" s="529" t="str">
        <f t="shared" si="403"/>
        <v/>
      </c>
      <c r="FM160" s="74" t="str">
        <f>IF('Marks Entry'!BS160="","",'Marks Entry'!BS160)</f>
        <v/>
      </c>
      <c r="FN160" s="74" t="str">
        <f>IF('Marks Entry'!BT160="","",'Marks Entry'!BT160)</f>
        <v/>
      </c>
      <c r="FO160" s="528" t="str">
        <f t="shared" si="404"/>
        <v/>
      </c>
      <c r="FP160" s="530" t="str">
        <f t="shared" si="405"/>
        <v/>
      </c>
      <c r="FQ160" s="368" t="str">
        <f t="shared" si="454"/>
        <v/>
      </c>
      <c r="FR160" s="65">
        <f t="shared" si="455"/>
        <v>0</v>
      </c>
      <c r="FS160" s="65">
        <f t="shared" si="456"/>
        <v>0</v>
      </c>
      <c r="FT160" s="66" t="str">
        <f t="shared" si="457"/>
        <v/>
      </c>
      <c r="FU160" s="74" t="str">
        <f>IF('Marks Entry'!BU160="","",'Marks Entry'!BU160)</f>
        <v/>
      </c>
      <c r="FV160" s="74" t="str">
        <f>IF('Marks Entry'!BV160="","",'Marks Entry'!BV160)</f>
        <v/>
      </c>
      <c r="FW160" s="74" t="str">
        <f>IF('Marks Entry'!BW160="","",'Marks Entry'!BW160)</f>
        <v/>
      </c>
      <c r="FX160" s="75" t="str">
        <f t="shared" si="406"/>
        <v/>
      </c>
      <c r="FY160" s="368" t="str">
        <f t="shared" si="458"/>
        <v/>
      </c>
      <c r="FZ160" s="65">
        <f t="shared" si="459"/>
        <v>0</v>
      </c>
      <c r="GA160" s="66">
        <f t="shared" si="460"/>
        <v>0</v>
      </c>
      <c r="GB160" s="66" t="str">
        <f t="shared" si="461"/>
        <v/>
      </c>
      <c r="GC160" s="74" t="str">
        <f>IF('Marks Entry'!BX160="","",'Marks Entry'!BX160)</f>
        <v/>
      </c>
      <c r="GD160" s="74" t="str">
        <f>IF('Marks Entry'!BY160="","",'Marks Entry'!BY160)</f>
        <v/>
      </c>
      <c r="GE160" s="74" t="str">
        <f>IF('Marks Entry'!BZ160="","",'Marks Entry'!BZ160)</f>
        <v/>
      </c>
      <c r="GF160" s="75" t="str">
        <f t="shared" si="462"/>
        <v/>
      </c>
      <c r="GG160" s="368" t="str">
        <f t="shared" si="463"/>
        <v/>
      </c>
      <c r="GH160" s="65">
        <f t="shared" si="464"/>
        <v>0</v>
      </c>
      <c r="GI160" s="66">
        <f t="shared" si="465"/>
        <v>0</v>
      </c>
      <c r="GJ160" s="66" t="str">
        <f t="shared" si="466"/>
        <v/>
      </c>
      <c r="GK160" s="100" t="str">
        <f>IF(AND(F160="",B160=""),"",IF('Student DATA Entry'!M157="","",'Student DATA Entry'!M157))</f>
        <v/>
      </c>
      <c r="GL160" s="101" t="str">
        <f>IF(AND(B160="",F160=""),"",IF('Student DATA Entry'!N157="","",'Student DATA Entry'!N157))</f>
        <v/>
      </c>
      <c r="GM160" s="581" t="str">
        <f t="shared" si="467"/>
        <v/>
      </c>
      <c r="GN160" s="94" t="str">
        <f t="shared" si="468"/>
        <v/>
      </c>
      <c r="GO160" s="94" t="str">
        <f t="shared" si="469"/>
        <v/>
      </c>
      <c r="GP160" s="102" t="str">
        <f t="shared" si="407"/>
        <v/>
      </c>
      <c r="GQ160" s="94" t="str">
        <f t="shared" si="470"/>
        <v/>
      </c>
      <c r="GR160" s="103" t="str">
        <f t="shared" si="471"/>
        <v/>
      </c>
      <c r="GS160" s="102" t="str">
        <f t="shared" si="408"/>
        <v/>
      </c>
      <c r="GT160" s="104" t="str">
        <f t="shared" si="472"/>
        <v/>
      </c>
      <c r="GU160" s="94" t="str">
        <f>IF('Marks Entry'!V160=1,GT160,"")</f>
        <v/>
      </c>
      <c r="GV160" s="94" t="str">
        <f>IF('Marks Entry'!V160=2,GT160,"")</f>
        <v/>
      </c>
      <c r="GW160" s="94" t="str">
        <f>IF('Marks Entry'!V160=3,GT160,"")</f>
        <v/>
      </c>
      <c r="GX160" s="94" t="str">
        <f>IF('Marks Entry'!V160=4,GT160,"")</f>
        <v/>
      </c>
      <c r="GY160" s="94" t="str">
        <f>IF('Marks Entry'!V160=5,GT160,"")</f>
        <v/>
      </c>
      <c r="GZ160" s="94" t="str">
        <f t="shared" si="473"/>
        <v/>
      </c>
      <c r="HA160" s="105" t="str">
        <f t="shared" si="409"/>
        <v/>
      </c>
      <c r="HB160" s="94" t="str">
        <f t="shared" si="474"/>
        <v/>
      </c>
      <c r="HC160" s="94" t="str">
        <f t="shared" si="475"/>
        <v/>
      </c>
      <c r="HD160" s="105" t="str">
        <f t="shared" si="410"/>
        <v/>
      </c>
      <c r="HE160" s="94" t="str">
        <f t="shared" si="476"/>
        <v/>
      </c>
      <c r="HF160" s="94" t="str">
        <f t="shared" si="477"/>
        <v/>
      </c>
      <c r="HG160" s="105" t="str">
        <f t="shared" si="411"/>
        <v/>
      </c>
      <c r="HH160" s="94" t="str">
        <f t="shared" si="478"/>
        <v/>
      </c>
      <c r="HI160" s="94" t="str">
        <f t="shared" si="479"/>
        <v/>
      </c>
      <c r="HJ160" s="105" t="str">
        <f t="shared" si="412"/>
        <v/>
      </c>
      <c r="HK160" s="94" t="str">
        <f t="shared" si="480"/>
        <v/>
      </c>
      <c r="HL160" s="94" t="str">
        <f t="shared" si="481"/>
        <v/>
      </c>
      <c r="HM160" s="105" t="str">
        <f t="shared" si="413"/>
        <v/>
      </c>
      <c r="HN160" s="367" t="str">
        <f t="shared" si="482"/>
        <v xml:space="preserve">      </v>
      </c>
      <c r="HO160" s="418" t="str">
        <f t="shared" si="414"/>
        <v xml:space="preserve">      </v>
      </c>
      <c r="HP160" s="367" t="str">
        <f t="shared" si="483"/>
        <v xml:space="preserve">      </v>
      </c>
      <c r="HQ160" s="107" t="str">
        <f t="shared" si="484"/>
        <v xml:space="preserve">      </v>
      </c>
      <c r="HR160" s="366" t="str">
        <f t="shared" si="485"/>
        <v xml:space="preserve">      </v>
      </c>
      <c r="HS160" s="544" t="str">
        <f t="shared" si="415"/>
        <v/>
      </c>
      <c r="HT160" s="542" t="str">
        <f t="shared" si="486"/>
        <v/>
      </c>
      <c r="HU160" s="541" t="str">
        <f t="shared" si="487"/>
        <v/>
      </c>
      <c r="HV160" s="540" t="str">
        <f t="shared" si="488"/>
        <v/>
      </c>
      <c r="HW160" s="537" t="str">
        <f t="shared" si="489"/>
        <v/>
      </c>
      <c r="HX160" s="539" t="str">
        <f t="shared" si="490"/>
        <v/>
      </c>
      <c r="HY160" s="553" t="str">
        <f>IFERROR(IF(OR(HS160="SUPPLEMENTARY",HS160="RE-EXAM"),'Supp. Result Entry'!AQ158,""),"")</f>
        <v/>
      </c>
      <c r="HZ160" s="538" t="str">
        <f t="shared" si="491"/>
        <v/>
      </c>
      <c r="IA160" s="415" t="str">
        <f t="shared" si="492"/>
        <v/>
      </c>
      <c r="IB160" s="415" t="str">
        <f>IF(AND(HZ160="",IA160=""),"",IF(OR(HS160="SUPPLEMENTARY",HS160="RE-EXAM"),'Supp. Result Entry'!AQ158,HS160))</f>
        <v/>
      </c>
      <c r="IC160" s="87"/>
      <c r="IS160" s="109" t="str">
        <f>IF('Supp. Result Entry'!T158="","",'Supp. Result Entry'!$T$4)</f>
        <v/>
      </c>
      <c r="IT160" s="110" t="str">
        <f>IF('Supp. Result Entry'!W158="","",'Supp. Result Entry'!$W$4)</f>
        <v/>
      </c>
      <c r="IU160" s="110" t="str">
        <f>IF('Supp. Result Entry'!Z158="","",'Supp. Result Entry'!$Z$4)</f>
        <v/>
      </c>
      <c r="IV160" s="110" t="str">
        <f>IF('Supp. Result Entry'!AC158="","",'Supp. Result Entry'!$AC$4)</f>
        <v/>
      </c>
      <c r="IW160" s="110" t="str">
        <f>IF('Supp. Result Entry'!AF158="","",'Supp. Result Entry'!$AF$4)</f>
        <v/>
      </c>
      <c r="IX160" s="110" t="str">
        <f>IF('Supp. Result Entry'!AI158="","",'Supp. Result Entry'!$AI$4)</f>
        <v/>
      </c>
      <c r="IY160" s="110" t="str">
        <f>IF('Supp. Result Entry'!AI158="","",'Supp. Result Entry'!$AL$4)</f>
        <v/>
      </c>
      <c r="IZ160" s="110" t="str">
        <f>IF('Supp. Result Entry'!U158="","",'Supp. Result Entry'!U158)</f>
        <v/>
      </c>
      <c r="JA160" s="110" t="str">
        <f>IF('Supp. Result Entry'!X158="","",'Supp. Result Entry'!X158)</f>
        <v/>
      </c>
      <c r="JB160" s="110" t="str">
        <f>IF('Supp. Result Entry'!AA158="","",'Supp. Result Entry'!AA158)</f>
        <v/>
      </c>
      <c r="JC160" s="110" t="str">
        <f>IF('Supp. Result Entry'!AD158="","",'Supp. Result Entry'!AD158)</f>
        <v/>
      </c>
      <c r="JD160" s="110" t="str">
        <f>IF('Supp. Result Entry'!AG158="","",'Supp. Result Entry'!AG158)</f>
        <v/>
      </c>
      <c r="JE160" s="110" t="str">
        <f>IF('Supp. Result Entry'!AJ158="","",'Supp. Result Entry'!AJ158)</f>
        <v/>
      </c>
      <c r="JF160" s="110" t="str">
        <f>IF('Supp. Result Entry'!AM158="","",'Supp. Result Entry'!AM158)</f>
        <v/>
      </c>
      <c r="JG160" s="110" t="str">
        <f>IF('Supp. Result Entry'!V158="","",'Supp. Result Entry'!V158)</f>
        <v/>
      </c>
      <c r="JH160" s="110" t="str">
        <f>IF('Supp. Result Entry'!Y158="","",'Supp. Result Entry'!Y158)</f>
        <v/>
      </c>
      <c r="JI160" s="110" t="str">
        <f>IF('Supp. Result Entry'!AB158="","",'Supp. Result Entry'!AB158)</f>
        <v/>
      </c>
      <c r="JJ160" s="110" t="str">
        <f>IF('Supp. Result Entry'!AE158="","",'Supp. Result Entry'!AE158)</f>
        <v/>
      </c>
      <c r="JK160" s="110" t="str">
        <f>IF('Supp. Result Entry'!AH158="","",'Supp. Result Entry'!AH158)</f>
        <v/>
      </c>
      <c r="JL160" s="110" t="str">
        <f>IF('Supp. Result Entry'!AK158="","",'Supp. Result Entry'!AK158)</f>
        <v/>
      </c>
      <c r="JM160" s="110" t="str">
        <f>IF('Supp. Result Entry'!AN158="","",'Supp. Result Entry'!AN158)</f>
        <v/>
      </c>
      <c r="JN160" s="110">
        <f>COUNTIF('Supp. Result Entry'!K158:Q158,"S")</f>
        <v>0</v>
      </c>
      <c r="JO160" s="110">
        <f t="shared" si="416"/>
        <v>0</v>
      </c>
      <c r="JP160" s="110">
        <f t="shared" si="493"/>
        <v>0</v>
      </c>
      <c r="JQ160" s="110" t="str">
        <f t="shared" si="417"/>
        <v/>
      </c>
      <c r="JR160" s="110" t="str">
        <f t="shared" si="418"/>
        <v/>
      </c>
      <c r="JS160" s="110" t="str">
        <f t="shared" si="419"/>
        <v/>
      </c>
      <c r="JT160" s="110" t="str">
        <f t="shared" si="420"/>
        <v/>
      </c>
      <c r="JU160" s="110" t="str">
        <f t="shared" si="421"/>
        <v/>
      </c>
      <c r="JV160" s="110" t="str">
        <f t="shared" si="422"/>
        <v/>
      </c>
      <c r="JW160" s="110" t="str">
        <f t="shared" si="423"/>
        <v/>
      </c>
      <c r="JX160" s="110" t="str">
        <f t="shared" si="494"/>
        <v/>
      </c>
      <c r="JY160" s="110" t="str">
        <f t="shared" si="495"/>
        <v/>
      </c>
      <c r="JZ160" s="110" t="str">
        <f t="shared" si="424"/>
        <v/>
      </c>
      <c r="KA160" s="108" t="str">
        <f t="shared" si="496"/>
        <v/>
      </c>
    </row>
    <row r="161" spans="1:287" s="108" customFormat="1" ht="21.95" customHeight="1">
      <c r="A161" s="89">
        <v>155</v>
      </c>
      <c r="B161" s="90" t="str">
        <f>IF('Marks Entry'!B161="","",'Marks Entry'!B161)</f>
        <v/>
      </c>
      <c r="C161" s="94" t="str">
        <f>IF('Marks Entry'!D161="","",'Marks Entry'!D161)</f>
        <v/>
      </c>
      <c r="D161" s="91" t="str">
        <f>IF('Marks Entry'!E161="","",'Marks Entry'!E161)</f>
        <v/>
      </c>
      <c r="E161" s="92" t="str">
        <f>IF('Marks Entry'!F161="","",'Marks Entry'!F161)</f>
        <v/>
      </c>
      <c r="F161" s="93" t="str">
        <f>IF('Marks Entry'!G161="","",'Marks Entry'!G161)</f>
        <v/>
      </c>
      <c r="G161" s="93" t="str">
        <f>IF('Marks Entry'!H161="","",'Marks Entry'!H161)</f>
        <v/>
      </c>
      <c r="H161" s="93" t="str">
        <f>IF('Marks Entry'!I161="","",'Marks Entry'!I161)</f>
        <v/>
      </c>
      <c r="I161" s="94" t="str">
        <f>IF('Marks Entry'!J161="","",'Marks Entry'!J161)</f>
        <v/>
      </c>
      <c r="J161" s="95" t="str">
        <f>IF('Marks Entry'!K161="","",'Marks Entry'!K161)</f>
        <v/>
      </c>
      <c r="K161" s="68" t="str">
        <f>IF('Marks Entry'!L161="","",'Marks Entry'!L161)</f>
        <v/>
      </c>
      <c r="L161" s="68" t="str">
        <f>IF('Marks Entry'!M161="","",'Marks Entry'!M161)</f>
        <v/>
      </c>
      <c r="M161" s="68" t="str">
        <f>IF('Marks Entry'!N161="","",'Marks Entry'!N161)</f>
        <v/>
      </c>
      <c r="N161" s="514" t="str">
        <f t="shared" si="425"/>
        <v/>
      </c>
      <c r="O161" s="68" t="str">
        <f>IF('Marks Entry'!O161="","",'Marks Entry'!O161)</f>
        <v/>
      </c>
      <c r="P161" s="515" t="str">
        <f t="shared" si="426"/>
        <v/>
      </c>
      <c r="Q161" s="68" t="str">
        <f>IF('Marks Entry'!P161="","",'Marks Entry'!P161)</f>
        <v/>
      </c>
      <c r="R161" s="96" t="str">
        <f t="shared" si="427"/>
        <v/>
      </c>
      <c r="S161" s="65">
        <f t="shared" si="428"/>
        <v>0</v>
      </c>
      <c r="T161" s="65">
        <f t="shared" si="429"/>
        <v>0</v>
      </c>
      <c r="U161" s="66" t="str">
        <f t="shared" si="339"/>
        <v/>
      </c>
      <c r="V161" s="65" t="str">
        <f t="shared" si="340"/>
        <v/>
      </c>
      <c r="W161" s="65" t="str">
        <f t="shared" si="430"/>
        <v/>
      </c>
      <c r="X161" s="65" t="str">
        <f t="shared" si="341"/>
        <v/>
      </c>
      <c r="Y161" s="68" t="str">
        <f>IF('Marks Entry'!Q161="","",'Marks Entry'!Q161)</f>
        <v/>
      </c>
      <c r="Z161" s="68" t="str">
        <f>IF('Marks Entry'!R161="","",'Marks Entry'!R161)</f>
        <v/>
      </c>
      <c r="AA161" s="68" t="str">
        <f>IF('Marks Entry'!S161="","",'Marks Entry'!S161)</f>
        <v/>
      </c>
      <c r="AB161" s="514" t="str">
        <f t="shared" si="342"/>
        <v/>
      </c>
      <c r="AC161" s="68" t="str">
        <f>IF('Marks Entry'!T161="","",'Marks Entry'!T161)</f>
        <v/>
      </c>
      <c r="AD161" s="515" t="str">
        <f t="shared" si="343"/>
        <v/>
      </c>
      <c r="AE161" s="68" t="str">
        <f>IF('Marks Entry'!U161="","",'Marks Entry'!U161)</f>
        <v/>
      </c>
      <c r="AF161" s="96" t="str">
        <f t="shared" si="344"/>
        <v/>
      </c>
      <c r="AG161" s="65">
        <f t="shared" si="345"/>
        <v>0</v>
      </c>
      <c r="AH161" s="65">
        <f t="shared" si="346"/>
        <v>0</v>
      </c>
      <c r="AI161" s="66" t="str">
        <f t="shared" si="347"/>
        <v/>
      </c>
      <c r="AJ161" s="65" t="str">
        <f t="shared" si="348"/>
        <v/>
      </c>
      <c r="AK161" s="65" t="str">
        <f t="shared" si="349"/>
        <v/>
      </c>
      <c r="AL161" s="65" t="str">
        <f t="shared" si="350"/>
        <v/>
      </c>
      <c r="AM161" s="524" t="str">
        <f>IF('Marks Entry'!V161="","",IF('Marks Entry'!V161=1,'School Profile'!$I$9,IF('Marks Entry'!V161=2,'School Profile'!$I$10,IF('Marks Entry'!V161=3,'School Profile'!$I$11,IF('Marks Entry'!V161=4,'School Profile'!$I$12,IF('Marks Entry'!V161=5,'School Profile'!$I$13,IF('Marks Entry'!V161=6,'School Profile'!$I$14,"")))))))</f>
        <v/>
      </c>
      <c r="AN161" s="68" t="str">
        <f>IF('Marks Entry'!W161="","",'Marks Entry'!W161)</f>
        <v/>
      </c>
      <c r="AO161" s="68" t="str">
        <f>IF('Marks Entry'!X161="","",'Marks Entry'!X161)</f>
        <v/>
      </c>
      <c r="AP161" s="68" t="str">
        <f>IF('Marks Entry'!Y161="","",'Marks Entry'!Y161)</f>
        <v/>
      </c>
      <c r="AQ161" s="514" t="str">
        <f t="shared" si="351"/>
        <v/>
      </c>
      <c r="AR161" s="68" t="str">
        <f>IF('Marks Entry'!Z161="","",'Marks Entry'!Z161)</f>
        <v/>
      </c>
      <c r="AS161" s="515" t="str">
        <f t="shared" si="352"/>
        <v/>
      </c>
      <c r="AT161" s="68" t="str">
        <f>IF('Marks Entry'!AA161="","",'Marks Entry'!AA161)</f>
        <v/>
      </c>
      <c r="AU161" s="96" t="str">
        <f t="shared" si="353"/>
        <v/>
      </c>
      <c r="AV161" s="65">
        <f t="shared" si="354"/>
        <v>0</v>
      </c>
      <c r="AW161" s="65">
        <f t="shared" si="355"/>
        <v>0</v>
      </c>
      <c r="AX161" s="66" t="str">
        <f t="shared" si="356"/>
        <v/>
      </c>
      <c r="AY161" s="65" t="str">
        <f t="shared" si="357"/>
        <v/>
      </c>
      <c r="AZ161" s="65" t="str">
        <f t="shared" si="358"/>
        <v/>
      </c>
      <c r="BA161" s="65" t="str">
        <f t="shared" si="359"/>
        <v/>
      </c>
      <c r="BB161" s="68" t="str">
        <f>IF('Marks Entry'!AB161="","",'Marks Entry'!AB161)</f>
        <v/>
      </c>
      <c r="BC161" s="68" t="str">
        <f>IF('Marks Entry'!AC161="","",'Marks Entry'!AC161)</f>
        <v/>
      </c>
      <c r="BD161" s="68" t="str">
        <f>IF('Marks Entry'!AD161="","",'Marks Entry'!AD161)</f>
        <v/>
      </c>
      <c r="BE161" s="514" t="str">
        <f t="shared" si="360"/>
        <v/>
      </c>
      <c r="BF161" s="68" t="str">
        <f>IF('Marks Entry'!AE161="","",'Marks Entry'!AE161)</f>
        <v/>
      </c>
      <c r="BG161" s="515" t="str">
        <f t="shared" si="361"/>
        <v/>
      </c>
      <c r="BH161" s="68" t="str">
        <f>IF('Marks Entry'!AF161="","",'Marks Entry'!AF161)</f>
        <v/>
      </c>
      <c r="BI161" s="96" t="str">
        <f t="shared" si="362"/>
        <v/>
      </c>
      <c r="BJ161" s="65">
        <f t="shared" si="363"/>
        <v>0</v>
      </c>
      <c r="BK161" s="65">
        <f t="shared" si="431"/>
        <v>0</v>
      </c>
      <c r="BL161" s="66" t="str">
        <f t="shared" si="364"/>
        <v/>
      </c>
      <c r="BM161" s="65" t="str">
        <f t="shared" si="365"/>
        <v/>
      </c>
      <c r="BN161" s="65" t="str">
        <f t="shared" si="366"/>
        <v/>
      </c>
      <c r="BO161" s="65" t="str">
        <f t="shared" si="367"/>
        <v/>
      </c>
      <c r="BP161" s="68" t="str">
        <f>IF('Marks Entry'!AG161="","",'Marks Entry'!AG161)</f>
        <v/>
      </c>
      <c r="BQ161" s="68" t="str">
        <f>IF('Marks Entry'!AH161="","",'Marks Entry'!AH161)</f>
        <v/>
      </c>
      <c r="BR161" s="68" t="str">
        <f>IF('Marks Entry'!AI161="","",'Marks Entry'!AI161)</f>
        <v/>
      </c>
      <c r="BS161" s="514" t="str">
        <f t="shared" si="368"/>
        <v/>
      </c>
      <c r="BT161" s="68" t="str">
        <f>IF('Marks Entry'!AJ161="","",'Marks Entry'!AJ161)</f>
        <v/>
      </c>
      <c r="BU161" s="515" t="str">
        <f t="shared" si="369"/>
        <v/>
      </c>
      <c r="BV161" s="68" t="str">
        <f>IF('Marks Entry'!AK161="","",'Marks Entry'!AK161)</f>
        <v/>
      </c>
      <c r="BW161" s="96" t="str">
        <f t="shared" si="370"/>
        <v/>
      </c>
      <c r="BX161" s="65">
        <f t="shared" si="371"/>
        <v>0</v>
      </c>
      <c r="BY161" s="65">
        <f t="shared" si="372"/>
        <v>0</v>
      </c>
      <c r="BZ161" s="66" t="str">
        <f t="shared" si="373"/>
        <v/>
      </c>
      <c r="CA161" s="65" t="str">
        <f t="shared" si="374"/>
        <v/>
      </c>
      <c r="CB161" s="65" t="str">
        <f t="shared" si="375"/>
        <v/>
      </c>
      <c r="CC161" s="65" t="str">
        <f t="shared" si="376"/>
        <v/>
      </c>
      <c r="CD161" s="66">
        <f t="shared" si="377"/>
        <v>0</v>
      </c>
      <c r="CE161" s="68" t="str">
        <f>IF('Marks Entry'!AL161="","",'Marks Entry'!AL161)</f>
        <v/>
      </c>
      <c r="CF161" s="68" t="str">
        <f>IF('Marks Entry'!AM161="","",'Marks Entry'!AM161)</f>
        <v/>
      </c>
      <c r="CG161" s="68" t="str">
        <f>IF('Marks Entry'!AN161="","",'Marks Entry'!AN161)</f>
        <v/>
      </c>
      <c r="CH161" s="514" t="str">
        <f t="shared" si="378"/>
        <v/>
      </c>
      <c r="CI161" s="68" t="str">
        <f>IF('Marks Entry'!AO161="","",'Marks Entry'!AO161)</f>
        <v/>
      </c>
      <c r="CJ161" s="515" t="str">
        <f t="shared" si="379"/>
        <v/>
      </c>
      <c r="CK161" s="68" t="str">
        <f>IF('Marks Entry'!AP161="","",'Marks Entry'!AP161)</f>
        <v/>
      </c>
      <c r="CL161" s="96" t="str">
        <f t="shared" si="380"/>
        <v/>
      </c>
      <c r="CM161" s="65">
        <f t="shared" si="381"/>
        <v>0</v>
      </c>
      <c r="CN161" s="65">
        <f t="shared" si="382"/>
        <v>0</v>
      </c>
      <c r="CO161" s="66" t="str">
        <f t="shared" si="383"/>
        <v/>
      </c>
      <c r="CP161" s="65" t="str">
        <f t="shared" si="384"/>
        <v/>
      </c>
      <c r="CQ161" s="65" t="str">
        <f t="shared" si="385"/>
        <v/>
      </c>
      <c r="CR161" s="65" t="str">
        <f t="shared" si="386"/>
        <v/>
      </c>
      <c r="CS161" s="616"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8" t="str">
        <f>IF('School Profile'!$D$20="NO","",IF('Marks Entry'!AR161="","",'Marks Entry'!AR161))</f>
        <v/>
      </c>
      <c r="CU161" s="68" t="str">
        <f>IF('School Profile'!$D$20="NO","",IF('Marks Entry'!AS161="","",'Marks Entry'!AS161))</f>
        <v/>
      </c>
      <c r="CV161" s="68" t="str">
        <f>IF('School Profile'!$D$20="NO","",IF('Marks Entry'!AT161="","",'Marks Entry'!AT161))</f>
        <v/>
      </c>
      <c r="CW161" s="514" t="str">
        <f>IF('School Profile'!$D$20="NO","",IF(AND(CT161="",CU161="",CV161=""),"",SUM(CT161:CV161)))</f>
        <v/>
      </c>
      <c r="CX161" s="68" t="str">
        <f>IF('School Profile'!$D$20="NO","",IF('Marks Entry'!AU161="","",'Marks Entry'!AU161))</f>
        <v/>
      </c>
      <c r="CY161" s="68" t="str">
        <f>IF('School Profile'!$D$20="NO","",IF('Marks Entry'!AV161="","",'Marks Entry'!AV161))</f>
        <v/>
      </c>
      <c r="CZ161" s="515" t="str">
        <f>IF('School Profile'!$D$20="NO","",IF(AND(CX161="",CY161=""),"",SUM(CX161,CY161)))</f>
        <v/>
      </c>
      <c r="DA161" s="69" t="str">
        <f>IF('School Profile'!$D$20="NO","",IF(AND(CW161="",CZ161=""),"",SUM(CW161+CZ161)))</f>
        <v/>
      </c>
      <c r="DB161" s="68" t="str">
        <f>IF('School Profile'!$D$20="NO","",IF('Marks Entry'!AW161="","",'Marks Entry'!AW161))</f>
        <v/>
      </c>
      <c r="DC161" s="68" t="str">
        <f>IF('School Profile'!$D$20="NO","",IF('Marks Entry'!AX161="","",'Marks Entry'!AX161))</f>
        <v/>
      </c>
      <c r="DD161" s="515" t="str">
        <f>IF('School Profile'!$D$20="NO","",IF(AND(DB161="",DC161=""),"",SUM(DB161,DC161)))</f>
        <v/>
      </c>
      <c r="DE161" s="96" t="str">
        <f>IF('School Profile'!$D$20="NO","",IF(AND(DA161="",DD161=""),"",SUM(DA161,DD161)))</f>
        <v/>
      </c>
      <c r="DF161" s="532">
        <f t="shared" si="387"/>
        <v>0</v>
      </c>
      <c r="DG161" s="65">
        <f t="shared" si="388"/>
        <v>0</v>
      </c>
      <c r="DH161" s="66" t="str">
        <f t="shared" si="389"/>
        <v/>
      </c>
      <c r="DI161" s="65" t="str">
        <f t="shared" si="390"/>
        <v/>
      </c>
      <c r="DJ161" s="65" t="str">
        <f t="shared" si="391"/>
        <v/>
      </c>
      <c r="DK161" s="65" t="str">
        <f t="shared" si="392"/>
        <v/>
      </c>
      <c r="DL161" s="97" t="str">
        <f t="shared" si="432"/>
        <v/>
      </c>
      <c r="DM161" s="97" t="str">
        <f t="shared" si="433"/>
        <v/>
      </c>
      <c r="DN161" s="97" t="str">
        <f t="shared" si="434"/>
        <v/>
      </c>
      <c r="DO161" s="97" t="str">
        <f t="shared" si="435"/>
        <v/>
      </c>
      <c r="DP161" s="97" t="str">
        <f t="shared" si="436"/>
        <v/>
      </c>
      <c r="DQ161" s="97" t="str">
        <f t="shared" si="437"/>
        <v/>
      </c>
      <c r="DR161" s="97" t="str">
        <f t="shared" si="438"/>
        <v/>
      </c>
      <c r="DS161" s="98">
        <f t="shared" si="439"/>
        <v>0</v>
      </c>
      <c r="DT161" s="98">
        <f t="shared" si="440"/>
        <v>0</v>
      </c>
      <c r="DU161" s="98">
        <f t="shared" si="441"/>
        <v>0</v>
      </c>
      <c r="DV161" s="98">
        <f t="shared" si="442"/>
        <v>0</v>
      </c>
      <c r="DW161" s="98">
        <f t="shared" si="443"/>
        <v>0</v>
      </c>
      <c r="DX161" s="98" t="str">
        <f t="shared" si="444"/>
        <v/>
      </c>
      <c r="DY161" s="99" t="str">
        <f t="shared" si="445"/>
        <v/>
      </c>
      <c r="DZ161" s="74" t="str">
        <f>IF('Marks Entry'!AY161="","",'Marks Entry'!AY161)</f>
        <v/>
      </c>
      <c r="EA161" s="74" t="str">
        <f>IF('Marks Entry'!AZ161="","",'Marks Entry'!AZ161)</f>
        <v/>
      </c>
      <c r="EB161" s="74" t="str">
        <f>IF('Marks Entry'!BA161="","",'Marks Entry'!BA161)</f>
        <v/>
      </c>
      <c r="EC161" s="527" t="str">
        <f t="shared" si="393"/>
        <v/>
      </c>
      <c r="ED161" s="74" t="str">
        <f>IF('Marks Entry'!BB161="","",'Marks Entry'!BB161)</f>
        <v/>
      </c>
      <c r="EE161" s="528" t="str">
        <f t="shared" si="394"/>
        <v/>
      </c>
      <c r="EF161" s="74" t="str">
        <f>IF('Marks Entry'!BC161="","",'Marks Entry'!BC161)</f>
        <v/>
      </c>
      <c r="EG161" s="530" t="str">
        <f t="shared" si="395"/>
        <v/>
      </c>
      <c r="EH161" s="368" t="str">
        <f t="shared" si="446"/>
        <v/>
      </c>
      <c r="EI161" s="65">
        <f t="shared" si="447"/>
        <v>0</v>
      </c>
      <c r="EJ161" s="65">
        <f t="shared" si="448"/>
        <v>0</v>
      </c>
      <c r="EK161" s="66" t="str">
        <f t="shared" si="449"/>
        <v/>
      </c>
      <c r="EL161" s="74" t="str">
        <f>IF('Marks Entry'!BD161="","",'Marks Entry'!BD161)</f>
        <v/>
      </c>
      <c r="EM161" s="74" t="str">
        <f>IF('Marks Entry'!BE161="","",'Marks Entry'!BE161)</f>
        <v/>
      </c>
      <c r="EN161" s="74" t="str">
        <f>IF('Marks Entry'!BF161="","",'Marks Entry'!BF161)</f>
        <v/>
      </c>
      <c r="EO161" s="527" t="str">
        <f t="shared" si="396"/>
        <v/>
      </c>
      <c r="EP161" s="74" t="str">
        <f>IF('Marks Entry'!BG161="","",'Marks Entry'!BG161)</f>
        <v/>
      </c>
      <c r="EQ161" s="74" t="str">
        <f>IF('Marks Entry'!BH161="","",'Marks Entry'!BH161)</f>
        <v/>
      </c>
      <c r="ER161" s="528" t="str">
        <f t="shared" si="397"/>
        <v/>
      </c>
      <c r="ES161" s="529" t="str">
        <f t="shared" si="398"/>
        <v/>
      </c>
      <c r="ET161" s="74" t="str">
        <f>IF('Marks Entry'!BI161="","",'Marks Entry'!BI161)</f>
        <v/>
      </c>
      <c r="EU161" s="74" t="str">
        <f>IF('Marks Entry'!BJ161="","",'Marks Entry'!BJ161)</f>
        <v/>
      </c>
      <c r="EV161" s="528" t="str">
        <f t="shared" si="399"/>
        <v/>
      </c>
      <c r="EW161" s="530" t="str">
        <f t="shared" si="400"/>
        <v/>
      </c>
      <c r="EX161" s="368" t="str">
        <f t="shared" si="450"/>
        <v/>
      </c>
      <c r="EY161" s="65">
        <f t="shared" si="451"/>
        <v>0</v>
      </c>
      <c r="EZ161" s="65">
        <f t="shared" si="452"/>
        <v>0</v>
      </c>
      <c r="FA161" s="66" t="str">
        <f t="shared" si="453"/>
        <v/>
      </c>
      <c r="FB161" s="74" t="str">
        <f>IF('Marks Entry'!BK161="","",'Marks Entry'!BK161)</f>
        <v/>
      </c>
      <c r="FC161" s="74" t="str">
        <f>IF('Marks Entry'!BL161="","",'Marks Entry'!BL161)</f>
        <v/>
      </c>
      <c r="FD161" s="74" t="str">
        <f>IF('Marks Entry'!BM161="","",'Marks Entry'!BM161)</f>
        <v/>
      </c>
      <c r="FE161" s="74" t="str">
        <f>IF('Marks Entry'!BN161="","",'Marks Entry'!BN161)</f>
        <v/>
      </c>
      <c r="FF161" s="74" t="str">
        <f>IF('Marks Entry'!BO161="","",'Marks Entry'!BO161)</f>
        <v/>
      </c>
      <c r="FG161" s="74" t="str">
        <f>IF('Marks Entry'!BP161="","",'Marks Entry'!BP161)</f>
        <v/>
      </c>
      <c r="FH161" s="527" t="str">
        <f t="shared" si="401"/>
        <v/>
      </c>
      <c r="FI161" s="74" t="str">
        <f>IF('Marks Entry'!BQ161="","",'Marks Entry'!BQ161)</f>
        <v/>
      </c>
      <c r="FJ161" s="74" t="str">
        <f>IF('Marks Entry'!BR161="","",'Marks Entry'!BR161)</f>
        <v/>
      </c>
      <c r="FK161" s="528" t="str">
        <f t="shared" si="402"/>
        <v/>
      </c>
      <c r="FL161" s="529" t="str">
        <f t="shared" si="403"/>
        <v/>
      </c>
      <c r="FM161" s="74" t="str">
        <f>IF('Marks Entry'!BS161="","",'Marks Entry'!BS161)</f>
        <v/>
      </c>
      <c r="FN161" s="74" t="str">
        <f>IF('Marks Entry'!BT161="","",'Marks Entry'!BT161)</f>
        <v/>
      </c>
      <c r="FO161" s="528" t="str">
        <f t="shared" si="404"/>
        <v/>
      </c>
      <c r="FP161" s="530" t="str">
        <f t="shared" si="405"/>
        <v/>
      </c>
      <c r="FQ161" s="368" t="str">
        <f t="shared" si="454"/>
        <v/>
      </c>
      <c r="FR161" s="65">
        <f t="shared" si="455"/>
        <v>0</v>
      </c>
      <c r="FS161" s="65">
        <f t="shared" si="456"/>
        <v>0</v>
      </c>
      <c r="FT161" s="66" t="str">
        <f t="shared" si="457"/>
        <v/>
      </c>
      <c r="FU161" s="74" t="str">
        <f>IF('Marks Entry'!BU161="","",'Marks Entry'!BU161)</f>
        <v/>
      </c>
      <c r="FV161" s="74" t="str">
        <f>IF('Marks Entry'!BV161="","",'Marks Entry'!BV161)</f>
        <v/>
      </c>
      <c r="FW161" s="74" t="str">
        <f>IF('Marks Entry'!BW161="","",'Marks Entry'!BW161)</f>
        <v/>
      </c>
      <c r="FX161" s="75" t="str">
        <f t="shared" si="406"/>
        <v/>
      </c>
      <c r="FY161" s="368" t="str">
        <f t="shared" si="458"/>
        <v/>
      </c>
      <c r="FZ161" s="65">
        <f t="shared" si="459"/>
        <v>0</v>
      </c>
      <c r="GA161" s="66">
        <f t="shared" si="460"/>
        <v>0</v>
      </c>
      <c r="GB161" s="66" t="str">
        <f t="shared" si="461"/>
        <v/>
      </c>
      <c r="GC161" s="74" t="str">
        <f>IF('Marks Entry'!BX161="","",'Marks Entry'!BX161)</f>
        <v/>
      </c>
      <c r="GD161" s="74" t="str">
        <f>IF('Marks Entry'!BY161="","",'Marks Entry'!BY161)</f>
        <v/>
      </c>
      <c r="GE161" s="74" t="str">
        <f>IF('Marks Entry'!BZ161="","",'Marks Entry'!BZ161)</f>
        <v/>
      </c>
      <c r="GF161" s="75" t="str">
        <f t="shared" si="462"/>
        <v/>
      </c>
      <c r="GG161" s="368" t="str">
        <f t="shared" si="463"/>
        <v/>
      </c>
      <c r="GH161" s="65">
        <f t="shared" si="464"/>
        <v>0</v>
      </c>
      <c r="GI161" s="66">
        <f t="shared" si="465"/>
        <v>0</v>
      </c>
      <c r="GJ161" s="66" t="str">
        <f t="shared" si="466"/>
        <v/>
      </c>
      <c r="GK161" s="100" t="str">
        <f>IF(AND(F161="",B161=""),"",IF('Student DATA Entry'!M158="","",'Student DATA Entry'!M158))</f>
        <v/>
      </c>
      <c r="GL161" s="101" t="str">
        <f>IF(AND(B161="",F161=""),"",IF('Student DATA Entry'!N158="","",'Student DATA Entry'!N158))</f>
        <v/>
      </c>
      <c r="GM161" s="581" t="str">
        <f t="shared" si="467"/>
        <v/>
      </c>
      <c r="GN161" s="94" t="str">
        <f t="shared" si="468"/>
        <v/>
      </c>
      <c r="GO161" s="94" t="str">
        <f t="shared" si="469"/>
        <v/>
      </c>
      <c r="GP161" s="102" t="str">
        <f t="shared" si="407"/>
        <v/>
      </c>
      <c r="GQ161" s="94" t="str">
        <f t="shared" si="470"/>
        <v/>
      </c>
      <c r="GR161" s="103" t="str">
        <f t="shared" si="471"/>
        <v/>
      </c>
      <c r="GS161" s="102" t="str">
        <f t="shared" si="408"/>
        <v/>
      </c>
      <c r="GT161" s="104" t="str">
        <f t="shared" si="472"/>
        <v/>
      </c>
      <c r="GU161" s="94" t="str">
        <f>IF('Marks Entry'!V161=1,GT161,"")</f>
        <v/>
      </c>
      <c r="GV161" s="94" t="str">
        <f>IF('Marks Entry'!V161=2,GT161,"")</f>
        <v/>
      </c>
      <c r="GW161" s="94" t="str">
        <f>IF('Marks Entry'!V161=3,GT161,"")</f>
        <v/>
      </c>
      <c r="GX161" s="94" t="str">
        <f>IF('Marks Entry'!V161=4,GT161,"")</f>
        <v/>
      </c>
      <c r="GY161" s="94" t="str">
        <f>IF('Marks Entry'!V161=5,GT161,"")</f>
        <v/>
      </c>
      <c r="GZ161" s="94" t="str">
        <f t="shared" si="473"/>
        <v/>
      </c>
      <c r="HA161" s="105" t="str">
        <f t="shared" si="409"/>
        <v/>
      </c>
      <c r="HB161" s="94" t="str">
        <f t="shared" si="474"/>
        <v/>
      </c>
      <c r="HC161" s="94" t="str">
        <f t="shared" si="475"/>
        <v/>
      </c>
      <c r="HD161" s="105" t="str">
        <f t="shared" si="410"/>
        <v/>
      </c>
      <c r="HE161" s="94" t="str">
        <f t="shared" si="476"/>
        <v/>
      </c>
      <c r="HF161" s="94" t="str">
        <f t="shared" si="477"/>
        <v/>
      </c>
      <c r="HG161" s="105" t="str">
        <f t="shared" si="411"/>
        <v/>
      </c>
      <c r="HH161" s="94" t="str">
        <f t="shared" si="478"/>
        <v/>
      </c>
      <c r="HI161" s="94" t="str">
        <f t="shared" si="479"/>
        <v/>
      </c>
      <c r="HJ161" s="105" t="str">
        <f t="shared" si="412"/>
        <v/>
      </c>
      <c r="HK161" s="94" t="str">
        <f t="shared" si="480"/>
        <v/>
      </c>
      <c r="HL161" s="94" t="str">
        <f t="shared" si="481"/>
        <v/>
      </c>
      <c r="HM161" s="105" t="str">
        <f t="shared" si="413"/>
        <v/>
      </c>
      <c r="HN161" s="367" t="str">
        <f t="shared" si="482"/>
        <v xml:space="preserve">      </v>
      </c>
      <c r="HO161" s="418" t="str">
        <f t="shared" si="414"/>
        <v xml:space="preserve">      </v>
      </c>
      <c r="HP161" s="367" t="str">
        <f t="shared" si="483"/>
        <v xml:space="preserve">      </v>
      </c>
      <c r="HQ161" s="107" t="str">
        <f t="shared" si="484"/>
        <v xml:space="preserve">      </v>
      </c>
      <c r="HR161" s="366" t="str">
        <f t="shared" si="485"/>
        <v xml:space="preserve">      </v>
      </c>
      <c r="HS161" s="544" t="str">
        <f t="shared" si="415"/>
        <v/>
      </c>
      <c r="HT161" s="542" t="str">
        <f t="shared" si="486"/>
        <v/>
      </c>
      <c r="HU161" s="541" t="str">
        <f t="shared" si="487"/>
        <v/>
      </c>
      <c r="HV161" s="540" t="str">
        <f t="shared" si="488"/>
        <v/>
      </c>
      <c r="HW161" s="537" t="str">
        <f t="shared" si="489"/>
        <v/>
      </c>
      <c r="HX161" s="539" t="str">
        <f t="shared" si="490"/>
        <v/>
      </c>
      <c r="HY161" s="553" t="str">
        <f>IFERROR(IF(OR(HS161="SUPPLEMENTARY",HS161="RE-EXAM"),'Supp. Result Entry'!AQ159,""),"")</f>
        <v/>
      </c>
      <c r="HZ161" s="538" t="str">
        <f t="shared" si="491"/>
        <v/>
      </c>
      <c r="IA161" s="415" t="str">
        <f t="shared" si="492"/>
        <v/>
      </c>
      <c r="IB161" s="415" t="str">
        <f>IF(AND(HZ161="",IA161=""),"",IF(OR(HS161="SUPPLEMENTARY",HS161="RE-EXAM"),'Supp. Result Entry'!AQ159,HS161))</f>
        <v/>
      </c>
      <c r="IC161" s="87"/>
      <c r="IS161" s="109" t="str">
        <f>IF('Supp. Result Entry'!T159="","",'Supp. Result Entry'!$T$4)</f>
        <v/>
      </c>
      <c r="IT161" s="110" t="str">
        <f>IF('Supp. Result Entry'!W159="","",'Supp. Result Entry'!$W$4)</f>
        <v/>
      </c>
      <c r="IU161" s="110" t="str">
        <f>IF('Supp. Result Entry'!Z159="","",'Supp. Result Entry'!$Z$4)</f>
        <v/>
      </c>
      <c r="IV161" s="110" t="str">
        <f>IF('Supp. Result Entry'!AC159="","",'Supp. Result Entry'!$AC$4)</f>
        <v/>
      </c>
      <c r="IW161" s="110" t="str">
        <f>IF('Supp. Result Entry'!AF159="","",'Supp. Result Entry'!$AF$4)</f>
        <v/>
      </c>
      <c r="IX161" s="110" t="str">
        <f>IF('Supp. Result Entry'!AI159="","",'Supp. Result Entry'!$AI$4)</f>
        <v/>
      </c>
      <c r="IY161" s="110" t="str">
        <f>IF('Supp. Result Entry'!AI159="","",'Supp. Result Entry'!$AL$4)</f>
        <v/>
      </c>
      <c r="IZ161" s="110" t="str">
        <f>IF('Supp. Result Entry'!U159="","",'Supp. Result Entry'!U159)</f>
        <v/>
      </c>
      <c r="JA161" s="110" t="str">
        <f>IF('Supp. Result Entry'!X159="","",'Supp. Result Entry'!X159)</f>
        <v/>
      </c>
      <c r="JB161" s="110" t="str">
        <f>IF('Supp. Result Entry'!AA159="","",'Supp. Result Entry'!AA159)</f>
        <v/>
      </c>
      <c r="JC161" s="110" t="str">
        <f>IF('Supp. Result Entry'!AD159="","",'Supp. Result Entry'!AD159)</f>
        <v/>
      </c>
      <c r="JD161" s="110" t="str">
        <f>IF('Supp. Result Entry'!AG159="","",'Supp. Result Entry'!AG159)</f>
        <v/>
      </c>
      <c r="JE161" s="110" t="str">
        <f>IF('Supp. Result Entry'!AJ159="","",'Supp. Result Entry'!AJ159)</f>
        <v/>
      </c>
      <c r="JF161" s="110" t="str">
        <f>IF('Supp. Result Entry'!AM159="","",'Supp. Result Entry'!AM159)</f>
        <v/>
      </c>
      <c r="JG161" s="110" t="str">
        <f>IF('Supp. Result Entry'!V159="","",'Supp. Result Entry'!V159)</f>
        <v/>
      </c>
      <c r="JH161" s="110" t="str">
        <f>IF('Supp. Result Entry'!Y159="","",'Supp. Result Entry'!Y159)</f>
        <v/>
      </c>
      <c r="JI161" s="110" t="str">
        <f>IF('Supp. Result Entry'!AB159="","",'Supp. Result Entry'!AB159)</f>
        <v/>
      </c>
      <c r="JJ161" s="110" t="str">
        <f>IF('Supp. Result Entry'!AE159="","",'Supp. Result Entry'!AE159)</f>
        <v/>
      </c>
      <c r="JK161" s="110" t="str">
        <f>IF('Supp. Result Entry'!AH159="","",'Supp. Result Entry'!AH159)</f>
        <v/>
      </c>
      <c r="JL161" s="110" t="str">
        <f>IF('Supp. Result Entry'!AK159="","",'Supp. Result Entry'!AK159)</f>
        <v/>
      </c>
      <c r="JM161" s="110" t="str">
        <f>IF('Supp. Result Entry'!AN159="","",'Supp. Result Entry'!AN159)</f>
        <v/>
      </c>
      <c r="JN161" s="110">
        <f>COUNTIF('Supp. Result Entry'!K159:Q159,"S")</f>
        <v>0</v>
      </c>
      <c r="JO161" s="110">
        <f t="shared" si="416"/>
        <v>0</v>
      </c>
      <c r="JP161" s="110">
        <f t="shared" si="493"/>
        <v>0</v>
      </c>
      <c r="JQ161" s="110" t="str">
        <f t="shared" si="417"/>
        <v/>
      </c>
      <c r="JR161" s="110" t="str">
        <f t="shared" si="418"/>
        <v/>
      </c>
      <c r="JS161" s="110" t="str">
        <f t="shared" si="419"/>
        <v/>
      </c>
      <c r="JT161" s="110" t="str">
        <f t="shared" si="420"/>
        <v/>
      </c>
      <c r="JU161" s="110" t="str">
        <f t="shared" si="421"/>
        <v/>
      </c>
      <c r="JV161" s="110" t="str">
        <f t="shared" si="422"/>
        <v/>
      </c>
      <c r="JW161" s="110" t="str">
        <f t="shared" si="423"/>
        <v/>
      </c>
      <c r="JX161" s="110" t="str">
        <f t="shared" si="494"/>
        <v/>
      </c>
      <c r="JY161" s="110" t="str">
        <f t="shared" si="495"/>
        <v/>
      </c>
      <c r="JZ161" s="110" t="str">
        <f t="shared" si="424"/>
        <v/>
      </c>
      <c r="KA161" s="108" t="str">
        <f t="shared" si="496"/>
        <v/>
      </c>
    </row>
    <row r="162" spans="1:287" s="108" customFormat="1" ht="21.95" customHeight="1">
      <c r="A162" s="89">
        <v>156</v>
      </c>
      <c r="B162" s="90" t="str">
        <f>IF('Marks Entry'!B162="","",'Marks Entry'!B162)</f>
        <v/>
      </c>
      <c r="C162" s="94" t="str">
        <f>IF('Marks Entry'!D162="","",'Marks Entry'!D162)</f>
        <v/>
      </c>
      <c r="D162" s="91" t="str">
        <f>IF('Marks Entry'!E162="","",'Marks Entry'!E162)</f>
        <v/>
      </c>
      <c r="E162" s="92" t="str">
        <f>IF('Marks Entry'!F162="","",'Marks Entry'!F162)</f>
        <v/>
      </c>
      <c r="F162" s="93" t="str">
        <f>IF('Marks Entry'!G162="","",'Marks Entry'!G162)</f>
        <v/>
      </c>
      <c r="G162" s="93" t="str">
        <f>IF('Marks Entry'!H162="","",'Marks Entry'!H162)</f>
        <v/>
      </c>
      <c r="H162" s="93" t="str">
        <f>IF('Marks Entry'!I162="","",'Marks Entry'!I162)</f>
        <v/>
      </c>
      <c r="I162" s="94" t="str">
        <f>IF('Marks Entry'!J162="","",'Marks Entry'!J162)</f>
        <v/>
      </c>
      <c r="J162" s="95" t="str">
        <f>IF('Marks Entry'!K162="","",'Marks Entry'!K162)</f>
        <v/>
      </c>
      <c r="K162" s="68" t="str">
        <f>IF('Marks Entry'!L162="","",'Marks Entry'!L162)</f>
        <v/>
      </c>
      <c r="L162" s="68" t="str">
        <f>IF('Marks Entry'!M162="","",'Marks Entry'!M162)</f>
        <v/>
      </c>
      <c r="M162" s="68" t="str">
        <f>IF('Marks Entry'!N162="","",'Marks Entry'!N162)</f>
        <v/>
      </c>
      <c r="N162" s="514" t="str">
        <f t="shared" si="425"/>
        <v/>
      </c>
      <c r="O162" s="68" t="str">
        <f>IF('Marks Entry'!O162="","",'Marks Entry'!O162)</f>
        <v/>
      </c>
      <c r="P162" s="515" t="str">
        <f t="shared" si="426"/>
        <v/>
      </c>
      <c r="Q162" s="68" t="str">
        <f>IF('Marks Entry'!P162="","",'Marks Entry'!P162)</f>
        <v/>
      </c>
      <c r="R162" s="96" t="str">
        <f t="shared" si="427"/>
        <v/>
      </c>
      <c r="S162" s="65">
        <f t="shared" si="428"/>
        <v>0</v>
      </c>
      <c r="T162" s="65">
        <f t="shared" si="429"/>
        <v>0</v>
      </c>
      <c r="U162" s="66" t="str">
        <f t="shared" si="339"/>
        <v/>
      </c>
      <c r="V162" s="65" t="str">
        <f t="shared" si="340"/>
        <v/>
      </c>
      <c r="W162" s="65" t="str">
        <f t="shared" si="430"/>
        <v/>
      </c>
      <c r="X162" s="65" t="str">
        <f t="shared" si="341"/>
        <v/>
      </c>
      <c r="Y162" s="68" t="str">
        <f>IF('Marks Entry'!Q162="","",'Marks Entry'!Q162)</f>
        <v/>
      </c>
      <c r="Z162" s="68" t="str">
        <f>IF('Marks Entry'!R162="","",'Marks Entry'!R162)</f>
        <v/>
      </c>
      <c r="AA162" s="68" t="str">
        <f>IF('Marks Entry'!S162="","",'Marks Entry'!S162)</f>
        <v/>
      </c>
      <c r="AB162" s="514" t="str">
        <f t="shared" si="342"/>
        <v/>
      </c>
      <c r="AC162" s="68" t="str">
        <f>IF('Marks Entry'!T162="","",'Marks Entry'!T162)</f>
        <v/>
      </c>
      <c r="AD162" s="515" t="str">
        <f t="shared" si="343"/>
        <v/>
      </c>
      <c r="AE162" s="68" t="str">
        <f>IF('Marks Entry'!U162="","",'Marks Entry'!U162)</f>
        <v/>
      </c>
      <c r="AF162" s="96" t="str">
        <f t="shared" si="344"/>
        <v/>
      </c>
      <c r="AG162" s="65">
        <f t="shared" si="345"/>
        <v>0</v>
      </c>
      <c r="AH162" s="65">
        <f t="shared" si="346"/>
        <v>0</v>
      </c>
      <c r="AI162" s="66" t="str">
        <f t="shared" si="347"/>
        <v/>
      </c>
      <c r="AJ162" s="65" t="str">
        <f t="shared" si="348"/>
        <v/>
      </c>
      <c r="AK162" s="65" t="str">
        <f t="shared" si="349"/>
        <v/>
      </c>
      <c r="AL162" s="65" t="str">
        <f t="shared" si="350"/>
        <v/>
      </c>
      <c r="AM162" s="524" t="str">
        <f>IF('Marks Entry'!V162="","",IF('Marks Entry'!V162=1,'School Profile'!$I$9,IF('Marks Entry'!V162=2,'School Profile'!$I$10,IF('Marks Entry'!V162=3,'School Profile'!$I$11,IF('Marks Entry'!V162=4,'School Profile'!$I$12,IF('Marks Entry'!V162=5,'School Profile'!$I$13,IF('Marks Entry'!V162=6,'School Profile'!$I$14,"")))))))</f>
        <v/>
      </c>
      <c r="AN162" s="68" t="str">
        <f>IF('Marks Entry'!W162="","",'Marks Entry'!W162)</f>
        <v/>
      </c>
      <c r="AO162" s="68" t="str">
        <f>IF('Marks Entry'!X162="","",'Marks Entry'!X162)</f>
        <v/>
      </c>
      <c r="AP162" s="68" t="str">
        <f>IF('Marks Entry'!Y162="","",'Marks Entry'!Y162)</f>
        <v/>
      </c>
      <c r="AQ162" s="514" t="str">
        <f t="shared" si="351"/>
        <v/>
      </c>
      <c r="AR162" s="68" t="str">
        <f>IF('Marks Entry'!Z162="","",'Marks Entry'!Z162)</f>
        <v/>
      </c>
      <c r="AS162" s="515" t="str">
        <f t="shared" si="352"/>
        <v/>
      </c>
      <c r="AT162" s="68" t="str">
        <f>IF('Marks Entry'!AA162="","",'Marks Entry'!AA162)</f>
        <v/>
      </c>
      <c r="AU162" s="96" t="str">
        <f t="shared" si="353"/>
        <v/>
      </c>
      <c r="AV162" s="65">
        <f t="shared" si="354"/>
        <v>0</v>
      </c>
      <c r="AW162" s="65">
        <f t="shared" si="355"/>
        <v>0</v>
      </c>
      <c r="AX162" s="66" t="str">
        <f t="shared" si="356"/>
        <v/>
      </c>
      <c r="AY162" s="65" t="str">
        <f t="shared" si="357"/>
        <v/>
      </c>
      <c r="AZ162" s="65" t="str">
        <f t="shared" si="358"/>
        <v/>
      </c>
      <c r="BA162" s="65" t="str">
        <f t="shared" si="359"/>
        <v/>
      </c>
      <c r="BB162" s="68" t="str">
        <f>IF('Marks Entry'!AB162="","",'Marks Entry'!AB162)</f>
        <v/>
      </c>
      <c r="BC162" s="68" t="str">
        <f>IF('Marks Entry'!AC162="","",'Marks Entry'!AC162)</f>
        <v/>
      </c>
      <c r="BD162" s="68" t="str">
        <f>IF('Marks Entry'!AD162="","",'Marks Entry'!AD162)</f>
        <v/>
      </c>
      <c r="BE162" s="514" t="str">
        <f t="shared" si="360"/>
        <v/>
      </c>
      <c r="BF162" s="68" t="str">
        <f>IF('Marks Entry'!AE162="","",'Marks Entry'!AE162)</f>
        <v/>
      </c>
      <c r="BG162" s="515" t="str">
        <f t="shared" si="361"/>
        <v/>
      </c>
      <c r="BH162" s="68" t="str">
        <f>IF('Marks Entry'!AF162="","",'Marks Entry'!AF162)</f>
        <v/>
      </c>
      <c r="BI162" s="96" t="str">
        <f t="shared" si="362"/>
        <v/>
      </c>
      <c r="BJ162" s="65">
        <f t="shared" si="363"/>
        <v>0</v>
      </c>
      <c r="BK162" s="65">
        <f t="shared" si="431"/>
        <v>0</v>
      </c>
      <c r="BL162" s="66" t="str">
        <f t="shared" si="364"/>
        <v/>
      </c>
      <c r="BM162" s="65" t="str">
        <f t="shared" si="365"/>
        <v/>
      </c>
      <c r="BN162" s="65" t="str">
        <f t="shared" si="366"/>
        <v/>
      </c>
      <c r="BO162" s="65" t="str">
        <f t="shared" si="367"/>
        <v/>
      </c>
      <c r="BP162" s="68" t="str">
        <f>IF('Marks Entry'!AG162="","",'Marks Entry'!AG162)</f>
        <v/>
      </c>
      <c r="BQ162" s="68" t="str">
        <f>IF('Marks Entry'!AH162="","",'Marks Entry'!AH162)</f>
        <v/>
      </c>
      <c r="BR162" s="68" t="str">
        <f>IF('Marks Entry'!AI162="","",'Marks Entry'!AI162)</f>
        <v/>
      </c>
      <c r="BS162" s="514" t="str">
        <f t="shared" si="368"/>
        <v/>
      </c>
      <c r="BT162" s="68" t="str">
        <f>IF('Marks Entry'!AJ162="","",'Marks Entry'!AJ162)</f>
        <v/>
      </c>
      <c r="BU162" s="515" t="str">
        <f t="shared" si="369"/>
        <v/>
      </c>
      <c r="BV162" s="68" t="str">
        <f>IF('Marks Entry'!AK162="","",'Marks Entry'!AK162)</f>
        <v/>
      </c>
      <c r="BW162" s="96" t="str">
        <f t="shared" si="370"/>
        <v/>
      </c>
      <c r="BX162" s="65">
        <f t="shared" si="371"/>
        <v>0</v>
      </c>
      <c r="BY162" s="65">
        <f t="shared" si="372"/>
        <v>0</v>
      </c>
      <c r="BZ162" s="66" t="str">
        <f t="shared" si="373"/>
        <v/>
      </c>
      <c r="CA162" s="65" t="str">
        <f t="shared" si="374"/>
        <v/>
      </c>
      <c r="CB162" s="65" t="str">
        <f t="shared" si="375"/>
        <v/>
      </c>
      <c r="CC162" s="65" t="str">
        <f t="shared" si="376"/>
        <v/>
      </c>
      <c r="CD162" s="66">
        <f t="shared" si="377"/>
        <v>0</v>
      </c>
      <c r="CE162" s="68" t="str">
        <f>IF('Marks Entry'!AL162="","",'Marks Entry'!AL162)</f>
        <v/>
      </c>
      <c r="CF162" s="68" t="str">
        <f>IF('Marks Entry'!AM162="","",'Marks Entry'!AM162)</f>
        <v/>
      </c>
      <c r="CG162" s="68" t="str">
        <f>IF('Marks Entry'!AN162="","",'Marks Entry'!AN162)</f>
        <v/>
      </c>
      <c r="CH162" s="514" t="str">
        <f t="shared" si="378"/>
        <v/>
      </c>
      <c r="CI162" s="68" t="str">
        <f>IF('Marks Entry'!AO162="","",'Marks Entry'!AO162)</f>
        <v/>
      </c>
      <c r="CJ162" s="515" t="str">
        <f t="shared" si="379"/>
        <v/>
      </c>
      <c r="CK162" s="68" t="str">
        <f>IF('Marks Entry'!AP162="","",'Marks Entry'!AP162)</f>
        <v/>
      </c>
      <c r="CL162" s="96" t="str">
        <f t="shared" si="380"/>
        <v/>
      </c>
      <c r="CM162" s="65">
        <f t="shared" si="381"/>
        <v>0</v>
      </c>
      <c r="CN162" s="65">
        <f t="shared" si="382"/>
        <v>0</v>
      </c>
      <c r="CO162" s="66" t="str">
        <f t="shared" si="383"/>
        <v/>
      </c>
      <c r="CP162" s="65" t="str">
        <f t="shared" si="384"/>
        <v/>
      </c>
      <c r="CQ162" s="65" t="str">
        <f t="shared" si="385"/>
        <v/>
      </c>
      <c r="CR162" s="65" t="str">
        <f t="shared" si="386"/>
        <v/>
      </c>
      <c r="CS162" s="616"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8" t="str">
        <f>IF('School Profile'!$D$20="NO","",IF('Marks Entry'!AR162="","",'Marks Entry'!AR162))</f>
        <v/>
      </c>
      <c r="CU162" s="68" t="str">
        <f>IF('School Profile'!$D$20="NO","",IF('Marks Entry'!AS162="","",'Marks Entry'!AS162))</f>
        <v/>
      </c>
      <c r="CV162" s="68" t="str">
        <f>IF('School Profile'!$D$20="NO","",IF('Marks Entry'!AT162="","",'Marks Entry'!AT162))</f>
        <v/>
      </c>
      <c r="CW162" s="514" t="str">
        <f>IF('School Profile'!$D$20="NO","",IF(AND(CT162="",CU162="",CV162=""),"",SUM(CT162:CV162)))</f>
        <v/>
      </c>
      <c r="CX162" s="68" t="str">
        <f>IF('School Profile'!$D$20="NO","",IF('Marks Entry'!AU162="","",'Marks Entry'!AU162))</f>
        <v/>
      </c>
      <c r="CY162" s="68" t="str">
        <f>IF('School Profile'!$D$20="NO","",IF('Marks Entry'!AV162="","",'Marks Entry'!AV162))</f>
        <v/>
      </c>
      <c r="CZ162" s="515" t="str">
        <f>IF('School Profile'!$D$20="NO","",IF(AND(CX162="",CY162=""),"",SUM(CX162,CY162)))</f>
        <v/>
      </c>
      <c r="DA162" s="69" t="str">
        <f>IF('School Profile'!$D$20="NO","",IF(AND(CW162="",CZ162=""),"",SUM(CW162+CZ162)))</f>
        <v/>
      </c>
      <c r="DB162" s="68" t="str">
        <f>IF('School Profile'!$D$20="NO","",IF('Marks Entry'!AW162="","",'Marks Entry'!AW162))</f>
        <v/>
      </c>
      <c r="DC162" s="68" t="str">
        <f>IF('School Profile'!$D$20="NO","",IF('Marks Entry'!AX162="","",'Marks Entry'!AX162))</f>
        <v/>
      </c>
      <c r="DD162" s="515" t="str">
        <f>IF('School Profile'!$D$20="NO","",IF(AND(DB162="",DC162=""),"",SUM(DB162,DC162)))</f>
        <v/>
      </c>
      <c r="DE162" s="96" t="str">
        <f>IF('School Profile'!$D$20="NO","",IF(AND(DA162="",DD162=""),"",SUM(DA162,DD162)))</f>
        <v/>
      </c>
      <c r="DF162" s="532">
        <f t="shared" si="387"/>
        <v>0</v>
      </c>
      <c r="DG162" s="65">
        <f t="shared" si="388"/>
        <v>0</v>
      </c>
      <c r="DH162" s="66" t="str">
        <f t="shared" si="389"/>
        <v/>
      </c>
      <c r="DI162" s="65" t="str">
        <f t="shared" si="390"/>
        <v/>
      </c>
      <c r="DJ162" s="65" t="str">
        <f t="shared" si="391"/>
        <v/>
      </c>
      <c r="DK162" s="65" t="str">
        <f t="shared" si="392"/>
        <v/>
      </c>
      <c r="DL162" s="97" t="str">
        <f t="shared" si="432"/>
        <v/>
      </c>
      <c r="DM162" s="97" t="str">
        <f t="shared" si="433"/>
        <v/>
      </c>
      <c r="DN162" s="97" t="str">
        <f t="shared" si="434"/>
        <v/>
      </c>
      <c r="DO162" s="97" t="str">
        <f t="shared" si="435"/>
        <v/>
      </c>
      <c r="DP162" s="97" t="str">
        <f t="shared" si="436"/>
        <v/>
      </c>
      <c r="DQ162" s="97" t="str">
        <f t="shared" si="437"/>
        <v/>
      </c>
      <c r="DR162" s="97" t="str">
        <f t="shared" si="438"/>
        <v/>
      </c>
      <c r="DS162" s="98">
        <f t="shared" si="439"/>
        <v>0</v>
      </c>
      <c r="DT162" s="98">
        <f t="shared" si="440"/>
        <v>0</v>
      </c>
      <c r="DU162" s="98">
        <f t="shared" si="441"/>
        <v>0</v>
      </c>
      <c r="DV162" s="98">
        <f t="shared" si="442"/>
        <v>0</v>
      </c>
      <c r="DW162" s="98">
        <f t="shared" si="443"/>
        <v>0</v>
      </c>
      <c r="DX162" s="98" t="str">
        <f t="shared" si="444"/>
        <v/>
      </c>
      <c r="DY162" s="99" t="str">
        <f t="shared" si="445"/>
        <v/>
      </c>
      <c r="DZ162" s="74" t="str">
        <f>IF('Marks Entry'!AY162="","",'Marks Entry'!AY162)</f>
        <v/>
      </c>
      <c r="EA162" s="74" t="str">
        <f>IF('Marks Entry'!AZ162="","",'Marks Entry'!AZ162)</f>
        <v/>
      </c>
      <c r="EB162" s="74" t="str">
        <f>IF('Marks Entry'!BA162="","",'Marks Entry'!BA162)</f>
        <v/>
      </c>
      <c r="EC162" s="527" t="str">
        <f t="shared" si="393"/>
        <v/>
      </c>
      <c r="ED162" s="74" t="str">
        <f>IF('Marks Entry'!BB162="","",'Marks Entry'!BB162)</f>
        <v/>
      </c>
      <c r="EE162" s="528" t="str">
        <f t="shared" si="394"/>
        <v/>
      </c>
      <c r="EF162" s="74" t="str">
        <f>IF('Marks Entry'!BC162="","",'Marks Entry'!BC162)</f>
        <v/>
      </c>
      <c r="EG162" s="530" t="str">
        <f t="shared" si="395"/>
        <v/>
      </c>
      <c r="EH162" s="368" t="str">
        <f t="shared" si="446"/>
        <v/>
      </c>
      <c r="EI162" s="65">
        <f t="shared" si="447"/>
        <v>0</v>
      </c>
      <c r="EJ162" s="65">
        <f t="shared" si="448"/>
        <v>0</v>
      </c>
      <c r="EK162" s="66" t="str">
        <f t="shared" si="449"/>
        <v/>
      </c>
      <c r="EL162" s="74" t="str">
        <f>IF('Marks Entry'!BD162="","",'Marks Entry'!BD162)</f>
        <v/>
      </c>
      <c r="EM162" s="74" t="str">
        <f>IF('Marks Entry'!BE162="","",'Marks Entry'!BE162)</f>
        <v/>
      </c>
      <c r="EN162" s="74" t="str">
        <f>IF('Marks Entry'!BF162="","",'Marks Entry'!BF162)</f>
        <v/>
      </c>
      <c r="EO162" s="527" t="str">
        <f t="shared" si="396"/>
        <v/>
      </c>
      <c r="EP162" s="74" t="str">
        <f>IF('Marks Entry'!BG162="","",'Marks Entry'!BG162)</f>
        <v/>
      </c>
      <c r="EQ162" s="74" t="str">
        <f>IF('Marks Entry'!BH162="","",'Marks Entry'!BH162)</f>
        <v/>
      </c>
      <c r="ER162" s="528" t="str">
        <f t="shared" si="397"/>
        <v/>
      </c>
      <c r="ES162" s="529" t="str">
        <f t="shared" si="398"/>
        <v/>
      </c>
      <c r="ET162" s="74" t="str">
        <f>IF('Marks Entry'!BI162="","",'Marks Entry'!BI162)</f>
        <v/>
      </c>
      <c r="EU162" s="74" t="str">
        <f>IF('Marks Entry'!BJ162="","",'Marks Entry'!BJ162)</f>
        <v/>
      </c>
      <c r="EV162" s="528" t="str">
        <f t="shared" si="399"/>
        <v/>
      </c>
      <c r="EW162" s="530" t="str">
        <f t="shared" si="400"/>
        <v/>
      </c>
      <c r="EX162" s="368" t="str">
        <f t="shared" si="450"/>
        <v/>
      </c>
      <c r="EY162" s="65">
        <f t="shared" si="451"/>
        <v>0</v>
      </c>
      <c r="EZ162" s="65">
        <f t="shared" si="452"/>
        <v>0</v>
      </c>
      <c r="FA162" s="66" t="str">
        <f t="shared" si="453"/>
        <v/>
      </c>
      <c r="FB162" s="74" t="str">
        <f>IF('Marks Entry'!BK162="","",'Marks Entry'!BK162)</f>
        <v/>
      </c>
      <c r="FC162" s="74" t="str">
        <f>IF('Marks Entry'!BL162="","",'Marks Entry'!BL162)</f>
        <v/>
      </c>
      <c r="FD162" s="74" t="str">
        <f>IF('Marks Entry'!BM162="","",'Marks Entry'!BM162)</f>
        <v/>
      </c>
      <c r="FE162" s="74" t="str">
        <f>IF('Marks Entry'!BN162="","",'Marks Entry'!BN162)</f>
        <v/>
      </c>
      <c r="FF162" s="74" t="str">
        <f>IF('Marks Entry'!BO162="","",'Marks Entry'!BO162)</f>
        <v/>
      </c>
      <c r="FG162" s="74" t="str">
        <f>IF('Marks Entry'!BP162="","",'Marks Entry'!BP162)</f>
        <v/>
      </c>
      <c r="FH162" s="527" t="str">
        <f t="shared" si="401"/>
        <v/>
      </c>
      <c r="FI162" s="74" t="str">
        <f>IF('Marks Entry'!BQ162="","",'Marks Entry'!BQ162)</f>
        <v/>
      </c>
      <c r="FJ162" s="74" t="str">
        <f>IF('Marks Entry'!BR162="","",'Marks Entry'!BR162)</f>
        <v/>
      </c>
      <c r="FK162" s="528" t="str">
        <f t="shared" si="402"/>
        <v/>
      </c>
      <c r="FL162" s="529" t="str">
        <f t="shared" si="403"/>
        <v/>
      </c>
      <c r="FM162" s="74" t="str">
        <f>IF('Marks Entry'!BS162="","",'Marks Entry'!BS162)</f>
        <v/>
      </c>
      <c r="FN162" s="74" t="str">
        <f>IF('Marks Entry'!BT162="","",'Marks Entry'!BT162)</f>
        <v/>
      </c>
      <c r="FO162" s="528" t="str">
        <f t="shared" si="404"/>
        <v/>
      </c>
      <c r="FP162" s="530" t="str">
        <f t="shared" si="405"/>
        <v/>
      </c>
      <c r="FQ162" s="368" t="str">
        <f t="shared" si="454"/>
        <v/>
      </c>
      <c r="FR162" s="65">
        <f t="shared" si="455"/>
        <v>0</v>
      </c>
      <c r="FS162" s="65">
        <f t="shared" si="456"/>
        <v>0</v>
      </c>
      <c r="FT162" s="66" t="str">
        <f t="shared" si="457"/>
        <v/>
      </c>
      <c r="FU162" s="74" t="str">
        <f>IF('Marks Entry'!BU162="","",'Marks Entry'!BU162)</f>
        <v/>
      </c>
      <c r="FV162" s="74" t="str">
        <f>IF('Marks Entry'!BV162="","",'Marks Entry'!BV162)</f>
        <v/>
      </c>
      <c r="FW162" s="74" t="str">
        <f>IF('Marks Entry'!BW162="","",'Marks Entry'!BW162)</f>
        <v/>
      </c>
      <c r="FX162" s="75" t="str">
        <f t="shared" si="406"/>
        <v/>
      </c>
      <c r="FY162" s="368" t="str">
        <f t="shared" si="458"/>
        <v/>
      </c>
      <c r="FZ162" s="65">
        <f t="shared" si="459"/>
        <v>0</v>
      </c>
      <c r="GA162" s="66">
        <f t="shared" si="460"/>
        <v>0</v>
      </c>
      <c r="GB162" s="66" t="str">
        <f t="shared" si="461"/>
        <v/>
      </c>
      <c r="GC162" s="74" t="str">
        <f>IF('Marks Entry'!BX162="","",'Marks Entry'!BX162)</f>
        <v/>
      </c>
      <c r="GD162" s="74" t="str">
        <f>IF('Marks Entry'!BY162="","",'Marks Entry'!BY162)</f>
        <v/>
      </c>
      <c r="GE162" s="74" t="str">
        <f>IF('Marks Entry'!BZ162="","",'Marks Entry'!BZ162)</f>
        <v/>
      </c>
      <c r="GF162" s="75" t="str">
        <f t="shared" si="462"/>
        <v/>
      </c>
      <c r="GG162" s="368" t="str">
        <f t="shared" si="463"/>
        <v/>
      </c>
      <c r="GH162" s="65">
        <f t="shared" si="464"/>
        <v>0</v>
      </c>
      <c r="GI162" s="66">
        <f t="shared" si="465"/>
        <v>0</v>
      </c>
      <c r="GJ162" s="66" t="str">
        <f t="shared" si="466"/>
        <v/>
      </c>
      <c r="GK162" s="100" t="str">
        <f>IF(AND(F162="",B162=""),"",IF('Student DATA Entry'!M159="","",'Student DATA Entry'!M159))</f>
        <v/>
      </c>
      <c r="GL162" s="101" t="str">
        <f>IF(AND(B162="",F162=""),"",IF('Student DATA Entry'!N159="","",'Student DATA Entry'!N159))</f>
        <v/>
      </c>
      <c r="GM162" s="581" t="str">
        <f t="shared" si="467"/>
        <v/>
      </c>
      <c r="GN162" s="94" t="str">
        <f t="shared" si="468"/>
        <v/>
      </c>
      <c r="GO162" s="94" t="str">
        <f t="shared" si="469"/>
        <v/>
      </c>
      <c r="GP162" s="102" t="str">
        <f t="shared" si="407"/>
        <v/>
      </c>
      <c r="GQ162" s="94" t="str">
        <f t="shared" si="470"/>
        <v/>
      </c>
      <c r="GR162" s="103" t="str">
        <f t="shared" si="471"/>
        <v/>
      </c>
      <c r="GS162" s="102" t="str">
        <f t="shared" si="408"/>
        <v/>
      </c>
      <c r="GT162" s="104" t="str">
        <f t="shared" si="472"/>
        <v/>
      </c>
      <c r="GU162" s="94" t="str">
        <f>IF('Marks Entry'!V162=1,GT162,"")</f>
        <v/>
      </c>
      <c r="GV162" s="94" t="str">
        <f>IF('Marks Entry'!V162=2,GT162,"")</f>
        <v/>
      </c>
      <c r="GW162" s="94" t="str">
        <f>IF('Marks Entry'!V162=3,GT162,"")</f>
        <v/>
      </c>
      <c r="GX162" s="94" t="str">
        <f>IF('Marks Entry'!V162=4,GT162,"")</f>
        <v/>
      </c>
      <c r="GY162" s="94" t="str">
        <f>IF('Marks Entry'!V162=5,GT162,"")</f>
        <v/>
      </c>
      <c r="GZ162" s="94" t="str">
        <f t="shared" si="473"/>
        <v/>
      </c>
      <c r="HA162" s="105" t="str">
        <f t="shared" si="409"/>
        <v/>
      </c>
      <c r="HB162" s="94" t="str">
        <f t="shared" si="474"/>
        <v/>
      </c>
      <c r="HC162" s="94" t="str">
        <f t="shared" si="475"/>
        <v/>
      </c>
      <c r="HD162" s="105" t="str">
        <f t="shared" si="410"/>
        <v/>
      </c>
      <c r="HE162" s="94" t="str">
        <f t="shared" si="476"/>
        <v/>
      </c>
      <c r="HF162" s="94" t="str">
        <f t="shared" si="477"/>
        <v/>
      </c>
      <c r="HG162" s="105" t="str">
        <f t="shared" si="411"/>
        <v/>
      </c>
      <c r="HH162" s="94" t="str">
        <f t="shared" si="478"/>
        <v/>
      </c>
      <c r="HI162" s="94" t="str">
        <f t="shared" si="479"/>
        <v/>
      </c>
      <c r="HJ162" s="105" t="str">
        <f t="shared" si="412"/>
        <v/>
      </c>
      <c r="HK162" s="94" t="str">
        <f t="shared" si="480"/>
        <v/>
      </c>
      <c r="HL162" s="94" t="str">
        <f t="shared" si="481"/>
        <v/>
      </c>
      <c r="HM162" s="105" t="str">
        <f t="shared" si="413"/>
        <v/>
      </c>
      <c r="HN162" s="367" t="str">
        <f t="shared" si="482"/>
        <v xml:space="preserve">      </v>
      </c>
      <c r="HO162" s="418" t="str">
        <f t="shared" si="414"/>
        <v xml:space="preserve">      </v>
      </c>
      <c r="HP162" s="367" t="str">
        <f t="shared" si="483"/>
        <v xml:space="preserve">      </v>
      </c>
      <c r="HQ162" s="107" t="str">
        <f t="shared" si="484"/>
        <v xml:space="preserve">      </v>
      </c>
      <c r="HR162" s="366" t="str">
        <f t="shared" si="485"/>
        <v xml:space="preserve">      </v>
      </c>
      <c r="HS162" s="544" t="str">
        <f t="shared" si="415"/>
        <v/>
      </c>
      <c r="HT162" s="542" t="str">
        <f t="shared" si="486"/>
        <v/>
      </c>
      <c r="HU162" s="541" t="str">
        <f t="shared" si="487"/>
        <v/>
      </c>
      <c r="HV162" s="540" t="str">
        <f t="shared" si="488"/>
        <v/>
      </c>
      <c r="HW162" s="537" t="str">
        <f t="shared" si="489"/>
        <v/>
      </c>
      <c r="HX162" s="539" t="str">
        <f t="shared" si="490"/>
        <v/>
      </c>
      <c r="HY162" s="553" t="str">
        <f>IFERROR(IF(OR(HS162="SUPPLEMENTARY",HS162="RE-EXAM"),'Supp. Result Entry'!AQ160,""),"")</f>
        <v/>
      </c>
      <c r="HZ162" s="538" t="str">
        <f t="shared" si="491"/>
        <v/>
      </c>
      <c r="IA162" s="415" t="str">
        <f t="shared" si="492"/>
        <v/>
      </c>
      <c r="IB162" s="415" t="str">
        <f>IF(AND(HZ162="",IA162=""),"",IF(OR(HS162="SUPPLEMENTARY",HS162="RE-EXAM"),'Supp. Result Entry'!AQ160,HS162))</f>
        <v/>
      </c>
      <c r="IC162" s="87"/>
      <c r="IS162" s="109" t="str">
        <f>IF('Supp. Result Entry'!T160="","",'Supp. Result Entry'!$T$4)</f>
        <v/>
      </c>
      <c r="IT162" s="110" t="str">
        <f>IF('Supp. Result Entry'!W160="","",'Supp. Result Entry'!$W$4)</f>
        <v/>
      </c>
      <c r="IU162" s="110" t="str">
        <f>IF('Supp. Result Entry'!Z160="","",'Supp. Result Entry'!$Z$4)</f>
        <v/>
      </c>
      <c r="IV162" s="110" t="str">
        <f>IF('Supp. Result Entry'!AC160="","",'Supp. Result Entry'!$AC$4)</f>
        <v/>
      </c>
      <c r="IW162" s="110" t="str">
        <f>IF('Supp. Result Entry'!AF160="","",'Supp. Result Entry'!$AF$4)</f>
        <v/>
      </c>
      <c r="IX162" s="110" t="str">
        <f>IF('Supp. Result Entry'!AI160="","",'Supp. Result Entry'!$AI$4)</f>
        <v/>
      </c>
      <c r="IY162" s="110" t="str">
        <f>IF('Supp. Result Entry'!AI160="","",'Supp. Result Entry'!$AL$4)</f>
        <v/>
      </c>
      <c r="IZ162" s="110" t="str">
        <f>IF('Supp. Result Entry'!U160="","",'Supp. Result Entry'!U160)</f>
        <v/>
      </c>
      <c r="JA162" s="110" t="str">
        <f>IF('Supp. Result Entry'!X160="","",'Supp. Result Entry'!X160)</f>
        <v/>
      </c>
      <c r="JB162" s="110" t="str">
        <f>IF('Supp. Result Entry'!AA160="","",'Supp. Result Entry'!AA160)</f>
        <v/>
      </c>
      <c r="JC162" s="110" t="str">
        <f>IF('Supp. Result Entry'!AD160="","",'Supp. Result Entry'!AD160)</f>
        <v/>
      </c>
      <c r="JD162" s="110" t="str">
        <f>IF('Supp. Result Entry'!AG160="","",'Supp. Result Entry'!AG160)</f>
        <v/>
      </c>
      <c r="JE162" s="110" t="str">
        <f>IF('Supp. Result Entry'!AJ160="","",'Supp. Result Entry'!AJ160)</f>
        <v/>
      </c>
      <c r="JF162" s="110" t="str">
        <f>IF('Supp. Result Entry'!AM160="","",'Supp. Result Entry'!AM160)</f>
        <v/>
      </c>
      <c r="JG162" s="110" t="str">
        <f>IF('Supp. Result Entry'!V160="","",'Supp. Result Entry'!V160)</f>
        <v/>
      </c>
      <c r="JH162" s="110" t="str">
        <f>IF('Supp. Result Entry'!Y160="","",'Supp. Result Entry'!Y160)</f>
        <v/>
      </c>
      <c r="JI162" s="110" t="str">
        <f>IF('Supp. Result Entry'!AB160="","",'Supp. Result Entry'!AB160)</f>
        <v/>
      </c>
      <c r="JJ162" s="110" t="str">
        <f>IF('Supp. Result Entry'!AE160="","",'Supp. Result Entry'!AE160)</f>
        <v/>
      </c>
      <c r="JK162" s="110" t="str">
        <f>IF('Supp. Result Entry'!AH160="","",'Supp. Result Entry'!AH160)</f>
        <v/>
      </c>
      <c r="JL162" s="110" t="str">
        <f>IF('Supp. Result Entry'!AK160="","",'Supp. Result Entry'!AK160)</f>
        <v/>
      </c>
      <c r="JM162" s="110" t="str">
        <f>IF('Supp. Result Entry'!AN160="","",'Supp. Result Entry'!AN160)</f>
        <v/>
      </c>
      <c r="JN162" s="110">
        <f>COUNTIF('Supp. Result Entry'!K160:Q160,"S")</f>
        <v>0</v>
      </c>
      <c r="JO162" s="110">
        <f t="shared" si="416"/>
        <v>0</v>
      </c>
      <c r="JP162" s="110">
        <f t="shared" si="493"/>
        <v>0</v>
      </c>
      <c r="JQ162" s="110" t="str">
        <f t="shared" si="417"/>
        <v/>
      </c>
      <c r="JR162" s="110" t="str">
        <f t="shared" si="418"/>
        <v/>
      </c>
      <c r="JS162" s="110" t="str">
        <f t="shared" si="419"/>
        <v/>
      </c>
      <c r="JT162" s="110" t="str">
        <f t="shared" si="420"/>
        <v/>
      </c>
      <c r="JU162" s="110" t="str">
        <f t="shared" si="421"/>
        <v/>
      </c>
      <c r="JV162" s="110" t="str">
        <f t="shared" si="422"/>
        <v/>
      </c>
      <c r="JW162" s="110" t="str">
        <f t="shared" si="423"/>
        <v/>
      </c>
      <c r="JX162" s="110" t="str">
        <f t="shared" si="494"/>
        <v/>
      </c>
      <c r="JY162" s="110" t="str">
        <f t="shared" si="495"/>
        <v/>
      </c>
      <c r="JZ162" s="110" t="str">
        <f t="shared" si="424"/>
        <v/>
      </c>
      <c r="KA162" s="108" t="str">
        <f t="shared" si="496"/>
        <v/>
      </c>
    </row>
    <row r="163" spans="1:287" s="108" customFormat="1" ht="21.95" customHeight="1">
      <c r="A163" s="89">
        <v>157</v>
      </c>
      <c r="B163" s="90" t="str">
        <f>IF('Marks Entry'!B163="","",'Marks Entry'!B163)</f>
        <v/>
      </c>
      <c r="C163" s="94" t="str">
        <f>IF('Marks Entry'!D163="","",'Marks Entry'!D163)</f>
        <v/>
      </c>
      <c r="D163" s="91" t="str">
        <f>IF('Marks Entry'!E163="","",'Marks Entry'!E163)</f>
        <v/>
      </c>
      <c r="E163" s="92" t="str">
        <f>IF('Marks Entry'!F163="","",'Marks Entry'!F163)</f>
        <v/>
      </c>
      <c r="F163" s="93" t="str">
        <f>IF('Marks Entry'!G163="","",'Marks Entry'!G163)</f>
        <v/>
      </c>
      <c r="G163" s="93" t="str">
        <f>IF('Marks Entry'!H163="","",'Marks Entry'!H163)</f>
        <v/>
      </c>
      <c r="H163" s="93" t="str">
        <f>IF('Marks Entry'!I163="","",'Marks Entry'!I163)</f>
        <v/>
      </c>
      <c r="I163" s="94" t="str">
        <f>IF('Marks Entry'!J163="","",'Marks Entry'!J163)</f>
        <v/>
      </c>
      <c r="J163" s="95" t="str">
        <f>IF('Marks Entry'!K163="","",'Marks Entry'!K163)</f>
        <v/>
      </c>
      <c r="K163" s="68" t="str">
        <f>IF('Marks Entry'!L163="","",'Marks Entry'!L163)</f>
        <v/>
      </c>
      <c r="L163" s="68" t="str">
        <f>IF('Marks Entry'!M163="","",'Marks Entry'!M163)</f>
        <v/>
      </c>
      <c r="M163" s="68" t="str">
        <f>IF('Marks Entry'!N163="","",'Marks Entry'!N163)</f>
        <v/>
      </c>
      <c r="N163" s="514" t="str">
        <f t="shared" si="425"/>
        <v/>
      </c>
      <c r="O163" s="68" t="str">
        <f>IF('Marks Entry'!O163="","",'Marks Entry'!O163)</f>
        <v/>
      </c>
      <c r="P163" s="515" t="str">
        <f t="shared" si="426"/>
        <v/>
      </c>
      <c r="Q163" s="68" t="str">
        <f>IF('Marks Entry'!P163="","",'Marks Entry'!P163)</f>
        <v/>
      </c>
      <c r="R163" s="96" t="str">
        <f t="shared" si="427"/>
        <v/>
      </c>
      <c r="S163" s="65">
        <f t="shared" si="428"/>
        <v>0</v>
      </c>
      <c r="T163" s="65">
        <f t="shared" si="429"/>
        <v>0</v>
      </c>
      <c r="U163" s="66" t="str">
        <f t="shared" si="339"/>
        <v/>
      </c>
      <c r="V163" s="65" t="str">
        <f t="shared" si="340"/>
        <v/>
      </c>
      <c r="W163" s="65" t="str">
        <f t="shared" si="430"/>
        <v/>
      </c>
      <c r="X163" s="65" t="str">
        <f t="shared" si="341"/>
        <v/>
      </c>
      <c r="Y163" s="68" t="str">
        <f>IF('Marks Entry'!Q163="","",'Marks Entry'!Q163)</f>
        <v/>
      </c>
      <c r="Z163" s="68" t="str">
        <f>IF('Marks Entry'!R163="","",'Marks Entry'!R163)</f>
        <v/>
      </c>
      <c r="AA163" s="68" t="str">
        <f>IF('Marks Entry'!S163="","",'Marks Entry'!S163)</f>
        <v/>
      </c>
      <c r="AB163" s="514" t="str">
        <f t="shared" si="342"/>
        <v/>
      </c>
      <c r="AC163" s="68" t="str">
        <f>IF('Marks Entry'!T163="","",'Marks Entry'!T163)</f>
        <v/>
      </c>
      <c r="AD163" s="515" t="str">
        <f t="shared" si="343"/>
        <v/>
      </c>
      <c r="AE163" s="68" t="str">
        <f>IF('Marks Entry'!U163="","",'Marks Entry'!U163)</f>
        <v/>
      </c>
      <c r="AF163" s="96" t="str">
        <f t="shared" si="344"/>
        <v/>
      </c>
      <c r="AG163" s="65">
        <f t="shared" si="345"/>
        <v>0</v>
      </c>
      <c r="AH163" s="65">
        <f t="shared" si="346"/>
        <v>0</v>
      </c>
      <c r="AI163" s="66" t="str">
        <f t="shared" si="347"/>
        <v/>
      </c>
      <c r="AJ163" s="65" t="str">
        <f t="shared" si="348"/>
        <v/>
      </c>
      <c r="AK163" s="65" t="str">
        <f t="shared" si="349"/>
        <v/>
      </c>
      <c r="AL163" s="65" t="str">
        <f t="shared" si="350"/>
        <v/>
      </c>
      <c r="AM163" s="524" t="str">
        <f>IF('Marks Entry'!V163="","",IF('Marks Entry'!V163=1,'School Profile'!$I$9,IF('Marks Entry'!V163=2,'School Profile'!$I$10,IF('Marks Entry'!V163=3,'School Profile'!$I$11,IF('Marks Entry'!V163=4,'School Profile'!$I$12,IF('Marks Entry'!V163=5,'School Profile'!$I$13,IF('Marks Entry'!V163=6,'School Profile'!$I$14,"")))))))</f>
        <v/>
      </c>
      <c r="AN163" s="68" t="str">
        <f>IF('Marks Entry'!W163="","",'Marks Entry'!W163)</f>
        <v/>
      </c>
      <c r="AO163" s="68" t="str">
        <f>IF('Marks Entry'!X163="","",'Marks Entry'!X163)</f>
        <v/>
      </c>
      <c r="AP163" s="68" t="str">
        <f>IF('Marks Entry'!Y163="","",'Marks Entry'!Y163)</f>
        <v/>
      </c>
      <c r="AQ163" s="514" t="str">
        <f t="shared" si="351"/>
        <v/>
      </c>
      <c r="AR163" s="68" t="str">
        <f>IF('Marks Entry'!Z163="","",'Marks Entry'!Z163)</f>
        <v/>
      </c>
      <c r="AS163" s="515" t="str">
        <f t="shared" si="352"/>
        <v/>
      </c>
      <c r="AT163" s="68" t="str">
        <f>IF('Marks Entry'!AA163="","",'Marks Entry'!AA163)</f>
        <v/>
      </c>
      <c r="AU163" s="96" t="str">
        <f t="shared" si="353"/>
        <v/>
      </c>
      <c r="AV163" s="65">
        <f t="shared" si="354"/>
        <v>0</v>
      </c>
      <c r="AW163" s="65">
        <f t="shared" si="355"/>
        <v>0</v>
      </c>
      <c r="AX163" s="66" t="str">
        <f t="shared" si="356"/>
        <v/>
      </c>
      <c r="AY163" s="65" t="str">
        <f t="shared" si="357"/>
        <v/>
      </c>
      <c r="AZ163" s="65" t="str">
        <f t="shared" si="358"/>
        <v/>
      </c>
      <c r="BA163" s="65" t="str">
        <f t="shared" si="359"/>
        <v/>
      </c>
      <c r="BB163" s="68" t="str">
        <f>IF('Marks Entry'!AB163="","",'Marks Entry'!AB163)</f>
        <v/>
      </c>
      <c r="BC163" s="68" t="str">
        <f>IF('Marks Entry'!AC163="","",'Marks Entry'!AC163)</f>
        <v/>
      </c>
      <c r="BD163" s="68" t="str">
        <f>IF('Marks Entry'!AD163="","",'Marks Entry'!AD163)</f>
        <v/>
      </c>
      <c r="BE163" s="514" t="str">
        <f t="shared" si="360"/>
        <v/>
      </c>
      <c r="BF163" s="68" t="str">
        <f>IF('Marks Entry'!AE163="","",'Marks Entry'!AE163)</f>
        <v/>
      </c>
      <c r="BG163" s="515" t="str">
        <f t="shared" si="361"/>
        <v/>
      </c>
      <c r="BH163" s="68" t="str">
        <f>IF('Marks Entry'!AF163="","",'Marks Entry'!AF163)</f>
        <v/>
      </c>
      <c r="BI163" s="96" t="str">
        <f t="shared" si="362"/>
        <v/>
      </c>
      <c r="BJ163" s="65">
        <f t="shared" si="363"/>
        <v>0</v>
      </c>
      <c r="BK163" s="65">
        <f t="shared" si="431"/>
        <v>0</v>
      </c>
      <c r="BL163" s="66" t="str">
        <f t="shared" si="364"/>
        <v/>
      </c>
      <c r="BM163" s="65" t="str">
        <f t="shared" si="365"/>
        <v/>
      </c>
      <c r="BN163" s="65" t="str">
        <f t="shared" si="366"/>
        <v/>
      </c>
      <c r="BO163" s="65" t="str">
        <f t="shared" si="367"/>
        <v/>
      </c>
      <c r="BP163" s="68" t="str">
        <f>IF('Marks Entry'!AG163="","",'Marks Entry'!AG163)</f>
        <v/>
      </c>
      <c r="BQ163" s="68" t="str">
        <f>IF('Marks Entry'!AH163="","",'Marks Entry'!AH163)</f>
        <v/>
      </c>
      <c r="BR163" s="68" t="str">
        <f>IF('Marks Entry'!AI163="","",'Marks Entry'!AI163)</f>
        <v/>
      </c>
      <c r="BS163" s="514" t="str">
        <f t="shared" si="368"/>
        <v/>
      </c>
      <c r="BT163" s="68" t="str">
        <f>IF('Marks Entry'!AJ163="","",'Marks Entry'!AJ163)</f>
        <v/>
      </c>
      <c r="BU163" s="515" t="str">
        <f t="shared" si="369"/>
        <v/>
      </c>
      <c r="BV163" s="68" t="str">
        <f>IF('Marks Entry'!AK163="","",'Marks Entry'!AK163)</f>
        <v/>
      </c>
      <c r="BW163" s="96" t="str">
        <f t="shared" si="370"/>
        <v/>
      </c>
      <c r="BX163" s="65">
        <f t="shared" si="371"/>
        <v>0</v>
      </c>
      <c r="BY163" s="65">
        <f t="shared" si="372"/>
        <v>0</v>
      </c>
      <c r="BZ163" s="66" t="str">
        <f t="shared" si="373"/>
        <v/>
      </c>
      <c r="CA163" s="65" t="str">
        <f t="shared" si="374"/>
        <v/>
      </c>
      <c r="CB163" s="65" t="str">
        <f t="shared" si="375"/>
        <v/>
      </c>
      <c r="CC163" s="65" t="str">
        <f t="shared" si="376"/>
        <v/>
      </c>
      <c r="CD163" s="66">
        <f t="shared" si="377"/>
        <v>0</v>
      </c>
      <c r="CE163" s="68" t="str">
        <f>IF('Marks Entry'!AL163="","",'Marks Entry'!AL163)</f>
        <v/>
      </c>
      <c r="CF163" s="68" t="str">
        <f>IF('Marks Entry'!AM163="","",'Marks Entry'!AM163)</f>
        <v/>
      </c>
      <c r="CG163" s="68" t="str">
        <f>IF('Marks Entry'!AN163="","",'Marks Entry'!AN163)</f>
        <v/>
      </c>
      <c r="CH163" s="514" t="str">
        <f t="shared" si="378"/>
        <v/>
      </c>
      <c r="CI163" s="68" t="str">
        <f>IF('Marks Entry'!AO163="","",'Marks Entry'!AO163)</f>
        <v/>
      </c>
      <c r="CJ163" s="515" t="str">
        <f t="shared" si="379"/>
        <v/>
      </c>
      <c r="CK163" s="68" t="str">
        <f>IF('Marks Entry'!AP163="","",'Marks Entry'!AP163)</f>
        <v/>
      </c>
      <c r="CL163" s="96" t="str">
        <f t="shared" si="380"/>
        <v/>
      </c>
      <c r="CM163" s="65">
        <f t="shared" si="381"/>
        <v>0</v>
      </c>
      <c r="CN163" s="65">
        <f t="shared" si="382"/>
        <v>0</v>
      </c>
      <c r="CO163" s="66" t="str">
        <f t="shared" si="383"/>
        <v/>
      </c>
      <c r="CP163" s="65" t="str">
        <f t="shared" si="384"/>
        <v/>
      </c>
      <c r="CQ163" s="65" t="str">
        <f t="shared" si="385"/>
        <v/>
      </c>
      <c r="CR163" s="65" t="str">
        <f t="shared" si="386"/>
        <v/>
      </c>
      <c r="CS163" s="616"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8" t="str">
        <f>IF('School Profile'!$D$20="NO","",IF('Marks Entry'!AR163="","",'Marks Entry'!AR163))</f>
        <v/>
      </c>
      <c r="CU163" s="68" t="str">
        <f>IF('School Profile'!$D$20="NO","",IF('Marks Entry'!AS163="","",'Marks Entry'!AS163))</f>
        <v/>
      </c>
      <c r="CV163" s="68" t="str">
        <f>IF('School Profile'!$D$20="NO","",IF('Marks Entry'!AT163="","",'Marks Entry'!AT163))</f>
        <v/>
      </c>
      <c r="CW163" s="514" t="str">
        <f>IF('School Profile'!$D$20="NO","",IF(AND(CT163="",CU163="",CV163=""),"",SUM(CT163:CV163)))</f>
        <v/>
      </c>
      <c r="CX163" s="68" t="str">
        <f>IF('School Profile'!$D$20="NO","",IF('Marks Entry'!AU163="","",'Marks Entry'!AU163))</f>
        <v/>
      </c>
      <c r="CY163" s="68" t="str">
        <f>IF('School Profile'!$D$20="NO","",IF('Marks Entry'!AV163="","",'Marks Entry'!AV163))</f>
        <v/>
      </c>
      <c r="CZ163" s="515" t="str">
        <f>IF('School Profile'!$D$20="NO","",IF(AND(CX163="",CY163=""),"",SUM(CX163,CY163)))</f>
        <v/>
      </c>
      <c r="DA163" s="69" t="str">
        <f>IF('School Profile'!$D$20="NO","",IF(AND(CW163="",CZ163=""),"",SUM(CW163+CZ163)))</f>
        <v/>
      </c>
      <c r="DB163" s="68" t="str">
        <f>IF('School Profile'!$D$20="NO","",IF('Marks Entry'!AW163="","",'Marks Entry'!AW163))</f>
        <v/>
      </c>
      <c r="DC163" s="68" t="str">
        <f>IF('School Profile'!$D$20="NO","",IF('Marks Entry'!AX163="","",'Marks Entry'!AX163))</f>
        <v/>
      </c>
      <c r="DD163" s="515" t="str">
        <f>IF('School Profile'!$D$20="NO","",IF(AND(DB163="",DC163=""),"",SUM(DB163,DC163)))</f>
        <v/>
      </c>
      <c r="DE163" s="96" t="str">
        <f>IF('School Profile'!$D$20="NO","",IF(AND(DA163="",DD163=""),"",SUM(DA163,DD163)))</f>
        <v/>
      </c>
      <c r="DF163" s="532">
        <f t="shared" si="387"/>
        <v>0</v>
      </c>
      <c r="DG163" s="65">
        <f t="shared" si="388"/>
        <v>0</v>
      </c>
      <c r="DH163" s="66" t="str">
        <f t="shared" si="389"/>
        <v/>
      </c>
      <c r="DI163" s="65" t="str">
        <f t="shared" si="390"/>
        <v/>
      </c>
      <c r="DJ163" s="65" t="str">
        <f t="shared" si="391"/>
        <v/>
      </c>
      <c r="DK163" s="65" t="str">
        <f t="shared" si="392"/>
        <v/>
      </c>
      <c r="DL163" s="97" t="str">
        <f t="shared" si="432"/>
        <v/>
      </c>
      <c r="DM163" s="97" t="str">
        <f t="shared" si="433"/>
        <v/>
      </c>
      <c r="DN163" s="97" t="str">
        <f t="shared" si="434"/>
        <v/>
      </c>
      <c r="DO163" s="97" t="str">
        <f t="shared" si="435"/>
        <v/>
      </c>
      <c r="DP163" s="97" t="str">
        <f t="shared" si="436"/>
        <v/>
      </c>
      <c r="DQ163" s="97" t="str">
        <f t="shared" si="437"/>
        <v/>
      </c>
      <c r="DR163" s="97" t="str">
        <f t="shared" si="438"/>
        <v/>
      </c>
      <c r="DS163" s="98">
        <f t="shared" si="439"/>
        <v>0</v>
      </c>
      <c r="DT163" s="98">
        <f t="shared" si="440"/>
        <v>0</v>
      </c>
      <c r="DU163" s="98">
        <f t="shared" si="441"/>
        <v>0</v>
      </c>
      <c r="DV163" s="98">
        <f t="shared" si="442"/>
        <v>0</v>
      </c>
      <c r="DW163" s="98">
        <f t="shared" si="443"/>
        <v>0</v>
      </c>
      <c r="DX163" s="98" t="str">
        <f t="shared" si="444"/>
        <v/>
      </c>
      <c r="DY163" s="99" t="str">
        <f t="shared" si="445"/>
        <v/>
      </c>
      <c r="DZ163" s="74" t="str">
        <f>IF('Marks Entry'!AY163="","",'Marks Entry'!AY163)</f>
        <v/>
      </c>
      <c r="EA163" s="74" t="str">
        <f>IF('Marks Entry'!AZ163="","",'Marks Entry'!AZ163)</f>
        <v/>
      </c>
      <c r="EB163" s="74" t="str">
        <f>IF('Marks Entry'!BA163="","",'Marks Entry'!BA163)</f>
        <v/>
      </c>
      <c r="EC163" s="527" t="str">
        <f t="shared" si="393"/>
        <v/>
      </c>
      <c r="ED163" s="74" t="str">
        <f>IF('Marks Entry'!BB163="","",'Marks Entry'!BB163)</f>
        <v/>
      </c>
      <c r="EE163" s="528" t="str">
        <f t="shared" si="394"/>
        <v/>
      </c>
      <c r="EF163" s="74" t="str">
        <f>IF('Marks Entry'!BC163="","",'Marks Entry'!BC163)</f>
        <v/>
      </c>
      <c r="EG163" s="530" t="str">
        <f t="shared" si="395"/>
        <v/>
      </c>
      <c r="EH163" s="368" t="str">
        <f t="shared" si="446"/>
        <v/>
      </c>
      <c r="EI163" s="65">
        <f t="shared" si="447"/>
        <v>0</v>
      </c>
      <c r="EJ163" s="65">
        <f t="shared" si="448"/>
        <v>0</v>
      </c>
      <c r="EK163" s="66" t="str">
        <f t="shared" si="449"/>
        <v/>
      </c>
      <c r="EL163" s="74" t="str">
        <f>IF('Marks Entry'!BD163="","",'Marks Entry'!BD163)</f>
        <v/>
      </c>
      <c r="EM163" s="74" t="str">
        <f>IF('Marks Entry'!BE163="","",'Marks Entry'!BE163)</f>
        <v/>
      </c>
      <c r="EN163" s="74" t="str">
        <f>IF('Marks Entry'!BF163="","",'Marks Entry'!BF163)</f>
        <v/>
      </c>
      <c r="EO163" s="527" t="str">
        <f t="shared" si="396"/>
        <v/>
      </c>
      <c r="EP163" s="74" t="str">
        <f>IF('Marks Entry'!BG163="","",'Marks Entry'!BG163)</f>
        <v/>
      </c>
      <c r="EQ163" s="74" t="str">
        <f>IF('Marks Entry'!BH163="","",'Marks Entry'!BH163)</f>
        <v/>
      </c>
      <c r="ER163" s="528" t="str">
        <f t="shared" si="397"/>
        <v/>
      </c>
      <c r="ES163" s="529" t="str">
        <f t="shared" si="398"/>
        <v/>
      </c>
      <c r="ET163" s="74" t="str">
        <f>IF('Marks Entry'!BI163="","",'Marks Entry'!BI163)</f>
        <v/>
      </c>
      <c r="EU163" s="74" t="str">
        <f>IF('Marks Entry'!BJ163="","",'Marks Entry'!BJ163)</f>
        <v/>
      </c>
      <c r="EV163" s="528" t="str">
        <f t="shared" si="399"/>
        <v/>
      </c>
      <c r="EW163" s="530" t="str">
        <f t="shared" si="400"/>
        <v/>
      </c>
      <c r="EX163" s="368" t="str">
        <f t="shared" si="450"/>
        <v/>
      </c>
      <c r="EY163" s="65">
        <f t="shared" si="451"/>
        <v>0</v>
      </c>
      <c r="EZ163" s="65">
        <f t="shared" si="452"/>
        <v>0</v>
      </c>
      <c r="FA163" s="66" t="str">
        <f t="shared" si="453"/>
        <v/>
      </c>
      <c r="FB163" s="74" t="str">
        <f>IF('Marks Entry'!BK163="","",'Marks Entry'!BK163)</f>
        <v/>
      </c>
      <c r="FC163" s="74" t="str">
        <f>IF('Marks Entry'!BL163="","",'Marks Entry'!BL163)</f>
        <v/>
      </c>
      <c r="FD163" s="74" t="str">
        <f>IF('Marks Entry'!BM163="","",'Marks Entry'!BM163)</f>
        <v/>
      </c>
      <c r="FE163" s="74" t="str">
        <f>IF('Marks Entry'!BN163="","",'Marks Entry'!BN163)</f>
        <v/>
      </c>
      <c r="FF163" s="74" t="str">
        <f>IF('Marks Entry'!BO163="","",'Marks Entry'!BO163)</f>
        <v/>
      </c>
      <c r="FG163" s="74" t="str">
        <f>IF('Marks Entry'!BP163="","",'Marks Entry'!BP163)</f>
        <v/>
      </c>
      <c r="FH163" s="527" t="str">
        <f t="shared" si="401"/>
        <v/>
      </c>
      <c r="FI163" s="74" t="str">
        <f>IF('Marks Entry'!BQ163="","",'Marks Entry'!BQ163)</f>
        <v/>
      </c>
      <c r="FJ163" s="74" t="str">
        <f>IF('Marks Entry'!BR163="","",'Marks Entry'!BR163)</f>
        <v/>
      </c>
      <c r="FK163" s="528" t="str">
        <f t="shared" si="402"/>
        <v/>
      </c>
      <c r="FL163" s="529" t="str">
        <f t="shared" si="403"/>
        <v/>
      </c>
      <c r="FM163" s="74" t="str">
        <f>IF('Marks Entry'!BS163="","",'Marks Entry'!BS163)</f>
        <v/>
      </c>
      <c r="FN163" s="74" t="str">
        <f>IF('Marks Entry'!BT163="","",'Marks Entry'!BT163)</f>
        <v/>
      </c>
      <c r="FO163" s="528" t="str">
        <f t="shared" si="404"/>
        <v/>
      </c>
      <c r="FP163" s="530" t="str">
        <f t="shared" si="405"/>
        <v/>
      </c>
      <c r="FQ163" s="368" t="str">
        <f t="shared" si="454"/>
        <v/>
      </c>
      <c r="FR163" s="65">
        <f t="shared" si="455"/>
        <v>0</v>
      </c>
      <c r="FS163" s="65">
        <f t="shared" si="456"/>
        <v>0</v>
      </c>
      <c r="FT163" s="66" t="str">
        <f t="shared" si="457"/>
        <v/>
      </c>
      <c r="FU163" s="74" t="str">
        <f>IF('Marks Entry'!BU163="","",'Marks Entry'!BU163)</f>
        <v/>
      </c>
      <c r="FV163" s="74" t="str">
        <f>IF('Marks Entry'!BV163="","",'Marks Entry'!BV163)</f>
        <v/>
      </c>
      <c r="FW163" s="74" t="str">
        <f>IF('Marks Entry'!BW163="","",'Marks Entry'!BW163)</f>
        <v/>
      </c>
      <c r="FX163" s="75" t="str">
        <f t="shared" si="406"/>
        <v/>
      </c>
      <c r="FY163" s="368" t="str">
        <f t="shared" si="458"/>
        <v/>
      </c>
      <c r="FZ163" s="65">
        <f t="shared" si="459"/>
        <v>0</v>
      </c>
      <c r="GA163" s="66">
        <f t="shared" si="460"/>
        <v>0</v>
      </c>
      <c r="GB163" s="66" t="str">
        <f t="shared" si="461"/>
        <v/>
      </c>
      <c r="GC163" s="74" t="str">
        <f>IF('Marks Entry'!BX163="","",'Marks Entry'!BX163)</f>
        <v/>
      </c>
      <c r="GD163" s="74" t="str">
        <f>IF('Marks Entry'!BY163="","",'Marks Entry'!BY163)</f>
        <v/>
      </c>
      <c r="GE163" s="74" t="str">
        <f>IF('Marks Entry'!BZ163="","",'Marks Entry'!BZ163)</f>
        <v/>
      </c>
      <c r="GF163" s="75" t="str">
        <f t="shared" si="462"/>
        <v/>
      </c>
      <c r="GG163" s="368" t="str">
        <f t="shared" si="463"/>
        <v/>
      </c>
      <c r="GH163" s="65">
        <f t="shared" si="464"/>
        <v>0</v>
      </c>
      <c r="GI163" s="66">
        <f t="shared" si="465"/>
        <v>0</v>
      </c>
      <c r="GJ163" s="66" t="str">
        <f t="shared" si="466"/>
        <v/>
      </c>
      <c r="GK163" s="100" t="str">
        <f>IF(AND(F163="",B163=""),"",IF('Student DATA Entry'!M160="","",'Student DATA Entry'!M160))</f>
        <v/>
      </c>
      <c r="GL163" s="101" t="str">
        <f>IF(AND(B163="",F163=""),"",IF('Student DATA Entry'!N160="","",'Student DATA Entry'!N160))</f>
        <v/>
      </c>
      <c r="GM163" s="581" t="str">
        <f t="shared" si="467"/>
        <v/>
      </c>
      <c r="GN163" s="94" t="str">
        <f t="shared" si="468"/>
        <v/>
      </c>
      <c r="GO163" s="94" t="str">
        <f t="shared" si="469"/>
        <v/>
      </c>
      <c r="GP163" s="102" t="str">
        <f t="shared" si="407"/>
        <v/>
      </c>
      <c r="GQ163" s="94" t="str">
        <f t="shared" si="470"/>
        <v/>
      </c>
      <c r="GR163" s="103" t="str">
        <f t="shared" si="471"/>
        <v/>
      </c>
      <c r="GS163" s="102" t="str">
        <f t="shared" si="408"/>
        <v/>
      </c>
      <c r="GT163" s="104" t="str">
        <f t="shared" si="472"/>
        <v/>
      </c>
      <c r="GU163" s="94" t="str">
        <f>IF('Marks Entry'!V163=1,GT163,"")</f>
        <v/>
      </c>
      <c r="GV163" s="94" t="str">
        <f>IF('Marks Entry'!V163=2,GT163,"")</f>
        <v/>
      </c>
      <c r="GW163" s="94" t="str">
        <f>IF('Marks Entry'!V163=3,GT163,"")</f>
        <v/>
      </c>
      <c r="GX163" s="94" t="str">
        <f>IF('Marks Entry'!V163=4,GT163,"")</f>
        <v/>
      </c>
      <c r="GY163" s="94" t="str">
        <f>IF('Marks Entry'!V163=5,GT163,"")</f>
        <v/>
      </c>
      <c r="GZ163" s="94" t="str">
        <f t="shared" si="473"/>
        <v/>
      </c>
      <c r="HA163" s="105" t="str">
        <f t="shared" si="409"/>
        <v/>
      </c>
      <c r="HB163" s="94" t="str">
        <f t="shared" si="474"/>
        <v/>
      </c>
      <c r="HC163" s="94" t="str">
        <f t="shared" si="475"/>
        <v/>
      </c>
      <c r="HD163" s="105" t="str">
        <f t="shared" si="410"/>
        <v/>
      </c>
      <c r="HE163" s="94" t="str">
        <f t="shared" si="476"/>
        <v/>
      </c>
      <c r="HF163" s="94" t="str">
        <f t="shared" si="477"/>
        <v/>
      </c>
      <c r="HG163" s="105" t="str">
        <f t="shared" si="411"/>
        <v/>
      </c>
      <c r="HH163" s="94" t="str">
        <f t="shared" si="478"/>
        <v/>
      </c>
      <c r="HI163" s="94" t="str">
        <f t="shared" si="479"/>
        <v/>
      </c>
      <c r="HJ163" s="105" t="str">
        <f t="shared" si="412"/>
        <v/>
      </c>
      <c r="HK163" s="94" t="str">
        <f t="shared" si="480"/>
        <v/>
      </c>
      <c r="HL163" s="94" t="str">
        <f t="shared" si="481"/>
        <v/>
      </c>
      <c r="HM163" s="105" t="str">
        <f t="shared" si="413"/>
        <v/>
      </c>
      <c r="HN163" s="367" t="str">
        <f t="shared" si="482"/>
        <v xml:space="preserve">      </v>
      </c>
      <c r="HO163" s="418" t="str">
        <f t="shared" si="414"/>
        <v xml:space="preserve">      </v>
      </c>
      <c r="HP163" s="367" t="str">
        <f t="shared" si="483"/>
        <v xml:space="preserve">      </v>
      </c>
      <c r="HQ163" s="107" t="str">
        <f t="shared" si="484"/>
        <v xml:space="preserve">      </v>
      </c>
      <c r="HR163" s="366" t="str">
        <f t="shared" si="485"/>
        <v xml:space="preserve">      </v>
      </c>
      <c r="HS163" s="544" t="str">
        <f t="shared" si="415"/>
        <v/>
      </c>
      <c r="HT163" s="542" t="str">
        <f t="shared" si="486"/>
        <v/>
      </c>
      <c r="HU163" s="541" t="str">
        <f t="shared" si="487"/>
        <v/>
      </c>
      <c r="HV163" s="540" t="str">
        <f t="shared" si="488"/>
        <v/>
      </c>
      <c r="HW163" s="537" t="str">
        <f t="shared" si="489"/>
        <v/>
      </c>
      <c r="HX163" s="539" t="str">
        <f t="shared" si="490"/>
        <v/>
      </c>
      <c r="HY163" s="553" t="str">
        <f>IFERROR(IF(OR(HS163="SUPPLEMENTARY",HS163="RE-EXAM"),'Supp. Result Entry'!AQ161,""),"")</f>
        <v/>
      </c>
      <c r="HZ163" s="538" t="str">
        <f t="shared" si="491"/>
        <v/>
      </c>
      <c r="IA163" s="415" t="str">
        <f t="shared" si="492"/>
        <v/>
      </c>
      <c r="IB163" s="415" t="str">
        <f>IF(AND(HZ163="",IA163=""),"",IF(OR(HS163="SUPPLEMENTARY",HS163="RE-EXAM"),'Supp. Result Entry'!AQ161,HS163))</f>
        <v/>
      </c>
      <c r="IC163" s="87"/>
      <c r="IS163" s="109" t="str">
        <f>IF('Supp. Result Entry'!T161="","",'Supp. Result Entry'!$T$4)</f>
        <v/>
      </c>
      <c r="IT163" s="110" t="str">
        <f>IF('Supp. Result Entry'!W161="","",'Supp. Result Entry'!$W$4)</f>
        <v/>
      </c>
      <c r="IU163" s="110" t="str">
        <f>IF('Supp. Result Entry'!Z161="","",'Supp. Result Entry'!$Z$4)</f>
        <v/>
      </c>
      <c r="IV163" s="110" t="str">
        <f>IF('Supp. Result Entry'!AC161="","",'Supp. Result Entry'!$AC$4)</f>
        <v/>
      </c>
      <c r="IW163" s="110" t="str">
        <f>IF('Supp. Result Entry'!AF161="","",'Supp. Result Entry'!$AF$4)</f>
        <v/>
      </c>
      <c r="IX163" s="110" t="str">
        <f>IF('Supp. Result Entry'!AI161="","",'Supp. Result Entry'!$AI$4)</f>
        <v/>
      </c>
      <c r="IY163" s="110" t="str">
        <f>IF('Supp. Result Entry'!AI161="","",'Supp. Result Entry'!$AL$4)</f>
        <v/>
      </c>
      <c r="IZ163" s="110" t="str">
        <f>IF('Supp. Result Entry'!U161="","",'Supp. Result Entry'!U161)</f>
        <v/>
      </c>
      <c r="JA163" s="110" t="str">
        <f>IF('Supp. Result Entry'!X161="","",'Supp. Result Entry'!X161)</f>
        <v/>
      </c>
      <c r="JB163" s="110" t="str">
        <f>IF('Supp. Result Entry'!AA161="","",'Supp. Result Entry'!AA161)</f>
        <v/>
      </c>
      <c r="JC163" s="110" t="str">
        <f>IF('Supp. Result Entry'!AD161="","",'Supp. Result Entry'!AD161)</f>
        <v/>
      </c>
      <c r="JD163" s="110" t="str">
        <f>IF('Supp. Result Entry'!AG161="","",'Supp. Result Entry'!AG161)</f>
        <v/>
      </c>
      <c r="JE163" s="110" t="str">
        <f>IF('Supp. Result Entry'!AJ161="","",'Supp. Result Entry'!AJ161)</f>
        <v/>
      </c>
      <c r="JF163" s="110" t="str">
        <f>IF('Supp. Result Entry'!AM161="","",'Supp. Result Entry'!AM161)</f>
        <v/>
      </c>
      <c r="JG163" s="110" t="str">
        <f>IF('Supp. Result Entry'!V161="","",'Supp. Result Entry'!V161)</f>
        <v/>
      </c>
      <c r="JH163" s="110" t="str">
        <f>IF('Supp. Result Entry'!Y161="","",'Supp. Result Entry'!Y161)</f>
        <v/>
      </c>
      <c r="JI163" s="110" t="str">
        <f>IF('Supp. Result Entry'!AB161="","",'Supp. Result Entry'!AB161)</f>
        <v/>
      </c>
      <c r="JJ163" s="110" t="str">
        <f>IF('Supp. Result Entry'!AE161="","",'Supp. Result Entry'!AE161)</f>
        <v/>
      </c>
      <c r="JK163" s="110" t="str">
        <f>IF('Supp. Result Entry'!AH161="","",'Supp. Result Entry'!AH161)</f>
        <v/>
      </c>
      <c r="JL163" s="110" t="str">
        <f>IF('Supp. Result Entry'!AK161="","",'Supp. Result Entry'!AK161)</f>
        <v/>
      </c>
      <c r="JM163" s="110" t="str">
        <f>IF('Supp. Result Entry'!AN161="","",'Supp. Result Entry'!AN161)</f>
        <v/>
      </c>
      <c r="JN163" s="110">
        <f>COUNTIF('Supp. Result Entry'!K161:Q161,"S")</f>
        <v>0</v>
      </c>
      <c r="JO163" s="110">
        <f t="shared" si="416"/>
        <v>0</v>
      </c>
      <c r="JP163" s="110">
        <f t="shared" si="493"/>
        <v>0</v>
      </c>
      <c r="JQ163" s="110" t="str">
        <f t="shared" si="417"/>
        <v/>
      </c>
      <c r="JR163" s="110" t="str">
        <f t="shared" si="418"/>
        <v/>
      </c>
      <c r="JS163" s="110" t="str">
        <f t="shared" si="419"/>
        <v/>
      </c>
      <c r="JT163" s="110" t="str">
        <f t="shared" si="420"/>
        <v/>
      </c>
      <c r="JU163" s="110" t="str">
        <f t="shared" si="421"/>
        <v/>
      </c>
      <c r="JV163" s="110" t="str">
        <f t="shared" si="422"/>
        <v/>
      </c>
      <c r="JW163" s="110" t="str">
        <f t="shared" si="423"/>
        <v/>
      </c>
      <c r="JX163" s="110" t="str">
        <f t="shared" si="494"/>
        <v/>
      </c>
      <c r="JY163" s="110" t="str">
        <f t="shared" si="495"/>
        <v/>
      </c>
      <c r="JZ163" s="110" t="str">
        <f t="shared" si="424"/>
        <v/>
      </c>
      <c r="KA163" s="108" t="str">
        <f t="shared" si="496"/>
        <v/>
      </c>
    </row>
    <row r="164" spans="1:287" s="108" customFormat="1" ht="21.95" customHeight="1">
      <c r="A164" s="89">
        <v>158</v>
      </c>
      <c r="B164" s="90" t="str">
        <f>IF('Marks Entry'!B164="","",'Marks Entry'!B164)</f>
        <v/>
      </c>
      <c r="C164" s="94" t="str">
        <f>IF('Marks Entry'!D164="","",'Marks Entry'!D164)</f>
        <v/>
      </c>
      <c r="D164" s="91" t="str">
        <f>IF('Marks Entry'!E164="","",'Marks Entry'!E164)</f>
        <v/>
      </c>
      <c r="E164" s="92" t="str">
        <f>IF('Marks Entry'!F164="","",'Marks Entry'!F164)</f>
        <v/>
      </c>
      <c r="F164" s="93" t="str">
        <f>IF('Marks Entry'!G164="","",'Marks Entry'!G164)</f>
        <v/>
      </c>
      <c r="G164" s="93" t="str">
        <f>IF('Marks Entry'!H164="","",'Marks Entry'!H164)</f>
        <v/>
      </c>
      <c r="H164" s="93" t="str">
        <f>IF('Marks Entry'!I164="","",'Marks Entry'!I164)</f>
        <v/>
      </c>
      <c r="I164" s="94" t="str">
        <f>IF('Marks Entry'!J164="","",'Marks Entry'!J164)</f>
        <v/>
      </c>
      <c r="J164" s="95" t="str">
        <f>IF('Marks Entry'!K164="","",'Marks Entry'!K164)</f>
        <v/>
      </c>
      <c r="K164" s="68" t="str">
        <f>IF('Marks Entry'!L164="","",'Marks Entry'!L164)</f>
        <v/>
      </c>
      <c r="L164" s="68" t="str">
        <f>IF('Marks Entry'!M164="","",'Marks Entry'!M164)</f>
        <v/>
      </c>
      <c r="M164" s="68" t="str">
        <f>IF('Marks Entry'!N164="","",'Marks Entry'!N164)</f>
        <v/>
      </c>
      <c r="N164" s="514" t="str">
        <f t="shared" si="425"/>
        <v/>
      </c>
      <c r="O164" s="68" t="str">
        <f>IF('Marks Entry'!O164="","",'Marks Entry'!O164)</f>
        <v/>
      </c>
      <c r="P164" s="515" t="str">
        <f t="shared" si="426"/>
        <v/>
      </c>
      <c r="Q164" s="68" t="str">
        <f>IF('Marks Entry'!P164="","",'Marks Entry'!P164)</f>
        <v/>
      </c>
      <c r="R164" s="96" t="str">
        <f t="shared" si="427"/>
        <v/>
      </c>
      <c r="S164" s="65">
        <f t="shared" si="428"/>
        <v>0</v>
      </c>
      <c r="T164" s="65">
        <f t="shared" si="429"/>
        <v>0</v>
      </c>
      <c r="U164" s="66" t="str">
        <f t="shared" si="339"/>
        <v/>
      </c>
      <c r="V164" s="65" t="str">
        <f t="shared" si="340"/>
        <v/>
      </c>
      <c r="W164" s="65" t="str">
        <f t="shared" si="430"/>
        <v/>
      </c>
      <c r="X164" s="65" t="str">
        <f t="shared" si="341"/>
        <v/>
      </c>
      <c r="Y164" s="68" t="str">
        <f>IF('Marks Entry'!Q164="","",'Marks Entry'!Q164)</f>
        <v/>
      </c>
      <c r="Z164" s="68" t="str">
        <f>IF('Marks Entry'!R164="","",'Marks Entry'!R164)</f>
        <v/>
      </c>
      <c r="AA164" s="68" t="str">
        <f>IF('Marks Entry'!S164="","",'Marks Entry'!S164)</f>
        <v/>
      </c>
      <c r="AB164" s="514" t="str">
        <f t="shared" si="342"/>
        <v/>
      </c>
      <c r="AC164" s="68" t="str">
        <f>IF('Marks Entry'!T164="","",'Marks Entry'!T164)</f>
        <v/>
      </c>
      <c r="AD164" s="515" t="str">
        <f t="shared" si="343"/>
        <v/>
      </c>
      <c r="AE164" s="68" t="str">
        <f>IF('Marks Entry'!U164="","",'Marks Entry'!U164)</f>
        <v/>
      </c>
      <c r="AF164" s="96" t="str">
        <f t="shared" si="344"/>
        <v/>
      </c>
      <c r="AG164" s="65">
        <f t="shared" si="345"/>
        <v>0</v>
      </c>
      <c r="AH164" s="65">
        <f t="shared" si="346"/>
        <v>0</v>
      </c>
      <c r="AI164" s="66" t="str">
        <f t="shared" si="347"/>
        <v/>
      </c>
      <c r="AJ164" s="65" t="str">
        <f t="shared" si="348"/>
        <v/>
      </c>
      <c r="AK164" s="65" t="str">
        <f t="shared" si="349"/>
        <v/>
      </c>
      <c r="AL164" s="65" t="str">
        <f t="shared" si="350"/>
        <v/>
      </c>
      <c r="AM164" s="524" t="str">
        <f>IF('Marks Entry'!V164="","",IF('Marks Entry'!V164=1,'School Profile'!$I$9,IF('Marks Entry'!V164=2,'School Profile'!$I$10,IF('Marks Entry'!V164=3,'School Profile'!$I$11,IF('Marks Entry'!V164=4,'School Profile'!$I$12,IF('Marks Entry'!V164=5,'School Profile'!$I$13,IF('Marks Entry'!V164=6,'School Profile'!$I$14,"")))))))</f>
        <v/>
      </c>
      <c r="AN164" s="68" t="str">
        <f>IF('Marks Entry'!W164="","",'Marks Entry'!W164)</f>
        <v/>
      </c>
      <c r="AO164" s="68" t="str">
        <f>IF('Marks Entry'!X164="","",'Marks Entry'!X164)</f>
        <v/>
      </c>
      <c r="AP164" s="68" t="str">
        <f>IF('Marks Entry'!Y164="","",'Marks Entry'!Y164)</f>
        <v/>
      </c>
      <c r="AQ164" s="514" t="str">
        <f t="shared" si="351"/>
        <v/>
      </c>
      <c r="AR164" s="68" t="str">
        <f>IF('Marks Entry'!Z164="","",'Marks Entry'!Z164)</f>
        <v/>
      </c>
      <c r="AS164" s="515" t="str">
        <f t="shared" si="352"/>
        <v/>
      </c>
      <c r="AT164" s="68" t="str">
        <f>IF('Marks Entry'!AA164="","",'Marks Entry'!AA164)</f>
        <v/>
      </c>
      <c r="AU164" s="96" t="str">
        <f t="shared" si="353"/>
        <v/>
      </c>
      <c r="AV164" s="65">
        <f t="shared" si="354"/>
        <v>0</v>
      </c>
      <c r="AW164" s="65">
        <f t="shared" si="355"/>
        <v>0</v>
      </c>
      <c r="AX164" s="66" t="str">
        <f t="shared" si="356"/>
        <v/>
      </c>
      <c r="AY164" s="65" t="str">
        <f t="shared" si="357"/>
        <v/>
      </c>
      <c r="AZ164" s="65" t="str">
        <f t="shared" si="358"/>
        <v/>
      </c>
      <c r="BA164" s="65" t="str">
        <f t="shared" si="359"/>
        <v/>
      </c>
      <c r="BB164" s="68" t="str">
        <f>IF('Marks Entry'!AB164="","",'Marks Entry'!AB164)</f>
        <v/>
      </c>
      <c r="BC164" s="68" t="str">
        <f>IF('Marks Entry'!AC164="","",'Marks Entry'!AC164)</f>
        <v/>
      </c>
      <c r="BD164" s="68" t="str">
        <f>IF('Marks Entry'!AD164="","",'Marks Entry'!AD164)</f>
        <v/>
      </c>
      <c r="BE164" s="514" t="str">
        <f t="shared" si="360"/>
        <v/>
      </c>
      <c r="BF164" s="68" t="str">
        <f>IF('Marks Entry'!AE164="","",'Marks Entry'!AE164)</f>
        <v/>
      </c>
      <c r="BG164" s="515" t="str">
        <f t="shared" si="361"/>
        <v/>
      </c>
      <c r="BH164" s="68" t="str">
        <f>IF('Marks Entry'!AF164="","",'Marks Entry'!AF164)</f>
        <v/>
      </c>
      <c r="BI164" s="96" t="str">
        <f t="shared" si="362"/>
        <v/>
      </c>
      <c r="BJ164" s="65">
        <f t="shared" si="363"/>
        <v>0</v>
      </c>
      <c r="BK164" s="65">
        <f t="shared" si="431"/>
        <v>0</v>
      </c>
      <c r="BL164" s="66" t="str">
        <f t="shared" si="364"/>
        <v/>
      </c>
      <c r="BM164" s="65" t="str">
        <f t="shared" si="365"/>
        <v/>
      </c>
      <c r="BN164" s="65" t="str">
        <f t="shared" si="366"/>
        <v/>
      </c>
      <c r="BO164" s="65" t="str">
        <f t="shared" si="367"/>
        <v/>
      </c>
      <c r="BP164" s="68" t="str">
        <f>IF('Marks Entry'!AG164="","",'Marks Entry'!AG164)</f>
        <v/>
      </c>
      <c r="BQ164" s="68" t="str">
        <f>IF('Marks Entry'!AH164="","",'Marks Entry'!AH164)</f>
        <v/>
      </c>
      <c r="BR164" s="68" t="str">
        <f>IF('Marks Entry'!AI164="","",'Marks Entry'!AI164)</f>
        <v/>
      </c>
      <c r="BS164" s="514" t="str">
        <f t="shared" si="368"/>
        <v/>
      </c>
      <c r="BT164" s="68" t="str">
        <f>IF('Marks Entry'!AJ164="","",'Marks Entry'!AJ164)</f>
        <v/>
      </c>
      <c r="BU164" s="515" t="str">
        <f t="shared" si="369"/>
        <v/>
      </c>
      <c r="BV164" s="68" t="str">
        <f>IF('Marks Entry'!AK164="","",'Marks Entry'!AK164)</f>
        <v/>
      </c>
      <c r="BW164" s="96" t="str">
        <f t="shared" si="370"/>
        <v/>
      </c>
      <c r="BX164" s="65">
        <f t="shared" si="371"/>
        <v>0</v>
      </c>
      <c r="BY164" s="65">
        <f t="shared" si="372"/>
        <v>0</v>
      </c>
      <c r="BZ164" s="66" t="str">
        <f t="shared" si="373"/>
        <v/>
      </c>
      <c r="CA164" s="65" t="str">
        <f t="shared" si="374"/>
        <v/>
      </c>
      <c r="CB164" s="65" t="str">
        <f t="shared" si="375"/>
        <v/>
      </c>
      <c r="CC164" s="65" t="str">
        <f t="shared" si="376"/>
        <v/>
      </c>
      <c r="CD164" s="66">
        <f t="shared" si="377"/>
        <v>0</v>
      </c>
      <c r="CE164" s="68" t="str">
        <f>IF('Marks Entry'!AL164="","",'Marks Entry'!AL164)</f>
        <v/>
      </c>
      <c r="CF164" s="68" t="str">
        <f>IF('Marks Entry'!AM164="","",'Marks Entry'!AM164)</f>
        <v/>
      </c>
      <c r="CG164" s="68" t="str">
        <f>IF('Marks Entry'!AN164="","",'Marks Entry'!AN164)</f>
        <v/>
      </c>
      <c r="CH164" s="514" t="str">
        <f t="shared" si="378"/>
        <v/>
      </c>
      <c r="CI164" s="68" t="str">
        <f>IF('Marks Entry'!AO164="","",'Marks Entry'!AO164)</f>
        <v/>
      </c>
      <c r="CJ164" s="515" t="str">
        <f t="shared" si="379"/>
        <v/>
      </c>
      <c r="CK164" s="68" t="str">
        <f>IF('Marks Entry'!AP164="","",'Marks Entry'!AP164)</f>
        <v/>
      </c>
      <c r="CL164" s="96" t="str">
        <f t="shared" si="380"/>
        <v/>
      </c>
      <c r="CM164" s="65">
        <f t="shared" si="381"/>
        <v>0</v>
      </c>
      <c r="CN164" s="65">
        <f t="shared" si="382"/>
        <v>0</v>
      </c>
      <c r="CO164" s="66" t="str">
        <f t="shared" si="383"/>
        <v/>
      </c>
      <c r="CP164" s="65" t="str">
        <f t="shared" si="384"/>
        <v/>
      </c>
      <c r="CQ164" s="65" t="str">
        <f t="shared" si="385"/>
        <v/>
      </c>
      <c r="CR164" s="65" t="str">
        <f t="shared" si="386"/>
        <v/>
      </c>
      <c r="CS164" s="616"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8" t="str">
        <f>IF('School Profile'!$D$20="NO","",IF('Marks Entry'!AR164="","",'Marks Entry'!AR164))</f>
        <v/>
      </c>
      <c r="CU164" s="68" t="str">
        <f>IF('School Profile'!$D$20="NO","",IF('Marks Entry'!AS164="","",'Marks Entry'!AS164))</f>
        <v/>
      </c>
      <c r="CV164" s="68" t="str">
        <f>IF('School Profile'!$D$20="NO","",IF('Marks Entry'!AT164="","",'Marks Entry'!AT164))</f>
        <v/>
      </c>
      <c r="CW164" s="514" t="str">
        <f>IF('School Profile'!$D$20="NO","",IF(AND(CT164="",CU164="",CV164=""),"",SUM(CT164:CV164)))</f>
        <v/>
      </c>
      <c r="CX164" s="68" t="str">
        <f>IF('School Profile'!$D$20="NO","",IF('Marks Entry'!AU164="","",'Marks Entry'!AU164))</f>
        <v/>
      </c>
      <c r="CY164" s="68" t="str">
        <f>IF('School Profile'!$D$20="NO","",IF('Marks Entry'!AV164="","",'Marks Entry'!AV164))</f>
        <v/>
      </c>
      <c r="CZ164" s="515" t="str">
        <f>IF('School Profile'!$D$20="NO","",IF(AND(CX164="",CY164=""),"",SUM(CX164,CY164)))</f>
        <v/>
      </c>
      <c r="DA164" s="69" t="str">
        <f>IF('School Profile'!$D$20="NO","",IF(AND(CW164="",CZ164=""),"",SUM(CW164+CZ164)))</f>
        <v/>
      </c>
      <c r="DB164" s="68" t="str">
        <f>IF('School Profile'!$D$20="NO","",IF('Marks Entry'!AW164="","",'Marks Entry'!AW164))</f>
        <v/>
      </c>
      <c r="DC164" s="68" t="str">
        <f>IF('School Profile'!$D$20="NO","",IF('Marks Entry'!AX164="","",'Marks Entry'!AX164))</f>
        <v/>
      </c>
      <c r="DD164" s="515" t="str">
        <f>IF('School Profile'!$D$20="NO","",IF(AND(DB164="",DC164=""),"",SUM(DB164,DC164)))</f>
        <v/>
      </c>
      <c r="DE164" s="96" t="str">
        <f>IF('School Profile'!$D$20="NO","",IF(AND(DA164="",DD164=""),"",SUM(DA164,DD164)))</f>
        <v/>
      </c>
      <c r="DF164" s="532">
        <f t="shared" si="387"/>
        <v>0</v>
      </c>
      <c r="DG164" s="65">
        <f t="shared" si="388"/>
        <v>0</v>
      </c>
      <c r="DH164" s="66" t="str">
        <f t="shared" si="389"/>
        <v/>
      </c>
      <c r="DI164" s="65" t="str">
        <f t="shared" si="390"/>
        <v/>
      </c>
      <c r="DJ164" s="65" t="str">
        <f t="shared" si="391"/>
        <v/>
      </c>
      <c r="DK164" s="65" t="str">
        <f t="shared" si="392"/>
        <v/>
      </c>
      <c r="DL164" s="97" t="str">
        <f t="shared" si="432"/>
        <v/>
      </c>
      <c r="DM164" s="97" t="str">
        <f t="shared" si="433"/>
        <v/>
      </c>
      <c r="DN164" s="97" t="str">
        <f t="shared" si="434"/>
        <v/>
      </c>
      <c r="DO164" s="97" t="str">
        <f t="shared" si="435"/>
        <v/>
      </c>
      <c r="DP164" s="97" t="str">
        <f t="shared" si="436"/>
        <v/>
      </c>
      <c r="DQ164" s="97" t="str">
        <f t="shared" si="437"/>
        <v/>
      </c>
      <c r="DR164" s="97" t="str">
        <f t="shared" si="438"/>
        <v/>
      </c>
      <c r="DS164" s="98">
        <f t="shared" si="439"/>
        <v>0</v>
      </c>
      <c r="DT164" s="98">
        <f t="shared" si="440"/>
        <v>0</v>
      </c>
      <c r="DU164" s="98">
        <f t="shared" si="441"/>
        <v>0</v>
      </c>
      <c r="DV164" s="98">
        <f t="shared" si="442"/>
        <v>0</v>
      </c>
      <c r="DW164" s="98">
        <f t="shared" si="443"/>
        <v>0</v>
      </c>
      <c r="DX164" s="98" t="str">
        <f t="shared" si="444"/>
        <v/>
      </c>
      <c r="DY164" s="99" t="str">
        <f t="shared" si="445"/>
        <v/>
      </c>
      <c r="DZ164" s="74" t="str">
        <f>IF('Marks Entry'!AY164="","",'Marks Entry'!AY164)</f>
        <v/>
      </c>
      <c r="EA164" s="74" t="str">
        <f>IF('Marks Entry'!AZ164="","",'Marks Entry'!AZ164)</f>
        <v/>
      </c>
      <c r="EB164" s="74" t="str">
        <f>IF('Marks Entry'!BA164="","",'Marks Entry'!BA164)</f>
        <v/>
      </c>
      <c r="EC164" s="527" t="str">
        <f t="shared" si="393"/>
        <v/>
      </c>
      <c r="ED164" s="74" t="str">
        <f>IF('Marks Entry'!BB164="","",'Marks Entry'!BB164)</f>
        <v/>
      </c>
      <c r="EE164" s="528" t="str">
        <f t="shared" si="394"/>
        <v/>
      </c>
      <c r="EF164" s="74" t="str">
        <f>IF('Marks Entry'!BC164="","",'Marks Entry'!BC164)</f>
        <v/>
      </c>
      <c r="EG164" s="530" t="str">
        <f t="shared" si="395"/>
        <v/>
      </c>
      <c r="EH164" s="368" t="str">
        <f t="shared" si="446"/>
        <v/>
      </c>
      <c r="EI164" s="65">
        <f t="shared" si="447"/>
        <v>0</v>
      </c>
      <c r="EJ164" s="65">
        <f t="shared" si="448"/>
        <v>0</v>
      </c>
      <c r="EK164" s="66" t="str">
        <f t="shared" si="449"/>
        <v/>
      </c>
      <c r="EL164" s="74" t="str">
        <f>IF('Marks Entry'!BD164="","",'Marks Entry'!BD164)</f>
        <v/>
      </c>
      <c r="EM164" s="74" t="str">
        <f>IF('Marks Entry'!BE164="","",'Marks Entry'!BE164)</f>
        <v/>
      </c>
      <c r="EN164" s="74" t="str">
        <f>IF('Marks Entry'!BF164="","",'Marks Entry'!BF164)</f>
        <v/>
      </c>
      <c r="EO164" s="527" t="str">
        <f t="shared" si="396"/>
        <v/>
      </c>
      <c r="EP164" s="74" t="str">
        <f>IF('Marks Entry'!BG164="","",'Marks Entry'!BG164)</f>
        <v/>
      </c>
      <c r="EQ164" s="74" t="str">
        <f>IF('Marks Entry'!BH164="","",'Marks Entry'!BH164)</f>
        <v/>
      </c>
      <c r="ER164" s="528" t="str">
        <f t="shared" si="397"/>
        <v/>
      </c>
      <c r="ES164" s="529" t="str">
        <f t="shared" si="398"/>
        <v/>
      </c>
      <c r="ET164" s="74" t="str">
        <f>IF('Marks Entry'!BI164="","",'Marks Entry'!BI164)</f>
        <v/>
      </c>
      <c r="EU164" s="74" t="str">
        <f>IF('Marks Entry'!BJ164="","",'Marks Entry'!BJ164)</f>
        <v/>
      </c>
      <c r="EV164" s="528" t="str">
        <f t="shared" si="399"/>
        <v/>
      </c>
      <c r="EW164" s="530" t="str">
        <f t="shared" si="400"/>
        <v/>
      </c>
      <c r="EX164" s="368" t="str">
        <f t="shared" si="450"/>
        <v/>
      </c>
      <c r="EY164" s="65">
        <f t="shared" si="451"/>
        <v>0</v>
      </c>
      <c r="EZ164" s="65">
        <f t="shared" si="452"/>
        <v>0</v>
      </c>
      <c r="FA164" s="66" t="str">
        <f t="shared" si="453"/>
        <v/>
      </c>
      <c r="FB164" s="74" t="str">
        <f>IF('Marks Entry'!BK164="","",'Marks Entry'!BK164)</f>
        <v/>
      </c>
      <c r="FC164" s="74" t="str">
        <f>IF('Marks Entry'!BL164="","",'Marks Entry'!BL164)</f>
        <v/>
      </c>
      <c r="FD164" s="74" t="str">
        <f>IF('Marks Entry'!BM164="","",'Marks Entry'!BM164)</f>
        <v/>
      </c>
      <c r="FE164" s="74" t="str">
        <f>IF('Marks Entry'!BN164="","",'Marks Entry'!BN164)</f>
        <v/>
      </c>
      <c r="FF164" s="74" t="str">
        <f>IF('Marks Entry'!BO164="","",'Marks Entry'!BO164)</f>
        <v/>
      </c>
      <c r="FG164" s="74" t="str">
        <f>IF('Marks Entry'!BP164="","",'Marks Entry'!BP164)</f>
        <v/>
      </c>
      <c r="FH164" s="527" t="str">
        <f t="shared" si="401"/>
        <v/>
      </c>
      <c r="FI164" s="74" t="str">
        <f>IF('Marks Entry'!BQ164="","",'Marks Entry'!BQ164)</f>
        <v/>
      </c>
      <c r="FJ164" s="74" t="str">
        <f>IF('Marks Entry'!BR164="","",'Marks Entry'!BR164)</f>
        <v/>
      </c>
      <c r="FK164" s="528" t="str">
        <f t="shared" si="402"/>
        <v/>
      </c>
      <c r="FL164" s="529" t="str">
        <f t="shared" si="403"/>
        <v/>
      </c>
      <c r="FM164" s="74" t="str">
        <f>IF('Marks Entry'!BS164="","",'Marks Entry'!BS164)</f>
        <v/>
      </c>
      <c r="FN164" s="74" t="str">
        <f>IF('Marks Entry'!BT164="","",'Marks Entry'!BT164)</f>
        <v/>
      </c>
      <c r="FO164" s="528" t="str">
        <f t="shared" si="404"/>
        <v/>
      </c>
      <c r="FP164" s="530" t="str">
        <f t="shared" si="405"/>
        <v/>
      </c>
      <c r="FQ164" s="368" t="str">
        <f t="shared" si="454"/>
        <v/>
      </c>
      <c r="FR164" s="65">
        <f t="shared" si="455"/>
        <v>0</v>
      </c>
      <c r="FS164" s="65">
        <f t="shared" si="456"/>
        <v>0</v>
      </c>
      <c r="FT164" s="66" t="str">
        <f t="shared" si="457"/>
        <v/>
      </c>
      <c r="FU164" s="74" t="str">
        <f>IF('Marks Entry'!BU164="","",'Marks Entry'!BU164)</f>
        <v/>
      </c>
      <c r="FV164" s="74" t="str">
        <f>IF('Marks Entry'!BV164="","",'Marks Entry'!BV164)</f>
        <v/>
      </c>
      <c r="FW164" s="74" t="str">
        <f>IF('Marks Entry'!BW164="","",'Marks Entry'!BW164)</f>
        <v/>
      </c>
      <c r="FX164" s="75" t="str">
        <f t="shared" si="406"/>
        <v/>
      </c>
      <c r="FY164" s="368" t="str">
        <f t="shared" si="458"/>
        <v/>
      </c>
      <c r="FZ164" s="65">
        <f t="shared" si="459"/>
        <v>0</v>
      </c>
      <c r="GA164" s="66">
        <f t="shared" si="460"/>
        <v>0</v>
      </c>
      <c r="GB164" s="66" t="str">
        <f t="shared" si="461"/>
        <v/>
      </c>
      <c r="GC164" s="74" t="str">
        <f>IF('Marks Entry'!BX164="","",'Marks Entry'!BX164)</f>
        <v/>
      </c>
      <c r="GD164" s="74" t="str">
        <f>IF('Marks Entry'!BY164="","",'Marks Entry'!BY164)</f>
        <v/>
      </c>
      <c r="GE164" s="74" t="str">
        <f>IF('Marks Entry'!BZ164="","",'Marks Entry'!BZ164)</f>
        <v/>
      </c>
      <c r="GF164" s="75" t="str">
        <f t="shared" si="462"/>
        <v/>
      </c>
      <c r="GG164" s="368" t="str">
        <f t="shared" si="463"/>
        <v/>
      </c>
      <c r="GH164" s="65">
        <f t="shared" si="464"/>
        <v>0</v>
      </c>
      <c r="GI164" s="66">
        <f t="shared" si="465"/>
        <v>0</v>
      </c>
      <c r="GJ164" s="66" t="str">
        <f t="shared" si="466"/>
        <v/>
      </c>
      <c r="GK164" s="100" t="str">
        <f>IF(AND(F164="",B164=""),"",IF('Student DATA Entry'!M161="","",'Student DATA Entry'!M161))</f>
        <v/>
      </c>
      <c r="GL164" s="101" t="str">
        <f>IF(AND(B164="",F164=""),"",IF('Student DATA Entry'!N161="","",'Student DATA Entry'!N161))</f>
        <v/>
      </c>
      <c r="GM164" s="581" t="str">
        <f t="shared" si="467"/>
        <v/>
      </c>
      <c r="GN164" s="94" t="str">
        <f t="shared" si="468"/>
        <v/>
      </c>
      <c r="GO164" s="94" t="str">
        <f t="shared" si="469"/>
        <v/>
      </c>
      <c r="GP164" s="102" t="str">
        <f t="shared" si="407"/>
        <v/>
      </c>
      <c r="GQ164" s="94" t="str">
        <f t="shared" si="470"/>
        <v/>
      </c>
      <c r="GR164" s="103" t="str">
        <f t="shared" si="471"/>
        <v/>
      </c>
      <c r="GS164" s="102" t="str">
        <f t="shared" si="408"/>
        <v/>
      </c>
      <c r="GT164" s="104" t="str">
        <f t="shared" si="472"/>
        <v/>
      </c>
      <c r="GU164" s="94" t="str">
        <f>IF('Marks Entry'!V164=1,GT164,"")</f>
        <v/>
      </c>
      <c r="GV164" s="94" t="str">
        <f>IF('Marks Entry'!V164=2,GT164,"")</f>
        <v/>
      </c>
      <c r="GW164" s="94" t="str">
        <f>IF('Marks Entry'!V164=3,GT164,"")</f>
        <v/>
      </c>
      <c r="GX164" s="94" t="str">
        <f>IF('Marks Entry'!V164=4,GT164,"")</f>
        <v/>
      </c>
      <c r="GY164" s="94" t="str">
        <f>IF('Marks Entry'!V164=5,GT164,"")</f>
        <v/>
      </c>
      <c r="GZ164" s="94" t="str">
        <f t="shared" si="473"/>
        <v/>
      </c>
      <c r="HA164" s="105" t="str">
        <f t="shared" si="409"/>
        <v/>
      </c>
      <c r="HB164" s="94" t="str">
        <f t="shared" si="474"/>
        <v/>
      </c>
      <c r="HC164" s="94" t="str">
        <f t="shared" si="475"/>
        <v/>
      </c>
      <c r="HD164" s="105" t="str">
        <f t="shared" si="410"/>
        <v/>
      </c>
      <c r="HE164" s="94" t="str">
        <f t="shared" si="476"/>
        <v/>
      </c>
      <c r="HF164" s="94" t="str">
        <f t="shared" si="477"/>
        <v/>
      </c>
      <c r="HG164" s="105" t="str">
        <f t="shared" si="411"/>
        <v/>
      </c>
      <c r="HH164" s="94" t="str">
        <f t="shared" si="478"/>
        <v/>
      </c>
      <c r="HI164" s="94" t="str">
        <f t="shared" si="479"/>
        <v/>
      </c>
      <c r="HJ164" s="105" t="str">
        <f t="shared" si="412"/>
        <v/>
      </c>
      <c r="HK164" s="94" t="str">
        <f t="shared" si="480"/>
        <v/>
      </c>
      <c r="HL164" s="94" t="str">
        <f t="shared" si="481"/>
        <v/>
      </c>
      <c r="HM164" s="105" t="str">
        <f t="shared" si="413"/>
        <v/>
      </c>
      <c r="HN164" s="367" t="str">
        <f t="shared" si="482"/>
        <v xml:space="preserve">      </v>
      </c>
      <c r="HO164" s="418" t="str">
        <f t="shared" si="414"/>
        <v xml:space="preserve">      </v>
      </c>
      <c r="HP164" s="367" t="str">
        <f t="shared" si="483"/>
        <v xml:space="preserve">      </v>
      </c>
      <c r="HQ164" s="107" t="str">
        <f t="shared" si="484"/>
        <v xml:space="preserve">      </v>
      </c>
      <c r="HR164" s="366" t="str">
        <f t="shared" si="485"/>
        <v xml:space="preserve">      </v>
      </c>
      <c r="HS164" s="544" t="str">
        <f t="shared" si="415"/>
        <v/>
      </c>
      <c r="HT164" s="542" t="str">
        <f t="shared" si="486"/>
        <v/>
      </c>
      <c r="HU164" s="541" t="str">
        <f t="shared" si="487"/>
        <v/>
      </c>
      <c r="HV164" s="540" t="str">
        <f t="shared" si="488"/>
        <v/>
      </c>
      <c r="HW164" s="537" t="str">
        <f t="shared" si="489"/>
        <v/>
      </c>
      <c r="HX164" s="539" t="str">
        <f t="shared" si="490"/>
        <v/>
      </c>
      <c r="HY164" s="553" t="str">
        <f>IFERROR(IF(OR(HS164="SUPPLEMENTARY",HS164="RE-EXAM"),'Supp. Result Entry'!AQ162,""),"")</f>
        <v/>
      </c>
      <c r="HZ164" s="538" t="str">
        <f t="shared" si="491"/>
        <v/>
      </c>
      <c r="IA164" s="415" t="str">
        <f t="shared" si="492"/>
        <v/>
      </c>
      <c r="IB164" s="415" t="str">
        <f>IF(AND(HZ164="",IA164=""),"",IF(OR(HS164="SUPPLEMENTARY",HS164="RE-EXAM"),'Supp. Result Entry'!AQ162,HS164))</f>
        <v/>
      </c>
      <c r="IC164" s="87"/>
      <c r="IS164" s="109" t="str">
        <f>IF('Supp. Result Entry'!T162="","",'Supp. Result Entry'!$T$4)</f>
        <v/>
      </c>
      <c r="IT164" s="110" t="str">
        <f>IF('Supp. Result Entry'!W162="","",'Supp. Result Entry'!$W$4)</f>
        <v/>
      </c>
      <c r="IU164" s="110" t="str">
        <f>IF('Supp. Result Entry'!Z162="","",'Supp. Result Entry'!$Z$4)</f>
        <v/>
      </c>
      <c r="IV164" s="110" t="str">
        <f>IF('Supp. Result Entry'!AC162="","",'Supp. Result Entry'!$AC$4)</f>
        <v/>
      </c>
      <c r="IW164" s="110" t="str">
        <f>IF('Supp. Result Entry'!AF162="","",'Supp. Result Entry'!$AF$4)</f>
        <v/>
      </c>
      <c r="IX164" s="110" t="str">
        <f>IF('Supp. Result Entry'!AI162="","",'Supp. Result Entry'!$AI$4)</f>
        <v/>
      </c>
      <c r="IY164" s="110" t="str">
        <f>IF('Supp. Result Entry'!AI162="","",'Supp. Result Entry'!$AL$4)</f>
        <v/>
      </c>
      <c r="IZ164" s="110" t="str">
        <f>IF('Supp. Result Entry'!U162="","",'Supp. Result Entry'!U162)</f>
        <v/>
      </c>
      <c r="JA164" s="110" t="str">
        <f>IF('Supp. Result Entry'!X162="","",'Supp. Result Entry'!X162)</f>
        <v/>
      </c>
      <c r="JB164" s="110" t="str">
        <f>IF('Supp. Result Entry'!AA162="","",'Supp. Result Entry'!AA162)</f>
        <v/>
      </c>
      <c r="JC164" s="110" t="str">
        <f>IF('Supp. Result Entry'!AD162="","",'Supp. Result Entry'!AD162)</f>
        <v/>
      </c>
      <c r="JD164" s="110" t="str">
        <f>IF('Supp. Result Entry'!AG162="","",'Supp. Result Entry'!AG162)</f>
        <v/>
      </c>
      <c r="JE164" s="110" t="str">
        <f>IF('Supp. Result Entry'!AJ162="","",'Supp. Result Entry'!AJ162)</f>
        <v/>
      </c>
      <c r="JF164" s="110" t="str">
        <f>IF('Supp. Result Entry'!AM162="","",'Supp. Result Entry'!AM162)</f>
        <v/>
      </c>
      <c r="JG164" s="110" t="str">
        <f>IF('Supp. Result Entry'!V162="","",'Supp. Result Entry'!V162)</f>
        <v/>
      </c>
      <c r="JH164" s="110" t="str">
        <f>IF('Supp. Result Entry'!Y162="","",'Supp. Result Entry'!Y162)</f>
        <v/>
      </c>
      <c r="JI164" s="110" t="str">
        <f>IF('Supp. Result Entry'!AB162="","",'Supp. Result Entry'!AB162)</f>
        <v/>
      </c>
      <c r="JJ164" s="110" t="str">
        <f>IF('Supp. Result Entry'!AE162="","",'Supp. Result Entry'!AE162)</f>
        <v/>
      </c>
      <c r="JK164" s="110" t="str">
        <f>IF('Supp. Result Entry'!AH162="","",'Supp. Result Entry'!AH162)</f>
        <v/>
      </c>
      <c r="JL164" s="110" t="str">
        <f>IF('Supp. Result Entry'!AK162="","",'Supp. Result Entry'!AK162)</f>
        <v/>
      </c>
      <c r="JM164" s="110" t="str">
        <f>IF('Supp. Result Entry'!AN162="","",'Supp. Result Entry'!AN162)</f>
        <v/>
      </c>
      <c r="JN164" s="110">
        <f>COUNTIF('Supp. Result Entry'!K162:Q162,"S")</f>
        <v>0</v>
      </c>
      <c r="JO164" s="110">
        <f t="shared" si="416"/>
        <v>0</v>
      </c>
      <c r="JP164" s="110">
        <f t="shared" si="493"/>
        <v>0</v>
      </c>
      <c r="JQ164" s="110" t="str">
        <f t="shared" si="417"/>
        <v/>
      </c>
      <c r="JR164" s="110" t="str">
        <f t="shared" si="418"/>
        <v/>
      </c>
      <c r="JS164" s="110" t="str">
        <f t="shared" si="419"/>
        <v/>
      </c>
      <c r="JT164" s="110" t="str">
        <f t="shared" si="420"/>
        <v/>
      </c>
      <c r="JU164" s="110" t="str">
        <f t="shared" si="421"/>
        <v/>
      </c>
      <c r="JV164" s="110" t="str">
        <f t="shared" si="422"/>
        <v/>
      </c>
      <c r="JW164" s="110" t="str">
        <f t="shared" si="423"/>
        <v/>
      </c>
      <c r="JX164" s="110" t="str">
        <f t="shared" si="494"/>
        <v/>
      </c>
      <c r="JY164" s="110" t="str">
        <f t="shared" si="495"/>
        <v/>
      </c>
      <c r="JZ164" s="110" t="str">
        <f t="shared" si="424"/>
        <v/>
      </c>
      <c r="KA164" s="108" t="str">
        <f t="shared" si="496"/>
        <v/>
      </c>
    </row>
    <row r="165" spans="1:287" s="108" customFormat="1" ht="21.95" customHeight="1">
      <c r="A165" s="89">
        <v>159</v>
      </c>
      <c r="B165" s="90" t="str">
        <f>IF('Marks Entry'!B165="","",'Marks Entry'!B165)</f>
        <v/>
      </c>
      <c r="C165" s="94" t="str">
        <f>IF('Marks Entry'!D165="","",'Marks Entry'!D165)</f>
        <v/>
      </c>
      <c r="D165" s="91" t="str">
        <f>IF('Marks Entry'!E165="","",'Marks Entry'!E165)</f>
        <v/>
      </c>
      <c r="E165" s="92" t="str">
        <f>IF('Marks Entry'!F165="","",'Marks Entry'!F165)</f>
        <v/>
      </c>
      <c r="F165" s="93" t="str">
        <f>IF('Marks Entry'!G165="","",'Marks Entry'!G165)</f>
        <v/>
      </c>
      <c r="G165" s="93" t="str">
        <f>IF('Marks Entry'!H165="","",'Marks Entry'!H165)</f>
        <v/>
      </c>
      <c r="H165" s="93" t="str">
        <f>IF('Marks Entry'!I165="","",'Marks Entry'!I165)</f>
        <v/>
      </c>
      <c r="I165" s="94" t="str">
        <f>IF('Marks Entry'!J165="","",'Marks Entry'!J165)</f>
        <v/>
      </c>
      <c r="J165" s="95" t="str">
        <f>IF('Marks Entry'!K165="","",'Marks Entry'!K165)</f>
        <v/>
      </c>
      <c r="K165" s="68" t="str">
        <f>IF('Marks Entry'!L165="","",'Marks Entry'!L165)</f>
        <v/>
      </c>
      <c r="L165" s="68" t="str">
        <f>IF('Marks Entry'!M165="","",'Marks Entry'!M165)</f>
        <v/>
      </c>
      <c r="M165" s="68" t="str">
        <f>IF('Marks Entry'!N165="","",'Marks Entry'!N165)</f>
        <v/>
      </c>
      <c r="N165" s="514" t="str">
        <f t="shared" si="425"/>
        <v/>
      </c>
      <c r="O165" s="68" t="str">
        <f>IF('Marks Entry'!O165="","",'Marks Entry'!O165)</f>
        <v/>
      </c>
      <c r="P165" s="515" t="str">
        <f t="shared" si="426"/>
        <v/>
      </c>
      <c r="Q165" s="68" t="str">
        <f>IF('Marks Entry'!P165="","",'Marks Entry'!P165)</f>
        <v/>
      </c>
      <c r="R165" s="96" t="str">
        <f t="shared" si="427"/>
        <v/>
      </c>
      <c r="S165" s="65">
        <f t="shared" si="428"/>
        <v>0</v>
      </c>
      <c r="T165" s="65">
        <f t="shared" si="429"/>
        <v>0</v>
      </c>
      <c r="U165" s="66" t="str">
        <f t="shared" si="339"/>
        <v/>
      </c>
      <c r="V165" s="65" t="str">
        <f t="shared" si="340"/>
        <v/>
      </c>
      <c r="W165" s="65" t="str">
        <f t="shared" si="430"/>
        <v/>
      </c>
      <c r="X165" s="65" t="str">
        <f t="shared" si="341"/>
        <v/>
      </c>
      <c r="Y165" s="68" t="str">
        <f>IF('Marks Entry'!Q165="","",'Marks Entry'!Q165)</f>
        <v/>
      </c>
      <c r="Z165" s="68" t="str">
        <f>IF('Marks Entry'!R165="","",'Marks Entry'!R165)</f>
        <v/>
      </c>
      <c r="AA165" s="68" t="str">
        <f>IF('Marks Entry'!S165="","",'Marks Entry'!S165)</f>
        <v/>
      </c>
      <c r="AB165" s="514" t="str">
        <f t="shared" si="342"/>
        <v/>
      </c>
      <c r="AC165" s="68" t="str">
        <f>IF('Marks Entry'!T165="","",'Marks Entry'!T165)</f>
        <v/>
      </c>
      <c r="AD165" s="515" t="str">
        <f t="shared" si="343"/>
        <v/>
      </c>
      <c r="AE165" s="68" t="str">
        <f>IF('Marks Entry'!U165="","",'Marks Entry'!U165)</f>
        <v/>
      </c>
      <c r="AF165" s="96" t="str">
        <f t="shared" si="344"/>
        <v/>
      </c>
      <c r="AG165" s="65">
        <f t="shared" si="345"/>
        <v>0</v>
      </c>
      <c r="AH165" s="65">
        <f t="shared" si="346"/>
        <v>0</v>
      </c>
      <c r="AI165" s="66" t="str">
        <f t="shared" si="347"/>
        <v/>
      </c>
      <c r="AJ165" s="65" t="str">
        <f t="shared" si="348"/>
        <v/>
      </c>
      <c r="AK165" s="65" t="str">
        <f t="shared" si="349"/>
        <v/>
      </c>
      <c r="AL165" s="65" t="str">
        <f t="shared" si="350"/>
        <v/>
      </c>
      <c r="AM165" s="524" t="str">
        <f>IF('Marks Entry'!V165="","",IF('Marks Entry'!V165=1,'School Profile'!$I$9,IF('Marks Entry'!V165=2,'School Profile'!$I$10,IF('Marks Entry'!V165=3,'School Profile'!$I$11,IF('Marks Entry'!V165=4,'School Profile'!$I$12,IF('Marks Entry'!V165=5,'School Profile'!$I$13,IF('Marks Entry'!V165=6,'School Profile'!$I$14,"")))))))</f>
        <v/>
      </c>
      <c r="AN165" s="68" t="str">
        <f>IF('Marks Entry'!W165="","",'Marks Entry'!W165)</f>
        <v/>
      </c>
      <c r="AO165" s="68" t="str">
        <f>IF('Marks Entry'!X165="","",'Marks Entry'!X165)</f>
        <v/>
      </c>
      <c r="AP165" s="68" t="str">
        <f>IF('Marks Entry'!Y165="","",'Marks Entry'!Y165)</f>
        <v/>
      </c>
      <c r="AQ165" s="514" t="str">
        <f t="shared" si="351"/>
        <v/>
      </c>
      <c r="AR165" s="68" t="str">
        <f>IF('Marks Entry'!Z165="","",'Marks Entry'!Z165)</f>
        <v/>
      </c>
      <c r="AS165" s="515" t="str">
        <f t="shared" si="352"/>
        <v/>
      </c>
      <c r="AT165" s="68" t="str">
        <f>IF('Marks Entry'!AA165="","",'Marks Entry'!AA165)</f>
        <v/>
      </c>
      <c r="AU165" s="96" t="str">
        <f t="shared" si="353"/>
        <v/>
      </c>
      <c r="AV165" s="65">
        <f t="shared" si="354"/>
        <v>0</v>
      </c>
      <c r="AW165" s="65">
        <f t="shared" si="355"/>
        <v>0</v>
      </c>
      <c r="AX165" s="66" t="str">
        <f t="shared" si="356"/>
        <v/>
      </c>
      <c r="AY165" s="65" t="str">
        <f t="shared" si="357"/>
        <v/>
      </c>
      <c r="AZ165" s="65" t="str">
        <f t="shared" si="358"/>
        <v/>
      </c>
      <c r="BA165" s="65" t="str">
        <f t="shared" si="359"/>
        <v/>
      </c>
      <c r="BB165" s="68" t="str">
        <f>IF('Marks Entry'!AB165="","",'Marks Entry'!AB165)</f>
        <v/>
      </c>
      <c r="BC165" s="68" t="str">
        <f>IF('Marks Entry'!AC165="","",'Marks Entry'!AC165)</f>
        <v/>
      </c>
      <c r="BD165" s="68" t="str">
        <f>IF('Marks Entry'!AD165="","",'Marks Entry'!AD165)</f>
        <v/>
      </c>
      <c r="BE165" s="514" t="str">
        <f t="shared" si="360"/>
        <v/>
      </c>
      <c r="BF165" s="68" t="str">
        <f>IF('Marks Entry'!AE165="","",'Marks Entry'!AE165)</f>
        <v/>
      </c>
      <c r="BG165" s="515" t="str">
        <f t="shared" si="361"/>
        <v/>
      </c>
      <c r="BH165" s="68" t="str">
        <f>IF('Marks Entry'!AF165="","",'Marks Entry'!AF165)</f>
        <v/>
      </c>
      <c r="BI165" s="96" t="str">
        <f t="shared" si="362"/>
        <v/>
      </c>
      <c r="BJ165" s="65">
        <f t="shared" si="363"/>
        <v>0</v>
      </c>
      <c r="BK165" s="65">
        <f t="shared" si="431"/>
        <v>0</v>
      </c>
      <c r="BL165" s="66" t="str">
        <f t="shared" si="364"/>
        <v/>
      </c>
      <c r="BM165" s="65" t="str">
        <f t="shared" si="365"/>
        <v/>
      </c>
      <c r="BN165" s="65" t="str">
        <f t="shared" si="366"/>
        <v/>
      </c>
      <c r="BO165" s="65" t="str">
        <f t="shared" si="367"/>
        <v/>
      </c>
      <c r="BP165" s="68" t="str">
        <f>IF('Marks Entry'!AG165="","",'Marks Entry'!AG165)</f>
        <v/>
      </c>
      <c r="BQ165" s="68" t="str">
        <f>IF('Marks Entry'!AH165="","",'Marks Entry'!AH165)</f>
        <v/>
      </c>
      <c r="BR165" s="68" t="str">
        <f>IF('Marks Entry'!AI165="","",'Marks Entry'!AI165)</f>
        <v/>
      </c>
      <c r="BS165" s="514" t="str">
        <f t="shared" si="368"/>
        <v/>
      </c>
      <c r="BT165" s="68" t="str">
        <f>IF('Marks Entry'!AJ165="","",'Marks Entry'!AJ165)</f>
        <v/>
      </c>
      <c r="BU165" s="515" t="str">
        <f t="shared" si="369"/>
        <v/>
      </c>
      <c r="BV165" s="68" t="str">
        <f>IF('Marks Entry'!AK165="","",'Marks Entry'!AK165)</f>
        <v/>
      </c>
      <c r="BW165" s="96" t="str">
        <f t="shared" si="370"/>
        <v/>
      </c>
      <c r="BX165" s="65">
        <f t="shared" si="371"/>
        <v>0</v>
      </c>
      <c r="BY165" s="65">
        <f t="shared" si="372"/>
        <v>0</v>
      </c>
      <c r="BZ165" s="66" t="str">
        <f t="shared" si="373"/>
        <v/>
      </c>
      <c r="CA165" s="65" t="str">
        <f t="shared" si="374"/>
        <v/>
      </c>
      <c r="CB165" s="65" t="str">
        <f t="shared" si="375"/>
        <v/>
      </c>
      <c r="CC165" s="65" t="str">
        <f t="shared" si="376"/>
        <v/>
      </c>
      <c r="CD165" s="66">
        <f t="shared" si="377"/>
        <v>0</v>
      </c>
      <c r="CE165" s="68" t="str">
        <f>IF('Marks Entry'!AL165="","",'Marks Entry'!AL165)</f>
        <v/>
      </c>
      <c r="CF165" s="68" t="str">
        <f>IF('Marks Entry'!AM165="","",'Marks Entry'!AM165)</f>
        <v/>
      </c>
      <c r="CG165" s="68" t="str">
        <f>IF('Marks Entry'!AN165="","",'Marks Entry'!AN165)</f>
        <v/>
      </c>
      <c r="CH165" s="514" t="str">
        <f t="shared" si="378"/>
        <v/>
      </c>
      <c r="CI165" s="68" t="str">
        <f>IF('Marks Entry'!AO165="","",'Marks Entry'!AO165)</f>
        <v/>
      </c>
      <c r="CJ165" s="515" t="str">
        <f t="shared" si="379"/>
        <v/>
      </c>
      <c r="CK165" s="68" t="str">
        <f>IF('Marks Entry'!AP165="","",'Marks Entry'!AP165)</f>
        <v/>
      </c>
      <c r="CL165" s="96" t="str">
        <f t="shared" si="380"/>
        <v/>
      </c>
      <c r="CM165" s="65">
        <f t="shared" si="381"/>
        <v>0</v>
      </c>
      <c r="CN165" s="65">
        <f t="shared" si="382"/>
        <v>0</v>
      </c>
      <c r="CO165" s="66" t="str">
        <f t="shared" si="383"/>
        <v/>
      </c>
      <c r="CP165" s="65" t="str">
        <f t="shared" si="384"/>
        <v/>
      </c>
      <c r="CQ165" s="65" t="str">
        <f t="shared" si="385"/>
        <v/>
      </c>
      <c r="CR165" s="65" t="str">
        <f t="shared" si="386"/>
        <v/>
      </c>
      <c r="CS165" s="616"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8" t="str">
        <f>IF('School Profile'!$D$20="NO","",IF('Marks Entry'!AR165="","",'Marks Entry'!AR165))</f>
        <v/>
      </c>
      <c r="CU165" s="68" t="str">
        <f>IF('School Profile'!$D$20="NO","",IF('Marks Entry'!AS165="","",'Marks Entry'!AS165))</f>
        <v/>
      </c>
      <c r="CV165" s="68" t="str">
        <f>IF('School Profile'!$D$20="NO","",IF('Marks Entry'!AT165="","",'Marks Entry'!AT165))</f>
        <v/>
      </c>
      <c r="CW165" s="514" t="str">
        <f>IF('School Profile'!$D$20="NO","",IF(AND(CT165="",CU165="",CV165=""),"",SUM(CT165:CV165)))</f>
        <v/>
      </c>
      <c r="CX165" s="68" t="str">
        <f>IF('School Profile'!$D$20="NO","",IF('Marks Entry'!AU165="","",'Marks Entry'!AU165))</f>
        <v/>
      </c>
      <c r="CY165" s="68" t="str">
        <f>IF('School Profile'!$D$20="NO","",IF('Marks Entry'!AV165="","",'Marks Entry'!AV165))</f>
        <v/>
      </c>
      <c r="CZ165" s="515" t="str">
        <f>IF('School Profile'!$D$20="NO","",IF(AND(CX165="",CY165=""),"",SUM(CX165,CY165)))</f>
        <v/>
      </c>
      <c r="DA165" s="69" t="str">
        <f>IF('School Profile'!$D$20="NO","",IF(AND(CW165="",CZ165=""),"",SUM(CW165+CZ165)))</f>
        <v/>
      </c>
      <c r="DB165" s="68" t="str">
        <f>IF('School Profile'!$D$20="NO","",IF('Marks Entry'!AW165="","",'Marks Entry'!AW165))</f>
        <v/>
      </c>
      <c r="DC165" s="68" t="str">
        <f>IF('School Profile'!$D$20="NO","",IF('Marks Entry'!AX165="","",'Marks Entry'!AX165))</f>
        <v/>
      </c>
      <c r="DD165" s="515" t="str">
        <f>IF('School Profile'!$D$20="NO","",IF(AND(DB165="",DC165=""),"",SUM(DB165,DC165)))</f>
        <v/>
      </c>
      <c r="DE165" s="96" t="str">
        <f>IF('School Profile'!$D$20="NO","",IF(AND(DA165="",DD165=""),"",SUM(DA165,DD165)))</f>
        <v/>
      </c>
      <c r="DF165" s="532">
        <f t="shared" si="387"/>
        <v>0</v>
      </c>
      <c r="DG165" s="65">
        <f t="shared" si="388"/>
        <v>0</v>
      </c>
      <c r="DH165" s="66" t="str">
        <f t="shared" si="389"/>
        <v/>
      </c>
      <c r="DI165" s="65" t="str">
        <f t="shared" si="390"/>
        <v/>
      </c>
      <c r="DJ165" s="65" t="str">
        <f t="shared" si="391"/>
        <v/>
      </c>
      <c r="DK165" s="65" t="str">
        <f t="shared" si="392"/>
        <v/>
      </c>
      <c r="DL165" s="97" t="str">
        <f t="shared" si="432"/>
        <v/>
      </c>
      <c r="DM165" s="97" t="str">
        <f t="shared" si="433"/>
        <v/>
      </c>
      <c r="DN165" s="97" t="str">
        <f t="shared" si="434"/>
        <v/>
      </c>
      <c r="DO165" s="97" t="str">
        <f t="shared" si="435"/>
        <v/>
      </c>
      <c r="DP165" s="97" t="str">
        <f t="shared" si="436"/>
        <v/>
      </c>
      <c r="DQ165" s="97" t="str">
        <f t="shared" si="437"/>
        <v/>
      </c>
      <c r="DR165" s="97" t="str">
        <f t="shared" si="438"/>
        <v/>
      </c>
      <c r="DS165" s="98">
        <f t="shared" si="439"/>
        <v>0</v>
      </c>
      <c r="DT165" s="98">
        <f t="shared" si="440"/>
        <v>0</v>
      </c>
      <c r="DU165" s="98">
        <f t="shared" si="441"/>
        <v>0</v>
      </c>
      <c r="DV165" s="98">
        <f t="shared" si="442"/>
        <v>0</v>
      </c>
      <c r="DW165" s="98">
        <f t="shared" si="443"/>
        <v>0</v>
      </c>
      <c r="DX165" s="98" t="str">
        <f t="shared" si="444"/>
        <v/>
      </c>
      <c r="DY165" s="99" t="str">
        <f t="shared" si="445"/>
        <v/>
      </c>
      <c r="DZ165" s="74" t="str">
        <f>IF('Marks Entry'!AY165="","",'Marks Entry'!AY165)</f>
        <v/>
      </c>
      <c r="EA165" s="74" t="str">
        <f>IF('Marks Entry'!AZ165="","",'Marks Entry'!AZ165)</f>
        <v/>
      </c>
      <c r="EB165" s="74" t="str">
        <f>IF('Marks Entry'!BA165="","",'Marks Entry'!BA165)</f>
        <v/>
      </c>
      <c r="EC165" s="527" t="str">
        <f t="shared" si="393"/>
        <v/>
      </c>
      <c r="ED165" s="74" t="str">
        <f>IF('Marks Entry'!BB165="","",'Marks Entry'!BB165)</f>
        <v/>
      </c>
      <c r="EE165" s="528" t="str">
        <f t="shared" si="394"/>
        <v/>
      </c>
      <c r="EF165" s="74" t="str">
        <f>IF('Marks Entry'!BC165="","",'Marks Entry'!BC165)</f>
        <v/>
      </c>
      <c r="EG165" s="530" t="str">
        <f t="shared" si="395"/>
        <v/>
      </c>
      <c r="EH165" s="368" t="str">
        <f t="shared" si="446"/>
        <v/>
      </c>
      <c r="EI165" s="65">
        <f t="shared" si="447"/>
        <v>0</v>
      </c>
      <c r="EJ165" s="65">
        <f t="shared" si="448"/>
        <v>0</v>
      </c>
      <c r="EK165" s="66" t="str">
        <f t="shared" si="449"/>
        <v/>
      </c>
      <c r="EL165" s="74" t="str">
        <f>IF('Marks Entry'!BD165="","",'Marks Entry'!BD165)</f>
        <v/>
      </c>
      <c r="EM165" s="74" t="str">
        <f>IF('Marks Entry'!BE165="","",'Marks Entry'!BE165)</f>
        <v/>
      </c>
      <c r="EN165" s="74" t="str">
        <f>IF('Marks Entry'!BF165="","",'Marks Entry'!BF165)</f>
        <v/>
      </c>
      <c r="EO165" s="527" t="str">
        <f t="shared" si="396"/>
        <v/>
      </c>
      <c r="EP165" s="74" t="str">
        <f>IF('Marks Entry'!BG165="","",'Marks Entry'!BG165)</f>
        <v/>
      </c>
      <c r="EQ165" s="74" t="str">
        <f>IF('Marks Entry'!BH165="","",'Marks Entry'!BH165)</f>
        <v/>
      </c>
      <c r="ER165" s="528" t="str">
        <f t="shared" si="397"/>
        <v/>
      </c>
      <c r="ES165" s="529" t="str">
        <f t="shared" si="398"/>
        <v/>
      </c>
      <c r="ET165" s="74" t="str">
        <f>IF('Marks Entry'!BI165="","",'Marks Entry'!BI165)</f>
        <v/>
      </c>
      <c r="EU165" s="74" t="str">
        <f>IF('Marks Entry'!BJ165="","",'Marks Entry'!BJ165)</f>
        <v/>
      </c>
      <c r="EV165" s="528" t="str">
        <f t="shared" si="399"/>
        <v/>
      </c>
      <c r="EW165" s="530" t="str">
        <f t="shared" si="400"/>
        <v/>
      </c>
      <c r="EX165" s="368" t="str">
        <f t="shared" si="450"/>
        <v/>
      </c>
      <c r="EY165" s="65">
        <f t="shared" si="451"/>
        <v>0</v>
      </c>
      <c r="EZ165" s="65">
        <f t="shared" si="452"/>
        <v>0</v>
      </c>
      <c r="FA165" s="66" t="str">
        <f t="shared" si="453"/>
        <v/>
      </c>
      <c r="FB165" s="74" t="str">
        <f>IF('Marks Entry'!BK165="","",'Marks Entry'!BK165)</f>
        <v/>
      </c>
      <c r="FC165" s="74" t="str">
        <f>IF('Marks Entry'!BL165="","",'Marks Entry'!BL165)</f>
        <v/>
      </c>
      <c r="FD165" s="74" t="str">
        <f>IF('Marks Entry'!BM165="","",'Marks Entry'!BM165)</f>
        <v/>
      </c>
      <c r="FE165" s="74" t="str">
        <f>IF('Marks Entry'!BN165="","",'Marks Entry'!BN165)</f>
        <v/>
      </c>
      <c r="FF165" s="74" t="str">
        <f>IF('Marks Entry'!BO165="","",'Marks Entry'!BO165)</f>
        <v/>
      </c>
      <c r="FG165" s="74" t="str">
        <f>IF('Marks Entry'!BP165="","",'Marks Entry'!BP165)</f>
        <v/>
      </c>
      <c r="FH165" s="527" t="str">
        <f t="shared" si="401"/>
        <v/>
      </c>
      <c r="FI165" s="74" t="str">
        <f>IF('Marks Entry'!BQ165="","",'Marks Entry'!BQ165)</f>
        <v/>
      </c>
      <c r="FJ165" s="74" t="str">
        <f>IF('Marks Entry'!BR165="","",'Marks Entry'!BR165)</f>
        <v/>
      </c>
      <c r="FK165" s="528" t="str">
        <f t="shared" si="402"/>
        <v/>
      </c>
      <c r="FL165" s="529" t="str">
        <f t="shared" si="403"/>
        <v/>
      </c>
      <c r="FM165" s="74" t="str">
        <f>IF('Marks Entry'!BS165="","",'Marks Entry'!BS165)</f>
        <v/>
      </c>
      <c r="FN165" s="74" t="str">
        <f>IF('Marks Entry'!BT165="","",'Marks Entry'!BT165)</f>
        <v/>
      </c>
      <c r="FO165" s="528" t="str">
        <f t="shared" si="404"/>
        <v/>
      </c>
      <c r="FP165" s="530" t="str">
        <f t="shared" si="405"/>
        <v/>
      </c>
      <c r="FQ165" s="368" t="str">
        <f t="shared" si="454"/>
        <v/>
      </c>
      <c r="FR165" s="65">
        <f t="shared" si="455"/>
        <v>0</v>
      </c>
      <c r="FS165" s="65">
        <f t="shared" si="456"/>
        <v>0</v>
      </c>
      <c r="FT165" s="66" t="str">
        <f t="shared" si="457"/>
        <v/>
      </c>
      <c r="FU165" s="74" t="str">
        <f>IF('Marks Entry'!BU165="","",'Marks Entry'!BU165)</f>
        <v/>
      </c>
      <c r="FV165" s="74" t="str">
        <f>IF('Marks Entry'!BV165="","",'Marks Entry'!BV165)</f>
        <v/>
      </c>
      <c r="FW165" s="74" t="str">
        <f>IF('Marks Entry'!BW165="","",'Marks Entry'!BW165)</f>
        <v/>
      </c>
      <c r="FX165" s="75" t="str">
        <f t="shared" si="406"/>
        <v/>
      </c>
      <c r="FY165" s="368" t="str">
        <f t="shared" si="458"/>
        <v/>
      </c>
      <c r="FZ165" s="65">
        <f t="shared" si="459"/>
        <v>0</v>
      </c>
      <c r="GA165" s="66">
        <f t="shared" si="460"/>
        <v>0</v>
      </c>
      <c r="GB165" s="66" t="str">
        <f t="shared" si="461"/>
        <v/>
      </c>
      <c r="GC165" s="74" t="str">
        <f>IF('Marks Entry'!BX165="","",'Marks Entry'!BX165)</f>
        <v/>
      </c>
      <c r="GD165" s="74" t="str">
        <f>IF('Marks Entry'!BY165="","",'Marks Entry'!BY165)</f>
        <v/>
      </c>
      <c r="GE165" s="74" t="str">
        <f>IF('Marks Entry'!BZ165="","",'Marks Entry'!BZ165)</f>
        <v/>
      </c>
      <c r="GF165" s="75" t="str">
        <f t="shared" si="462"/>
        <v/>
      </c>
      <c r="GG165" s="368" t="str">
        <f t="shared" si="463"/>
        <v/>
      </c>
      <c r="GH165" s="65">
        <f t="shared" si="464"/>
        <v>0</v>
      </c>
      <c r="GI165" s="66">
        <f t="shared" si="465"/>
        <v>0</v>
      </c>
      <c r="GJ165" s="66" t="str">
        <f t="shared" si="466"/>
        <v/>
      </c>
      <c r="GK165" s="100" t="str">
        <f>IF(AND(F165="",B165=""),"",IF('Student DATA Entry'!M162="","",'Student DATA Entry'!M162))</f>
        <v/>
      </c>
      <c r="GL165" s="101" t="str">
        <f>IF(AND(B165="",F165=""),"",IF('Student DATA Entry'!N162="","",'Student DATA Entry'!N162))</f>
        <v/>
      </c>
      <c r="GM165" s="581" t="str">
        <f t="shared" si="467"/>
        <v/>
      </c>
      <c r="GN165" s="94" t="str">
        <f t="shared" si="468"/>
        <v/>
      </c>
      <c r="GO165" s="94" t="str">
        <f t="shared" si="469"/>
        <v/>
      </c>
      <c r="GP165" s="102" t="str">
        <f t="shared" si="407"/>
        <v/>
      </c>
      <c r="GQ165" s="94" t="str">
        <f t="shared" si="470"/>
        <v/>
      </c>
      <c r="GR165" s="103" t="str">
        <f t="shared" si="471"/>
        <v/>
      </c>
      <c r="GS165" s="102" t="str">
        <f t="shared" si="408"/>
        <v/>
      </c>
      <c r="GT165" s="104" t="str">
        <f t="shared" si="472"/>
        <v/>
      </c>
      <c r="GU165" s="94" t="str">
        <f>IF('Marks Entry'!V165=1,GT165,"")</f>
        <v/>
      </c>
      <c r="GV165" s="94" t="str">
        <f>IF('Marks Entry'!V165=2,GT165,"")</f>
        <v/>
      </c>
      <c r="GW165" s="94" t="str">
        <f>IF('Marks Entry'!V165=3,GT165,"")</f>
        <v/>
      </c>
      <c r="GX165" s="94" t="str">
        <f>IF('Marks Entry'!V165=4,GT165,"")</f>
        <v/>
      </c>
      <c r="GY165" s="94" t="str">
        <f>IF('Marks Entry'!V165=5,GT165,"")</f>
        <v/>
      </c>
      <c r="GZ165" s="94" t="str">
        <f t="shared" si="473"/>
        <v/>
      </c>
      <c r="HA165" s="105" t="str">
        <f t="shared" si="409"/>
        <v/>
      </c>
      <c r="HB165" s="94" t="str">
        <f t="shared" si="474"/>
        <v/>
      </c>
      <c r="HC165" s="94" t="str">
        <f t="shared" si="475"/>
        <v/>
      </c>
      <c r="HD165" s="105" t="str">
        <f t="shared" si="410"/>
        <v/>
      </c>
      <c r="HE165" s="94" t="str">
        <f t="shared" si="476"/>
        <v/>
      </c>
      <c r="HF165" s="94" t="str">
        <f t="shared" si="477"/>
        <v/>
      </c>
      <c r="HG165" s="105" t="str">
        <f t="shared" si="411"/>
        <v/>
      </c>
      <c r="HH165" s="94" t="str">
        <f t="shared" si="478"/>
        <v/>
      </c>
      <c r="HI165" s="94" t="str">
        <f t="shared" si="479"/>
        <v/>
      </c>
      <c r="HJ165" s="105" t="str">
        <f t="shared" si="412"/>
        <v/>
      </c>
      <c r="HK165" s="94" t="str">
        <f t="shared" si="480"/>
        <v/>
      </c>
      <c r="HL165" s="94" t="str">
        <f t="shared" si="481"/>
        <v/>
      </c>
      <c r="HM165" s="105" t="str">
        <f t="shared" si="413"/>
        <v/>
      </c>
      <c r="HN165" s="367" t="str">
        <f t="shared" si="482"/>
        <v xml:space="preserve">      </v>
      </c>
      <c r="HO165" s="418" t="str">
        <f t="shared" si="414"/>
        <v xml:space="preserve">      </v>
      </c>
      <c r="HP165" s="367" t="str">
        <f t="shared" si="483"/>
        <v xml:space="preserve">      </v>
      </c>
      <c r="HQ165" s="107" t="str">
        <f t="shared" si="484"/>
        <v xml:space="preserve">      </v>
      </c>
      <c r="HR165" s="366" t="str">
        <f t="shared" si="485"/>
        <v xml:space="preserve">      </v>
      </c>
      <c r="HS165" s="544" t="str">
        <f t="shared" si="415"/>
        <v/>
      </c>
      <c r="HT165" s="542" t="str">
        <f t="shared" si="486"/>
        <v/>
      </c>
      <c r="HU165" s="541" t="str">
        <f t="shared" si="487"/>
        <v/>
      </c>
      <c r="HV165" s="540" t="str">
        <f t="shared" si="488"/>
        <v/>
      </c>
      <c r="HW165" s="537" t="str">
        <f t="shared" si="489"/>
        <v/>
      </c>
      <c r="HX165" s="539" t="str">
        <f t="shared" si="490"/>
        <v/>
      </c>
      <c r="HY165" s="553" t="str">
        <f>IFERROR(IF(OR(HS165="SUPPLEMENTARY",HS165="RE-EXAM"),'Supp. Result Entry'!AQ163,""),"")</f>
        <v/>
      </c>
      <c r="HZ165" s="538" t="str">
        <f t="shared" si="491"/>
        <v/>
      </c>
      <c r="IA165" s="415" t="str">
        <f t="shared" si="492"/>
        <v/>
      </c>
      <c r="IB165" s="415" t="str">
        <f>IF(AND(HZ165="",IA165=""),"",IF(OR(HS165="SUPPLEMENTARY",HS165="RE-EXAM"),'Supp. Result Entry'!AQ163,HS165))</f>
        <v/>
      </c>
      <c r="IC165" s="87"/>
      <c r="IS165" s="109" t="str">
        <f>IF('Supp. Result Entry'!T163="","",'Supp. Result Entry'!$T$4)</f>
        <v/>
      </c>
      <c r="IT165" s="110" t="str">
        <f>IF('Supp. Result Entry'!W163="","",'Supp. Result Entry'!$W$4)</f>
        <v/>
      </c>
      <c r="IU165" s="110" t="str">
        <f>IF('Supp. Result Entry'!Z163="","",'Supp. Result Entry'!$Z$4)</f>
        <v/>
      </c>
      <c r="IV165" s="110" t="str">
        <f>IF('Supp. Result Entry'!AC163="","",'Supp. Result Entry'!$AC$4)</f>
        <v/>
      </c>
      <c r="IW165" s="110" t="str">
        <f>IF('Supp. Result Entry'!AF163="","",'Supp. Result Entry'!$AF$4)</f>
        <v/>
      </c>
      <c r="IX165" s="110" t="str">
        <f>IF('Supp. Result Entry'!AI163="","",'Supp. Result Entry'!$AI$4)</f>
        <v/>
      </c>
      <c r="IY165" s="110" t="str">
        <f>IF('Supp. Result Entry'!AI163="","",'Supp. Result Entry'!$AL$4)</f>
        <v/>
      </c>
      <c r="IZ165" s="110" t="str">
        <f>IF('Supp. Result Entry'!U163="","",'Supp. Result Entry'!U163)</f>
        <v/>
      </c>
      <c r="JA165" s="110" t="str">
        <f>IF('Supp. Result Entry'!X163="","",'Supp. Result Entry'!X163)</f>
        <v/>
      </c>
      <c r="JB165" s="110" t="str">
        <f>IF('Supp. Result Entry'!AA163="","",'Supp. Result Entry'!AA163)</f>
        <v/>
      </c>
      <c r="JC165" s="110" t="str">
        <f>IF('Supp. Result Entry'!AD163="","",'Supp. Result Entry'!AD163)</f>
        <v/>
      </c>
      <c r="JD165" s="110" t="str">
        <f>IF('Supp. Result Entry'!AG163="","",'Supp. Result Entry'!AG163)</f>
        <v/>
      </c>
      <c r="JE165" s="110" t="str">
        <f>IF('Supp. Result Entry'!AJ163="","",'Supp. Result Entry'!AJ163)</f>
        <v/>
      </c>
      <c r="JF165" s="110" t="str">
        <f>IF('Supp. Result Entry'!AM163="","",'Supp. Result Entry'!AM163)</f>
        <v/>
      </c>
      <c r="JG165" s="110" t="str">
        <f>IF('Supp. Result Entry'!V163="","",'Supp. Result Entry'!V163)</f>
        <v/>
      </c>
      <c r="JH165" s="110" t="str">
        <f>IF('Supp. Result Entry'!Y163="","",'Supp. Result Entry'!Y163)</f>
        <v/>
      </c>
      <c r="JI165" s="110" t="str">
        <f>IF('Supp. Result Entry'!AB163="","",'Supp. Result Entry'!AB163)</f>
        <v/>
      </c>
      <c r="JJ165" s="110" t="str">
        <f>IF('Supp. Result Entry'!AE163="","",'Supp. Result Entry'!AE163)</f>
        <v/>
      </c>
      <c r="JK165" s="110" t="str">
        <f>IF('Supp. Result Entry'!AH163="","",'Supp. Result Entry'!AH163)</f>
        <v/>
      </c>
      <c r="JL165" s="110" t="str">
        <f>IF('Supp. Result Entry'!AK163="","",'Supp. Result Entry'!AK163)</f>
        <v/>
      </c>
      <c r="JM165" s="110" t="str">
        <f>IF('Supp. Result Entry'!AN163="","",'Supp. Result Entry'!AN163)</f>
        <v/>
      </c>
      <c r="JN165" s="110">
        <f>COUNTIF('Supp. Result Entry'!K163:Q163,"S")</f>
        <v>0</v>
      </c>
      <c r="JO165" s="110">
        <f t="shared" si="416"/>
        <v>0</v>
      </c>
      <c r="JP165" s="110">
        <f t="shared" si="493"/>
        <v>0</v>
      </c>
      <c r="JQ165" s="110" t="str">
        <f t="shared" si="417"/>
        <v/>
      </c>
      <c r="JR165" s="110" t="str">
        <f t="shared" si="418"/>
        <v/>
      </c>
      <c r="JS165" s="110" t="str">
        <f t="shared" si="419"/>
        <v/>
      </c>
      <c r="JT165" s="110" t="str">
        <f t="shared" si="420"/>
        <v/>
      </c>
      <c r="JU165" s="110" t="str">
        <f t="shared" si="421"/>
        <v/>
      </c>
      <c r="JV165" s="110" t="str">
        <f t="shared" si="422"/>
        <v/>
      </c>
      <c r="JW165" s="110" t="str">
        <f t="shared" si="423"/>
        <v/>
      </c>
      <c r="JX165" s="110" t="str">
        <f t="shared" si="494"/>
        <v/>
      </c>
      <c r="JY165" s="110" t="str">
        <f t="shared" si="495"/>
        <v/>
      </c>
      <c r="JZ165" s="110" t="str">
        <f t="shared" si="424"/>
        <v/>
      </c>
      <c r="KA165" s="108" t="str">
        <f t="shared" si="496"/>
        <v/>
      </c>
    </row>
    <row r="166" spans="1:287" s="108" customFormat="1" ht="21.95" customHeight="1">
      <c r="A166" s="89">
        <v>160</v>
      </c>
      <c r="B166" s="90" t="str">
        <f>IF('Marks Entry'!B166="","",'Marks Entry'!B166)</f>
        <v/>
      </c>
      <c r="C166" s="94" t="str">
        <f>IF('Marks Entry'!D166="","",'Marks Entry'!D166)</f>
        <v/>
      </c>
      <c r="D166" s="91" t="str">
        <f>IF('Marks Entry'!E166="","",'Marks Entry'!E166)</f>
        <v/>
      </c>
      <c r="E166" s="92" t="str">
        <f>IF('Marks Entry'!F166="","",'Marks Entry'!F166)</f>
        <v/>
      </c>
      <c r="F166" s="93" t="str">
        <f>IF('Marks Entry'!G166="","",'Marks Entry'!G166)</f>
        <v/>
      </c>
      <c r="G166" s="93" t="str">
        <f>IF('Marks Entry'!H166="","",'Marks Entry'!H166)</f>
        <v/>
      </c>
      <c r="H166" s="93" t="str">
        <f>IF('Marks Entry'!I166="","",'Marks Entry'!I166)</f>
        <v/>
      </c>
      <c r="I166" s="94" t="str">
        <f>IF('Marks Entry'!J166="","",'Marks Entry'!J166)</f>
        <v/>
      </c>
      <c r="J166" s="95" t="str">
        <f>IF('Marks Entry'!K166="","",'Marks Entry'!K166)</f>
        <v/>
      </c>
      <c r="K166" s="68" t="str">
        <f>IF('Marks Entry'!L166="","",'Marks Entry'!L166)</f>
        <v/>
      </c>
      <c r="L166" s="68" t="str">
        <f>IF('Marks Entry'!M166="","",'Marks Entry'!M166)</f>
        <v/>
      </c>
      <c r="M166" s="68" t="str">
        <f>IF('Marks Entry'!N166="","",'Marks Entry'!N166)</f>
        <v/>
      </c>
      <c r="N166" s="514" t="str">
        <f t="shared" si="425"/>
        <v/>
      </c>
      <c r="O166" s="68" t="str">
        <f>IF('Marks Entry'!O166="","",'Marks Entry'!O166)</f>
        <v/>
      </c>
      <c r="P166" s="515" t="str">
        <f t="shared" si="426"/>
        <v/>
      </c>
      <c r="Q166" s="68" t="str">
        <f>IF('Marks Entry'!P166="","",'Marks Entry'!P166)</f>
        <v/>
      </c>
      <c r="R166" s="96" t="str">
        <f t="shared" si="427"/>
        <v/>
      </c>
      <c r="S166" s="65">
        <f t="shared" si="428"/>
        <v>0</v>
      </c>
      <c r="T166" s="65">
        <f t="shared" si="429"/>
        <v>0</v>
      </c>
      <c r="U166" s="66" t="str">
        <f t="shared" si="339"/>
        <v/>
      </c>
      <c r="V166" s="65" t="str">
        <f t="shared" si="340"/>
        <v/>
      </c>
      <c r="W166" s="65" t="str">
        <f t="shared" si="430"/>
        <v/>
      </c>
      <c r="X166" s="65" t="str">
        <f t="shared" si="341"/>
        <v/>
      </c>
      <c r="Y166" s="68" t="str">
        <f>IF('Marks Entry'!Q166="","",'Marks Entry'!Q166)</f>
        <v/>
      </c>
      <c r="Z166" s="68" t="str">
        <f>IF('Marks Entry'!R166="","",'Marks Entry'!R166)</f>
        <v/>
      </c>
      <c r="AA166" s="68" t="str">
        <f>IF('Marks Entry'!S166="","",'Marks Entry'!S166)</f>
        <v/>
      </c>
      <c r="AB166" s="514" t="str">
        <f t="shared" si="342"/>
        <v/>
      </c>
      <c r="AC166" s="68" t="str">
        <f>IF('Marks Entry'!T166="","",'Marks Entry'!T166)</f>
        <v/>
      </c>
      <c r="AD166" s="515" t="str">
        <f t="shared" si="343"/>
        <v/>
      </c>
      <c r="AE166" s="68" t="str">
        <f>IF('Marks Entry'!U166="","",'Marks Entry'!U166)</f>
        <v/>
      </c>
      <c r="AF166" s="96" t="str">
        <f t="shared" si="344"/>
        <v/>
      </c>
      <c r="AG166" s="65">
        <f t="shared" si="345"/>
        <v>0</v>
      </c>
      <c r="AH166" s="65">
        <f t="shared" si="346"/>
        <v>0</v>
      </c>
      <c r="AI166" s="66" t="str">
        <f t="shared" si="347"/>
        <v/>
      </c>
      <c r="AJ166" s="65" t="str">
        <f t="shared" si="348"/>
        <v/>
      </c>
      <c r="AK166" s="65" t="str">
        <f t="shared" si="349"/>
        <v/>
      </c>
      <c r="AL166" s="65" t="str">
        <f t="shared" si="350"/>
        <v/>
      </c>
      <c r="AM166" s="524" t="str">
        <f>IF('Marks Entry'!V166="","",IF('Marks Entry'!V166=1,'School Profile'!$I$9,IF('Marks Entry'!V166=2,'School Profile'!$I$10,IF('Marks Entry'!V166=3,'School Profile'!$I$11,IF('Marks Entry'!V166=4,'School Profile'!$I$12,IF('Marks Entry'!V166=5,'School Profile'!$I$13,IF('Marks Entry'!V166=6,'School Profile'!$I$14,"")))))))</f>
        <v/>
      </c>
      <c r="AN166" s="68" t="str">
        <f>IF('Marks Entry'!W166="","",'Marks Entry'!W166)</f>
        <v/>
      </c>
      <c r="AO166" s="68" t="str">
        <f>IF('Marks Entry'!X166="","",'Marks Entry'!X166)</f>
        <v/>
      </c>
      <c r="AP166" s="68" t="str">
        <f>IF('Marks Entry'!Y166="","",'Marks Entry'!Y166)</f>
        <v/>
      </c>
      <c r="AQ166" s="514" t="str">
        <f t="shared" si="351"/>
        <v/>
      </c>
      <c r="AR166" s="68" t="str">
        <f>IF('Marks Entry'!Z166="","",'Marks Entry'!Z166)</f>
        <v/>
      </c>
      <c r="AS166" s="515" t="str">
        <f t="shared" si="352"/>
        <v/>
      </c>
      <c r="AT166" s="68" t="str">
        <f>IF('Marks Entry'!AA166="","",'Marks Entry'!AA166)</f>
        <v/>
      </c>
      <c r="AU166" s="96" t="str">
        <f t="shared" si="353"/>
        <v/>
      </c>
      <c r="AV166" s="65">
        <f t="shared" si="354"/>
        <v>0</v>
      </c>
      <c r="AW166" s="65">
        <f t="shared" si="355"/>
        <v>0</v>
      </c>
      <c r="AX166" s="66" t="str">
        <f t="shared" si="356"/>
        <v/>
      </c>
      <c r="AY166" s="65" t="str">
        <f t="shared" si="357"/>
        <v/>
      </c>
      <c r="AZ166" s="65" t="str">
        <f t="shared" si="358"/>
        <v/>
      </c>
      <c r="BA166" s="65" t="str">
        <f t="shared" si="359"/>
        <v/>
      </c>
      <c r="BB166" s="68" t="str">
        <f>IF('Marks Entry'!AB166="","",'Marks Entry'!AB166)</f>
        <v/>
      </c>
      <c r="BC166" s="68" t="str">
        <f>IF('Marks Entry'!AC166="","",'Marks Entry'!AC166)</f>
        <v/>
      </c>
      <c r="BD166" s="68" t="str">
        <f>IF('Marks Entry'!AD166="","",'Marks Entry'!AD166)</f>
        <v/>
      </c>
      <c r="BE166" s="514" t="str">
        <f t="shared" si="360"/>
        <v/>
      </c>
      <c r="BF166" s="68" t="str">
        <f>IF('Marks Entry'!AE166="","",'Marks Entry'!AE166)</f>
        <v/>
      </c>
      <c r="BG166" s="515" t="str">
        <f t="shared" si="361"/>
        <v/>
      </c>
      <c r="BH166" s="68" t="str">
        <f>IF('Marks Entry'!AF166="","",'Marks Entry'!AF166)</f>
        <v/>
      </c>
      <c r="BI166" s="96" t="str">
        <f t="shared" si="362"/>
        <v/>
      </c>
      <c r="BJ166" s="65">
        <f t="shared" si="363"/>
        <v>0</v>
      </c>
      <c r="BK166" s="65">
        <f t="shared" si="431"/>
        <v>0</v>
      </c>
      <c r="BL166" s="66" t="str">
        <f t="shared" si="364"/>
        <v/>
      </c>
      <c r="BM166" s="65" t="str">
        <f t="shared" si="365"/>
        <v/>
      </c>
      <c r="BN166" s="65" t="str">
        <f t="shared" si="366"/>
        <v/>
      </c>
      <c r="BO166" s="65" t="str">
        <f t="shared" si="367"/>
        <v/>
      </c>
      <c r="BP166" s="68" t="str">
        <f>IF('Marks Entry'!AG166="","",'Marks Entry'!AG166)</f>
        <v/>
      </c>
      <c r="BQ166" s="68" t="str">
        <f>IF('Marks Entry'!AH166="","",'Marks Entry'!AH166)</f>
        <v/>
      </c>
      <c r="BR166" s="68" t="str">
        <f>IF('Marks Entry'!AI166="","",'Marks Entry'!AI166)</f>
        <v/>
      </c>
      <c r="BS166" s="514" t="str">
        <f t="shared" si="368"/>
        <v/>
      </c>
      <c r="BT166" s="68" t="str">
        <f>IF('Marks Entry'!AJ166="","",'Marks Entry'!AJ166)</f>
        <v/>
      </c>
      <c r="BU166" s="515" t="str">
        <f t="shared" si="369"/>
        <v/>
      </c>
      <c r="BV166" s="68" t="str">
        <f>IF('Marks Entry'!AK166="","",'Marks Entry'!AK166)</f>
        <v/>
      </c>
      <c r="BW166" s="96" t="str">
        <f t="shared" si="370"/>
        <v/>
      </c>
      <c r="BX166" s="65">
        <f t="shared" si="371"/>
        <v>0</v>
      </c>
      <c r="BY166" s="65">
        <f t="shared" si="372"/>
        <v>0</v>
      </c>
      <c r="BZ166" s="66" t="str">
        <f t="shared" si="373"/>
        <v/>
      </c>
      <c r="CA166" s="65" t="str">
        <f t="shared" si="374"/>
        <v/>
      </c>
      <c r="CB166" s="65" t="str">
        <f t="shared" si="375"/>
        <v/>
      </c>
      <c r="CC166" s="65" t="str">
        <f t="shared" si="376"/>
        <v/>
      </c>
      <c r="CD166" s="66">
        <f t="shared" si="377"/>
        <v>0</v>
      </c>
      <c r="CE166" s="68" t="str">
        <f>IF('Marks Entry'!AL166="","",'Marks Entry'!AL166)</f>
        <v/>
      </c>
      <c r="CF166" s="68" t="str">
        <f>IF('Marks Entry'!AM166="","",'Marks Entry'!AM166)</f>
        <v/>
      </c>
      <c r="CG166" s="68" t="str">
        <f>IF('Marks Entry'!AN166="","",'Marks Entry'!AN166)</f>
        <v/>
      </c>
      <c r="CH166" s="514" t="str">
        <f t="shared" si="378"/>
        <v/>
      </c>
      <c r="CI166" s="68" t="str">
        <f>IF('Marks Entry'!AO166="","",'Marks Entry'!AO166)</f>
        <v/>
      </c>
      <c r="CJ166" s="515" t="str">
        <f t="shared" si="379"/>
        <v/>
      </c>
      <c r="CK166" s="68" t="str">
        <f>IF('Marks Entry'!AP166="","",'Marks Entry'!AP166)</f>
        <v/>
      </c>
      <c r="CL166" s="96" t="str">
        <f t="shared" si="380"/>
        <v/>
      </c>
      <c r="CM166" s="65">
        <f t="shared" si="381"/>
        <v>0</v>
      </c>
      <c r="CN166" s="65">
        <f t="shared" si="382"/>
        <v>0</v>
      </c>
      <c r="CO166" s="66" t="str">
        <f t="shared" si="383"/>
        <v/>
      </c>
      <c r="CP166" s="65" t="str">
        <f t="shared" si="384"/>
        <v/>
      </c>
      <c r="CQ166" s="65" t="str">
        <f t="shared" si="385"/>
        <v/>
      </c>
      <c r="CR166" s="65" t="str">
        <f t="shared" si="386"/>
        <v/>
      </c>
      <c r="CS166" s="616"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8" t="str">
        <f>IF('School Profile'!$D$20="NO","",IF('Marks Entry'!AR166="","",'Marks Entry'!AR166))</f>
        <v/>
      </c>
      <c r="CU166" s="68" t="str">
        <f>IF('School Profile'!$D$20="NO","",IF('Marks Entry'!AS166="","",'Marks Entry'!AS166))</f>
        <v/>
      </c>
      <c r="CV166" s="68" t="str">
        <f>IF('School Profile'!$D$20="NO","",IF('Marks Entry'!AT166="","",'Marks Entry'!AT166))</f>
        <v/>
      </c>
      <c r="CW166" s="514" t="str">
        <f>IF('School Profile'!$D$20="NO","",IF(AND(CT166="",CU166="",CV166=""),"",SUM(CT166:CV166)))</f>
        <v/>
      </c>
      <c r="CX166" s="68" t="str">
        <f>IF('School Profile'!$D$20="NO","",IF('Marks Entry'!AU166="","",'Marks Entry'!AU166))</f>
        <v/>
      </c>
      <c r="CY166" s="68" t="str">
        <f>IF('School Profile'!$D$20="NO","",IF('Marks Entry'!AV166="","",'Marks Entry'!AV166))</f>
        <v/>
      </c>
      <c r="CZ166" s="515" t="str">
        <f>IF('School Profile'!$D$20="NO","",IF(AND(CX166="",CY166=""),"",SUM(CX166,CY166)))</f>
        <v/>
      </c>
      <c r="DA166" s="69" t="str">
        <f>IF('School Profile'!$D$20="NO","",IF(AND(CW166="",CZ166=""),"",SUM(CW166+CZ166)))</f>
        <v/>
      </c>
      <c r="DB166" s="68" t="str">
        <f>IF('School Profile'!$D$20="NO","",IF('Marks Entry'!AW166="","",'Marks Entry'!AW166))</f>
        <v/>
      </c>
      <c r="DC166" s="68" t="str">
        <f>IF('School Profile'!$D$20="NO","",IF('Marks Entry'!AX166="","",'Marks Entry'!AX166))</f>
        <v/>
      </c>
      <c r="DD166" s="515" t="str">
        <f>IF('School Profile'!$D$20="NO","",IF(AND(DB166="",DC166=""),"",SUM(DB166,DC166)))</f>
        <v/>
      </c>
      <c r="DE166" s="96" t="str">
        <f>IF('School Profile'!$D$20="NO","",IF(AND(DA166="",DD166=""),"",SUM(DA166,DD166)))</f>
        <v/>
      </c>
      <c r="DF166" s="532">
        <f t="shared" si="387"/>
        <v>0</v>
      </c>
      <c r="DG166" s="65">
        <f t="shared" si="388"/>
        <v>0</v>
      </c>
      <c r="DH166" s="66" t="str">
        <f t="shared" si="389"/>
        <v/>
      </c>
      <c r="DI166" s="65" t="str">
        <f t="shared" si="390"/>
        <v/>
      </c>
      <c r="DJ166" s="65" t="str">
        <f t="shared" si="391"/>
        <v/>
      </c>
      <c r="DK166" s="65" t="str">
        <f t="shared" si="392"/>
        <v/>
      </c>
      <c r="DL166" s="97" t="str">
        <f t="shared" si="432"/>
        <v/>
      </c>
      <c r="DM166" s="97" t="str">
        <f t="shared" si="433"/>
        <v/>
      </c>
      <c r="DN166" s="97" t="str">
        <f t="shared" si="434"/>
        <v/>
      </c>
      <c r="DO166" s="97" t="str">
        <f t="shared" si="435"/>
        <v/>
      </c>
      <c r="DP166" s="97" t="str">
        <f t="shared" si="436"/>
        <v/>
      </c>
      <c r="DQ166" s="97" t="str">
        <f t="shared" si="437"/>
        <v/>
      </c>
      <c r="DR166" s="97" t="str">
        <f t="shared" si="438"/>
        <v/>
      </c>
      <c r="DS166" s="98">
        <f t="shared" si="439"/>
        <v>0</v>
      </c>
      <c r="DT166" s="98">
        <f t="shared" si="440"/>
        <v>0</v>
      </c>
      <c r="DU166" s="98">
        <f t="shared" si="441"/>
        <v>0</v>
      </c>
      <c r="DV166" s="98">
        <f t="shared" si="442"/>
        <v>0</v>
      </c>
      <c r="DW166" s="98">
        <f t="shared" si="443"/>
        <v>0</v>
      </c>
      <c r="DX166" s="98" t="str">
        <f t="shared" si="444"/>
        <v/>
      </c>
      <c r="DY166" s="99" t="str">
        <f t="shared" si="445"/>
        <v/>
      </c>
      <c r="DZ166" s="74" t="str">
        <f>IF('Marks Entry'!AY166="","",'Marks Entry'!AY166)</f>
        <v/>
      </c>
      <c r="EA166" s="74" t="str">
        <f>IF('Marks Entry'!AZ166="","",'Marks Entry'!AZ166)</f>
        <v/>
      </c>
      <c r="EB166" s="74" t="str">
        <f>IF('Marks Entry'!BA166="","",'Marks Entry'!BA166)</f>
        <v/>
      </c>
      <c r="EC166" s="527" t="str">
        <f t="shared" si="393"/>
        <v/>
      </c>
      <c r="ED166" s="74" t="str">
        <f>IF('Marks Entry'!BB166="","",'Marks Entry'!BB166)</f>
        <v/>
      </c>
      <c r="EE166" s="528" t="str">
        <f t="shared" si="394"/>
        <v/>
      </c>
      <c r="EF166" s="74" t="str">
        <f>IF('Marks Entry'!BC166="","",'Marks Entry'!BC166)</f>
        <v/>
      </c>
      <c r="EG166" s="530" t="str">
        <f t="shared" si="395"/>
        <v/>
      </c>
      <c r="EH166" s="368" t="str">
        <f t="shared" si="446"/>
        <v/>
      </c>
      <c r="EI166" s="65">
        <f t="shared" si="447"/>
        <v>0</v>
      </c>
      <c r="EJ166" s="65">
        <f t="shared" si="448"/>
        <v>0</v>
      </c>
      <c r="EK166" s="66" t="str">
        <f t="shared" si="449"/>
        <v/>
      </c>
      <c r="EL166" s="74" t="str">
        <f>IF('Marks Entry'!BD166="","",'Marks Entry'!BD166)</f>
        <v/>
      </c>
      <c r="EM166" s="74" t="str">
        <f>IF('Marks Entry'!BE166="","",'Marks Entry'!BE166)</f>
        <v/>
      </c>
      <c r="EN166" s="74" t="str">
        <f>IF('Marks Entry'!BF166="","",'Marks Entry'!BF166)</f>
        <v/>
      </c>
      <c r="EO166" s="527" t="str">
        <f t="shared" si="396"/>
        <v/>
      </c>
      <c r="EP166" s="74" t="str">
        <f>IF('Marks Entry'!BG166="","",'Marks Entry'!BG166)</f>
        <v/>
      </c>
      <c r="EQ166" s="74" t="str">
        <f>IF('Marks Entry'!BH166="","",'Marks Entry'!BH166)</f>
        <v/>
      </c>
      <c r="ER166" s="528" t="str">
        <f t="shared" si="397"/>
        <v/>
      </c>
      <c r="ES166" s="529" t="str">
        <f t="shared" si="398"/>
        <v/>
      </c>
      <c r="ET166" s="74" t="str">
        <f>IF('Marks Entry'!BI166="","",'Marks Entry'!BI166)</f>
        <v/>
      </c>
      <c r="EU166" s="74" t="str">
        <f>IF('Marks Entry'!BJ166="","",'Marks Entry'!BJ166)</f>
        <v/>
      </c>
      <c r="EV166" s="528" t="str">
        <f t="shared" si="399"/>
        <v/>
      </c>
      <c r="EW166" s="530" t="str">
        <f t="shared" si="400"/>
        <v/>
      </c>
      <c r="EX166" s="368" t="str">
        <f t="shared" si="450"/>
        <v/>
      </c>
      <c r="EY166" s="65">
        <f t="shared" si="451"/>
        <v>0</v>
      </c>
      <c r="EZ166" s="65">
        <f t="shared" si="452"/>
        <v>0</v>
      </c>
      <c r="FA166" s="66" t="str">
        <f t="shared" si="453"/>
        <v/>
      </c>
      <c r="FB166" s="74" t="str">
        <f>IF('Marks Entry'!BK166="","",'Marks Entry'!BK166)</f>
        <v/>
      </c>
      <c r="FC166" s="74" t="str">
        <f>IF('Marks Entry'!BL166="","",'Marks Entry'!BL166)</f>
        <v/>
      </c>
      <c r="FD166" s="74" t="str">
        <f>IF('Marks Entry'!BM166="","",'Marks Entry'!BM166)</f>
        <v/>
      </c>
      <c r="FE166" s="74" t="str">
        <f>IF('Marks Entry'!BN166="","",'Marks Entry'!BN166)</f>
        <v/>
      </c>
      <c r="FF166" s="74" t="str">
        <f>IF('Marks Entry'!BO166="","",'Marks Entry'!BO166)</f>
        <v/>
      </c>
      <c r="FG166" s="74" t="str">
        <f>IF('Marks Entry'!BP166="","",'Marks Entry'!BP166)</f>
        <v/>
      </c>
      <c r="FH166" s="527" t="str">
        <f t="shared" si="401"/>
        <v/>
      </c>
      <c r="FI166" s="74" t="str">
        <f>IF('Marks Entry'!BQ166="","",'Marks Entry'!BQ166)</f>
        <v/>
      </c>
      <c r="FJ166" s="74" t="str">
        <f>IF('Marks Entry'!BR166="","",'Marks Entry'!BR166)</f>
        <v/>
      </c>
      <c r="FK166" s="528" t="str">
        <f t="shared" si="402"/>
        <v/>
      </c>
      <c r="FL166" s="529" t="str">
        <f t="shared" si="403"/>
        <v/>
      </c>
      <c r="FM166" s="74" t="str">
        <f>IF('Marks Entry'!BS166="","",'Marks Entry'!BS166)</f>
        <v/>
      </c>
      <c r="FN166" s="74" t="str">
        <f>IF('Marks Entry'!BT166="","",'Marks Entry'!BT166)</f>
        <v/>
      </c>
      <c r="FO166" s="528" t="str">
        <f t="shared" si="404"/>
        <v/>
      </c>
      <c r="FP166" s="530" t="str">
        <f t="shared" si="405"/>
        <v/>
      </c>
      <c r="FQ166" s="368" t="str">
        <f t="shared" si="454"/>
        <v/>
      </c>
      <c r="FR166" s="65">
        <f t="shared" si="455"/>
        <v>0</v>
      </c>
      <c r="FS166" s="65">
        <f t="shared" si="456"/>
        <v>0</v>
      </c>
      <c r="FT166" s="66" t="str">
        <f t="shared" si="457"/>
        <v/>
      </c>
      <c r="FU166" s="74" t="str">
        <f>IF('Marks Entry'!BU166="","",'Marks Entry'!BU166)</f>
        <v/>
      </c>
      <c r="FV166" s="74" t="str">
        <f>IF('Marks Entry'!BV166="","",'Marks Entry'!BV166)</f>
        <v/>
      </c>
      <c r="FW166" s="74" t="str">
        <f>IF('Marks Entry'!BW166="","",'Marks Entry'!BW166)</f>
        <v/>
      </c>
      <c r="FX166" s="75" t="str">
        <f t="shared" si="406"/>
        <v/>
      </c>
      <c r="FY166" s="368" t="str">
        <f t="shared" si="458"/>
        <v/>
      </c>
      <c r="FZ166" s="65">
        <f t="shared" si="459"/>
        <v>0</v>
      </c>
      <c r="GA166" s="66">
        <f t="shared" si="460"/>
        <v>0</v>
      </c>
      <c r="GB166" s="66" t="str">
        <f t="shared" si="461"/>
        <v/>
      </c>
      <c r="GC166" s="74" t="str">
        <f>IF('Marks Entry'!BX166="","",'Marks Entry'!BX166)</f>
        <v/>
      </c>
      <c r="GD166" s="74" t="str">
        <f>IF('Marks Entry'!BY166="","",'Marks Entry'!BY166)</f>
        <v/>
      </c>
      <c r="GE166" s="74" t="str">
        <f>IF('Marks Entry'!BZ166="","",'Marks Entry'!BZ166)</f>
        <v/>
      </c>
      <c r="GF166" s="75" t="str">
        <f t="shared" si="462"/>
        <v/>
      </c>
      <c r="GG166" s="368" t="str">
        <f t="shared" si="463"/>
        <v/>
      </c>
      <c r="GH166" s="65">
        <f t="shared" si="464"/>
        <v>0</v>
      </c>
      <c r="GI166" s="66">
        <f t="shared" si="465"/>
        <v>0</v>
      </c>
      <c r="GJ166" s="66" t="str">
        <f t="shared" si="466"/>
        <v/>
      </c>
      <c r="GK166" s="100" t="str">
        <f>IF(AND(F166="",B166=""),"",IF('Student DATA Entry'!M163="","",'Student DATA Entry'!M163))</f>
        <v/>
      </c>
      <c r="GL166" s="101" t="str">
        <f>IF(AND(B166="",F166=""),"",IF('Student DATA Entry'!N163="","",'Student DATA Entry'!N163))</f>
        <v/>
      </c>
      <c r="GM166" s="581" t="str">
        <f t="shared" si="467"/>
        <v/>
      </c>
      <c r="GN166" s="94" t="str">
        <f t="shared" si="468"/>
        <v/>
      </c>
      <c r="GO166" s="94" t="str">
        <f t="shared" si="469"/>
        <v/>
      </c>
      <c r="GP166" s="102" t="str">
        <f t="shared" si="407"/>
        <v/>
      </c>
      <c r="GQ166" s="94" t="str">
        <f t="shared" si="470"/>
        <v/>
      </c>
      <c r="GR166" s="103" t="str">
        <f t="shared" si="471"/>
        <v/>
      </c>
      <c r="GS166" s="102" t="str">
        <f t="shared" si="408"/>
        <v/>
      </c>
      <c r="GT166" s="104" t="str">
        <f t="shared" si="472"/>
        <v/>
      </c>
      <c r="GU166" s="94" t="str">
        <f>IF('Marks Entry'!V166=1,GT166,"")</f>
        <v/>
      </c>
      <c r="GV166" s="94" t="str">
        <f>IF('Marks Entry'!V166=2,GT166,"")</f>
        <v/>
      </c>
      <c r="GW166" s="94" t="str">
        <f>IF('Marks Entry'!V166=3,GT166,"")</f>
        <v/>
      </c>
      <c r="GX166" s="94" t="str">
        <f>IF('Marks Entry'!V166=4,GT166,"")</f>
        <v/>
      </c>
      <c r="GY166" s="94" t="str">
        <f>IF('Marks Entry'!V166=5,GT166,"")</f>
        <v/>
      </c>
      <c r="GZ166" s="94" t="str">
        <f t="shared" si="473"/>
        <v/>
      </c>
      <c r="HA166" s="105" t="str">
        <f t="shared" si="409"/>
        <v/>
      </c>
      <c r="HB166" s="94" t="str">
        <f t="shared" si="474"/>
        <v/>
      </c>
      <c r="HC166" s="94" t="str">
        <f t="shared" si="475"/>
        <v/>
      </c>
      <c r="HD166" s="105" t="str">
        <f t="shared" si="410"/>
        <v/>
      </c>
      <c r="HE166" s="94" t="str">
        <f t="shared" si="476"/>
        <v/>
      </c>
      <c r="HF166" s="94" t="str">
        <f t="shared" si="477"/>
        <v/>
      </c>
      <c r="HG166" s="105" t="str">
        <f t="shared" si="411"/>
        <v/>
      </c>
      <c r="HH166" s="94" t="str">
        <f t="shared" si="478"/>
        <v/>
      </c>
      <c r="HI166" s="94" t="str">
        <f t="shared" si="479"/>
        <v/>
      </c>
      <c r="HJ166" s="105" t="str">
        <f t="shared" si="412"/>
        <v/>
      </c>
      <c r="HK166" s="94" t="str">
        <f t="shared" si="480"/>
        <v/>
      </c>
      <c r="HL166" s="94" t="str">
        <f t="shared" si="481"/>
        <v/>
      </c>
      <c r="HM166" s="105" t="str">
        <f t="shared" si="413"/>
        <v/>
      </c>
      <c r="HN166" s="367" t="str">
        <f t="shared" si="482"/>
        <v xml:space="preserve">      </v>
      </c>
      <c r="HO166" s="418" t="str">
        <f t="shared" si="414"/>
        <v xml:space="preserve">      </v>
      </c>
      <c r="HP166" s="367" t="str">
        <f t="shared" si="483"/>
        <v xml:space="preserve">      </v>
      </c>
      <c r="HQ166" s="107" t="str">
        <f t="shared" si="484"/>
        <v xml:space="preserve">      </v>
      </c>
      <c r="HR166" s="366" t="str">
        <f t="shared" si="485"/>
        <v xml:space="preserve">      </v>
      </c>
      <c r="HS166" s="544" t="str">
        <f t="shared" si="415"/>
        <v/>
      </c>
      <c r="HT166" s="542" t="str">
        <f t="shared" si="486"/>
        <v/>
      </c>
      <c r="HU166" s="541" t="str">
        <f t="shared" si="487"/>
        <v/>
      </c>
      <c r="HV166" s="540" t="str">
        <f t="shared" si="488"/>
        <v/>
      </c>
      <c r="HW166" s="537" t="str">
        <f t="shared" si="489"/>
        <v/>
      </c>
      <c r="HX166" s="539" t="str">
        <f t="shared" si="490"/>
        <v/>
      </c>
      <c r="HY166" s="553" t="str">
        <f>IFERROR(IF(OR(HS166="SUPPLEMENTARY",HS166="RE-EXAM"),'Supp. Result Entry'!AQ164,""),"")</f>
        <v/>
      </c>
      <c r="HZ166" s="538" t="str">
        <f t="shared" si="491"/>
        <v/>
      </c>
      <c r="IA166" s="415" t="str">
        <f t="shared" si="492"/>
        <v/>
      </c>
      <c r="IB166" s="415" t="str">
        <f>IF(AND(HZ166="",IA166=""),"",IF(OR(HS166="SUPPLEMENTARY",HS166="RE-EXAM"),'Supp. Result Entry'!AQ164,HS166))</f>
        <v/>
      </c>
      <c r="IC166" s="87"/>
      <c r="IS166" s="109" t="str">
        <f>IF('Supp. Result Entry'!T164="","",'Supp. Result Entry'!$T$4)</f>
        <v/>
      </c>
      <c r="IT166" s="110" t="str">
        <f>IF('Supp. Result Entry'!W164="","",'Supp. Result Entry'!$W$4)</f>
        <v/>
      </c>
      <c r="IU166" s="110" t="str">
        <f>IF('Supp. Result Entry'!Z164="","",'Supp. Result Entry'!$Z$4)</f>
        <v/>
      </c>
      <c r="IV166" s="110" t="str">
        <f>IF('Supp. Result Entry'!AC164="","",'Supp. Result Entry'!$AC$4)</f>
        <v/>
      </c>
      <c r="IW166" s="110" t="str">
        <f>IF('Supp. Result Entry'!AF164="","",'Supp. Result Entry'!$AF$4)</f>
        <v/>
      </c>
      <c r="IX166" s="110" t="str">
        <f>IF('Supp. Result Entry'!AI164="","",'Supp. Result Entry'!$AI$4)</f>
        <v/>
      </c>
      <c r="IY166" s="110" t="str">
        <f>IF('Supp. Result Entry'!AI164="","",'Supp. Result Entry'!$AL$4)</f>
        <v/>
      </c>
      <c r="IZ166" s="110" t="str">
        <f>IF('Supp. Result Entry'!U164="","",'Supp. Result Entry'!U164)</f>
        <v/>
      </c>
      <c r="JA166" s="110" t="str">
        <f>IF('Supp. Result Entry'!X164="","",'Supp. Result Entry'!X164)</f>
        <v/>
      </c>
      <c r="JB166" s="110" t="str">
        <f>IF('Supp. Result Entry'!AA164="","",'Supp. Result Entry'!AA164)</f>
        <v/>
      </c>
      <c r="JC166" s="110" t="str">
        <f>IF('Supp. Result Entry'!AD164="","",'Supp. Result Entry'!AD164)</f>
        <v/>
      </c>
      <c r="JD166" s="110" t="str">
        <f>IF('Supp. Result Entry'!AG164="","",'Supp. Result Entry'!AG164)</f>
        <v/>
      </c>
      <c r="JE166" s="110" t="str">
        <f>IF('Supp. Result Entry'!AJ164="","",'Supp. Result Entry'!AJ164)</f>
        <v/>
      </c>
      <c r="JF166" s="110" t="str">
        <f>IF('Supp. Result Entry'!AM164="","",'Supp. Result Entry'!AM164)</f>
        <v/>
      </c>
      <c r="JG166" s="110" t="str">
        <f>IF('Supp. Result Entry'!V164="","",'Supp. Result Entry'!V164)</f>
        <v/>
      </c>
      <c r="JH166" s="110" t="str">
        <f>IF('Supp. Result Entry'!Y164="","",'Supp. Result Entry'!Y164)</f>
        <v/>
      </c>
      <c r="JI166" s="110" t="str">
        <f>IF('Supp. Result Entry'!AB164="","",'Supp. Result Entry'!AB164)</f>
        <v/>
      </c>
      <c r="JJ166" s="110" t="str">
        <f>IF('Supp. Result Entry'!AE164="","",'Supp. Result Entry'!AE164)</f>
        <v/>
      </c>
      <c r="JK166" s="110" t="str">
        <f>IF('Supp. Result Entry'!AH164="","",'Supp. Result Entry'!AH164)</f>
        <v/>
      </c>
      <c r="JL166" s="110" t="str">
        <f>IF('Supp. Result Entry'!AK164="","",'Supp. Result Entry'!AK164)</f>
        <v/>
      </c>
      <c r="JM166" s="110" t="str">
        <f>IF('Supp. Result Entry'!AN164="","",'Supp. Result Entry'!AN164)</f>
        <v/>
      </c>
      <c r="JN166" s="110">
        <f>COUNTIF('Supp. Result Entry'!K164:Q164,"S")</f>
        <v>0</v>
      </c>
      <c r="JO166" s="110">
        <f t="shared" si="416"/>
        <v>0</v>
      </c>
      <c r="JP166" s="110">
        <f t="shared" si="493"/>
        <v>0</v>
      </c>
      <c r="JQ166" s="110" t="str">
        <f t="shared" si="417"/>
        <v/>
      </c>
      <c r="JR166" s="110" t="str">
        <f t="shared" si="418"/>
        <v/>
      </c>
      <c r="JS166" s="110" t="str">
        <f t="shared" si="419"/>
        <v/>
      </c>
      <c r="JT166" s="110" t="str">
        <f t="shared" si="420"/>
        <v/>
      </c>
      <c r="JU166" s="110" t="str">
        <f t="shared" si="421"/>
        <v/>
      </c>
      <c r="JV166" s="110" t="str">
        <f t="shared" si="422"/>
        <v/>
      </c>
      <c r="JW166" s="110" t="str">
        <f t="shared" si="423"/>
        <v/>
      </c>
      <c r="JX166" s="110" t="str">
        <f t="shared" si="494"/>
        <v/>
      </c>
      <c r="JY166" s="110" t="str">
        <f t="shared" si="495"/>
        <v/>
      </c>
      <c r="JZ166" s="110" t="str">
        <f t="shared" si="424"/>
        <v/>
      </c>
      <c r="KA166" s="108" t="str">
        <f t="shared" si="496"/>
        <v/>
      </c>
    </row>
    <row r="167" spans="1:287" s="108" customFormat="1" ht="21.95" customHeight="1">
      <c r="A167" s="89">
        <v>161</v>
      </c>
      <c r="B167" s="90" t="str">
        <f>IF('Marks Entry'!B167="","",'Marks Entry'!B167)</f>
        <v/>
      </c>
      <c r="C167" s="94" t="str">
        <f>IF('Marks Entry'!D167="","",'Marks Entry'!D167)</f>
        <v/>
      </c>
      <c r="D167" s="91" t="str">
        <f>IF('Marks Entry'!E167="","",'Marks Entry'!E167)</f>
        <v/>
      </c>
      <c r="E167" s="92" t="str">
        <f>IF('Marks Entry'!F167="","",'Marks Entry'!F167)</f>
        <v/>
      </c>
      <c r="F167" s="93" t="str">
        <f>IF('Marks Entry'!G167="","",'Marks Entry'!G167)</f>
        <v/>
      </c>
      <c r="G167" s="93" t="str">
        <f>IF('Marks Entry'!H167="","",'Marks Entry'!H167)</f>
        <v/>
      </c>
      <c r="H167" s="93" t="str">
        <f>IF('Marks Entry'!I167="","",'Marks Entry'!I167)</f>
        <v/>
      </c>
      <c r="I167" s="94" t="str">
        <f>IF('Marks Entry'!J167="","",'Marks Entry'!J167)</f>
        <v/>
      </c>
      <c r="J167" s="95" t="str">
        <f>IF('Marks Entry'!K167="","",'Marks Entry'!K167)</f>
        <v/>
      </c>
      <c r="K167" s="68" t="str">
        <f>IF('Marks Entry'!L167="","",'Marks Entry'!L167)</f>
        <v/>
      </c>
      <c r="L167" s="68" t="str">
        <f>IF('Marks Entry'!M167="","",'Marks Entry'!M167)</f>
        <v/>
      </c>
      <c r="M167" s="68" t="str">
        <f>IF('Marks Entry'!N167="","",'Marks Entry'!N167)</f>
        <v/>
      </c>
      <c r="N167" s="514" t="str">
        <f t="shared" si="425"/>
        <v/>
      </c>
      <c r="O167" s="68" t="str">
        <f>IF('Marks Entry'!O167="","",'Marks Entry'!O167)</f>
        <v/>
      </c>
      <c r="P167" s="515" t="str">
        <f t="shared" si="426"/>
        <v/>
      </c>
      <c r="Q167" s="68" t="str">
        <f>IF('Marks Entry'!P167="","",'Marks Entry'!P167)</f>
        <v/>
      </c>
      <c r="R167" s="96" t="str">
        <f t="shared" si="427"/>
        <v/>
      </c>
      <c r="S167" s="65">
        <f t="shared" si="428"/>
        <v>0</v>
      </c>
      <c r="T167" s="65">
        <f t="shared" si="429"/>
        <v>0</v>
      </c>
      <c r="U167" s="66" t="str">
        <f t="shared" si="339"/>
        <v/>
      </c>
      <c r="V167" s="65" t="str">
        <f t="shared" si="340"/>
        <v/>
      </c>
      <c r="W167" s="65" t="str">
        <f t="shared" si="430"/>
        <v/>
      </c>
      <c r="X167" s="65" t="str">
        <f t="shared" si="341"/>
        <v/>
      </c>
      <c r="Y167" s="68" t="str">
        <f>IF('Marks Entry'!Q167="","",'Marks Entry'!Q167)</f>
        <v/>
      </c>
      <c r="Z167" s="68" t="str">
        <f>IF('Marks Entry'!R167="","",'Marks Entry'!R167)</f>
        <v/>
      </c>
      <c r="AA167" s="68" t="str">
        <f>IF('Marks Entry'!S167="","",'Marks Entry'!S167)</f>
        <v/>
      </c>
      <c r="AB167" s="514" t="str">
        <f t="shared" si="342"/>
        <v/>
      </c>
      <c r="AC167" s="68" t="str">
        <f>IF('Marks Entry'!T167="","",'Marks Entry'!T167)</f>
        <v/>
      </c>
      <c r="AD167" s="515" t="str">
        <f t="shared" si="343"/>
        <v/>
      </c>
      <c r="AE167" s="68" t="str">
        <f>IF('Marks Entry'!U167="","",'Marks Entry'!U167)</f>
        <v/>
      </c>
      <c r="AF167" s="96" t="str">
        <f t="shared" si="344"/>
        <v/>
      </c>
      <c r="AG167" s="65">
        <f t="shared" si="345"/>
        <v>0</v>
      </c>
      <c r="AH167" s="65">
        <f t="shared" si="346"/>
        <v>0</v>
      </c>
      <c r="AI167" s="66" t="str">
        <f t="shared" si="347"/>
        <v/>
      </c>
      <c r="AJ167" s="65" t="str">
        <f t="shared" si="348"/>
        <v/>
      </c>
      <c r="AK167" s="65" t="str">
        <f t="shared" si="349"/>
        <v/>
      </c>
      <c r="AL167" s="65" t="str">
        <f t="shared" si="350"/>
        <v/>
      </c>
      <c r="AM167" s="524" t="str">
        <f>IF('Marks Entry'!V167="","",IF('Marks Entry'!V167=1,'School Profile'!$I$9,IF('Marks Entry'!V167=2,'School Profile'!$I$10,IF('Marks Entry'!V167=3,'School Profile'!$I$11,IF('Marks Entry'!V167=4,'School Profile'!$I$12,IF('Marks Entry'!V167=5,'School Profile'!$I$13,IF('Marks Entry'!V167=6,'School Profile'!$I$14,"")))))))</f>
        <v/>
      </c>
      <c r="AN167" s="68" t="str">
        <f>IF('Marks Entry'!W167="","",'Marks Entry'!W167)</f>
        <v/>
      </c>
      <c r="AO167" s="68" t="str">
        <f>IF('Marks Entry'!X167="","",'Marks Entry'!X167)</f>
        <v/>
      </c>
      <c r="AP167" s="68" t="str">
        <f>IF('Marks Entry'!Y167="","",'Marks Entry'!Y167)</f>
        <v/>
      </c>
      <c r="AQ167" s="514" t="str">
        <f t="shared" si="351"/>
        <v/>
      </c>
      <c r="AR167" s="68" t="str">
        <f>IF('Marks Entry'!Z167="","",'Marks Entry'!Z167)</f>
        <v/>
      </c>
      <c r="AS167" s="515" t="str">
        <f t="shared" si="352"/>
        <v/>
      </c>
      <c r="AT167" s="68" t="str">
        <f>IF('Marks Entry'!AA167="","",'Marks Entry'!AA167)</f>
        <v/>
      </c>
      <c r="AU167" s="96" t="str">
        <f t="shared" si="353"/>
        <v/>
      </c>
      <c r="AV167" s="65">
        <f t="shared" si="354"/>
        <v>0</v>
      </c>
      <c r="AW167" s="65">
        <f t="shared" si="355"/>
        <v>0</v>
      </c>
      <c r="AX167" s="66" t="str">
        <f t="shared" si="356"/>
        <v/>
      </c>
      <c r="AY167" s="65" t="str">
        <f t="shared" si="357"/>
        <v/>
      </c>
      <c r="AZ167" s="65" t="str">
        <f t="shared" si="358"/>
        <v/>
      </c>
      <c r="BA167" s="65" t="str">
        <f t="shared" si="359"/>
        <v/>
      </c>
      <c r="BB167" s="68" t="str">
        <f>IF('Marks Entry'!AB167="","",'Marks Entry'!AB167)</f>
        <v/>
      </c>
      <c r="BC167" s="68" t="str">
        <f>IF('Marks Entry'!AC167="","",'Marks Entry'!AC167)</f>
        <v/>
      </c>
      <c r="BD167" s="68" t="str">
        <f>IF('Marks Entry'!AD167="","",'Marks Entry'!AD167)</f>
        <v/>
      </c>
      <c r="BE167" s="514" t="str">
        <f t="shared" si="360"/>
        <v/>
      </c>
      <c r="BF167" s="68" t="str">
        <f>IF('Marks Entry'!AE167="","",'Marks Entry'!AE167)</f>
        <v/>
      </c>
      <c r="BG167" s="515" t="str">
        <f t="shared" si="361"/>
        <v/>
      </c>
      <c r="BH167" s="68" t="str">
        <f>IF('Marks Entry'!AF167="","",'Marks Entry'!AF167)</f>
        <v/>
      </c>
      <c r="BI167" s="96" t="str">
        <f t="shared" si="362"/>
        <v/>
      </c>
      <c r="BJ167" s="65">
        <f t="shared" si="363"/>
        <v>0</v>
      </c>
      <c r="BK167" s="65">
        <f t="shared" si="431"/>
        <v>0</v>
      </c>
      <c r="BL167" s="66" t="str">
        <f t="shared" si="364"/>
        <v/>
      </c>
      <c r="BM167" s="65" t="str">
        <f t="shared" si="365"/>
        <v/>
      </c>
      <c r="BN167" s="65" t="str">
        <f t="shared" si="366"/>
        <v/>
      </c>
      <c r="BO167" s="65" t="str">
        <f t="shared" si="367"/>
        <v/>
      </c>
      <c r="BP167" s="68" t="str">
        <f>IF('Marks Entry'!AG167="","",'Marks Entry'!AG167)</f>
        <v/>
      </c>
      <c r="BQ167" s="68" t="str">
        <f>IF('Marks Entry'!AH167="","",'Marks Entry'!AH167)</f>
        <v/>
      </c>
      <c r="BR167" s="68" t="str">
        <f>IF('Marks Entry'!AI167="","",'Marks Entry'!AI167)</f>
        <v/>
      </c>
      <c r="BS167" s="514" t="str">
        <f t="shared" si="368"/>
        <v/>
      </c>
      <c r="BT167" s="68" t="str">
        <f>IF('Marks Entry'!AJ167="","",'Marks Entry'!AJ167)</f>
        <v/>
      </c>
      <c r="BU167" s="515" t="str">
        <f t="shared" si="369"/>
        <v/>
      </c>
      <c r="BV167" s="68" t="str">
        <f>IF('Marks Entry'!AK167="","",'Marks Entry'!AK167)</f>
        <v/>
      </c>
      <c r="BW167" s="96" t="str">
        <f t="shared" si="370"/>
        <v/>
      </c>
      <c r="BX167" s="65">
        <f t="shared" si="371"/>
        <v>0</v>
      </c>
      <c r="BY167" s="65">
        <f t="shared" si="372"/>
        <v>0</v>
      </c>
      <c r="BZ167" s="66" t="str">
        <f t="shared" si="373"/>
        <v/>
      </c>
      <c r="CA167" s="65" t="str">
        <f t="shared" si="374"/>
        <v/>
      </c>
      <c r="CB167" s="65" t="str">
        <f t="shared" si="375"/>
        <v/>
      </c>
      <c r="CC167" s="65" t="str">
        <f t="shared" si="376"/>
        <v/>
      </c>
      <c r="CD167" s="66">
        <f t="shared" ref="CD167:CD198" si="497">SUM(S167,T167,AG167,AH167,AV167,AW167,BJ167,BK167,BX167,BY167,CM167,CN167)</f>
        <v>0</v>
      </c>
      <c r="CE167" s="68" t="str">
        <f>IF('Marks Entry'!AL167="","",'Marks Entry'!AL167)</f>
        <v/>
      </c>
      <c r="CF167" s="68" t="str">
        <f>IF('Marks Entry'!AM167="","",'Marks Entry'!AM167)</f>
        <v/>
      </c>
      <c r="CG167" s="68" t="str">
        <f>IF('Marks Entry'!AN167="","",'Marks Entry'!AN167)</f>
        <v/>
      </c>
      <c r="CH167" s="514" t="str">
        <f t="shared" si="378"/>
        <v/>
      </c>
      <c r="CI167" s="68" t="str">
        <f>IF('Marks Entry'!AO167="","",'Marks Entry'!AO167)</f>
        <v/>
      </c>
      <c r="CJ167" s="515" t="str">
        <f t="shared" si="379"/>
        <v/>
      </c>
      <c r="CK167" s="68" t="str">
        <f>IF('Marks Entry'!AP167="","",'Marks Entry'!AP167)</f>
        <v/>
      </c>
      <c r="CL167" s="96" t="str">
        <f t="shared" si="380"/>
        <v/>
      </c>
      <c r="CM167" s="65">
        <f t="shared" si="381"/>
        <v>0</v>
      </c>
      <c r="CN167" s="65">
        <f t="shared" si="382"/>
        <v>0</v>
      </c>
      <c r="CO167" s="66" t="str">
        <f t="shared" si="383"/>
        <v/>
      </c>
      <c r="CP167" s="65" t="str">
        <f t="shared" si="384"/>
        <v/>
      </c>
      <c r="CQ167" s="65" t="str">
        <f t="shared" si="385"/>
        <v/>
      </c>
      <c r="CR167" s="65" t="str">
        <f t="shared" si="386"/>
        <v/>
      </c>
      <c r="CS167" s="616"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8" t="str">
        <f>IF('School Profile'!$D$20="NO","",IF('Marks Entry'!AR167="","",'Marks Entry'!AR167))</f>
        <v/>
      </c>
      <c r="CU167" s="68" t="str">
        <f>IF('School Profile'!$D$20="NO","",IF('Marks Entry'!AS167="","",'Marks Entry'!AS167))</f>
        <v/>
      </c>
      <c r="CV167" s="68" t="str">
        <f>IF('School Profile'!$D$20="NO","",IF('Marks Entry'!AT167="","",'Marks Entry'!AT167))</f>
        <v/>
      </c>
      <c r="CW167" s="514" t="str">
        <f>IF('School Profile'!$D$20="NO","",IF(AND(CT167="",CU167="",CV167=""),"",SUM(CT167:CV167)))</f>
        <v/>
      </c>
      <c r="CX167" s="68" t="str">
        <f>IF('School Profile'!$D$20="NO","",IF('Marks Entry'!AU167="","",'Marks Entry'!AU167))</f>
        <v/>
      </c>
      <c r="CY167" s="68" t="str">
        <f>IF('School Profile'!$D$20="NO","",IF('Marks Entry'!AV167="","",'Marks Entry'!AV167))</f>
        <v/>
      </c>
      <c r="CZ167" s="515" t="str">
        <f>IF('School Profile'!$D$20="NO","",IF(AND(CX167="",CY167=""),"",SUM(CX167,CY167)))</f>
        <v/>
      </c>
      <c r="DA167" s="69" t="str">
        <f>IF('School Profile'!$D$20="NO","",IF(AND(CW167="",CZ167=""),"",SUM(CW167+CZ167)))</f>
        <v/>
      </c>
      <c r="DB167" s="68" t="str">
        <f>IF('School Profile'!$D$20="NO","",IF('Marks Entry'!AW167="","",'Marks Entry'!AW167))</f>
        <v/>
      </c>
      <c r="DC167" s="68" t="str">
        <f>IF('School Profile'!$D$20="NO","",IF('Marks Entry'!AX167="","",'Marks Entry'!AX167))</f>
        <v/>
      </c>
      <c r="DD167" s="515" t="str">
        <f>IF('School Profile'!$D$20="NO","",IF(AND(DB167="",DC167=""),"",SUM(DB167,DC167)))</f>
        <v/>
      </c>
      <c r="DE167" s="96" t="str">
        <f>IF('School Profile'!$D$20="NO","",IF(AND(DA167="",DD167=""),"",SUM(DA167,DD167)))</f>
        <v/>
      </c>
      <c r="DF167" s="532">
        <f t="shared" si="387"/>
        <v>0</v>
      </c>
      <c r="DG167" s="65">
        <f t="shared" si="388"/>
        <v>0</v>
      </c>
      <c r="DH167" s="66" t="str">
        <f t="shared" si="389"/>
        <v/>
      </c>
      <c r="DI167" s="65" t="str">
        <f t="shared" si="390"/>
        <v/>
      </c>
      <c r="DJ167" s="65" t="str">
        <f t="shared" si="391"/>
        <v/>
      </c>
      <c r="DK167" s="65" t="str">
        <f t="shared" si="392"/>
        <v/>
      </c>
      <c r="DL167" s="97" t="str">
        <f t="shared" si="432"/>
        <v/>
      </c>
      <c r="DM167" s="97" t="str">
        <f t="shared" si="433"/>
        <v/>
      </c>
      <c r="DN167" s="97" t="str">
        <f t="shared" si="434"/>
        <v/>
      </c>
      <c r="DO167" s="97" t="str">
        <f t="shared" si="435"/>
        <v/>
      </c>
      <c r="DP167" s="97" t="str">
        <f t="shared" si="436"/>
        <v/>
      </c>
      <c r="DQ167" s="97" t="str">
        <f t="shared" si="437"/>
        <v/>
      </c>
      <c r="DR167" s="97" t="str">
        <f t="shared" si="438"/>
        <v/>
      </c>
      <c r="DS167" s="98">
        <f t="shared" si="439"/>
        <v>0</v>
      </c>
      <c r="DT167" s="98">
        <f t="shared" si="440"/>
        <v>0</v>
      </c>
      <c r="DU167" s="98">
        <f t="shared" si="441"/>
        <v>0</v>
      </c>
      <c r="DV167" s="98">
        <f t="shared" si="442"/>
        <v>0</v>
      </c>
      <c r="DW167" s="98">
        <f t="shared" si="443"/>
        <v>0</v>
      </c>
      <c r="DX167" s="98" t="str">
        <f t="shared" si="444"/>
        <v/>
      </c>
      <c r="DY167" s="99" t="str">
        <f t="shared" si="445"/>
        <v/>
      </c>
      <c r="DZ167" s="74" t="str">
        <f>IF('Marks Entry'!AY167="","",'Marks Entry'!AY167)</f>
        <v/>
      </c>
      <c r="EA167" s="74" t="str">
        <f>IF('Marks Entry'!AZ167="","",'Marks Entry'!AZ167)</f>
        <v/>
      </c>
      <c r="EB167" s="74" t="str">
        <f>IF('Marks Entry'!BA167="","",'Marks Entry'!BA167)</f>
        <v/>
      </c>
      <c r="EC167" s="527" t="str">
        <f t="shared" si="393"/>
        <v/>
      </c>
      <c r="ED167" s="74" t="str">
        <f>IF('Marks Entry'!BB167="","",'Marks Entry'!BB167)</f>
        <v/>
      </c>
      <c r="EE167" s="528" t="str">
        <f t="shared" si="394"/>
        <v/>
      </c>
      <c r="EF167" s="74" t="str">
        <f>IF('Marks Entry'!BC167="","",'Marks Entry'!BC167)</f>
        <v/>
      </c>
      <c r="EG167" s="530" t="str">
        <f t="shared" si="395"/>
        <v/>
      </c>
      <c r="EH167" s="368" t="str">
        <f t="shared" si="446"/>
        <v/>
      </c>
      <c r="EI167" s="65">
        <f t="shared" si="447"/>
        <v>0</v>
      </c>
      <c r="EJ167" s="65">
        <f t="shared" si="448"/>
        <v>0</v>
      </c>
      <c r="EK167" s="66" t="str">
        <f t="shared" si="449"/>
        <v/>
      </c>
      <c r="EL167" s="74" t="str">
        <f>IF('Marks Entry'!BD167="","",'Marks Entry'!BD167)</f>
        <v/>
      </c>
      <c r="EM167" s="74" t="str">
        <f>IF('Marks Entry'!BE167="","",'Marks Entry'!BE167)</f>
        <v/>
      </c>
      <c r="EN167" s="74" t="str">
        <f>IF('Marks Entry'!BF167="","",'Marks Entry'!BF167)</f>
        <v/>
      </c>
      <c r="EO167" s="527" t="str">
        <f t="shared" si="396"/>
        <v/>
      </c>
      <c r="EP167" s="74" t="str">
        <f>IF('Marks Entry'!BG167="","",'Marks Entry'!BG167)</f>
        <v/>
      </c>
      <c r="EQ167" s="74" t="str">
        <f>IF('Marks Entry'!BH167="","",'Marks Entry'!BH167)</f>
        <v/>
      </c>
      <c r="ER167" s="528" t="str">
        <f t="shared" si="397"/>
        <v/>
      </c>
      <c r="ES167" s="529" t="str">
        <f t="shared" si="398"/>
        <v/>
      </c>
      <c r="ET167" s="74" t="str">
        <f>IF('Marks Entry'!BI167="","",'Marks Entry'!BI167)</f>
        <v/>
      </c>
      <c r="EU167" s="74" t="str">
        <f>IF('Marks Entry'!BJ167="","",'Marks Entry'!BJ167)</f>
        <v/>
      </c>
      <c r="EV167" s="528" t="str">
        <f t="shared" si="399"/>
        <v/>
      </c>
      <c r="EW167" s="530" t="str">
        <f t="shared" si="400"/>
        <v/>
      </c>
      <c r="EX167" s="368" t="str">
        <f t="shared" si="450"/>
        <v/>
      </c>
      <c r="EY167" s="65">
        <f t="shared" si="451"/>
        <v>0</v>
      </c>
      <c r="EZ167" s="65">
        <f t="shared" si="452"/>
        <v>0</v>
      </c>
      <c r="FA167" s="66" t="str">
        <f t="shared" si="453"/>
        <v/>
      </c>
      <c r="FB167" s="74" t="str">
        <f>IF('Marks Entry'!BK167="","",'Marks Entry'!BK167)</f>
        <v/>
      </c>
      <c r="FC167" s="74" t="str">
        <f>IF('Marks Entry'!BL167="","",'Marks Entry'!BL167)</f>
        <v/>
      </c>
      <c r="FD167" s="74" t="str">
        <f>IF('Marks Entry'!BM167="","",'Marks Entry'!BM167)</f>
        <v/>
      </c>
      <c r="FE167" s="74" t="str">
        <f>IF('Marks Entry'!BN167="","",'Marks Entry'!BN167)</f>
        <v/>
      </c>
      <c r="FF167" s="74" t="str">
        <f>IF('Marks Entry'!BO167="","",'Marks Entry'!BO167)</f>
        <v/>
      </c>
      <c r="FG167" s="74" t="str">
        <f>IF('Marks Entry'!BP167="","",'Marks Entry'!BP167)</f>
        <v/>
      </c>
      <c r="FH167" s="527" t="str">
        <f t="shared" si="401"/>
        <v/>
      </c>
      <c r="FI167" s="74" t="str">
        <f>IF('Marks Entry'!BQ167="","",'Marks Entry'!BQ167)</f>
        <v/>
      </c>
      <c r="FJ167" s="74" t="str">
        <f>IF('Marks Entry'!BR167="","",'Marks Entry'!BR167)</f>
        <v/>
      </c>
      <c r="FK167" s="528" t="str">
        <f t="shared" si="402"/>
        <v/>
      </c>
      <c r="FL167" s="529" t="str">
        <f t="shared" si="403"/>
        <v/>
      </c>
      <c r="FM167" s="74" t="str">
        <f>IF('Marks Entry'!BS167="","",'Marks Entry'!BS167)</f>
        <v/>
      </c>
      <c r="FN167" s="74" t="str">
        <f>IF('Marks Entry'!BT167="","",'Marks Entry'!BT167)</f>
        <v/>
      </c>
      <c r="FO167" s="528" t="str">
        <f t="shared" si="404"/>
        <v/>
      </c>
      <c r="FP167" s="530" t="str">
        <f t="shared" si="405"/>
        <v/>
      </c>
      <c r="FQ167" s="368" t="str">
        <f t="shared" si="454"/>
        <v/>
      </c>
      <c r="FR167" s="65">
        <f t="shared" si="455"/>
        <v>0</v>
      </c>
      <c r="FS167" s="65">
        <f t="shared" si="456"/>
        <v>0</v>
      </c>
      <c r="FT167" s="66" t="str">
        <f t="shared" si="457"/>
        <v/>
      </c>
      <c r="FU167" s="74" t="str">
        <f>IF('Marks Entry'!BU167="","",'Marks Entry'!BU167)</f>
        <v/>
      </c>
      <c r="FV167" s="74" t="str">
        <f>IF('Marks Entry'!BV167="","",'Marks Entry'!BV167)</f>
        <v/>
      </c>
      <c r="FW167" s="74" t="str">
        <f>IF('Marks Entry'!BW167="","",'Marks Entry'!BW167)</f>
        <v/>
      </c>
      <c r="FX167" s="75" t="str">
        <f t="shared" si="406"/>
        <v/>
      </c>
      <c r="FY167" s="368" t="str">
        <f t="shared" si="458"/>
        <v/>
      </c>
      <c r="FZ167" s="65">
        <f t="shared" si="459"/>
        <v>0</v>
      </c>
      <c r="GA167" s="66">
        <f t="shared" si="460"/>
        <v>0</v>
      </c>
      <c r="GB167" s="66" t="str">
        <f t="shared" si="461"/>
        <v/>
      </c>
      <c r="GC167" s="74" t="str">
        <f>IF('Marks Entry'!BX167="","",'Marks Entry'!BX167)</f>
        <v/>
      </c>
      <c r="GD167" s="74" t="str">
        <f>IF('Marks Entry'!BY167="","",'Marks Entry'!BY167)</f>
        <v/>
      </c>
      <c r="GE167" s="74" t="str">
        <f>IF('Marks Entry'!BZ167="","",'Marks Entry'!BZ167)</f>
        <v/>
      </c>
      <c r="GF167" s="75" t="str">
        <f t="shared" si="462"/>
        <v/>
      </c>
      <c r="GG167" s="368" t="str">
        <f t="shared" si="463"/>
        <v/>
      </c>
      <c r="GH167" s="65">
        <f t="shared" si="464"/>
        <v>0</v>
      </c>
      <c r="GI167" s="66">
        <f t="shared" si="465"/>
        <v>0</v>
      </c>
      <c r="GJ167" s="66" t="str">
        <f t="shared" si="466"/>
        <v/>
      </c>
      <c r="GK167" s="100" t="str">
        <f>IF(AND(F167="",B167=""),"",IF('Student DATA Entry'!M164="","",'Student DATA Entry'!M164))</f>
        <v/>
      </c>
      <c r="GL167" s="101" t="str">
        <f>IF(AND(B167="",F167=""),"",IF('Student DATA Entry'!N164="","",'Student DATA Entry'!N164))</f>
        <v/>
      </c>
      <c r="GM167" s="581" t="str">
        <f t="shared" si="467"/>
        <v/>
      </c>
      <c r="GN167" s="94" t="str">
        <f t="shared" si="468"/>
        <v/>
      </c>
      <c r="GO167" s="94" t="str">
        <f t="shared" si="469"/>
        <v/>
      </c>
      <c r="GP167" s="102" t="str">
        <f t="shared" ref="GP167:GP198" si="498">IF(GN167="G",ROUNDUP(36%*U167-R167,0),"")</f>
        <v/>
      </c>
      <c r="GQ167" s="94" t="str">
        <f t="shared" si="470"/>
        <v/>
      </c>
      <c r="GR167" s="103" t="str">
        <f t="shared" si="471"/>
        <v/>
      </c>
      <c r="GS167" s="102" t="str">
        <f t="shared" ref="GS167:GS198" si="499">IF(GQ167="G",ROUNDUP(36%*AI167-AF167,0),"")</f>
        <v/>
      </c>
      <c r="GT167" s="104" t="str">
        <f t="shared" si="472"/>
        <v/>
      </c>
      <c r="GU167" s="94" t="str">
        <f>IF('Marks Entry'!V167=1,GT167,"")</f>
        <v/>
      </c>
      <c r="GV167" s="94" t="str">
        <f>IF('Marks Entry'!V167=2,GT167,"")</f>
        <v/>
      </c>
      <c r="GW167" s="94" t="str">
        <f>IF('Marks Entry'!V167=3,GT167,"")</f>
        <v/>
      </c>
      <c r="GX167" s="94" t="str">
        <f>IF('Marks Entry'!V167=4,GT167,"")</f>
        <v/>
      </c>
      <c r="GY167" s="94" t="str">
        <f>IF('Marks Entry'!V167=5,GT167,"")</f>
        <v/>
      </c>
      <c r="GZ167" s="94" t="str">
        <f t="shared" si="473"/>
        <v/>
      </c>
      <c r="HA167" s="105" t="str">
        <f t="shared" ref="HA167:HA198" si="500">IF(GT167="G",ROUNDUP(36%*AX167-AU167,0),"")</f>
        <v/>
      </c>
      <c r="HB167" s="94" t="str">
        <f t="shared" si="474"/>
        <v/>
      </c>
      <c r="HC167" s="94" t="str">
        <f t="shared" si="475"/>
        <v/>
      </c>
      <c r="HD167" s="105" t="str">
        <f t="shared" ref="HD167:HD198" si="501">IF(HB167="G",ROUNDUP(36%*BL167-BI167,0),"")</f>
        <v/>
      </c>
      <c r="HE167" s="94" t="str">
        <f t="shared" si="476"/>
        <v/>
      </c>
      <c r="HF167" s="94" t="str">
        <f t="shared" si="477"/>
        <v/>
      </c>
      <c r="HG167" s="105" t="str">
        <f t="shared" ref="HG167:HG198" si="502">IF(HE167="G",ROUNDUP(36%*BZ167-BW167,0),"")</f>
        <v/>
      </c>
      <c r="HH167" s="94" t="str">
        <f t="shared" si="478"/>
        <v/>
      </c>
      <c r="HI167" s="94" t="str">
        <f t="shared" si="479"/>
        <v/>
      </c>
      <c r="HJ167" s="105" t="str">
        <f t="shared" ref="HJ167:HJ198" si="503">IF(HH167="G",ROUNDUP(36%*CO167-CL167,0),"")</f>
        <v/>
      </c>
      <c r="HK167" s="94" t="str">
        <f t="shared" si="480"/>
        <v/>
      </c>
      <c r="HL167" s="94" t="str">
        <f t="shared" si="481"/>
        <v/>
      </c>
      <c r="HM167" s="105" t="str">
        <f t="shared" ref="HM167:HM198" si="504">IF(HK167="G",ROUNDUP(36%*DH167-DE167,0),"")</f>
        <v/>
      </c>
      <c r="HN167" s="367" t="str">
        <f t="shared" si="482"/>
        <v xml:space="preserve">      </v>
      </c>
      <c r="HO167" s="418" t="str">
        <f t="shared" ref="HO167:HO198" si="505">IF(COUNTIF(DL167:DR167,"F")&gt;0,"",CONCATENATE(IF(GN167="S",$GN$5,"")," ",IF(GQ167="S",$GQ$5,"")," ",IF(GU167="S",$GU$5,IF(GV167="S",$GV$5,IF(GW167="S",$GW$5,IF(GX167="S",$GX$5,IF(GY167="S",$GY$5,"")))))," ",IF(HB167="S",$HB$5,"")," ",IF(HE167="S",$HE$5,"")," ",IF(HH167="S",$HH$5,"")," ",IF(HK167="S",$HK$5,"")))</f>
        <v xml:space="preserve">      </v>
      </c>
      <c r="HP167" s="367" t="str">
        <f t="shared" si="483"/>
        <v xml:space="preserve">      </v>
      </c>
      <c r="HQ167" s="107" t="str">
        <f t="shared" si="484"/>
        <v xml:space="preserve">      </v>
      </c>
      <c r="HR167" s="366" t="str">
        <f t="shared" si="485"/>
        <v xml:space="preserve">      </v>
      </c>
      <c r="HS167" s="544" t="str">
        <f t="shared" ref="HS167:HS198" si="506">IF(B167="NSO","NSO",IF(AND(OR(DY167="PASS",DY167="BY GRACE PASS",DY167="RE-EXAM"),DX167="F"),"FAIL",IF(AND(OR(DY167="PASS",DY167="BY GRACE PASS"),DX167="RE"),"RE-EXAM",DY167)))</f>
        <v/>
      </c>
      <c r="HT167" s="542" t="str">
        <f t="shared" si="486"/>
        <v/>
      </c>
      <c r="HU167" s="541" t="str">
        <f t="shared" si="487"/>
        <v/>
      </c>
      <c r="HV167" s="540" t="str">
        <f t="shared" si="488"/>
        <v/>
      </c>
      <c r="HW167" s="537" t="str">
        <f t="shared" si="489"/>
        <v/>
      </c>
      <c r="HX167" s="539" t="str">
        <f t="shared" si="490"/>
        <v/>
      </c>
      <c r="HY167" s="553" t="str">
        <f>IFERROR(IF(OR(HS167="SUPPLEMENTARY",HS167="RE-EXAM"),'Supp. Result Entry'!AQ165,""),"")</f>
        <v/>
      </c>
      <c r="HZ167" s="538" t="str">
        <f t="shared" si="491"/>
        <v/>
      </c>
      <c r="IA167" s="415" t="str">
        <f t="shared" si="492"/>
        <v/>
      </c>
      <c r="IB167" s="415" t="str">
        <f>IF(AND(HZ167="",IA167=""),"",IF(OR(HS167="SUPPLEMENTARY",HS167="RE-EXAM"),'Supp. Result Entry'!AQ165,HS167))</f>
        <v/>
      </c>
      <c r="IC167" s="87"/>
      <c r="IS167" s="109" t="str">
        <f>IF('Supp. Result Entry'!T165="","",'Supp. Result Entry'!$T$4)</f>
        <v/>
      </c>
      <c r="IT167" s="110" t="str">
        <f>IF('Supp. Result Entry'!W165="","",'Supp. Result Entry'!$W$4)</f>
        <v/>
      </c>
      <c r="IU167" s="110" t="str">
        <f>IF('Supp. Result Entry'!Z165="","",'Supp. Result Entry'!$Z$4)</f>
        <v/>
      </c>
      <c r="IV167" s="110" t="str">
        <f>IF('Supp. Result Entry'!AC165="","",'Supp. Result Entry'!$AC$4)</f>
        <v/>
      </c>
      <c r="IW167" s="110" t="str">
        <f>IF('Supp. Result Entry'!AF165="","",'Supp. Result Entry'!$AF$4)</f>
        <v/>
      </c>
      <c r="IX167" s="110" t="str">
        <f>IF('Supp. Result Entry'!AI165="","",'Supp. Result Entry'!$AI$4)</f>
        <v/>
      </c>
      <c r="IY167" s="110" t="str">
        <f>IF('Supp. Result Entry'!AI165="","",'Supp. Result Entry'!$AL$4)</f>
        <v/>
      </c>
      <c r="IZ167" s="110" t="str">
        <f>IF('Supp. Result Entry'!U165="","",'Supp. Result Entry'!U165)</f>
        <v/>
      </c>
      <c r="JA167" s="110" t="str">
        <f>IF('Supp. Result Entry'!X165="","",'Supp. Result Entry'!X165)</f>
        <v/>
      </c>
      <c r="JB167" s="110" t="str">
        <f>IF('Supp. Result Entry'!AA165="","",'Supp. Result Entry'!AA165)</f>
        <v/>
      </c>
      <c r="JC167" s="110" t="str">
        <f>IF('Supp. Result Entry'!AD165="","",'Supp. Result Entry'!AD165)</f>
        <v/>
      </c>
      <c r="JD167" s="110" t="str">
        <f>IF('Supp. Result Entry'!AG165="","",'Supp. Result Entry'!AG165)</f>
        <v/>
      </c>
      <c r="JE167" s="110" t="str">
        <f>IF('Supp. Result Entry'!AJ165="","",'Supp. Result Entry'!AJ165)</f>
        <v/>
      </c>
      <c r="JF167" s="110" t="str">
        <f>IF('Supp. Result Entry'!AM165="","",'Supp. Result Entry'!AM165)</f>
        <v/>
      </c>
      <c r="JG167" s="110" t="str">
        <f>IF('Supp. Result Entry'!V165="","",'Supp. Result Entry'!V165)</f>
        <v/>
      </c>
      <c r="JH167" s="110" t="str">
        <f>IF('Supp. Result Entry'!Y165="","",'Supp. Result Entry'!Y165)</f>
        <v/>
      </c>
      <c r="JI167" s="110" t="str">
        <f>IF('Supp. Result Entry'!AB165="","",'Supp. Result Entry'!AB165)</f>
        <v/>
      </c>
      <c r="JJ167" s="110" t="str">
        <f>IF('Supp. Result Entry'!AE165="","",'Supp. Result Entry'!AE165)</f>
        <v/>
      </c>
      <c r="JK167" s="110" t="str">
        <f>IF('Supp. Result Entry'!AH165="","",'Supp. Result Entry'!AH165)</f>
        <v/>
      </c>
      <c r="JL167" s="110" t="str">
        <f>IF('Supp. Result Entry'!AK165="","",'Supp. Result Entry'!AK165)</f>
        <v/>
      </c>
      <c r="JM167" s="110" t="str">
        <f>IF('Supp. Result Entry'!AN165="","",'Supp. Result Entry'!AN165)</f>
        <v/>
      </c>
      <c r="JN167" s="110">
        <f>COUNTIF('Supp. Result Entry'!K165:Q165,"S")</f>
        <v>0</v>
      </c>
      <c r="JO167" s="110">
        <f t="shared" si="416"/>
        <v>0</v>
      </c>
      <c r="JP167" s="110">
        <f t="shared" si="493"/>
        <v>0</v>
      </c>
      <c r="JQ167" s="110" t="str">
        <f t="shared" si="417"/>
        <v/>
      </c>
      <c r="JR167" s="110" t="str">
        <f t="shared" si="418"/>
        <v/>
      </c>
      <c r="JS167" s="110" t="str">
        <f t="shared" si="419"/>
        <v/>
      </c>
      <c r="JT167" s="110" t="str">
        <f t="shared" si="420"/>
        <v/>
      </c>
      <c r="JU167" s="110" t="str">
        <f t="shared" si="421"/>
        <v/>
      </c>
      <c r="JV167" s="110" t="str">
        <f t="shared" si="422"/>
        <v/>
      </c>
      <c r="JW167" s="110" t="str">
        <f t="shared" si="423"/>
        <v/>
      </c>
      <c r="JX167" s="110" t="str">
        <f t="shared" si="494"/>
        <v/>
      </c>
      <c r="JY167" s="110" t="str">
        <f t="shared" si="495"/>
        <v/>
      </c>
      <c r="JZ167" s="110" t="str">
        <f t="shared" si="424"/>
        <v/>
      </c>
      <c r="KA167" s="108" t="str">
        <f t="shared" si="496"/>
        <v/>
      </c>
    </row>
    <row r="168" spans="1:287" s="108" customFormat="1" ht="21.95" customHeight="1">
      <c r="A168" s="89">
        <v>162</v>
      </c>
      <c r="B168" s="90" t="str">
        <f>IF('Marks Entry'!B168="","",'Marks Entry'!B168)</f>
        <v/>
      </c>
      <c r="C168" s="94" t="str">
        <f>IF('Marks Entry'!D168="","",'Marks Entry'!D168)</f>
        <v/>
      </c>
      <c r="D168" s="91" t="str">
        <f>IF('Marks Entry'!E168="","",'Marks Entry'!E168)</f>
        <v/>
      </c>
      <c r="E168" s="92" t="str">
        <f>IF('Marks Entry'!F168="","",'Marks Entry'!F168)</f>
        <v/>
      </c>
      <c r="F168" s="93" t="str">
        <f>IF('Marks Entry'!G168="","",'Marks Entry'!G168)</f>
        <v/>
      </c>
      <c r="G168" s="93" t="str">
        <f>IF('Marks Entry'!H168="","",'Marks Entry'!H168)</f>
        <v/>
      </c>
      <c r="H168" s="93" t="str">
        <f>IF('Marks Entry'!I168="","",'Marks Entry'!I168)</f>
        <v/>
      </c>
      <c r="I168" s="94" t="str">
        <f>IF('Marks Entry'!J168="","",'Marks Entry'!J168)</f>
        <v/>
      </c>
      <c r="J168" s="95" t="str">
        <f>IF('Marks Entry'!K168="","",'Marks Entry'!K168)</f>
        <v/>
      </c>
      <c r="K168" s="68" t="str">
        <f>IF('Marks Entry'!L168="","",'Marks Entry'!L168)</f>
        <v/>
      </c>
      <c r="L168" s="68" t="str">
        <f>IF('Marks Entry'!M168="","",'Marks Entry'!M168)</f>
        <v/>
      </c>
      <c r="M168" s="68" t="str">
        <f>IF('Marks Entry'!N168="","",'Marks Entry'!N168)</f>
        <v/>
      </c>
      <c r="N168" s="514" t="str">
        <f t="shared" si="425"/>
        <v/>
      </c>
      <c r="O168" s="68" t="str">
        <f>IF('Marks Entry'!O168="","",'Marks Entry'!O168)</f>
        <v/>
      </c>
      <c r="P168" s="515" t="str">
        <f t="shared" si="426"/>
        <v/>
      </c>
      <c r="Q168" s="68" t="str">
        <f>IF('Marks Entry'!P168="","",'Marks Entry'!P168)</f>
        <v/>
      </c>
      <c r="R168" s="96" t="str">
        <f t="shared" si="427"/>
        <v/>
      </c>
      <c r="S168" s="65">
        <f t="shared" si="428"/>
        <v>0</v>
      </c>
      <c r="T168" s="65">
        <f t="shared" si="429"/>
        <v>0</v>
      </c>
      <c r="U168" s="66" t="str">
        <f t="shared" si="339"/>
        <v/>
      </c>
      <c r="V168" s="65" t="str">
        <f t="shared" si="340"/>
        <v/>
      </c>
      <c r="W168" s="65" t="str">
        <f t="shared" si="430"/>
        <v/>
      </c>
      <c r="X168" s="65" t="str">
        <f t="shared" si="341"/>
        <v/>
      </c>
      <c r="Y168" s="68" t="str">
        <f>IF('Marks Entry'!Q168="","",'Marks Entry'!Q168)</f>
        <v/>
      </c>
      <c r="Z168" s="68" t="str">
        <f>IF('Marks Entry'!R168="","",'Marks Entry'!R168)</f>
        <v/>
      </c>
      <c r="AA168" s="68" t="str">
        <f>IF('Marks Entry'!S168="","",'Marks Entry'!S168)</f>
        <v/>
      </c>
      <c r="AB168" s="514" t="str">
        <f t="shared" si="342"/>
        <v/>
      </c>
      <c r="AC168" s="68" t="str">
        <f>IF('Marks Entry'!T168="","",'Marks Entry'!T168)</f>
        <v/>
      </c>
      <c r="AD168" s="515" t="str">
        <f t="shared" si="343"/>
        <v/>
      </c>
      <c r="AE168" s="68" t="str">
        <f>IF('Marks Entry'!U168="","",'Marks Entry'!U168)</f>
        <v/>
      </c>
      <c r="AF168" s="96" t="str">
        <f t="shared" si="344"/>
        <v/>
      </c>
      <c r="AG168" s="65">
        <f t="shared" si="345"/>
        <v>0</v>
      </c>
      <c r="AH168" s="65">
        <f t="shared" si="346"/>
        <v>0</v>
      </c>
      <c r="AI168" s="66" t="str">
        <f t="shared" si="347"/>
        <v/>
      </c>
      <c r="AJ168" s="65" t="str">
        <f t="shared" si="348"/>
        <v/>
      </c>
      <c r="AK168" s="65" t="str">
        <f t="shared" si="349"/>
        <v/>
      </c>
      <c r="AL168" s="65" t="str">
        <f t="shared" si="350"/>
        <v/>
      </c>
      <c r="AM168" s="524" t="str">
        <f>IF('Marks Entry'!V168="","",IF('Marks Entry'!V168=1,'School Profile'!$I$9,IF('Marks Entry'!V168=2,'School Profile'!$I$10,IF('Marks Entry'!V168=3,'School Profile'!$I$11,IF('Marks Entry'!V168=4,'School Profile'!$I$12,IF('Marks Entry'!V168=5,'School Profile'!$I$13,IF('Marks Entry'!V168=6,'School Profile'!$I$14,"")))))))</f>
        <v/>
      </c>
      <c r="AN168" s="68" t="str">
        <f>IF('Marks Entry'!W168="","",'Marks Entry'!W168)</f>
        <v/>
      </c>
      <c r="AO168" s="68" t="str">
        <f>IF('Marks Entry'!X168="","",'Marks Entry'!X168)</f>
        <v/>
      </c>
      <c r="AP168" s="68" t="str">
        <f>IF('Marks Entry'!Y168="","",'Marks Entry'!Y168)</f>
        <v/>
      </c>
      <c r="AQ168" s="514" t="str">
        <f t="shared" si="351"/>
        <v/>
      </c>
      <c r="AR168" s="68" t="str">
        <f>IF('Marks Entry'!Z168="","",'Marks Entry'!Z168)</f>
        <v/>
      </c>
      <c r="AS168" s="515" t="str">
        <f t="shared" si="352"/>
        <v/>
      </c>
      <c r="AT168" s="68" t="str">
        <f>IF('Marks Entry'!AA168="","",'Marks Entry'!AA168)</f>
        <v/>
      </c>
      <c r="AU168" s="96" t="str">
        <f t="shared" si="353"/>
        <v/>
      </c>
      <c r="AV168" s="65">
        <f t="shared" si="354"/>
        <v>0</v>
      </c>
      <c r="AW168" s="65">
        <f t="shared" si="355"/>
        <v>0</v>
      </c>
      <c r="AX168" s="66" t="str">
        <f t="shared" si="356"/>
        <v/>
      </c>
      <c r="AY168" s="65" t="str">
        <f t="shared" si="357"/>
        <v/>
      </c>
      <c r="AZ168" s="65" t="str">
        <f t="shared" si="358"/>
        <v/>
      </c>
      <c r="BA168" s="65" t="str">
        <f t="shared" si="359"/>
        <v/>
      </c>
      <c r="BB168" s="68" t="str">
        <f>IF('Marks Entry'!AB168="","",'Marks Entry'!AB168)</f>
        <v/>
      </c>
      <c r="BC168" s="68" t="str">
        <f>IF('Marks Entry'!AC168="","",'Marks Entry'!AC168)</f>
        <v/>
      </c>
      <c r="BD168" s="68" t="str">
        <f>IF('Marks Entry'!AD168="","",'Marks Entry'!AD168)</f>
        <v/>
      </c>
      <c r="BE168" s="514" t="str">
        <f t="shared" si="360"/>
        <v/>
      </c>
      <c r="BF168" s="68" t="str">
        <f>IF('Marks Entry'!AE168="","",'Marks Entry'!AE168)</f>
        <v/>
      </c>
      <c r="BG168" s="515" t="str">
        <f t="shared" si="361"/>
        <v/>
      </c>
      <c r="BH168" s="68" t="str">
        <f>IF('Marks Entry'!AF168="","",'Marks Entry'!AF168)</f>
        <v/>
      </c>
      <c r="BI168" s="96" t="str">
        <f t="shared" si="362"/>
        <v/>
      </c>
      <c r="BJ168" s="65">
        <f t="shared" si="363"/>
        <v>0</v>
      </c>
      <c r="BK168" s="65">
        <f t="shared" si="431"/>
        <v>0</v>
      </c>
      <c r="BL168" s="66" t="str">
        <f t="shared" si="364"/>
        <v/>
      </c>
      <c r="BM168" s="65" t="str">
        <f t="shared" si="365"/>
        <v/>
      </c>
      <c r="BN168" s="65" t="str">
        <f t="shared" si="366"/>
        <v/>
      </c>
      <c r="BO168" s="65" t="str">
        <f t="shared" si="367"/>
        <v/>
      </c>
      <c r="BP168" s="68" t="str">
        <f>IF('Marks Entry'!AG168="","",'Marks Entry'!AG168)</f>
        <v/>
      </c>
      <c r="BQ168" s="68" t="str">
        <f>IF('Marks Entry'!AH168="","",'Marks Entry'!AH168)</f>
        <v/>
      </c>
      <c r="BR168" s="68" t="str">
        <f>IF('Marks Entry'!AI168="","",'Marks Entry'!AI168)</f>
        <v/>
      </c>
      <c r="BS168" s="514" t="str">
        <f t="shared" si="368"/>
        <v/>
      </c>
      <c r="BT168" s="68" t="str">
        <f>IF('Marks Entry'!AJ168="","",'Marks Entry'!AJ168)</f>
        <v/>
      </c>
      <c r="BU168" s="515" t="str">
        <f t="shared" si="369"/>
        <v/>
      </c>
      <c r="BV168" s="68" t="str">
        <f>IF('Marks Entry'!AK168="","",'Marks Entry'!AK168)</f>
        <v/>
      </c>
      <c r="BW168" s="96" t="str">
        <f t="shared" si="370"/>
        <v/>
      </c>
      <c r="BX168" s="65">
        <f t="shared" si="371"/>
        <v>0</v>
      </c>
      <c r="BY168" s="65">
        <f t="shared" si="372"/>
        <v>0</v>
      </c>
      <c r="BZ168" s="66" t="str">
        <f t="shared" si="373"/>
        <v/>
      </c>
      <c r="CA168" s="65" t="str">
        <f t="shared" si="374"/>
        <v/>
      </c>
      <c r="CB168" s="65" t="str">
        <f t="shared" si="375"/>
        <v/>
      </c>
      <c r="CC168" s="65" t="str">
        <f t="shared" si="376"/>
        <v/>
      </c>
      <c r="CD168" s="66">
        <f t="shared" si="497"/>
        <v>0</v>
      </c>
      <c r="CE168" s="68" t="str">
        <f>IF('Marks Entry'!AL168="","",'Marks Entry'!AL168)</f>
        <v/>
      </c>
      <c r="CF168" s="68" t="str">
        <f>IF('Marks Entry'!AM168="","",'Marks Entry'!AM168)</f>
        <v/>
      </c>
      <c r="CG168" s="68" t="str">
        <f>IF('Marks Entry'!AN168="","",'Marks Entry'!AN168)</f>
        <v/>
      </c>
      <c r="CH168" s="514" t="str">
        <f t="shared" si="378"/>
        <v/>
      </c>
      <c r="CI168" s="68" t="str">
        <f>IF('Marks Entry'!AO168="","",'Marks Entry'!AO168)</f>
        <v/>
      </c>
      <c r="CJ168" s="515" t="str">
        <f t="shared" si="379"/>
        <v/>
      </c>
      <c r="CK168" s="68" t="str">
        <f>IF('Marks Entry'!AP168="","",'Marks Entry'!AP168)</f>
        <v/>
      </c>
      <c r="CL168" s="96" t="str">
        <f t="shared" si="380"/>
        <v/>
      </c>
      <c r="CM168" s="65">
        <f t="shared" si="381"/>
        <v>0</v>
      </c>
      <c r="CN168" s="65">
        <f t="shared" si="382"/>
        <v>0</v>
      </c>
      <c r="CO168" s="66" t="str">
        <f t="shared" si="383"/>
        <v/>
      </c>
      <c r="CP168" s="65" t="str">
        <f t="shared" si="384"/>
        <v/>
      </c>
      <c r="CQ168" s="65" t="str">
        <f t="shared" si="385"/>
        <v/>
      </c>
      <c r="CR168" s="65" t="str">
        <f t="shared" si="386"/>
        <v/>
      </c>
      <c r="CS168" s="616"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8" t="str">
        <f>IF('School Profile'!$D$20="NO","",IF('Marks Entry'!AR168="","",'Marks Entry'!AR168))</f>
        <v/>
      </c>
      <c r="CU168" s="68" t="str">
        <f>IF('School Profile'!$D$20="NO","",IF('Marks Entry'!AS168="","",'Marks Entry'!AS168))</f>
        <v/>
      </c>
      <c r="CV168" s="68" t="str">
        <f>IF('School Profile'!$D$20="NO","",IF('Marks Entry'!AT168="","",'Marks Entry'!AT168))</f>
        <v/>
      </c>
      <c r="CW168" s="514" t="str">
        <f>IF('School Profile'!$D$20="NO","",IF(AND(CT168="",CU168="",CV168=""),"",SUM(CT168:CV168)))</f>
        <v/>
      </c>
      <c r="CX168" s="68" t="str">
        <f>IF('School Profile'!$D$20="NO","",IF('Marks Entry'!AU168="","",'Marks Entry'!AU168))</f>
        <v/>
      </c>
      <c r="CY168" s="68" t="str">
        <f>IF('School Profile'!$D$20="NO","",IF('Marks Entry'!AV168="","",'Marks Entry'!AV168))</f>
        <v/>
      </c>
      <c r="CZ168" s="515" t="str">
        <f>IF('School Profile'!$D$20="NO","",IF(AND(CX168="",CY168=""),"",SUM(CX168,CY168)))</f>
        <v/>
      </c>
      <c r="DA168" s="69" t="str">
        <f>IF('School Profile'!$D$20="NO","",IF(AND(CW168="",CZ168=""),"",SUM(CW168+CZ168)))</f>
        <v/>
      </c>
      <c r="DB168" s="68" t="str">
        <f>IF('School Profile'!$D$20="NO","",IF('Marks Entry'!AW168="","",'Marks Entry'!AW168))</f>
        <v/>
      </c>
      <c r="DC168" s="68" t="str">
        <f>IF('School Profile'!$D$20="NO","",IF('Marks Entry'!AX168="","",'Marks Entry'!AX168))</f>
        <v/>
      </c>
      <c r="DD168" s="515" t="str">
        <f>IF('School Profile'!$D$20="NO","",IF(AND(DB168="",DC168=""),"",SUM(DB168,DC168)))</f>
        <v/>
      </c>
      <c r="DE168" s="96" t="str">
        <f>IF('School Profile'!$D$20="NO","",IF(AND(DA168="",DD168=""),"",SUM(DA168,DD168)))</f>
        <v/>
      </c>
      <c r="DF168" s="532">
        <f t="shared" si="387"/>
        <v>0</v>
      </c>
      <c r="DG168" s="65">
        <f t="shared" si="388"/>
        <v>0</v>
      </c>
      <c r="DH168" s="66" t="str">
        <f t="shared" si="389"/>
        <v/>
      </c>
      <c r="DI168" s="65" t="str">
        <f t="shared" si="390"/>
        <v/>
      </c>
      <c r="DJ168" s="65" t="str">
        <f t="shared" si="391"/>
        <v/>
      </c>
      <c r="DK168" s="65" t="str">
        <f t="shared" si="392"/>
        <v/>
      </c>
      <c r="DL168" s="97" t="str">
        <f t="shared" si="432"/>
        <v/>
      </c>
      <c r="DM168" s="97" t="str">
        <f t="shared" si="433"/>
        <v/>
      </c>
      <c r="DN168" s="97" t="str">
        <f t="shared" si="434"/>
        <v/>
      </c>
      <c r="DO168" s="97" t="str">
        <f t="shared" si="435"/>
        <v/>
      </c>
      <c r="DP168" s="97" t="str">
        <f t="shared" si="436"/>
        <v/>
      </c>
      <c r="DQ168" s="97" t="str">
        <f t="shared" si="437"/>
        <v/>
      </c>
      <c r="DR168" s="97" t="str">
        <f t="shared" si="438"/>
        <v/>
      </c>
      <c r="DS168" s="98">
        <f t="shared" si="439"/>
        <v>0</v>
      </c>
      <c r="DT168" s="98">
        <f t="shared" si="440"/>
        <v>0</v>
      </c>
      <c r="DU168" s="98">
        <f t="shared" si="441"/>
        <v>0</v>
      </c>
      <c r="DV168" s="98">
        <f t="shared" si="442"/>
        <v>0</v>
      </c>
      <c r="DW168" s="98">
        <f t="shared" si="443"/>
        <v>0</v>
      </c>
      <c r="DX168" s="98" t="str">
        <f t="shared" si="444"/>
        <v/>
      </c>
      <c r="DY168" s="99" t="str">
        <f t="shared" si="445"/>
        <v/>
      </c>
      <c r="DZ168" s="74" t="str">
        <f>IF('Marks Entry'!AY168="","",'Marks Entry'!AY168)</f>
        <v/>
      </c>
      <c r="EA168" s="74" t="str">
        <f>IF('Marks Entry'!AZ168="","",'Marks Entry'!AZ168)</f>
        <v/>
      </c>
      <c r="EB168" s="74" t="str">
        <f>IF('Marks Entry'!BA168="","",'Marks Entry'!BA168)</f>
        <v/>
      </c>
      <c r="EC168" s="527" t="str">
        <f t="shared" si="393"/>
        <v/>
      </c>
      <c r="ED168" s="74" t="str">
        <f>IF('Marks Entry'!BB168="","",'Marks Entry'!BB168)</f>
        <v/>
      </c>
      <c r="EE168" s="528" t="str">
        <f t="shared" si="394"/>
        <v/>
      </c>
      <c r="EF168" s="74" t="str">
        <f>IF('Marks Entry'!BC168="","",'Marks Entry'!BC168)</f>
        <v/>
      </c>
      <c r="EG168" s="530" t="str">
        <f t="shared" si="395"/>
        <v/>
      </c>
      <c r="EH168" s="368" t="str">
        <f t="shared" si="446"/>
        <v/>
      </c>
      <c r="EI168" s="65">
        <f t="shared" si="447"/>
        <v>0</v>
      </c>
      <c r="EJ168" s="65">
        <f t="shared" si="448"/>
        <v>0</v>
      </c>
      <c r="EK168" s="66" t="str">
        <f t="shared" si="449"/>
        <v/>
      </c>
      <c r="EL168" s="74" t="str">
        <f>IF('Marks Entry'!BD168="","",'Marks Entry'!BD168)</f>
        <v/>
      </c>
      <c r="EM168" s="74" t="str">
        <f>IF('Marks Entry'!BE168="","",'Marks Entry'!BE168)</f>
        <v/>
      </c>
      <c r="EN168" s="74" t="str">
        <f>IF('Marks Entry'!BF168="","",'Marks Entry'!BF168)</f>
        <v/>
      </c>
      <c r="EO168" s="527" t="str">
        <f t="shared" si="396"/>
        <v/>
      </c>
      <c r="EP168" s="74" t="str">
        <f>IF('Marks Entry'!BG168="","",'Marks Entry'!BG168)</f>
        <v/>
      </c>
      <c r="EQ168" s="74" t="str">
        <f>IF('Marks Entry'!BH168="","",'Marks Entry'!BH168)</f>
        <v/>
      </c>
      <c r="ER168" s="528" t="str">
        <f t="shared" si="397"/>
        <v/>
      </c>
      <c r="ES168" s="529" t="str">
        <f t="shared" si="398"/>
        <v/>
      </c>
      <c r="ET168" s="74" t="str">
        <f>IF('Marks Entry'!BI168="","",'Marks Entry'!BI168)</f>
        <v/>
      </c>
      <c r="EU168" s="74" t="str">
        <f>IF('Marks Entry'!BJ168="","",'Marks Entry'!BJ168)</f>
        <v/>
      </c>
      <c r="EV168" s="528" t="str">
        <f t="shared" si="399"/>
        <v/>
      </c>
      <c r="EW168" s="530" t="str">
        <f t="shared" si="400"/>
        <v/>
      </c>
      <c r="EX168" s="368" t="str">
        <f t="shared" si="450"/>
        <v/>
      </c>
      <c r="EY168" s="65">
        <f t="shared" si="451"/>
        <v>0</v>
      </c>
      <c r="EZ168" s="65">
        <f t="shared" si="452"/>
        <v>0</v>
      </c>
      <c r="FA168" s="66" t="str">
        <f t="shared" si="453"/>
        <v/>
      </c>
      <c r="FB168" s="74" t="str">
        <f>IF('Marks Entry'!BK168="","",'Marks Entry'!BK168)</f>
        <v/>
      </c>
      <c r="FC168" s="74" t="str">
        <f>IF('Marks Entry'!BL168="","",'Marks Entry'!BL168)</f>
        <v/>
      </c>
      <c r="FD168" s="74" t="str">
        <f>IF('Marks Entry'!BM168="","",'Marks Entry'!BM168)</f>
        <v/>
      </c>
      <c r="FE168" s="74" t="str">
        <f>IF('Marks Entry'!BN168="","",'Marks Entry'!BN168)</f>
        <v/>
      </c>
      <c r="FF168" s="74" t="str">
        <f>IF('Marks Entry'!BO168="","",'Marks Entry'!BO168)</f>
        <v/>
      </c>
      <c r="FG168" s="74" t="str">
        <f>IF('Marks Entry'!BP168="","",'Marks Entry'!BP168)</f>
        <v/>
      </c>
      <c r="FH168" s="527" t="str">
        <f t="shared" si="401"/>
        <v/>
      </c>
      <c r="FI168" s="74" t="str">
        <f>IF('Marks Entry'!BQ168="","",'Marks Entry'!BQ168)</f>
        <v/>
      </c>
      <c r="FJ168" s="74" t="str">
        <f>IF('Marks Entry'!BR168="","",'Marks Entry'!BR168)</f>
        <v/>
      </c>
      <c r="FK168" s="528" t="str">
        <f t="shared" si="402"/>
        <v/>
      </c>
      <c r="FL168" s="529" t="str">
        <f t="shared" si="403"/>
        <v/>
      </c>
      <c r="FM168" s="74" t="str">
        <f>IF('Marks Entry'!BS168="","",'Marks Entry'!BS168)</f>
        <v/>
      </c>
      <c r="FN168" s="74" t="str">
        <f>IF('Marks Entry'!BT168="","",'Marks Entry'!BT168)</f>
        <v/>
      </c>
      <c r="FO168" s="528" t="str">
        <f t="shared" si="404"/>
        <v/>
      </c>
      <c r="FP168" s="530" t="str">
        <f t="shared" si="405"/>
        <v/>
      </c>
      <c r="FQ168" s="368" t="str">
        <f t="shared" si="454"/>
        <v/>
      </c>
      <c r="FR168" s="65">
        <f t="shared" si="455"/>
        <v>0</v>
      </c>
      <c r="FS168" s="65">
        <f t="shared" si="456"/>
        <v>0</v>
      </c>
      <c r="FT168" s="66" t="str">
        <f t="shared" si="457"/>
        <v/>
      </c>
      <c r="FU168" s="74" t="str">
        <f>IF('Marks Entry'!BU168="","",'Marks Entry'!BU168)</f>
        <v/>
      </c>
      <c r="FV168" s="74" t="str">
        <f>IF('Marks Entry'!BV168="","",'Marks Entry'!BV168)</f>
        <v/>
      </c>
      <c r="FW168" s="74" t="str">
        <f>IF('Marks Entry'!BW168="","",'Marks Entry'!BW168)</f>
        <v/>
      </c>
      <c r="FX168" s="75" t="str">
        <f t="shared" si="406"/>
        <v/>
      </c>
      <c r="FY168" s="368" t="str">
        <f t="shared" si="458"/>
        <v/>
      </c>
      <c r="FZ168" s="65">
        <f t="shared" si="459"/>
        <v>0</v>
      </c>
      <c r="GA168" s="66">
        <f t="shared" si="460"/>
        <v>0</v>
      </c>
      <c r="GB168" s="66" t="str">
        <f t="shared" si="461"/>
        <v/>
      </c>
      <c r="GC168" s="74" t="str">
        <f>IF('Marks Entry'!BX168="","",'Marks Entry'!BX168)</f>
        <v/>
      </c>
      <c r="GD168" s="74" t="str">
        <f>IF('Marks Entry'!BY168="","",'Marks Entry'!BY168)</f>
        <v/>
      </c>
      <c r="GE168" s="74" t="str">
        <f>IF('Marks Entry'!BZ168="","",'Marks Entry'!BZ168)</f>
        <v/>
      </c>
      <c r="GF168" s="75" t="str">
        <f t="shared" si="462"/>
        <v/>
      </c>
      <c r="GG168" s="368" t="str">
        <f t="shared" si="463"/>
        <v/>
      </c>
      <c r="GH168" s="65">
        <f t="shared" si="464"/>
        <v>0</v>
      </c>
      <c r="GI168" s="66">
        <f t="shared" si="465"/>
        <v>0</v>
      </c>
      <c r="GJ168" s="66" t="str">
        <f t="shared" si="466"/>
        <v/>
      </c>
      <c r="GK168" s="100" t="str">
        <f>IF(AND(F168="",B168=""),"",IF('Student DATA Entry'!M165="","",'Student DATA Entry'!M165))</f>
        <v/>
      </c>
      <c r="GL168" s="101" t="str">
        <f>IF(AND(B168="",F168=""),"",IF('Student DATA Entry'!N165="","",'Student DATA Entry'!N165))</f>
        <v/>
      </c>
      <c r="GM168" s="581" t="str">
        <f t="shared" si="467"/>
        <v/>
      </c>
      <c r="GN168" s="94" t="str">
        <f t="shared" si="468"/>
        <v/>
      </c>
      <c r="GO168" s="94" t="str">
        <f t="shared" si="469"/>
        <v/>
      </c>
      <c r="GP168" s="102" t="str">
        <f t="shared" si="498"/>
        <v/>
      </c>
      <c r="GQ168" s="94" t="str">
        <f t="shared" si="470"/>
        <v/>
      </c>
      <c r="GR168" s="103" t="str">
        <f t="shared" si="471"/>
        <v/>
      </c>
      <c r="GS168" s="102" t="str">
        <f t="shared" si="499"/>
        <v/>
      </c>
      <c r="GT168" s="104" t="str">
        <f t="shared" si="472"/>
        <v/>
      </c>
      <c r="GU168" s="94" t="str">
        <f>IF('Marks Entry'!V168=1,GT168,"")</f>
        <v/>
      </c>
      <c r="GV168" s="94" t="str">
        <f>IF('Marks Entry'!V168=2,GT168,"")</f>
        <v/>
      </c>
      <c r="GW168" s="94" t="str">
        <f>IF('Marks Entry'!V168=3,GT168,"")</f>
        <v/>
      </c>
      <c r="GX168" s="94" t="str">
        <f>IF('Marks Entry'!V168=4,GT168,"")</f>
        <v/>
      </c>
      <c r="GY168" s="94" t="str">
        <f>IF('Marks Entry'!V168=5,GT168,"")</f>
        <v/>
      </c>
      <c r="GZ168" s="94" t="str">
        <f t="shared" si="473"/>
        <v/>
      </c>
      <c r="HA168" s="105" t="str">
        <f t="shared" si="500"/>
        <v/>
      </c>
      <c r="HB168" s="94" t="str">
        <f t="shared" si="474"/>
        <v/>
      </c>
      <c r="HC168" s="94" t="str">
        <f t="shared" si="475"/>
        <v/>
      </c>
      <c r="HD168" s="105" t="str">
        <f t="shared" si="501"/>
        <v/>
      </c>
      <c r="HE168" s="94" t="str">
        <f t="shared" si="476"/>
        <v/>
      </c>
      <c r="HF168" s="94" t="str">
        <f t="shared" si="477"/>
        <v/>
      </c>
      <c r="HG168" s="105" t="str">
        <f t="shared" si="502"/>
        <v/>
      </c>
      <c r="HH168" s="94" t="str">
        <f t="shared" si="478"/>
        <v/>
      </c>
      <c r="HI168" s="94" t="str">
        <f t="shared" si="479"/>
        <v/>
      </c>
      <c r="HJ168" s="105" t="str">
        <f t="shared" si="503"/>
        <v/>
      </c>
      <c r="HK168" s="94" t="str">
        <f t="shared" si="480"/>
        <v/>
      </c>
      <c r="HL168" s="94" t="str">
        <f t="shared" si="481"/>
        <v/>
      </c>
      <c r="HM168" s="105" t="str">
        <f t="shared" si="504"/>
        <v/>
      </c>
      <c r="HN168" s="367" t="str">
        <f t="shared" si="482"/>
        <v xml:space="preserve">      </v>
      </c>
      <c r="HO168" s="418" t="str">
        <f t="shared" si="505"/>
        <v xml:space="preserve">      </v>
      </c>
      <c r="HP168" s="367" t="str">
        <f t="shared" si="483"/>
        <v xml:space="preserve">      </v>
      </c>
      <c r="HQ168" s="107" t="str">
        <f t="shared" si="484"/>
        <v xml:space="preserve">      </v>
      </c>
      <c r="HR168" s="366" t="str">
        <f t="shared" si="485"/>
        <v xml:space="preserve">      </v>
      </c>
      <c r="HS168" s="544" t="str">
        <f t="shared" si="506"/>
        <v/>
      </c>
      <c r="HT168" s="542" t="str">
        <f t="shared" si="486"/>
        <v/>
      </c>
      <c r="HU168" s="541" t="str">
        <f t="shared" si="487"/>
        <v/>
      </c>
      <c r="HV168" s="540" t="str">
        <f t="shared" si="488"/>
        <v/>
      </c>
      <c r="HW168" s="537" t="str">
        <f t="shared" si="489"/>
        <v/>
      </c>
      <c r="HX168" s="539" t="str">
        <f t="shared" si="490"/>
        <v/>
      </c>
      <c r="HY168" s="553" t="str">
        <f>IFERROR(IF(OR(HS168="SUPPLEMENTARY",HS168="RE-EXAM"),'Supp. Result Entry'!AQ166,""),"")</f>
        <v/>
      </c>
      <c r="HZ168" s="538" t="str">
        <f t="shared" si="491"/>
        <v/>
      </c>
      <c r="IA168" s="415" t="str">
        <f t="shared" si="492"/>
        <v/>
      </c>
      <c r="IB168" s="415" t="str">
        <f>IF(AND(HZ168="",IA168=""),"",IF(OR(HS168="SUPPLEMENTARY",HS168="RE-EXAM"),'Supp. Result Entry'!AQ166,HS168))</f>
        <v/>
      </c>
      <c r="IC168" s="87"/>
      <c r="IS168" s="109" t="str">
        <f>IF('Supp. Result Entry'!T166="","",'Supp. Result Entry'!$T$4)</f>
        <v/>
      </c>
      <c r="IT168" s="110" t="str">
        <f>IF('Supp. Result Entry'!W166="","",'Supp. Result Entry'!$W$4)</f>
        <v/>
      </c>
      <c r="IU168" s="110" t="str">
        <f>IF('Supp. Result Entry'!Z166="","",'Supp. Result Entry'!$Z$4)</f>
        <v/>
      </c>
      <c r="IV168" s="110" t="str">
        <f>IF('Supp. Result Entry'!AC166="","",'Supp. Result Entry'!$AC$4)</f>
        <v/>
      </c>
      <c r="IW168" s="110" t="str">
        <f>IF('Supp. Result Entry'!AF166="","",'Supp. Result Entry'!$AF$4)</f>
        <v/>
      </c>
      <c r="IX168" s="110" t="str">
        <f>IF('Supp. Result Entry'!AI166="","",'Supp. Result Entry'!$AI$4)</f>
        <v/>
      </c>
      <c r="IY168" s="110" t="str">
        <f>IF('Supp. Result Entry'!AI166="","",'Supp. Result Entry'!$AL$4)</f>
        <v/>
      </c>
      <c r="IZ168" s="110" t="str">
        <f>IF('Supp. Result Entry'!U166="","",'Supp. Result Entry'!U166)</f>
        <v/>
      </c>
      <c r="JA168" s="110" t="str">
        <f>IF('Supp. Result Entry'!X166="","",'Supp. Result Entry'!X166)</f>
        <v/>
      </c>
      <c r="JB168" s="110" t="str">
        <f>IF('Supp. Result Entry'!AA166="","",'Supp. Result Entry'!AA166)</f>
        <v/>
      </c>
      <c r="JC168" s="110" t="str">
        <f>IF('Supp. Result Entry'!AD166="","",'Supp. Result Entry'!AD166)</f>
        <v/>
      </c>
      <c r="JD168" s="110" t="str">
        <f>IF('Supp. Result Entry'!AG166="","",'Supp. Result Entry'!AG166)</f>
        <v/>
      </c>
      <c r="JE168" s="110" t="str">
        <f>IF('Supp. Result Entry'!AJ166="","",'Supp. Result Entry'!AJ166)</f>
        <v/>
      </c>
      <c r="JF168" s="110" t="str">
        <f>IF('Supp. Result Entry'!AM166="","",'Supp. Result Entry'!AM166)</f>
        <v/>
      </c>
      <c r="JG168" s="110" t="str">
        <f>IF('Supp. Result Entry'!V166="","",'Supp. Result Entry'!V166)</f>
        <v/>
      </c>
      <c r="JH168" s="110" t="str">
        <f>IF('Supp. Result Entry'!Y166="","",'Supp. Result Entry'!Y166)</f>
        <v/>
      </c>
      <c r="JI168" s="110" t="str">
        <f>IF('Supp. Result Entry'!AB166="","",'Supp. Result Entry'!AB166)</f>
        <v/>
      </c>
      <c r="JJ168" s="110" t="str">
        <f>IF('Supp. Result Entry'!AE166="","",'Supp. Result Entry'!AE166)</f>
        <v/>
      </c>
      <c r="JK168" s="110" t="str">
        <f>IF('Supp. Result Entry'!AH166="","",'Supp. Result Entry'!AH166)</f>
        <v/>
      </c>
      <c r="JL168" s="110" t="str">
        <f>IF('Supp. Result Entry'!AK166="","",'Supp. Result Entry'!AK166)</f>
        <v/>
      </c>
      <c r="JM168" s="110" t="str">
        <f>IF('Supp. Result Entry'!AN166="","",'Supp. Result Entry'!AN166)</f>
        <v/>
      </c>
      <c r="JN168" s="110">
        <f>COUNTIF('Supp. Result Entry'!K166:Q166,"S")</f>
        <v>0</v>
      </c>
      <c r="JO168" s="110">
        <f t="shared" si="416"/>
        <v>0</v>
      </c>
      <c r="JP168" s="110">
        <f t="shared" si="493"/>
        <v>0</v>
      </c>
      <c r="JQ168" s="110" t="str">
        <f t="shared" si="417"/>
        <v/>
      </c>
      <c r="JR168" s="110" t="str">
        <f t="shared" si="418"/>
        <v/>
      </c>
      <c r="JS168" s="110" t="str">
        <f t="shared" si="419"/>
        <v/>
      </c>
      <c r="JT168" s="110" t="str">
        <f t="shared" si="420"/>
        <v/>
      </c>
      <c r="JU168" s="110" t="str">
        <f t="shared" si="421"/>
        <v/>
      </c>
      <c r="JV168" s="110" t="str">
        <f t="shared" si="422"/>
        <v/>
      </c>
      <c r="JW168" s="110" t="str">
        <f t="shared" si="423"/>
        <v/>
      </c>
      <c r="JX168" s="110" t="str">
        <f t="shared" si="494"/>
        <v/>
      </c>
      <c r="JY168" s="110" t="str">
        <f t="shared" si="495"/>
        <v/>
      </c>
      <c r="JZ168" s="110" t="str">
        <f t="shared" si="424"/>
        <v/>
      </c>
      <c r="KA168" s="108" t="str">
        <f t="shared" si="496"/>
        <v/>
      </c>
    </row>
    <row r="169" spans="1:287" s="108" customFormat="1" ht="21.95" customHeight="1">
      <c r="A169" s="89">
        <v>163</v>
      </c>
      <c r="B169" s="90" t="str">
        <f>IF('Marks Entry'!B169="","",'Marks Entry'!B169)</f>
        <v/>
      </c>
      <c r="C169" s="94" t="str">
        <f>IF('Marks Entry'!D169="","",'Marks Entry'!D169)</f>
        <v/>
      </c>
      <c r="D169" s="91" t="str">
        <f>IF('Marks Entry'!E169="","",'Marks Entry'!E169)</f>
        <v/>
      </c>
      <c r="E169" s="92" t="str">
        <f>IF('Marks Entry'!F169="","",'Marks Entry'!F169)</f>
        <v/>
      </c>
      <c r="F169" s="93" t="str">
        <f>IF('Marks Entry'!G169="","",'Marks Entry'!G169)</f>
        <v/>
      </c>
      <c r="G169" s="93" t="str">
        <f>IF('Marks Entry'!H169="","",'Marks Entry'!H169)</f>
        <v/>
      </c>
      <c r="H169" s="93" t="str">
        <f>IF('Marks Entry'!I169="","",'Marks Entry'!I169)</f>
        <v/>
      </c>
      <c r="I169" s="94" t="str">
        <f>IF('Marks Entry'!J169="","",'Marks Entry'!J169)</f>
        <v/>
      </c>
      <c r="J169" s="95" t="str">
        <f>IF('Marks Entry'!K169="","",'Marks Entry'!K169)</f>
        <v/>
      </c>
      <c r="K169" s="68" t="str">
        <f>IF('Marks Entry'!L169="","",'Marks Entry'!L169)</f>
        <v/>
      </c>
      <c r="L169" s="68" t="str">
        <f>IF('Marks Entry'!M169="","",'Marks Entry'!M169)</f>
        <v/>
      </c>
      <c r="M169" s="68" t="str">
        <f>IF('Marks Entry'!N169="","",'Marks Entry'!N169)</f>
        <v/>
      </c>
      <c r="N169" s="514" t="str">
        <f t="shared" si="425"/>
        <v/>
      </c>
      <c r="O169" s="68" t="str">
        <f>IF('Marks Entry'!O169="","",'Marks Entry'!O169)</f>
        <v/>
      </c>
      <c r="P169" s="515" t="str">
        <f t="shared" si="426"/>
        <v/>
      </c>
      <c r="Q169" s="68" t="str">
        <f>IF('Marks Entry'!P169="","",'Marks Entry'!P169)</f>
        <v/>
      </c>
      <c r="R169" s="96" t="str">
        <f t="shared" si="427"/>
        <v/>
      </c>
      <c r="S169" s="65">
        <f t="shared" si="428"/>
        <v>0</v>
      </c>
      <c r="T169" s="65">
        <f t="shared" si="429"/>
        <v>0</v>
      </c>
      <c r="U169" s="66" t="str">
        <f t="shared" si="339"/>
        <v/>
      </c>
      <c r="V169" s="65" t="str">
        <f t="shared" si="340"/>
        <v/>
      </c>
      <c r="W169" s="65" t="str">
        <f t="shared" si="430"/>
        <v/>
      </c>
      <c r="X169" s="65" t="str">
        <f t="shared" si="341"/>
        <v/>
      </c>
      <c r="Y169" s="68" t="str">
        <f>IF('Marks Entry'!Q169="","",'Marks Entry'!Q169)</f>
        <v/>
      </c>
      <c r="Z169" s="68" t="str">
        <f>IF('Marks Entry'!R169="","",'Marks Entry'!R169)</f>
        <v/>
      </c>
      <c r="AA169" s="68" t="str">
        <f>IF('Marks Entry'!S169="","",'Marks Entry'!S169)</f>
        <v/>
      </c>
      <c r="AB169" s="514" t="str">
        <f t="shared" si="342"/>
        <v/>
      </c>
      <c r="AC169" s="68" t="str">
        <f>IF('Marks Entry'!T169="","",'Marks Entry'!T169)</f>
        <v/>
      </c>
      <c r="AD169" s="515" t="str">
        <f t="shared" si="343"/>
        <v/>
      </c>
      <c r="AE169" s="68" t="str">
        <f>IF('Marks Entry'!U169="","",'Marks Entry'!U169)</f>
        <v/>
      </c>
      <c r="AF169" s="96" t="str">
        <f t="shared" si="344"/>
        <v/>
      </c>
      <c r="AG169" s="65">
        <f t="shared" si="345"/>
        <v>0</v>
      </c>
      <c r="AH169" s="65">
        <f t="shared" si="346"/>
        <v>0</v>
      </c>
      <c r="AI169" s="66" t="str">
        <f t="shared" si="347"/>
        <v/>
      </c>
      <c r="AJ169" s="65" t="str">
        <f t="shared" si="348"/>
        <v/>
      </c>
      <c r="AK169" s="65" t="str">
        <f t="shared" si="349"/>
        <v/>
      </c>
      <c r="AL169" s="65" t="str">
        <f t="shared" si="350"/>
        <v/>
      </c>
      <c r="AM169" s="524" t="str">
        <f>IF('Marks Entry'!V169="","",IF('Marks Entry'!V169=1,'School Profile'!$I$9,IF('Marks Entry'!V169=2,'School Profile'!$I$10,IF('Marks Entry'!V169=3,'School Profile'!$I$11,IF('Marks Entry'!V169=4,'School Profile'!$I$12,IF('Marks Entry'!V169=5,'School Profile'!$I$13,IF('Marks Entry'!V169=6,'School Profile'!$I$14,"")))))))</f>
        <v/>
      </c>
      <c r="AN169" s="68" t="str">
        <f>IF('Marks Entry'!W169="","",'Marks Entry'!W169)</f>
        <v/>
      </c>
      <c r="AO169" s="68" t="str">
        <f>IF('Marks Entry'!X169="","",'Marks Entry'!X169)</f>
        <v/>
      </c>
      <c r="AP169" s="68" t="str">
        <f>IF('Marks Entry'!Y169="","",'Marks Entry'!Y169)</f>
        <v/>
      </c>
      <c r="AQ169" s="514" t="str">
        <f t="shared" si="351"/>
        <v/>
      </c>
      <c r="AR169" s="68" t="str">
        <f>IF('Marks Entry'!Z169="","",'Marks Entry'!Z169)</f>
        <v/>
      </c>
      <c r="AS169" s="515" t="str">
        <f t="shared" si="352"/>
        <v/>
      </c>
      <c r="AT169" s="68" t="str">
        <f>IF('Marks Entry'!AA169="","",'Marks Entry'!AA169)</f>
        <v/>
      </c>
      <c r="AU169" s="96" t="str">
        <f t="shared" si="353"/>
        <v/>
      </c>
      <c r="AV169" s="65">
        <f t="shared" si="354"/>
        <v>0</v>
      </c>
      <c r="AW169" s="65">
        <f t="shared" si="355"/>
        <v>0</v>
      </c>
      <c r="AX169" s="66" t="str">
        <f t="shared" si="356"/>
        <v/>
      </c>
      <c r="AY169" s="65" t="str">
        <f t="shared" si="357"/>
        <v/>
      </c>
      <c r="AZ169" s="65" t="str">
        <f t="shared" si="358"/>
        <v/>
      </c>
      <c r="BA169" s="65" t="str">
        <f t="shared" si="359"/>
        <v/>
      </c>
      <c r="BB169" s="68" t="str">
        <f>IF('Marks Entry'!AB169="","",'Marks Entry'!AB169)</f>
        <v/>
      </c>
      <c r="BC169" s="68" t="str">
        <f>IF('Marks Entry'!AC169="","",'Marks Entry'!AC169)</f>
        <v/>
      </c>
      <c r="BD169" s="68" t="str">
        <f>IF('Marks Entry'!AD169="","",'Marks Entry'!AD169)</f>
        <v/>
      </c>
      <c r="BE169" s="514" t="str">
        <f t="shared" si="360"/>
        <v/>
      </c>
      <c r="BF169" s="68" t="str">
        <f>IF('Marks Entry'!AE169="","",'Marks Entry'!AE169)</f>
        <v/>
      </c>
      <c r="BG169" s="515" t="str">
        <f t="shared" si="361"/>
        <v/>
      </c>
      <c r="BH169" s="68" t="str">
        <f>IF('Marks Entry'!AF169="","",'Marks Entry'!AF169)</f>
        <v/>
      </c>
      <c r="BI169" s="96" t="str">
        <f t="shared" si="362"/>
        <v/>
      </c>
      <c r="BJ169" s="65">
        <f t="shared" si="363"/>
        <v>0</v>
      </c>
      <c r="BK169" s="65">
        <f t="shared" si="431"/>
        <v>0</v>
      </c>
      <c r="BL169" s="66" t="str">
        <f t="shared" si="364"/>
        <v/>
      </c>
      <c r="BM169" s="65" t="str">
        <f t="shared" si="365"/>
        <v/>
      </c>
      <c r="BN169" s="65" t="str">
        <f t="shared" si="366"/>
        <v/>
      </c>
      <c r="BO169" s="65" t="str">
        <f t="shared" si="367"/>
        <v/>
      </c>
      <c r="BP169" s="68" t="str">
        <f>IF('Marks Entry'!AG169="","",'Marks Entry'!AG169)</f>
        <v/>
      </c>
      <c r="BQ169" s="68" t="str">
        <f>IF('Marks Entry'!AH169="","",'Marks Entry'!AH169)</f>
        <v/>
      </c>
      <c r="BR169" s="68" t="str">
        <f>IF('Marks Entry'!AI169="","",'Marks Entry'!AI169)</f>
        <v/>
      </c>
      <c r="BS169" s="514" t="str">
        <f t="shared" si="368"/>
        <v/>
      </c>
      <c r="BT169" s="68" t="str">
        <f>IF('Marks Entry'!AJ169="","",'Marks Entry'!AJ169)</f>
        <v/>
      </c>
      <c r="BU169" s="515" t="str">
        <f t="shared" si="369"/>
        <v/>
      </c>
      <c r="BV169" s="68" t="str">
        <f>IF('Marks Entry'!AK169="","",'Marks Entry'!AK169)</f>
        <v/>
      </c>
      <c r="BW169" s="96" t="str">
        <f t="shared" si="370"/>
        <v/>
      </c>
      <c r="BX169" s="65">
        <f t="shared" si="371"/>
        <v>0</v>
      </c>
      <c r="BY169" s="65">
        <f t="shared" si="372"/>
        <v>0</v>
      </c>
      <c r="BZ169" s="66" t="str">
        <f t="shared" si="373"/>
        <v/>
      </c>
      <c r="CA169" s="65" t="str">
        <f t="shared" si="374"/>
        <v/>
      </c>
      <c r="CB169" s="65" t="str">
        <f t="shared" si="375"/>
        <v/>
      </c>
      <c r="CC169" s="65" t="str">
        <f t="shared" si="376"/>
        <v/>
      </c>
      <c r="CD169" s="66">
        <f t="shared" si="497"/>
        <v>0</v>
      </c>
      <c r="CE169" s="68" t="str">
        <f>IF('Marks Entry'!AL169="","",'Marks Entry'!AL169)</f>
        <v/>
      </c>
      <c r="CF169" s="68" t="str">
        <f>IF('Marks Entry'!AM169="","",'Marks Entry'!AM169)</f>
        <v/>
      </c>
      <c r="CG169" s="68" t="str">
        <f>IF('Marks Entry'!AN169="","",'Marks Entry'!AN169)</f>
        <v/>
      </c>
      <c r="CH169" s="514" t="str">
        <f t="shared" si="378"/>
        <v/>
      </c>
      <c r="CI169" s="68" t="str">
        <f>IF('Marks Entry'!AO169="","",'Marks Entry'!AO169)</f>
        <v/>
      </c>
      <c r="CJ169" s="515" t="str">
        <f t="shared" si="379"/>
        <v/>
      </c>
      <c r="CK169" s="68" t="str">
        <f>IF('Marks Entry'!AP169="","",'Marks Entry'!AP169)</f>
        <v/>
      </c>
      <c r="CL169" s="96" t="str">
        <f t="shared" si="380"/>
        <v/>
      </c>
      <c r="CM169" s="65">
        <f t="shared" si="381"/>
        <v>0</v>
      </c>
      <c r="CN169" s="65">
        <f t="shared" si="382"/>
        <v>0</v>
      </c>
      <c r="CO169" s="66" t="str">
        <f t="shared" si="383"/>
        <v/>
      </c>
      <c r="CP169" s="65" t="str">
        <f t="shared" si="384"/>
        <v/>
      </c>
      <c r="CQ169" s="65" t="str">
        <f t="shared" si="385"/>
        <v/>
      </c>
      <c r="CR169" s="65" t="str">
        <f t="shared" si="386"/>
        <v/>
      </c>
      <c r="CS169" s="616"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8" t="str">
        <f>IF('School Profile'!$D$20="NO","",IF('Marks Entry'!AR169="","",'Marks Entry'!AR169))</f>
        <v/>
      </c>
      <c r="CU169" s="68" t="str">
        <f>IF('School Profile'!$D$20="NO","",IF('Marks Entry'!AS169="","",'Marks Entry'!AS169))</f>
        <v/>
      </c>
      <c r="CV169" s="68" t="str">
        <f>IF('School Profile'!$D$20="NO","",IF('Marks Entry'!AT169="","",'Marks Entry'!AT169))</f>
        <v/>
      </c>
      <c r="CW169" s="514" t="str">
        <f>IF('School Profile'!$D$20="NO","",IF(AND(CT169="",CU169="",CV169=""),"",SUM(CT169:CV169)))</f>
        <v/>
      </c>
      <c r="CX169" s="68" t="str">
        <f>IF('School Profile'!$D$20="NO","",IF('Marks Entry'!AU169="","",'Marks Entry'!AU169))</f>
        <v/>
      </c>
      <c r="CY169" s="68" t="str">
        <f>IF('School Profile'!$D$20="NO","",IF('Marks Entry'!AV169="","",'Marks Entry'!AV169))</f>
        <v/>
      </c>
      <c r="CZ169" s="515" t="str">
        <f>IF('School Profile'!$D$20="NO","",IF(AND(CX169="",CY169=""),"",SUM(CX169,CY169)))</f>
        <v/>
      </c>
      <c r="DA169" s="69" t="str">
        <f>IF('School Profile'!$D$20="NO","",IF(AND(CW169="",CZ169=""),"",SUM(CW169+CZ169)))</f>
        <v/>
      </c>
      <c r="DB169" s="68" t="str">
        <f>IF('School Profile'!$D$20="NO","",IF('Marks Entry'!AW169="","",'Marks Entry'!AW169))</f>
        <v/>
      </c>
      <c r="DC169" s="68" t="str">
        <f>IF('School Profile'!$D$20="NO","",IF('Marks Entry'!AX169="","",'Marks Entry'!AX169))</f>
        <v/>
      </c>
      <c r="DD169" s="515" t="str">
        <f>IF('School Profile'!$D$20="NO","",IF(AND(DB169="",DC169=""),"",SUM(DB169,DC169)))</f>
        <v/>
      </c>
      <c r="DE169" s="96" t="str">
        <f>IF('School Profile'!$D$20="NO","",IF(AND(DA169="",DD169=""),"",SUM(DA169,DD169)))</f>
        <v/>
      </c>
      <c r="DF169" s="532">
        <f t="shared" si="387"/>
        <v>0</v>
      </c>
      <c r="DG169" s="65">
        <f t="shared" si="388"/>
        <v>0</v>
      </c>
      <c r="DH169" s="66" t="str">
        <f t="shared" si="389"/>
        <v/>
      </c>
      <c r="DI169" s="65" t="str">
        <f t="shared" si="390"/>
        <v/>
      </c>
      <c r="DJ169" s="65" t="str">
        <f t="shared" si="391"/>
        <v/>
      </c>
      <c r="DK169" s="65" t="str">
        <f t="shared" si="392"/>
        <v/>
      </c>
      <c r="DL169" s="97" t="str">
        <f t="shared" si="432"/>
        <v/>
      </c>
      <c r="DM169" s="97" t="str">
        <f t="shared" si="433"/>
        <v/>
      </c>
      <c r="DN169" s="97" t="str">
        <f t="shared" si="434"/>
        <v/>
      </c>
      <c r="DO169" s="97" t="str">
        <f t="shared" si="435"/>
        <v/>
      </c>
      <c r="DP169" s="97" t="str">
        <f t="shared" si="436"/>
        <v/>
      </c>
      <c r="DQ169" s="97" t="str">
        <f t="shared" si="437"/>
        <v/>
      </c>
      <c r="DR169" s="97" t="str">
        <f t="shared" si="438"/>
        <v/>
      </c>
      <c r="DS169" s="98">
        <f t="shared" si="439"/>
        <v>0</v>
      </c>
      <c r="DT169" s="98">
        <f t="shared" si="440"/>
        <v>0</v>
      </c>
      <c r="DU169" s="98">
        <f t="shared" si="441"/>
        <v>0</v>
      </c>
      <c r="DV169" s="98">
        <f t="shared" si="442"/>
        <v>0</v>
      </c>
      <c r="DW169" s="98">
        <f t="shared" si="443"/>
        <v>0</v>
      </c>
      <c r="DX169" s="98" t="str">
        <f t="shared" si="444"/>
        <v/>
      </c>
      <c r="DY169" s="99" t="str">
        <f t="shared" si="445"/>
        <v/>
      </c>
      <c r="DZ169" s="74" t="str">
        <f>IF('Marks Entry'!AY169="","",'Marks Entry'!AY169)</f>
        <v/>
      </c>
      <c r="EA169" s="74" t="str">
        <f>IF('Marks Entry'!AZ169="","",'Marks Entry'!AZ169)</f>
        <v/>
      </c>
      <c r="EB169" s="74" t="str">
        <f>IF('Marks Entry'!BA169="","",'Marks Entry'!BA169)</f>
        <v/>
      </c>
      <c r="EC169" s="527" t="str">
        <f t="shared" si="393"/>
        <v/>
      </c>
      <c r="ED169" s="74" t="str">
        <f>IF('Marks Entry'!BB169="","",'Marks Entry'!BB169)</f>
        <v/>
      </c>
      <c r="EE169" s="528" t="str">
        <f t="shared" si="394"/>
        <v/>
      </c>
      <c r="EF169" s="74" t="str">
        <f>IF('Marks Entry'!BC169="","",'Marks Entry'!BC169)</f>
        <v/>
      </c>
      <c r="EG169" s="530" t="str">
        <f t="shared" si="395"/>
        <v/>
      </c>
      <c r="EH169" s="368" t="str">
        <f t="shared" si="446"/>
        <v/>
      </c>
      <c r="EI169" s="65">
        <f t="shared" si="447"/>
        <v>0</v>
      </c>
      <c r="EJ169" s="65">
        <f t="shared" si="448"/>
        <v>0</v>
      </c>
      <c r="EK169" s="66" t="str">
        <f t="shared" si="449"/>
        <v/>
      </c>
      <c r="EL169" s="74" t="str">
        <f>IF('Marks Entry'!BD169="","",'Marks Entry'!BD169)</f>
        <v/>
      </c>
      <c r="EM169" s="74" t="str">
        <f>IF('Marks Entry'!BE169="","",'Marks Entry'!BE169)</f>
        <v/>
      </c>
      <c r="EN169" s="74" t="str">
        <f>IF('Marks Entry'!BF169="","",'Marks Entry'!BF169)</f>
        <v/>
      </c>
      <c r="EO169" s="527" t="str">
        <f t="shared" si="396"/>
        <v/>
      </c>
      <c r="EP169" s="74" t="str">
        <f>IF('Marks Entry'!BG169="","",'Marks Entry'!BG169)</f>
        <v/>
      </c>
      <c r="EQ169" s="74" t="str">
        <f>IF('Marks Entry'!BH169="","",'Marks Entry'!BH169)</f>
        <v/>
      </c>
      <c r="ER169" s="528" t="str">
        <f t="shared" si="397"/>
        <v/>
      </c>
      <c r="ES169" s="529" t="str">
        <f t="shared" si="398"/>
        <v/>
      </c>
      <c r="ET169" s="74" t="str">
        <f>IF('Marks Entry'!BI169="","",'Marks Entry'!BI169)</f>
        <v/>
      </c>
      <c r="EU169" s="74" t="str">
        <f>IF('Marks Entry'!BJ169="","",'Marks Entry'!BJ169)</f>
        <v/>
      </c>
      <c r="EV169" s="528" t="str">
        <f t="shared" si="399"/>
        <v/>
      </c>
      <c r="EW169" s="530" t="str">
        <f t="shared" si="400"/>
        <v/>
      </c>
      <c r="EX169" s="368" t="str">
        <f t="shared" si="450"/>
        <v/>
      </c>
      <c r="EY169" s="65">
        <f t="shared" si="451"/>
        <v>0</v>
      </c>
      <c r="EZ169" s="65">
        <f t="shared" si="452"/>
        <v>0</v>
      </c>
      <c r="FA169" s="66" t="str">
        <f t="shared" si="453"/>
        <v/>
      </c>
      <c r="FB169" s="74" t="str">
        <f>IF('Marks Entry'!BK169="","",'Marks Entry'!BK169)</f>
        <v/>
      </c>
      <c r="FC169" s="74" t="str">
        <f>IF('Marks Entry'!BL169="","",'Marks Entry'!BL169)</f>
        <v/>
      </c>
      <c r="FD169" s="74" t="str">
        <f>IF('Marks Entry'!BM169="","",'Marks Entry'!BM169)</f>
        <v/>
      </c>
      <c r="FE169" s="74" t="str">
        <f>IF('Marks Entry'!BN169="","",'Marks Entry'!BN169)</f>
        <v/>
      </c>
      <c r="FF169" s="74" t="str">
        <f>IF('Marks Entry'!BO169="","",'Marks Entry'!BO169)</f>
        <v/>
      </c>
      <c r="FG169" s="74" t="str">
        <f>IF('Marks Entry'!BP169="","",'Marks Entry'!BP169)</f>
        <v/>
      </c>
      <c r="FH169" s="527" t="str">
        <f t="shared" si="401"/>
        <v/>
      </c>
      <c r="FI169" s="74" t="str">
        <f>IF('Marks Entry'!BQ169="","",'Marks Entry'!BQ169)</f>
        <v/>
      </c>
      <c r="FJ169" s="74" t="str">
        <f>IF('Marks Entry'!BR169="","",'Marks Entry'!BR169)</f>
        <v/>
      </c>
      <c r="FK169" s="528" t="str">
        <f t="shared" si="402"/>
        <v/>
      </c>
      <c r="FL169" s="529" t="str">
        <f t="shared" si="403"/>
        <v/>
      </c>
      <c r="FM169" s="74" t="str">
        <f>IF('Marks Entry'!BS169="","",'Marks Entry'!BS169)</f>
        <v/>
      </c>
      <c r="FN169" s="74" t="str">
        <f>IF('Marks Entry'!BT169="","",'Marks Entry'!BT169)</f>
        <v/>
      </c>
      <c r="FO169" s="528" t="str">
        <f t="shared" si="404"/>
        <v/>
      </c>
      <c r="FP169" s="530" t="str">
        <f t="shared" si="405"/>
        <v/>
      </c>
      <c r="FQ169" s="368" t="str">
        <f t="shared" si="454"/>
        <v/>
      </c>
      <c r="FR169" s="65">
        <f t="shared" si="455"/>
        <v>0</v>
      </c>
      <c r="FS169" s="65">
        <f t="shared" si="456"/>
        <v>0</v>
      </c>
      <c r="FT169" s="66" t="str">
        <f t="shared" si="457"/>
        <v/>
      </c>
      <c r="FU169" s="74" t="str">
        <f>IF('Marks Entry'!BU169="","",'Marks Entry'!BU169)</f>
        <v/>
      </c>
      <c r="FV169" s="74" t="str">
        <f>IF('Marks Entry'!BV169="","",'Marks Entry'!BV169)</f>
        <v/>
      </c>
      <c r="FW169" s="74" t="str">
        <f>IF('Marks Entry'!BW169="","",'Marks Entry'!BW169)</f>
        <v/>
      </c>
      <c r="FX169" s="75" t="str">
        <f t="shared" si="406"/>
        <v/>
      </c>
      <c r="FY169" s="368" t="str">
        <f t="shared" si="458"/>
        <v/>
      </c>
      <c r="FZ169" s="65">
        <f t="shared" si="459"/>
        <v>0</v>
      </c>
      <c r="GA169" s="66">
        <f t="shared" si="460"/>
        <v>0</v>
      </c>
      <c r="GB169" s="66" t="str">
        <f t="shared" si="461"/>
        <v/>
      </c>
      <c r="GC169" s="74" t="str">
        <f>IF('Marks Entry'!BX169="","",'Marks Entry'!BX169)</f>
        <v/>
      </c>
      <c r="GD169" s="74" t="str">
        <f>IF('Marks Entry'!BY169="","",'Marks Entry'!BY169)</f>
        <v/>
      </c>
      <c r="GE169" s="74" t="str">
        <f>IF('Marks Entry'!BZ169="","",'Marks Entry'!BZ169)</f>
        <v/>
      </c>
      <c r="GF169" s="75" t="str">
        <f t="shared" si="462"/>
        <v/>
      </c>
      <c r="GG169" s="368" t="str">
        <f t="shared" si="463"/>
        <v/>
      </c>
      <c r="GH169" s="65">
        <f t="shared" si="464"/>
        <v>0</v>
      </c>
      <c r="GI169" s="66">
        <f t="shared" si="465"/>
        <v>0</v>
      </c>
      <c r="GJ169" s="66" t="str">
        <f t="shared" si="466"/>
        <v/>
      </c>
      <c r="GK169" s="100" t="str">
        <f>IF(AND(F169="",B169=""),"",IF('Student DATA Entry'!M166="","",'Student DATA Entry'!M166))</f>
        <v/>
      </c>
      <c r="GL169" s="101" t="str">
        <f>IF(AND(B169="",F169=""),"",IF('Student DATA Entry'!N166="","",'Student DATA Entry'!N166))</f>
        <v/>
      </c>
      <c r="GM169" s="581" t="str">
        <f t="shared" si="467"/>
        <v/>
      </c>
      <c r="GN169" s="94" t="str">
        <f t="shared" si="468"/>
        <v/>
      </c>
      <c r="GO169" s="94" t="str">
        <f t="shared" si="469"/>
        <v/>
      </c>
      <c r="GP169" s="102" t="str">
        <f t="shared" si="498"/>
        <v/>
      </c>
      <c r="GQ169" s="94" t="str">
        <f t="shared" si="470"/>
        <v/>
      </c>
      <c r="GR169" s="103" t="str">
        <f t="shared" si="471"/>
        <v/>
      </c>
      <c r="GS169" s="102" t="str">
        <f t="shared" si="499"/>
        <v/>
      </c>
      <c r="GT169" s="104" t="str">
        <f t="shared" si="472"/>
        <v/>
      </c>
      <c r="GU169" s="94" t="str">
        <f>IF('Marks Entry'!V169=1,GT169,"")</f>
        <v/>
      </c>
      <c r="GV169" s="94" t="str">
        <f>IF('Marks Entry'!V169=2,GT169,"")</f>
        <v/>
      </c>
      <c r="GW169" s="94" t="str">
        <f>IF('Marks Entry'!V169=3,GT169,"")</f>
        <v/>
      </c>
      <c r="GX169" s="94" t="str">
        <f>IF('Marks Entry'!V169=4,GT169,"")</f>
        <v/>
      </c>
      <c r="GY169" s="94" t="str">
        <f>IF('Marks Entry'!V169=5,GT169,"")</f>
        <v/>
      </c>
      <c r="GZ169" s="94" t="str">
        <f t="shared" si="473"/>
        <v/>
      </c>
      <c r="HA169" s="105" t="str">
        <f t="shared" si="500"/>
        <v/>
      </c>
      <c r="HB169" s="94" t="str">
        <f t="shared" si="474"/>
        <v/>
      </c>
      <c r="HC169" s="94" t="str">
        <f t="shared" si="475"/>
        <v/>
      </c>
      <c r="HD169" s="105" t="str">
        <f t="shared" si="501"/>
        <v/>
      </c>
      <c r="HE169" s="94" t="str">
        <f t="shared" si="476"/>
        <v/>
      </c>
      <c r="HF169" s="94" t="str">
        <f t="shared" si="477"/>
        <v/>
      </c>
      <c r="HG169" s="105" t="str">
        <f t="shared" si="502"/>
        <v/>
      </c>
      <c r="HH169" s="94" t="str">
        <f t="shared" si="478"/>
        <v/>
      </c>
      <c r="HI169" s="94" t="str">
        <f t="shared" si="479"/>
        <v/>
      </c>
      <c r="HJ169" s="105" t="str">
        <f t="shared" si="503"/>
        <v/>
      </c>
      <c r="HK169" s="94" t="str">
        <f t="shared" si="480"/>
        <v/>
      </c>
      <c r="HL169" s="94" t="str">
        <f t="shared" si="481"/>
        <v/>
      </c>
      <c r="HM169" s="105" t="str">
        <f t="shared" si="504"/>
        <v/>
      </c>
      <c r="HN169" s="367" t="str">
        <f t="shared" si="482"/>
        <v xml:space="preserve">      </v>
      </c>
      <c r="HO169" s="418" t="str">
        <f t="shared" si="505"/>
        <v xml:space="preserve">      </v>
      </c>
      <c r="HP169" s="367" t="str">
        <f t="shared" si="483"/>
        <v xml:space="preserve">      </v>
      </c>
      <c r="HQ169" s="107" t="str">
        <f t="shared" si="484"/>
        <v xml:space="preserve">      </v>
      </c>
      <c r="HR169" s="366" t="str">
        <f t="shared" si="485"/>
        <v xml:space="preserve">      </v>
      </c>
      <c r="HS169" s="544" t="str">
        <f t="shared" si="506"/>
        <v/>
      </c>
      <c r="HT169" s="542" t="str">
        <f t="shared" si="486"/>
        <v/>
      </c>
      <c r="HU169" s="541" t="str">
        <f t="shared" si="487"/>
        <v/>
      </c>
      <c r="HV169" s="540" t="str">
        <f t="shared" si="488"/>
        <v/>
      </c>
      <c r="HW169" s="537" t="str">
        <f t="shared" si="489"/>
        <v/>
      </c>
      <c r="HX169" s="539" t="str">
        <f t="shared" si="490"/>
        <v/>
      </c>
      <c r="HY169" s="553" t="str">
        <f>IFERROR(IF(OR(HS169="SUPPLEMENTARY",HS169="RE-EXAM"),'Supp. Result Entry'!AQ167,""),"")</f>
        <v/>
      </c>
      <c r="HZ169" s="538" t="str">
        <f t="shared" si="491"/>
        <v/>
      </c>
      <c r="IA169" s="415" t="str">
        <f t="shared" si="492"/>
        <v/>
      </c>
      <c r="IB169" s="415" t="str">
        <f>IF(AND(HZ169="",IA169=""),"",IF(OR(HS169="SUPPLEMENTARY",HS169="RE-EXAM"),'Supp. Result Entry'!AQ167,HS169))</f>
        <v/>
      </c>
      <c r="IC169" s="87"/>
      <c r="IS169" s="109" t="str">
        <f>IF('Supp. Result Entry'!T167="","",'Supp. Result Entry'!$T$4)</f>
        <v/>
      </c>
      <c r="IT169" s="110" t="str">
        <f>IF('Supp. Result Entry'!W167="","",'Supp. Result Entry'!$W$4)</f>
        <v/>
      </c>
      <c r="IU169" s="110" t="str">
        <f>IF('Supp. Result Entry'!Z167="","",'Supp. Result Entry'!$Z$4)</f>
        <v/>
      </c>
      <c r="IV169" s="110" t="str">
        <f>IF('Supp. Result Entry'!AC167="","",'Supp. Result Entry'!$AC$4)</f>
        <v/>
      </c>
      <c r="IW169" s="110" t="str">
        <f>IF('Supp. Result Entry'!AF167="","",'Supp. Result Entry'!$AF$4)</f>
        <v/>
      </c>
      <c r="IX169" s="110" t="str">
        <f>IF('Supp. Result Entry'!AI167="","",'Supp. Result Entry'!$AI$4)</f>
        <v/>
      </c>
      <c r="IY169" s="110" t="str">
        <f>IF('Supp. Result Entry'!AI167="","",'Supp. Result Entry'!$AL$4)</f>
        <v/>
      </c>
      <c r="IZ169" s="110" t="str">
        <f>IF('Supp. Result Entry'!U167="","",'Supp. Result Entry'!U167)</f>
        <v/>
      </c>
      <c r="JA169" s="110" t="str">
        <f>IF('Supp. Result Entry'!X167="","",'Supp. Result Entry'!X167)</f>
        <v/>
      </c>
      <c r="JB169" s="110" t="str">
        <f>IF('Supp. Result Entry'!AA167="","",'Supp. Result Entry'!AA167)</f>
        <v/>
      </c>
      <c r="JC169" s="110" t="str">
        <f>IF('Supp. Result Entry'!AD167="","",'Supp. Result Entry'!AD167)</f>
        <v/>
      </c>
      <c r="JD169" s="110" t="str">
        <f>IF('Supp. Result Entry'!AG167="","",'Supp. Result Entry'!AG167)</f>
        <v/>
      </c>
      <c r="JE169" s="110" t="str">
        <f>IF('Supp. Result Entry'!AJ167="","",'Supp. Result Entry'!AJ167)</f>
        <v/>
      </c>
      <c r="JF169" s="110" t="str">
        <f>IF('Supp. Result Entry'!AM167="","",'Supp. Result Entry'!AM167)</f>
        <v/>
      </c>
      <c r="JG169" s="110" t="str">
        <f>IF('Supp. Result Entry'!V167="","",'Supp. Result Entry'!V167)</f>
        <v/>
      </c>
      <c r="JH169" s="110" t="str">
        <f>IF('Supp. Result Entry'!Y167="","",'Supp. Result Entry'!Y167)</f>
        <v/>
      </c>
      <c r="JI169" s="110" t="str">
        <f>IF('Supp. Result Entry'!AB167="","",'Supp. Result Entry'!AB167)</f>
        <v/>
      </c>
      <c r="JJ169" s="110" t="str">
        <f>IF('Supp. Result Entry'!AE167="","",'Supp. Result Entry'!AE167)</f>
        <v/>
      </c>
      <c r="JK169" s="110" t="str">
        <f>IF('Supp. Result Entry'!AH167="","",'Supp. Result Entry'!AH167)</f>
        <v/>
      </c>
      <c r="JL169" s="110" t="str">
        <f>IF('Supp. Result Entry'!AK167="","",'Supp. Result Entry'!AK167)</f>
        <v/>
      </c>
      <c r="JM169" s="110" t="str">
        <f>IF('Supp. Result Entry'!AN167="","",'Supp. Result Entry'!AN167)</f>
        <v/>
      </c>
      <c r="JN169" s="110">
        <f>COUNTIF('Supp. Result Entry'!K167:Q167,"S")</f>
        <v>0</v>
      </c>
      <c r="JO169" s="110">
        <f t="shared" si="416"/>
        <v>0</v>
      </c>
      <c r="JP169" s="110">
        <f t="shared" si="493"/>
        <v>0</v>
      </c>
      <c r="JQ169" s="110" t="str">
        <f t="shared" si="417"/>
        <v/>
      </c>
      <c r="JR169" s="110" t="str">
        <f t="shared" si="418"/>
        <v/>
      </c>
      <c r="JS169" s="110" t="str">
        <f t="shared" si="419"/>
        <v/>
      </c>
      <c r="JT169" s="110" t="str">
        <f t="shared" si="420"/>
        <v/>
      </c>
      <c r="JU169" s="110" t="str">
        <f t="shared" si="421"/>
        <v/>
      </c>
      <c r="JV169" s="110" t="str">
        <f t="shared" si="422"/>
        <v/>
      </c>
      <c r="JW169" s="110" t="str">
        <f t="shared" si="423"/>
        <v/>
      </c>
      <c r="JX169" s="110" t="str">
        <f t="shared" si="494"/>
        <v/>
      </c>
      <c r="JY169" s="110" t="str">
        <f t="shared" si="495"/>
        <v/>
      </c>
      <c r="JZ169" s="110" t="str">
        <f t="shared" si="424"/>
        <v/>
      </c>
      <c r="KA169" s="108" t="str">
        <f t="shared" si="496"/>
        <v/>
      </c>
    </row>
    <row r="170" spans="1:287" s="108" customFormat="1" ht="21.95" customHeight="1">
      <c r="A170" s="89">
        <v>164</v>
      </c>
      <c r="B170" s="90" t="str">
        <f>IF('Marks Entry'!B170="","",'Marks Entry'!B170)</f>
        <v/>
      </c>
      <c r="C170" s="94" t="str">
        <f>IF('Marks Entry'!D170="","",'Marks Entry'!D170)</f>
        <v/>
      </c>
      <c r="D170" s="91" t="str">
        <f>IF('Marks Entry'!E170="","",'Marks Entry'!E170)</f>
        <v/>
      </c>
      <c r="E170" s="92" t="str">
        <f>IF('Marks Entry'!F170="","",'Marks Entry'!F170)</f>
        <v/>
      </c>
      <c r="F170" s="93" t="str">
        <f>IF('Marks Entry'!G170="","",'Marks Entry'!G170)</f>
        <v/>
      </c>
      <c r="G170" s="93" t="str">
        <f>IF('Marks Entry'!H170="","",'Marks Entry'!H170)</f>
        <v/>
      </c>
      <c r="H170" s="93" t="str">
        <f>IF('Marks Entry'!I170="","",'Marks Entry'!I170)</f>
        <v/>
      </c>
      <c r="I170" s="94" t="str">
        <f>IF('Marks Entry'!J170="","",'Marks Entry'!J170)</f>
        <v/>
      </c>
      <c r="J170" s="95" t="str">
        <f>IF('Marks Entry'!K170="","",'Marks Entry'!K170)</f>
        <v/>
      </c>
      <c r="K170" s="68" t="str">
        <f>IF('Marks Entry'!L170="","",'Marks Entry'!L170)</f>
        <v/>
      </c>
      <c r="L170" s="68" t="str">
        <f>IF('Marks Entry'!M170="","",'Marks Entry'!M170)</f>
        <v/>
      </c>
      <c r="M170" s="68" t="str">
        <f>IF('Marks Entry'!N170="","",'Marks Entry'!N170)</f>
        <v/>
      </c>
      <c r="N170" s="514" t="str">
        <f t="shared" si="425"/>
        <v/>
      </c>
      <c r="O170" s="68" t="str">
        <f>IF('Marks Entry'!O170="","",'Marks Entry'!O170)</f>
        <v/>
      </c>
      <c r="P170" s="515" t="str">
        <f t="shared" si="426"/>
        <v/>
      </c>
      <c r="Q170" s="68" t="str">
        <f>IF('Marks Entry'!P170="","",'Marks Entry'!P170)</f>
        <v/>
      </c>
      <c r="R170" s="96" t="str">
        <f t="shared" si="427"/>
        <v/>
      </c>
      <c r="S170" s="65">
        <f t="shared" si="428"/>
        <v>0</v>
      </c>
      <c r="T170" s="65">
        <f t="shared" si="429"/>
        <v>0</v>
      </c>
      <c r="U170" s="66" t="str">
        <f t="shared" si="339"/>
        <v/>
      </c>
      <c r="V170" s="65" t="str">
        <f t="shared" si="340"/>
        <v/>
      </c>
      <c r="W170" s="65" t="str">
        <f t="shared" si="430"/>
        <v/>
      </c>
      <c r="X170" s="65" t="str">
        <f t="shared" si="341"/>
        <v/>
      </c>
      <c r="Y170" s="68" t="str">
        <f>IF('Marks Entry'!Q170="","",'Marks Entry'!Q170)</f>
        <v/>
      </c>
      <c r="Z170" s="68" t="str">
        <f>IF('Marks Entry'!R170="","",'Marks Entry'!R170)</f>
        <v/>
      </c>
      <c r="AA170" s="68" t="str">
        <f>IF('Marks Entry'!S170="","",'Marks Entry'!S170)</f>
        <v/>
      </c>
      <c r="AB170" s="514" t="str">
        <f t="shared" si="342"/>
        <v/>
      </c>
      <c r="AC170" s="68" t="str">
        <f>IF('Marks Entry'!T170="","",'Marks Entry'!T170)</f>
        <v/>
      </c>
      <c r="AD170" s="515" t="str">
        <f t="shared" si="343"/>
        <v/>
      </c>
      <c r="AE170" s="68" t="str">
        <f>IF('Marks Entry'!U170="","",'Marks Entry'!U170)</f>
        <v/>
      </c>
      <c r="AF170" s="96" t="str">
        <f t="shared" si="344"/>
        <v/>
      </c>
      <c r="AG170" s="65">
        <f t="shared" si="345"/>
        <v>0</v>
      </c>
      <c r="AH170" s="65">
        <f t="shared" si="346"/>
        <v>0</v>
      </c>
      <c r="AI170" s="66" t="str">
        <f t="shared" si="347"/>
        <v/>
      </c>
      <c r="AJ170" s="65" t="str">
        <f t="shared" si="348"/>
        <v/>
      </c>
      <c r="AK170" s="65" t="str">
        <f t="shared" si="349"/>
        <v/>
      </c>
      <c r="AL170" s="65" t="str">
        <f t="shared" si="350"/>
        <v/>
      </c>
      <c r="AM170" s="524" t="str">
        <f>IF('Marks Entry'!V170="","",IF('Marks Entry'!V170=1,'School Profile'!$I$9,IF('Marks Entry'!V170=2,'School Profile'!$I$10,IF('Marks Entry'!V170=3,'School Profile'!$I$11,IF('Marks Entry'!V170=4,'School Profile'!$I$12,IF('Marks Entry'!V170=5,'School Profile'!$I$13,IF('Marks Entry'!V170=6,'School Profile'!$I$14,"")))))))</f>
        <v/>
      </c>
      <c r="AN170" s="68" t="str">
        <f>IF('Marks Entry'!W170="","",'Marks Entry'!W170)</f>
        <v/>
      </c>
      <c r="AO170" s="68" t="str">
        <f>IF('Marks Entry'!X170="","",'Marks Entry'!X170)</f>
        <v/>
      </c>
      <c r="AP170" s="68" t="str">
        <f>IF('Marks Entry'!Y170="","",'Marks Entry'!Y170)</f>
        <v/>
      </c>
      <c r="AQ170" s="514" t="str">
        <f t="shared" si="351"/>
        <v/>
      </c>
      <c r="AR170" s="68" t="str">
        <f>IF('Marks Entry'!Z170="","",'Marks Entry'!Z170)</f>
        <v/>
      </c>
      <c r="AS170" s="515" t="str">
        <f t="shared" si="352"/>
        <v/>
      </c>
      <c r="AT170" s="68" t="str">
        <f>IF('Marks Entry'!AA170="","",'Marks Entry'!AA170)</f>
        <v/>
      </c>
      <c r="AU170" s="96" t="str">
        <f t="shared" si="353"/>
        <v/>
      </c>
      <c r="AV170" s="65">
        <f t="shared" si="354"/>
        <v>0</v>
      </c>
      <c r="AW170" s="65">
        <f t="shared" si="355"/>
        <v>0</v>
      </c>
      <c r="AX170" s="66" t="str">
        <f t="shared" si="356"/>
        <v/>
      </c>
      <c r="AY170" s="65" t="str">
        <f t="shared" si="357"/>
        <v/>
      </c>
      <c r="AZ170" s="65" t="str">
        <f t="shared" si="358"/>
        <v/>
      </c>
      <c r="BA170" s="65" t="str">
        <f t="shared" si="359"/>
        <v/>
      </c>
      <c r="BB170" s="68" t="str">
        <f>IF('Marks Entry'!AB170="","",'Marks Entry'!AB170)</f>
        <v/>
      </c>
      <c r="BC170" s="68" t="str">
        <f>IF('Marks Entry'!AC170="","",'Marks Entry'!AC170)</f>
        <v/>
      </c>
      <c r="BD170" s="68" t="str">
        <f>IF('Marks Entry'!AD170="","",'Marks Entry'!AD170)</f>
        <v/>
      </c>
      <c r="BE170" s="514" t="str">
        <f t="shared" si="360"/>
        <v/>
      </c>
      <c r="BF170" s="68" t="str">
        <f>IF('Marks Entry'!AE170="","",'Marks Entry'!AE170)</f>
        <v/>
      </c>
      <c r="BG170" s="515" t="str">
        <f t="shared" si="361"/>
        <v/>
      </c>
      <c r="BH170" s="68" t="str">
        <f>IF('Marks Entry'!AF170="","",'Marks Entry'!AF170)</f>
        <v/>
      </c>
      <c r="BI170" s="96" t="str">
        <f t="shared" si="362"/>
        <v/>
      </c>
      <c r="BJ170" s="65">
        <f t="shared" si="363"/>
        <v>0</v>
      </c>
      <c r="BK170" s="65">
        <f t="shared" si="431"/>
        <v>0</v>
      </c>
      <c r="BL170" s="66" t="str">
        <f t="shared" si="364"/>
        <v/>
      </c>
      <c r="BM170" s="65" t="str">
        <f t="shared" si="365"/>
        <v/>
      </c>
      <c r="BN170" s="65" t="str">
        <f t="shared" si="366"/>
        <v/>
      </c>
      <c r="BO170" s="65" t="str">
        <f t="shared" si="367"/>
        <v/>
      </c>
      <c r="BP170" s="68" t="str">
        <f>IF('Marks Entry'!AG170="","",'Marks Entry'!AG170)</f>
        <v/>
      </c>
      <c r="BQ170" s="68" t="str">
        <f>IF('Marks Entry'!AH170="","",'Marks Entry'!AH170)</f>
        <v/>
      </c>
      <c r="BR170" s="68" t="str">
        <f>IF('Marks Entry'!AI170="","",'Marks Entry'!AI170)</f>
        <v/>
      </c>
      <c r="BS170" s="514" t="str">
        <f t="shared" si="368"/>
        <v/>
      </c>
      <c r="BT170" s="68" t="str">
        <f>IF('Marks Entry'!AJ170="","",'Marks Entry'!AJ170)</f>
        <v/>
      </c>
      <c r="BU170" s="515" t="str">
        <f t="shared" si="369"/>
        <v/>
      </c>
      <c r="BV170" s="68" t="str">
        <f>IF('Marks Entry'!AK170="","",'Marks Entry'!AK170)</f>
        <v/>
      </c>
      <c r="BW170" s="96" t="str">
        <f t="shared" si="370"/>
        <v/>
      </c>
      <c r="BX170" s="65">
        <f t="shared" si="371"/>
        <v>0</v>
      </c>
      <c r="BY170" s="65">
        <f t="shared" si="372"/>
        <v>0</v>
      </c>
      <c r="BZ170" s="66" t="str">
        <f t="shared" si="373"/>
        <v/>
      </c>
      <c r="CA170" s="65" t="str">
        <f t="shared" si="374"/>
        <v/>
      </c>
      <c r="CB170" s="65" t="str">
        <f t="shared" si="375"/>
        <v/>
      </c>
      <c r="CC170" s="65" t="str">
        <f t="shared" si="376"/>
        <v/>
      </c>
      <c r="CD170" s="66">
        <f t="shared" si="497"/>
        <v>0</v>
      </c>
      <c r="CE170" s="68" t="str">
        <f>IF('Marks Entry'!AL170="","",'Marks Entry'!AL170)</f>
        <v/>
      </c>
      <c r="CF170" s="68" t="str">
        <f>IF('Marks Entry'!AM170="","",'Marks Entry'!AM170)</f>
        <v/>
      </c>
      <c r="CG170" s="68" t="str">
        <f>IF('Marks Entry'!AN170="","",'Marks Entry'!AN170)</f>
        <v/>
      </c>
      <c r="CH170" s="514" t="str">
        <f t="shared" si="378"/>
        <v/>
      </c>
      <c r="CI170" s="68" t="str">
        <f>IF('Marks Entry'!AO170="","",'Marks Entry'!AO170)</f>
        <v/>
      </c>
      <c r="CJ170" s="515" t="str">
        <f t="shared" si="379"/>
        <v/>
      </c>
      <c r="CK170" s="68" t="str">
        <f>IF('Marks Entry'!AP170="","",'Marks Entry'!AP170)</f>
        <v/>
      </c>
      <c r="CL170" s="96" t="str">
        <f t="shared" si="380"/>
        <v/>
      </c>
      <c r="CM170" s="65">
        <f t="shared" si="381"/>
        <v>0</v>
      </c>
      <c r="CN170" s="65">
        <f t="shared" si="382"/>
        <v>0</v>
      </c>
      <c r="CO170" s="66" t="str">
        <f t="shared" si="383"/>
        <v/>
      </c>
      <c r="CP170" s="65" t="str">
        <f t="shared" si="384"/>
        <v/>
      </c>
      <c r="CQ170" s="65" t="str">
        <f t="shared" si="385"/>
        <v/>
      </c>
      <c r="CR170" s="65" t="str">
        <f t="shared" si="386"/>
        <v/>
      </c>
      <c r="CS170" s="616"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8" t="str">
        <f>IF('School Profile'!$D$20="NO","",IF('Marks Entry'!AR170="","",'Marks Entry'!AR170))</f>
        <v/>
      </c>
      <c r="CU170" s="68" t="str">
        <f>IF('School Profile'!$D$20="NO","",IF('Marks Entry'!AS170="","",'Marks Entry'!AS170))</f>
        <v/>
      </c>
      <c r="CV170" s="68" t="str">
        <f>IF('School Profile'!$D$20="NO","",IF('Marks Entry'!AT170="","",'Marks Entry'!AT170))</f>
        <v/>
      </c>
      <c r="CW170" s="514" t="str">
        <f>IF('School Profile'!$D$20="NO","",IF(AND(CT170="",CU170="",CV170=""),"",SUM(CT170:CV170)))</f>
        <v/>
      </c>
      <c r="CX170" s="68" t="str">
        <f>IF('School Profile'!$D$20="NO","",IF('Marks Entry'!AU170="","",'Marks Entry'!AU170))</f>
        <v/>
      </c>
      <c r="CY170" s="68" t="str">
        <f>IF('School Profile'!$D$20="NO","",IF('Marks Entry'!AV170="","",'Marks Entry'!AV170))</f>
        <v/>
      </c>
      <c r="CZ170" s="515" t="str">
        <f>IF('School Profile'!$D$20="NO","",IF(AND(CX170="",CY170=""),"",SUM(CX170,CY170)))</f>
        <v/>
      </c>
      <c r="DA170" s="69" t="str">
        <f>IF('School Profile'!$D$20="NO","",IF(AND(CW170="",CZ170=""),"",SUM(CW170+CZ170)))</f>
        <v/>
      </c>
      <c r="DB170" s="68" t="str">
        <f>IF('School Profile'!$D$20="NO","",IF('Marks Entry'!AW170="","",'Marks Entry'!AW170))</f>
        <v/>
      </c>
      <c r="DC170" s="68" t="str">
        <f>IF('School Profile'!$D$20="NO","",IF('Marks Entry'!AX170="","",'Marks Entry'!AX170))</f>
        <v/>
      </c>
      <c r="DD170" s="515" t="str">
        <f>IF('School Profile'!$D$20="NO","",IF(AND(DB170="",DC170=""),"",SUM(DB170,DC170)))</f>
        <v/>
      </c>
      <c r="DE170" s="96" t="str">
        <f>IF('School Profile'!$D$20="NO","",IF(AND(DA170="",DD170=""),"",SUM(DA170,DD170)))</f>
        <v/>
      </c>
      <c r="DF170" s="532">
        <f t="shared" si="387"/>
        <v>0</v>
      </c>
      <c r="DG170" s="65">
        <f t="shared" si="388"/>
        <v>0</v>
      </c>
      <c r="DH170" s="66" t="str">
        <f t="shared" si="389"/>
        <v/>
      </c>
      <c r="DI170" s="65" t="str">
        <f t="shared" si="390"/>
        <v/>
      </c>
      <c r="DJ170" s="65" t="str">
        <f t="shared" si="391"/>
        <v/>
      </c>
      <c r="DK170" s="65" t="str">
        <f t="shared" si="392"/>
        <v/>
      </c>
      <c r="DL170" s="97" t="str">
        <f t="shared" si="432"/>
        <v/>
      </c>
      <c r="DM170" s="97" t="str">
        <f t="shared" si="433"/>
        <v/>
      </c>
      <c r="DN170" s="97" t="str">
        <f t="shared" si="434"/>
        <v/>
      </c>
      <c r="DO170" s="97" t="str">
        <f t="shared" si="435"/>
        <v/>
      </c>
      <c r="DP170" s="97" t="str">
        <f t="shared" si="436"/>
        <v/>
      </c>
      <c r="DQ170" s="97" t="str">
        <f t="shared" si="437"/>
        <v/>
      </c>
      <c r="DR170" s="97" t="str">
        <f t="shared" si="438"/>
        <v/>
      </c>
      <c r="DS170" s="98">
        <f t="shared" si="439"/>
        <v>0</v>
      </c>
      <c r="DT170" s="98">
        <f t="shared" si="440"/>
        <v>0</v>
      </c>
      <c r="DU170" s="98">
        <f t="shared" si="441"/>
        <v>0</v>
      </c>
      <c r="DV170" s="98">
        <f t="shared" si="442"/>
        <v>0</v>
      </c>
      <c r="DW170" s="98">
        <f t="shared" si="443"/>
        <v>0</v>
      </c>
      <c r="DX170" s="98" t="str">
        <f t="shared" si="444"/>
        <v/>
      </c>
      <c r="DY170" s="99" t="str">
        <f t="shared" si="445"/>
        <v/>
      </c>
      <c r="DZ170" s="74" t="str">
        <f>IF('Marks Entry'!AY170="","",'Marks Entry'!AY170)</f>
        <v/>
      </c>
      <c r="EA170" s="74" t="str">
        <f>IF('Marks Entry'!AZ170="","",'Marks Entry'!AZ170)</f>
        <v/>
      </c>
      <c r="EB170" s="74" t="str">
        <f>IF('Marks Entry'!BA170="","",'Marks Entry'!BA170)</f>
        <v/>
      </c>
      <c r="EC170" s="527" t="str">
        <f t="shared" si="393"/>
        <v/>
      </c>
      <c r="ED170" s="74" t="str">
        <f>IF('Marks Entry'!BB170="","",'Marks Entry'!BB170)</f>
        <v/>
      </c>
      <c r="EE170" s="528" t="str">
        <f t="shared" si="394"/>
        <v/>
      </c>
      <c r="EF170" s="74" t="str">
        <f>IF('Marks Entry'!BC170="","",'Marks Entry'!BC170)</f>
        <v/>
      </c>
      <c r="EG170" s="530" t="str">
        <f t="shared" si="395"/>
        <v/>
      </c>
      <c r="EH170" s="368" t="str">
        <f t="shared" si="446"/>
        <v/>
      </c>
      <c r="EI170" s="65">
        <f t="shared" si="447"/>
        <v>0</v>
      </c>
      <c r="EJ170" s="65">
        <f t="shared" si="448"/>
        <v>0</v>
      </c>
      <c r="EK170" s="66" t="str">
        <f t="shared" si="449"/>
        <v/>
      </c>
      <c r="EL170" s="74" t="str">
        <f>IF('Marks Entry'!BD170="","",'Marks Entry'!BD170)</f>
        <v/>
      </c>
      <c r="EM170" s="74" t="str">
        <f>IF('Marks Entry'!BE170="","",'Marks Entry'!BE170)</f>
        <v/>
      </c>
      <c r="EN170" s="74" t="str">
        <f>IF('Marks Entry'!BF170="","",'Marks Entry'!BF170)</f>
        <v/>
      </c>
      <c r="EO170" s="527" t="str">
        <f t="shared" si="396"/>
        <v/>
      </c>
      <c r="EP170" s="74" t="str">
        <f>IF('Marks Entry'!BG170="","",'Marks Entry'!BG170)</f>
        <v/>
      </c>
      <c r="EQ170" s="74" t="str">
        <f>IF('Marks Entry'!BH170="","",'Marks Entry'!BH170)</f>
        <v/>
      </c>
      <c r="ER170" s="528" t="str">
        <f t="shared" si="397"/>
        <v/>
      </c>
      <c r="ES170" s="529" t="str">
        <f t="shared" si="398"/>
        <v/>
      </c>
      <c r="ET170" s="74" t="str">
        <f>IF('Marks Entry'!BI170="","",'Marks Entry'!BI170)</f>
        <v/>
      </c>
      <c r="EU170" s="74" t="str">
        <f>IF('Marks Entry'!BJ170="","",'Marks Entry'!BJ170)</f>
        <v/>
      </c>
      <c r="EV170" s="528" t="str">
        <f t="shared" si="399"/>
        <v/>
      </c>
      <c r="EW170" s="530" t="str">
        <f t="shared" si="400"/>
        <v/>
      </c>
      <c r="EX170" s="368" t="str">
        <f t="shared" si="450"/>
        <v/>
      </c>
      <c r="EY170" s="65">
        <f t="shared" si="451"/>
        <v>0</v>
      </c>
      <c r="EZ170" s="65">
        <f t="shared" si="452"/>
        <v>0</v>
      </c>
      <c r="FA170" s="66" t="str">
        <f t="shared" si="453"/>
        <v/>
      </c>
      <c r="FB170" s="74" t="str">
        <f>IF('Marks Entry'!BK170="","",'Marks Entry'!BK170)</f>
        <v/>
      </c>
      <c r="FC170" s="74" t="str">
        <f>IF('Marks Entry'!BL170="","",'Marks Entry'!BL170)</f>
        <v/>
      </c>
      <c r="FD170" s="74" t="str">
        <f>IF('Marks Entry'!BM170="","",'Marks Entry'!BM170)</f>
        <v/>
      </c>
      <c r="FE170" s="74" t="str">
        <f>IF('Marks Entry'!BN170="","",'Marks Entry'!BN170)</f>
        <v/>
      </c>
      <c r="FF170" s="74" t="str">
        <f>IF('Marks Entry'!BO170="","",'Marks Entry'!BO170)</f>
        <v/>
      </c>
      <c r="FG170" s="74" t="str">
        <f>IF('Marks Entry'!BP170="","",'Marks Entry'!BP170)</f>
        <v/>
      </c>
      <c r="FH170" s="527" t="str">
        <f t="shared" si="401"/>
        <v/>
      </c>
      <c r="FI170" s="74" t="str">
        <f>IF('Marks Entry'!BQ170="","",'Marks Entry'!BQ170)</f>
        <v/>
      </c>
      <c r="FJ170" s="74" t="str">
        <f>IF('Marks Entry'!BR170="","",'Marks Entry'!BR170)</f>
        <v/>
      </c>
      <c r="FK170" s="528" t="str">
        <f t="shared" si="402"/>
        <v/>
      </c>
      <c r="FL170" s="529" t="str">
        <f t="shared" si="403"/>
        <v/>
      </c>
      <c r="FM170" s="74" t="str">
        <f>IF('Marks Entry'!BS170="","",'Marks Entry'!BS170)</f>
        <v/>
      </c>
      <c r="FN170" s="74" t="str">
        <f>IF('Marks Entry'!BT170="","",'Marks Entry'!BT170)</f>
        <v/>
      </c>
      <c r="FO170" s="528" t="str">
        <f t="shared" si="404"/>
        <v/>
      </c>
      <c r="FP170" s="530" t="str">
        <f t="shared" si="405"/>
        <v/>
      </c>
      <c r="FQ170" s="368" t="str">
        <f t="shared" si="454"/>
        <v/>
      </c>
      <c r="FR170" s="65">
        <f t="shared" si="455"/>
        <v>0</v>
      </c>
      <c r="FS170" s="65">
        <f t="shared" si="456"/>
        <v>0</v>
      </c>
      <c r="FT170" s="66" t="str">
        <f t="shared" si="457"/>
        <v/>
      </c>
      <c r="FU170" s="74" t="str">
        <f>IF('Marks Entry'!BU170="","",'Marks Entry'!BU170)</f>
        <v/>
      </c>
      <c r="FV170" s="74" t="str">
        <f>IF('Marks Entry'!BV170="","",'Marks Entry'!BV170)</f>
        <v/>
      </c>
      <c r="FW170" s="74" t="str">
        <f>IF('Marks Entry'!BW170="","",'Marks Entry'!BW170)</f>
        <v/>
      </c>
      <c r="FX170" s="75" t="str">
        <f t="shared" si="406"/>
        <v/>
      </c>
      <c r="FY170" s="368" t="str">
        <f t="shared" si="458"/>
        <v/>
      </c>
      <c r="FZ170" s="65">
        <f t="shared" si="459"/>
        <v>0</v>
      </c>
      <c r="GA170" s="66">
        <f t="shared" si="460"/>
        <v>0</v>
      </c>
      <c r="GB170" s="66" t="str">
        <f t="shared" si="461"/>
        <v/>
      </c>
      <c r="GC170" s="74" t="str">
        <f>IF('Marks Entry'!BX170="","",'Marks Entry'!BX170)</f>
        <v/>
      </c>
      <c r="GD170" s="74" t="str">
        <f>IF('Marks Entry'!BY170="","",'Marks Entry'!BY170)</f>
        <v/>
      </c>
      <c r="GE170" s="74" t="str">
        <f>IF('Marks Entry'!BZ170="","",'Marks Entry'!BZ170)</f>
        <v/>
      </c>
      <c r="GF170" s="75" t="str">
        <f t="shared" si="462"/>
        <v/>
      </c>
      <c r="GG170" s="368" t="str">
        <f t="shared" si="463"/>
        <v/>
      </c>
      <c r="GH170" s="65">
        <f t="shared" si="464"/>
        <v>0</v>
      </c>
      <c r="GI170" s="66">
        <f t="shared" si="465"/>
        <v>0</v>
      </c>
      <c r="GJ170" s="66" t="str">
        <f t="shared" si="466"/>
        <v/>
      </c>
      <c r="GK170" s="100" t="str">
        <f>IF(AND(F170="",B170=""),"",IF('Student DATA Entry'!M167="","",'Student DATA Entry'!M167))</f>
        <v/>
      </c>
      <c r="GL170" s="101" t="str">
        <f>IF(AND(B170="",F170=""),"",IF('Student DATA Entry'!N167="","",'Student DATA Entry'!N167))</f>
        <v/>
      </c>
      <c r="GM170" s="581" t="str">
        <f t="shared" si="467"/>
        <v/>
      </c>
      <c r="GN170" s="94" t="str">
        <f t="shared" si="468"/>
        <v/>
      </c>
      <c r="GO170" s="94" t="str">
        <f t="shared" si="469"/>
        <v/>
      </c>
      <c r="GP170" s="102" t="str">
        <f t="shared" si="498"/>
        <v/>
      </c>
      <c r="GQ170" s="94" t="str">
        <f t="shared" si="470"/>
        <v/>
      </c>
      <c r="GR170" s="103" t="str">
        <f t="shared" si="471"/>
        <v/>
      </c>
      <c r="GS170" s="102" t="str">
        <f t="shared" si="499"/>
        <v/>
      </c>
      <c r="GT170" s="104" t="str">
        <f t="shared" si="472"/>
        <v/>
      </c>
      <c r="GU170" s="94" t="str">
        <f>IF('Marks Entry'!V170=1,GT170,"")</f>
        <v/>
      </c>
      <c r="GV170" s="94" t="str">
        <f>IF('Marks Entry'!V170=2,GT170,"")</f>
        <v/>
      </c>
      <c r="GW170" s="94" t="str">
        <f>IF('Marks Entry'!V170=3,GT170,"")</f>
        <v/>
      </c>
      <c r="GX170" s="94" t="str">
        <f>IF('Marks Entry'!V170=4,GT170,"")</f>
        <v/>
      </c>
      <c r="GY170" s="94" t="str">
        <f>IF('Marks Entry'!V170=5,GT170,"")</f>
        <v/>
      </c>
      <c r="GZ170" s="94" t="str">
        <f t="shared" si="473"/>
        <v/>
      </c>
      <c r="HA170" s="105" t="str">
        <f t="shared" si="500"/>
        <v/>
      </c>
      <c r="HB170" s="94" t="str">
        <f t="shared" si="474"/>
        <v/>
      </c>
      <c r="HC170" s="94" t="str">
        <f t="shared" si="475"/>
        <v/>
      </c>
      <c r="HD170" s="105" t="str">
        <f t="shared" si="501"/>
        <v/>
      </c>
      <c r="HE170" s="94" t="str">
        <f t="shared" si="476"/>
        <v/>
      </c>
      <c r="HF170" s="94" t="str">
        <f t="shared" si="477"/>
        <v/>
      </c>
      <c r="HG170" s="105" t="str">
        <f t="shared" si="502"/>
        <v/>
      </c>
      <c r="HH170" s="94" t="str">
        <f t="shared" si="478"/>
        <v/>
      </c>
      <c r="HI170" s="94" t="str">
        <f t="shared" si="479"/>
        <v/>
      </c>
      <c r="HJ170" s="105" t="str">
        <f t="shared" si="503"/>
        <v/>
      </c>
      <c r="HK170" s="94" t="str">
        <f t="shared" si="480"/>
        <v/>
      </c>
      <c r="HL170" s="94" t="str">
        <f t="shared" si="481"/>
        <v/>
      </c>
      <c r="HM170" s="105" t="str">
        <f t="shared" si="504"/>
        <v/>
      </c>
      <c r="HN170" s="367" t="str">
        <f t="shared" si="482"/>
        <v xml:space="preserve">      </v>
      </c>
      <c r="HO170" s="418" t="str">
        <f t="shared" si="505"/>
        <v xml:space="preserve">      </v>
      </c>
      <c r="HP170" s="367" t="str">
        <f t="shared" si="483"/>
        <v xml:space="preserve">      </v>
      </c>
      <c r="HQ170" s="107" t="str">
        <f t="shared" si="484"/>
        <v xml:space="preserve">      </v>
      </c>
      <c r="HR170" s="366" t="str">
        <f t="shared" si="485"/>
        <v xml:space="preserve">      </v>
      </c>
      <c r="HS170" s="544" t="str">
        <f t="shared" si="506"/>
        <v/>
      </c>
      <c r="HT170" s="542" t="str">
        <f t="shared" si="486"/>
        <v/>
      </c>
      <c r="HU170" s="541" t="str">
        <f t="shared" si="487"/>
        <v/>
      </c>
      <c r="HV170" s="540" t="str">
        <f t="shared" si="488"/>
        <v/>
      </c>
      <c r="HW170" s="537" t="str">
        <f t="shared" si="489"/>
        <v/>
      </c>
      <c r="HX170" s="539" t="str">
        <f t="shared" si="490"/>
        <v/>
      </c>
      <c r="HY170" s="553" t="str">
        <f>IFERROR(IF(OR(HS170="SUPPLEMENTARY",HS170="RE-EXAM"),'Supp. Result Entry'!AQ168,""),"")</f>
        <v/>
      </c>
      <c r="HZ170" s="538" t="str">
        <f t="shared" si="491"/>
        <v/>
      </c>
      <c r="IA170" s="415" t="str">
        <f t="shared" si="492"/>
        <v/>
      </c>
      <c r="IB170" s="415" t="str">
        <f>IF(AND(HZ170="",IA170=""),"",IF(OR(HS170="SUPPLEMENTARY",HS170="RE-EXAM"),'Supp. Result Entry'!AQ168,HS170))</f>
        <v/>
      </c>
      <c r="IC170" s="87"/>
      <c r="IS170" s="109" t="str">
        <f>IF('Supp. Result Entry'!T168="","",'Supp. Result Entry'!$T$4)</f>
        <v/>
      </c>
      <c r="IT170" s="110" t="str">
        <f>IF('Supp. Result Entry'!W168="","",'Supp. Result Entry'!$W$4)</f>
        <v/>
      </c>
      <c r="IU170" s="110" t="str">
        <f>IF('Supp. Result Entry'!Z168="","",'Supp. Result Entry'!$Z$4)</f>
        <v/>
      </c>
      <c r="IV170" s="110" t="str">
        <f>IF('Supp. Result Entry'!AC168="","",'Supp. Result Entry'!$AC$4)</f>
        <v/>
      </c>
      <c r="IW170" s="110" t="str">
        <f>IF('Supp. Result Entry'!AF168="","",'Supp. Result Entry'!$AF$4)</f>
        <v/>
      </c>
      <c r="IX170" s="110" t="str">
        <f>IF('Supp. Result Entry'!AI168="","",'Supp. Result Entry'!$AI$4)</f>
        <v/>
      </c>
      <c r="IY170" s="110" t="str">
        <f>IF('Supp. Result Entry'!AI168="","",'Supp. Result Entry'!$AL$4)</f>
        <v/>
      </c>
      <c r="IZ170" s="110" t="str">
        <f>IF('Supp. Result Entry'!U168="","",'Supp. Result Entry'!U168)</f>
        <v/>
      </c>
      <c r="JA170" s="110" t="str">
        <f>IF('Supp. Result Entry'!X168="","",'Supp. Result Entry'!X168)</f>
        <v/>
      </c>
      <c r="JB170" s="110" t="str">
        <f>IF('Supp. Result Entry'!AA168="","",'Supp. Result Entry'!AA168)</f>
        <v/>
      </c>
      <c r="JC170" s="110" t="str">
        <f>IF('Supp. Result Entry'!AD168="","",'Supp. Result Entry'!AD168)</f>
        <v/>
      </c>
      <c r="JD170" s="110" t="str">
        <f>IF('Supp. Result Entry'!AG168="","",'Supp. Result Entry'!AG168)</f>
        <v/>
      </c>
      <c r="JE170" s="110" t="str">
        <f>IF('Supp. Result Entry'!AJ168="","",'Supp. Result Entry'!AJ168)</f>
        <v/>
      </c>
      <c r="JF170" s="110" t="str">
        <f>IF('Supp. Result Entry'!AM168="","",'Supp. Result Entry'!AM168)</f>
        <v/>
      </c>
      <c r="JG170" s="110" t="str">
        <f>IF('Supp. Result Entry'!V168="","",'Supp. Result Entry'!V168)</f>
        <v/>
      </c>
      <c r="JH170" s="110" t="str">
        <f>IF('Supp. Result Entry'!Y168="","",'Supp. Result Entry'!Y168)</f>
        <v/>
      </c>
      <c r="JI170" s="110" t="str">
        <f>IF('Supp. Result Entry'!AB168="","",'Supp. Result Entry'!AB168)</f>
        <v/>
      </c>
      <c r="JJ170" s="110" t="str">
        <f>IF('Supp. Result Entry'!AE168="","",'Supp. Result Entry'!AE168)</f>
        <v/>
      </c>
      <c r="JK170" s="110" t="str">
        <f>IF('Supp. Result Entry'!AH168="","",'Supp. Result Entry'!AH168)</f>
        <v/>
      </c>
      <c r="JL170" s="110" t="str">
        <f>IF('Supp. Result Entry'!AK168="","",'Supp. Result Entry'!AK168)</f>
        <v/>
      </c>
      <c r="JM170" s="110" t="str">
        <f>IF('Supp. Result Entry'!AN168="","",'Supp. Result Entry'!AN168)</f>
        <v/>
      </c>
      <c r="JN170" s="110">
        <f>COUNTIF('Supp. Result Entry'!K168:Q168,"S")</f>
        <v>0</v>
      </c>
      <c r="JO170" s="110">
        <f t="shared" si="416"/>
        <v>0</v>
      </c>
      <c r="JP170" s="110">
        <f t="shared" si="493"/>
        <v>0</v>
      </c>
      <c r="JQ170" s="110" t="str">
        <f t="shared" si="417"/>
        <v/>
      </c>
      <c r="JR170" s="110" t="str">
        <f t="shared" si="418"/>
        <v/>
      </c>
      <c r="JS170" s="110" t="str">
        <f t="shared" si="419"/>
        <v/>
      </c>
      <c r="JT170" s="110" t="str">
        <f t="shared" si="420"/>
        <v/>
      </c>
      <c r="JU170" s="110" t="str">
        <f t="shared" si="421"/>
        <v/>
      </c>
      <c r="JV170" s="110" t="str">
        <f t="shared" si="422"/>
        <v/>
      </c>
      <c r="JW170" s="110" t="str">
        <f t="shared" si="423"/>
        <v/>
      </c>
      <c r="JX170" s="110" t="str">
        <f t="shared" si="494"/>
        <v/>
      </c>
      <c r="JY170" s="110" t="str">
        <f t="shared" si="495"/>
        <v/>
      </c>
      <c r="JZ170" s="110" t="str">
        <f t="shared" si="424"/>
        <v/>
      </c>
      <c r="KA170" s="108" t="str">
        <f t="shared" si="496"/>
        <v/>
      </c>
    </row>
    <row r="171" spans="1:287" s="108" customFormat="1" ht="21.95" customHeight="1">
      <c r="A171" s="89">
        <v>165</v>
      </c>
      <c r="B171" s="90" t="str">
        <f>IF('Marks Entry'!B171="","",'Marks Entry'!B171)</f>
        <v/>
      </c>
      <c r="C171" s="94" t="str">
        <f>IF('Marks Entry'!D171="","",'Marks Entry'!D171)</f>
        <v/>
      </c>
      <c r="D171" s="91" t="str">
        <f>IF('Marks Entry'!E171="","",'Marks Entry'!E171)</f>
        <v/>
      </c>
      <c r="E171" s="92" t="str">
        <f>IF('Marks Entry'!F171="","",'Marks Entry'!F171)</f>
        <v/>
      </c>
      <c r="F171" s="93" t="str">
        <f>IF('Marks Entry'!G171="","",'Marks Entry'!G171)</f>
        <v/>
      </c>
      <c r="G171" s="93" t="str">
        <f>IF('Marks Entry'!H171="","",'Marks Entry'!H171)</f>
        <v/>
      </c>
      <c r="H171" s="93" t="str">
        <f>IF('Marks Entry'!I171="","",'Marks Entry'!I171)</f>
        <v/>
      </c>
      <c r="I171" s="94" t="str">
        <f>IF('Marks Entry'!J171="","",'Marks Entry'!J171)</f>
        <v/>
      </c>
      <c r="J171" s="95" t="str">
        <f>IF('Marks Entry'!K171="","",'Marks Entry'!K171)</f>
        <v/>
      </c>
      <c r="K171" s="68" t="str">
        <f>IF('Marks Entry'!L171="","",'Marks Entry'!L171)</f>
        <v/>
      </c>
      <c r="L171" s="68" t="str">
        <f>IF('Marks Entry'!M171="","",'Marks Entry'!M171)</f>
        <v/>
      </c>
      <c r="M171" s="68" t="str">
        <f>IF('Marks Entry'!N171="","",'Marks Entry'!N171)</f>
        <v/>
      </c>
      <c r="N171" s="514" t="str">
        <f t="shared" si="425"/>
        <v/>
      </c>
      <c r="O171" s="68" t="str">
        <f>IF('Marks Entry'!O171="","",'Marks Entry'!O171)</f>
        <v/>
      </c>
      <c r="P171" s="515" t="str">
        <f t="shared" si="426"/>
        <v/>
      </c>
      <c r="Q171" s="68" t="str">
        <f>IF('Marks Entry'!P171="","",'Marks Entry'!P171)</f>
        <v/>
      </c>
      <c r="R171" s="96" t="str">
        <f t="shared" si="427"/>
        <v/>
      </c>
      <c r="S171" s="65">
        <f t="shared" si="428"/>
        <v>0</v>
      </c>
      <c r="T171" s="65">
        <f t="shared" si="429"/>
        <v>0</v>
      </c>
      <c r="U171" s="66" t="str">
        <f t="shared" si="339"/>
        <v/>
      </c>
      <c r="V171" s="65" t="str">
        <f t="shared" si="340"/>
        <v/>
      </c>
      <c r="W171" s="65" t="str">
        <f t="shared" si="430"/>
        <v/>
      </c>
      <c r="X171" s="65" t="str">
        <f t="shared" si="341"/>
        <v/>
      </c>
      <c r="Y171" s="68" t="str">
        <f>IF('Marks Entry'!Q171="","",'Marks Entry'!Q171)</f>
        <v/>
      </c>
      <c r="Z171" s="68" t="str">
        <f>IF('Marks Entry'!R171="","",'Marks Entry'!R171)</f>
        <v/>
      </c>
      <c r="AA171" s="68" t="str">
        <f>IF('Marks Entry'!S171="","",'Marks Entry'!S171)</f>
        <v/>
      </c>
      <c r="AB171" s="514" t="str">
        <f t="shared" si="342"/>
        <v/>
      </c>
      <c r="AC171" s="68" t="str">
        <f>IF('Marks Entry'!T171="","",'Marks Entry'!T171)</f>
        <v/>
      </c>
      <c r="AD171" s="515" t="str">
        <f t="shared" si="343"/>
        <v/>
      </c>
      <c r="AE171" s="68" t="str">
        <f>IF('Marks Entry'!U171="","",'Marks Entry'!U171)</f>
        <v/>
      </c>
      <c r="AF171" s="96" t="str">
        <f t="shared" si="344"/>
        <v/>
      </c>
      <c r="AG171" s="65">
        <f t="shared" si="345"/>
        <v>0</v>
      </c>
      <c r="AH171" s="65">
        <f t="shared" si="346"/>
        <v>0</v>
      </c>
      <c r="AI171" s="66" t="str">
        <f t="shared" si="347"/>
        <v/>
      </c>
      <c r="AJ171" s="65" t="str">
        <f t="shared" si="348"/>
        <v/>
      </c>
      <c r="AK171" s="65" t="str">
        <f t="shared" si="349"/>
        <v/>
      </c>
      <c r="AL171" s="65" t="str">
        <f t="shared" si="350"/>
        <v/>
      </c>
      <c r="AM171" s="524" t="str">
        <f>IF('Marks Entry'!V171="","",IF('Marks Entry'!V171=1,'School Profile'!$I$9,IF('Marks Entry'!V171=2,'School Profile'!$I$10,IF('Marks Entry'!V171=3,'School Profile'!$I$11,IF('Marks Entry'!V171=4,'School Profile'!$I$12,IF('Marks Entry'!V171=5,'School Profile'!$I$13,IF('Marks Entry'!V171=6,'School Profile'!$I$14,"")))))))</f>
        <v/>
      </c>
      <c r="AN171" s="68" t="str">
        <f>IF('Marks Entry'!W171="","",'Marks Entry'!W171)</f>
        <v/>
      </c>
      <c r="AO171" s="68" t="str">
        <f>IF('Marks Entry'!X171="","",'Marks Entry'!X171)</f>
        <v/>
      </c>
      <c r="AP171" s="68" t="str">
        <f>IF('Marks Entry'!Y171="","",'Marks Entry'!Y171)</f>
        <v/>
      </c>
      <c r="AQ171" s="514" t="str">
        <f t="shared" si="351"/>
        <v/>
      </c>
      <c r="AR171" s="68" t="str">
        <f>IF('Marks Entry'!Z171="","",'Marks Entry'!Z171)</f>
        <v/>
      </c>
      <c r="AS171" s="515" t="str">
        <f t="shared" si="352"/>
        <v/>
      </c>
      <c r="AT171" s="68" t="str">
        <f>IF('Marks Entry'!AA171="","",'Marks Entry'!AA171)</f>
        <v/>
      </c>
      <c r="AU171" s="96" t="str">
        <f t="shared" si="353"/>
        <v/>
      </c>
      <c r="AV171" s="65">
        <f t="shared" si="354"/>
        <v>0</v>
      </c>
      <c r="AW171" s="65">
        <f t="shared" si="355"/>
        <v>0</v>
      </c>
      <c r="AX171" s="66" t="str">
        <f t="shared" si="356"/>
        <v/>
      </c>
      <c r="AY171" s="65" t="str">
        <f t="shared" si="357"/>
        <v/>
      </c>
      <c r="AZ171" s="65" t="str">
        <f t="shared" si="358"/>
        <v/>
      </c>
      <c r="BA171" s="65" t="str">
        <f t="shared" si="359"/>
        <v/>
      </c>
      <c r="BB171" s="68" t="str">
        <f>IF('Marks Entry'!AB171="","",'Marks Entry'!AB171)</f>
        <v/>
      </c>
      <c r="BC171" s="68" t="str">
        <f>IF('Marks Entry'!AC171="","",'Marks Entry'!AC171)</f>
        <v/>
      </c>
      <c r="BD171" s="68" t="str">
        <f>IF('Marks Entry'!AD171="","",'Marks Entry'!AD171)</f>
        <v/>
      </c>
      <c r="BE171" s="514" t="str">
        <f t="shared" si="360"/>
        <v/>
      </c>
      <c r="BF171" s="68" t="str">
        <f>IF('Marks Entry'!AE171="","",'Marks Entry'!AE171)</f>
        <v/>
      </c>
      <c r="BG171" s="515" t="str">
        <f t="shared" si="361"/>
        <v/>
      </c>
      <c r="BH171" s="68" t="str">
        <f>IF('Marks Entry'!AF171="","",'Marks Entry'!AF171)</f>
        <v/>
      </c>
      <c r="BI171" s="96" t="str">
        <f t="shared" si="362"/>
        <v/>
      </c>
      <c r="BJ171" s="65">
        <f t="shared" si="363"/>
        <v>0</v>
      </c>
      <c r="BK171" s="65">
        <f t="shared" si="431"/>
        <v>0</v>
      </c>
      <c r="BL171" s="66" t="str">
        <f t="shared" si="364"/>
        <v/>
      </c>
      <c r="BM171" s="65" t="str">
        <f t="shared" si="365"/>
        <v/>
      </c>
      <c r="BN171" s="65" t="str">
        <f t="shared" si="366"/>
        <v/>
      </c>
      <c r="BO171" s="65" t="str">
        <f t="shared" si="367"/>
        <v/>
      </c>
      <c r="BP171" s="68" t="str">
        <f>IF('Marks Entry'!AG171="","",'Marks Entry'!AG171)</f>
        <v/>
      </c>
      <c r="BQ171" s="68" t="str">
        <f>IF('Marks Entry'!AH171="","",'Marks Entry'!AH171)</f>
        <v/>
      </c>
      <c r="BR171" s="68" t="str">
        <f>IF('Marks Entry'!AI171="","",'Marks Entry'!AI171)</f>
        <v/>
      </c>
      <c r="BS171" s="514" t="str">
        <f t="shared" si="368"/>
        <v/>
      </c>
      <c r="BT171" s="68" t="str">
        <f>IF('Marks Entry'!AJ171="","",'Marks Entry'!AJ171)</f>
        <v/>
      </c>
      <c r="BU171" s="515" t="str">
        <f t="shared" si="369"/>
        <v/>
      </c>
      <c r="BV171" s="68" t="str">
        <f>IF('Marks Entry'!AK171="","",'Marks Entry'!AK171)</f>
        <v/>
      </c>
      <c r="BW171" s="96" t="str">
        <f t="shared" si="370"/>
        <v/>
      </c>
      <c r="BX171" s="65">
        <f t="shared" si="371"/>
        <v>0</v>
      </c>
      <c r="BY171" s="65">
        <f t="shared" si="372"/>
        <v>0</v>
      </c>
      <c r="BZ171" s="66" t="str">
        <f t="shared" si="373"/>
        <v/>
      </c>
      <c r="CA171" s="65" t="str">
        <f t="shared" si="374"/>
        <v/>
      </c>
      <c r="CB171" s="65" t="str">
        <f t="shared" si="375"/>
        <v/>
      </c>
      <c r="CC171" s="65" t="str">
        <f t="shared" si="376"/>
        <v/>
      </c>
      <c r="CD171" s="66">
        <f t="shared" si="497"/>
        <v>0</v>
      </c>
      <c r="CE171" s="68" t="str">
        <f>IF('Marks Entry'!AL171="","",'Marks Entry'!AL171)</f>
        <v/>
      </c>
      <c r="CF171" s="68" t="str">
        <f>IF('Marks Entry'!AM171="","",'Marks Entry'!AM171)</f>
        <v/>
      </c>
      <c r="CG171" s="68" t="str">
        <f>IF('Marks Entry'!AN171="","",'Marks Entry'!AN171)</f>
        <v/>
      </c>
      <c r="CH171" s="514" t="str">
        <f t="shared" si="378"/>
        <v/>
      </c>
      <c r="CI171" s="68" t="str">
        <f>IF('Marks Entry'!AO171="","",'Marks Entry'!AO171)</f>
        <v/>
      </c>
      <c r="CJ171" s="515" t="str">
        <f t="shared" si="379"/>
        <v/>
      </c>
      <c r="CK171" s="68" t="str">
        <f>IF('Marks Entry'!AP171="","",'Marks Entry'!AP171)</f>
        <v/>
      </c>
      <c r="CL171" s="96" t="str">
        <f t="shared" si="380"/>
        <v/>
      </c>
      <c r="CM171" s="65">
        <f t="shared" si="381"/>
        <v>0</v>
      </c>
      <c r="CN171" s="65">
        <f t="shared" si="382"/>
        <v>0</v>
      </c>
      <c r="CO171" s="66" t="str">
        <f t="shared" si="383"/>
        <v/>
      </c>
      <c r="CP171" s="65" t="str">
        <f t="shared" si="384"/>
        <v/>
      </c>
      <c r="CQ171" s="65" t="str">
        <f t="shared" si="385"/>
        <v/>
      </c>
      <c r="CR171" s="65" t="str">
        <f t="shared" si="386"/>
        <v/>
      </c>
      <c r="CS171" s="616"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8" t="str">
        <f>IF('School Profile'!$D$20="NO","",IF('Marks Entry'!AR171="","",'Marks Entry'!AR171))</f>
        <v/>
      </c>
      <c r="CU171" s="68" t="str">
        <f>IF('School Profile'!$D$20="NO","",IF('Marks Entry'!AS171="","",'Marks Entry'!AS171))</f>
        <v/>
      </c>
      <c r="CV171" s="68" t="str">
        <f>IF('School Profile'!$D$20="NO","",IF('Marks Entry'!AT171="","",'Marks Entry'!AT171))</f>
        <v/>
      </c>
      <c r="CW171" s="514" t="str">
        <f>IF('School Profile'!$D$20="NO","",IF(AND(CT171="",CU171="",CV171=""),"",SUM(CT171:CV171)))</f>
        <v/>
      </c>
      <c r="CX171" s="68" t="str">
        <f>IF('School Profile'!$D$20="NO","",IF('Marks Entry'!AU171="","",'Marks Entry'!AU171))</f>
        <v/>
      </c>
      <c r="CY171" s="68" t="str">
        <f>IF('School Profile'!$D$20="NO","",IF('Marks Entry'!AV171="","",'Marks Entry'!AV171))</f>
        <v/>
      </c>
      <c r="CZ171" s="515" t="str">
        <f>IF('School Profile'!$D$20="NO","",IF(AND(CX171="",CY171=""),"",SUM(CX171,CY171)))</f>
        <v/>
      </c>
      <c r="DA171" s="69" t="str">
        <f>IF('School Profile'!$D$20="NO","",IF(AND(CW171="",CZ171=""),"",SUM(CW171+CZ171)))</f>
        <v/>
      </c>
      <c r="DB171" s="68" t="str">
        <f>IF('School Profile'!$D$20="NO","",IF('Marks Entry'!AW171="","",'Marks Entry'!AW171))</f>
        <v/>
      </c>
      <c r="DC171" s="68" t="str">
        <f>IF('School Profile'!$D$20="NO","",IF('Marks Entry'!AX171="","",'Marks Entry'!AX171))</f>
        <v/>
      </c>
      <c r="DD171" s="515" t="str">
        <f>IF('School Profile'!$D$20="NO","",IF(AND(DB171="",DC171=""),"",SUM(DB171,DC171)))</f>
        <v/>
      </c>
      <c r="DE171" s="96" t="str">
        <f>IF('School Profile'!$D$20="NO","",IF(AND(DA171="",DD171=""),"",SUM(DA171,DD171)))</f>
        <v/>
      </c>
      <c r="DF171" s="532">
        <f t="shared" si="387"/>
        <v>0</v>
      </c>
      <c r="DG171" s="65">
        <f t="shared" si="388"/>
        <v>0</v>
      </c>
      <c r="DH171" s="66" t="str">
        <f t="shared" si="389"/>
        <v/>
      </c>
      <c r="DI171" s="65" t="str">
        <f t="shared" si="390"/>
        <v/>
      </c>
      <c r="DJ171" s="65" t="str">
        <f t="shared" si="391"/>
        <v/>
      </c>
      <c r="DK171" s="65" t="str">
        <f t="shared" si="392"/>
        <v/>
      </c>
      <c r="DL171" s="97" t="str">
        <f t="shared" si="432"/>
        <v/>
      </c>
      <c r="DM171" s="97" t="str">
        <f t="shared" si="433"/>
        <v/>
      </c>
      <c r="DN171" s="97" t="str">
        <f t="shared" si="434"/>
        <v/>
      </c>
      <c r="DO171" s="97" t="str">
        <f t="shared" si="435"/>
        <v/>
      </c>
      <c r="DP171" s="97" t="str">
        <f t="shared" si="436"/>
        <v/>
      </c>
      <c r="DQ171" s="97" t="str">
        <f t="shared" si="437"/>
        <v/>
      </c>
      <c r="DR171" s="97" t="str">
        <f t="shared" si="438"/>
        <v/>
      </c>
      <c r="DS171" s="98">
        <f t="shared" si="439"/>
        <v>0</v>
      </c>
      <c r="DT171" s="98">
        <f t="shared" si="440"/>
        <v>0</v>
      </c>
      <c r="DU171" s="98">
        <f t="shared" si="441"/>
        <v>0</v>
      </c>
      <c r="DV171" s="98">
        <f t="shared" si="442"/>
        <v>0</v>
      </c>
      <c r="DW171" s="98">
        <f t="shared" si="443"/>
        <v>0</v>
      </c>
      <c r="DX171" s="98" t="str">
        <f t="shared" si="444"/>
        <v/>
      </c>
      <c r="DY171" s="99" t="str">
        <f t="shared" si="445"/>
        <v/>
      </c>
      <c r="DZ171" s="74" t="str">
        <f>IF('Marks Entry'!AY171="","",'Marks Entry'!AY171)</f>
        <v/>
      </c>
      <c r="EA171" s="74" t="str">
        <f>IF('Marks Entry'!AZ171="","",'Marks Entry'!AZ171)</f>
        <v/>
      </c>
      <c r="EB171" s="74" t="str">
        <f>IF('Marks Entry'!BA171="","",'Marks Entry'!BA171)</f>
        <v/>
      </c>
      <c r="EC171" s="527" t="str">
        <f t="shared" si="393"/>
        <v/>
      </c>
      <c r="ED171" s="74" t="str">
        <f>IF('Marks Entry'!BB171="","",'Marks Entry'!BB171)</f>
        <v/>
      </c>
      <c r="EE171" s="528" t="str">
        <f t="shared" si="394"/>
        <v/>
      </c>
      <c r="EF171" s="74" t="str">
        <f>IF('Marks Entry'!BC171="","",'Marks Entry'!BC171)</f>
        <v/>
      </c>
      <c r="EG171" s="530" t="str">
        <f t="shared" si="395"/>
        <v/>
      </c>
      <c r="EH171" s="368" t="str">
        <f t="shared" si="446"/>
        <v/>
      </c>
      <c r="EI171" s="65">
        <f t="shared" si="447"/>
        <v>0</v>
      </c>
      <c r="EJ171" s="65">
        <f t="shared" si="448"/>
        <v>0</v>
      </c>
      <c r="EK171" s="66" t="str">
        <f t="shared" si="449"/>
        <v/>
      </c>
      <c r="EL171" s="74" t="str">
        <f>IF('Marks Entry'!BD171="","",'Marks Entry'!BD171)</f>
        <v/>
      </c>
      <c r="EM171" s="74" t="str">
        <f>IF('Marks Entry'!BE171="","",'Marks Entry'!BE171)</f>
        <v/>
      </c>
      <c r="EN171" s="74" t="str">
        <f>IF('Marks Entry'!BF171="","",'Marks Entry'!BF171)</f>
        <v/>
      </c>
      <c r="EO171" s="527" t="str">
        <f t="shared" si="396"/>
        <v/>
      </c>
      <c r="EP171" s="74" t="str">
        <f>IF('Marks Entry'!BG171="","",'Marks Entry'!BG171)</f>
        <v/>
      </c>
      <c r="EQ171" s="74" t="str">
        <f>IF('Marks Entry'!BH171="","",'Marks Entry'!BH171)</f>
        <v/>
      </c>
      <c r="ER171" s="528" t="str">
        <f t="shared" si="397"/>
        <v/>
      </c>
      <c r="ES171" s="529" t="str">
        <f t="shared" si="398"/>
        <v/>
      </c>
      <c r="ET171" s="74" t="str">
        <f>IF('Marks Entry'!BI171="","",'Marks Entry'!BI171)</f>
        <v/>
      </c>
      <c r="EU171" s="74" t="str">
        <f>IF('Marks Entry'!BJ171="","",'Marks Entry'!BJ171)</f>
        <v/>
      </c>
      <c r="EV171" s="528" t="str">
        <f t="shared" si="399"/>
        <v/>
      </c>
      <c r="EW171" s="530" t="str">
        <f t="shared" si="400"/>
        <v/>
      </c>
      <c r="EX171" s="368" t="str">
        <f t="shared" si="450"/>
        <v/>
      </c>
      <c r="EY171" s="65">
        <f t="shared" si="451"/>
        <v>0</v>
      </c>
      <c r="EZ171" s="65">
        <f t="shared" si="452"/>
        <v>0</v>
      </c>
      <c r="FA171" s="66" t="str">
        <f t="shared" si="453"/>
        <v/>
      </c>
      <c r="FB171" s="74" t="str">
        <f>IF('Marks Entry'!BK171="","",'Marks Entry'!BK171)</f>
        <v/>
      </c>
      <c r="FC171" s="74" t="str">
        <f>IF('Marks Entry'!BL171="","",'Marks Entry'!BL171)</f>
        <v/>
      </c>
      <c r="FD171" s="74" t="str">
        <f>IF('Marks Entry'!BM171="","",'Marks Entry'!BM171)</f>
        <v/>
      </c>
      <c r="FE171" s="74" t="str">
        <f>IF('Marks Entry'!BN171="","",'Marks Entry'!BN171)</f>
        <v/>
      </c>
      <c r="FF171" s="74" t="str">
        <f>IF('Marks Entry'!BO171="","",'Marks Entry'!BO171)</f>
        <v/>
      </c>
      <c r="FG171" s="74" t="str">
        <f>IF('Marks Entry'!BP171="","",'Marks Entry'!BP171)</f>
        <v/>
      </c>
      <c r="FH171" s="527" t="str">
        <f t="shared" si="401"/>
        <v/>
      </c>
      <c r="FI171" s="74" t="str">
        <f>IF('Marks Entry'!BQ171="","",'Marks Entry'!BQ171)</f>
        <v/>
      </c>
      <c r="FJ171" s="74" t="str">
        <f>IF('Marks Entry'!BR171="","",'Marks Entry'!BR171)</f>
        <v/>
      </c>
      <c r="FK171" s="528" t="str">
        <f t="shared" si="402"/>
        <v/>
      </c>
      <c r="FL171" s="529" t="str">
        <f t="shared" si="403"/>
        <v/>
      </c>
      <c r="FM171" s="74" t="str">
        <f>IF('Marks Entry'!BS171="","",'Marks Entry'!BS171)</f>
        <v/>
      </c>
      <c r="FN171" s="74" t="str">
        <f>IF('Marks Entry'!BT171="","",'Marks Entry'!BT171)</f>
        <v/>
      </c>
      <c r="FO171" s="528" t="str">
        <f t="shared" si="404"/>
        <v/>
      </c>
      <c r="FP171" s="530" t="str">
        <f t="shared" si="405"/>
        <v/>
      </c>
      <c r="FQ171" s="368" t="str">
        <f t="shared" si="454"/>
        <v/>
      </c>
      <c r="FR171" s="65">
        <f t="shared" si="455"/>
        <v>0</v>
      </c>
      <c r="FS171" s="65">
        <f t="shared" si="456"/>
        <v>0</v>
      </c>
      <c r="FT171" s="66" t="str">
        <f t="shared" si="457"/>
        <v/>
      </c>
      <c r="FU171" s="74" t="str">
        <f>IF('Marks Entry'!BU171="","",'Marks Entry'!BU171)</f>
        <v/>
      </c>
      <c r="FV171" s="74" t="str">
        <f>IF('Marks Entry'!BV171="","",'Marks Entry'!BV171)</f>
        <v/>
      </c>
      <c r="FW171" s="74" t="str">
        <f>IF('Marks Entry'!BW171="","",'Marks Entry'!BW171)</f>
        <v/>
      </c>
      <c r="FX171" s="75" t="str">
        <f t="shared" si="406"/>
        <v/>
      </c>
      <c r="FY171" s="368" t="str">
        <f t="shared" si="458"/>
        <v/>
      </c>
      <c r="FZ171" s="65">
        <f t="shared" si="459"/>
        <v>0</v>
      </c>
      <c r="GA171" s="66">
        <f t="shared" si="460"/>
        <v>0</v>
      </c>
      <c r="GB171" s="66" t="str">
        <f t="shared" si="461"/>
        <v/>
      </c>
      <c r="GC171" s="74" t="str">
        <f>IF('Marks Entry'!BX171="","",'Marks Entry'!BX171)</f>
        <v/>
      </c>
      <c r="GD171" s="74" t="str">
        <f>IF('Marks Entry'!BY171="","",'Marks Entry'!BY171)</f>
        <v/>
      </c>
      <c r="GE171" s="74" t="str">
        <f>IF('Marks Entry'!BZ171="","",'Marks Entry'!BZ171)</f>
        <v/>
      </c>
      <c r="GF171" s="75" t="str">
        <f t="shared" si="462"/>
        <v/>
      </c>
      <c r="GG171" s="368" t="str">
        <f t="shared" si="463"/>
        <v/>
      </c>
      <c r="GH171" s="65">
        <f t="shared" si="464"/>
        <v>0</v>
      </c>
      <c r="GI171" s="66">
        <f t="shared" si="465"/>
        <v>0</v>
      </c>
      <c r="GJ171" s="66" t="str">
        <f t="shared" si="466"/>
        <v/>
      </c>
      <c r="GK171" s="100" t="str">
        <f>IF(AND(F171="",B171=""),"",IF('Student DATA Entry'!M168="","",'Student DATA Entry'!M168))</f>
        <v/>
      </c>
      <c r="GL171" s="101" t="str">
        <f>IF(AND(B171="",F171=""),"",IF('Student DATA Entry'!N168="","",'Student DATA Entry'!N168))</f>
        <v/>
      </c>
      <c r="GM171" s="581" t="str">
        <f t="shared" si="467"/>
        <v/>
      </c>
      <c r="GN171" s="94" t="str">
        <f t="shared" si="468"/>
        <v/>
      </c>
      <c r="GO171" s="94" t="str">
        <f t="shared" si="469"/>
        <v/>
      </c>
      <c r="GP171" s="102" t="str">
        <f t="shared" si="498"/>
        <v/>
      </c>
      <c r="GQ171" s="94" t="str">
        <f t="shared" si="470"/>
        <v/>
      </c>
      <c r="GR171" s="103" t="str">
        <f t="shared" si="471"/>
        <v/>
      </c>
      <c r="GS171" s="102" t="str">
        <f t="shared" si="499"/>
        <v/>
      </c>
      <c r="GT171" s="104" t="str">
        <f t="shared" si="472"/>
        <v/>
      </c>
      <c r="GU171" s="94" t="str">
        <f>IF('Marks Entry'!V171=1,GT171,"")</f>
        <v/>
      </c>
      <c r="GV171" s="94" t="str">
        <f>IF('Marks Entry'!V171=2,GT171,"")</f>
        <v/>
      </c>
      <c r="GW171" s="94" t="str">
        <f>IF('Marks Entry'!V171=3,GT171,"")</f>
        <v/>
      </c>
      <c r="GX171" s="94" t="str">
        <f>IF('Marks Entry'!V171=4,GT171,"")</f>
        <v/>
      </c>
      <c r="GY171" s="94" t="str">
        <f>IF('Marks Entry'!V171=5,GT171,"")</f>
        <v/>
      </c>
      <c r="GZ171" s="94" t="str">
        <f t="shared" si="473"/>
        <v/>
      </c>
      <c r="HA171" s="105" t="str">
        <f t="shared" si="500"/>
        <v/>
      </c>
      <c r="HB171" s="94" t="str">
        <f t="shared" si="474"/>
        <v/>
      </c>
      <c r="HC171" s="94" t="str">
        <f t="shared" si="475"/>
        <v/>
      </c>
      <c r="HD171" s="105" t="str">
        <f t="shared" si="501"/>
        <v/>
      </c>
      <c r="HE171" s="94" t="str">
        <f t="shared" si="476"/>
        <v/>
      </c>
      <c r="HF171" s="94" t="str">
        <f t="shared" si="477"/>
        <v/>
      </c>
      <c r="HG171" s="105" t="str">
        <f t="shared" si="502"/>
        <v/>
      </c>
      <c r="HH171" s="94" t="str">
        <f t="shared" si="478"/>
        <v/>
      </c>
      <c r="HI171" s="94" t="str">
        <f t="shared" si="479"/>
        <v/>
      </c>
      <c r="HJ171" s="105" t="str">
        <f t="shared" si="503"/>
        <v/>
      </c>
      <c r="HK171" s="94" t="str">
        <f t="shared" si="480"/>
        <v/>
      </c>
      <c r="HL171" s="94" t="str">
        <f t="shared" si="481"/>
        <v/>
      </c>
      <c r="HM171" s="105" t="str">
        <f t="shared" si="504"/>
        <v/>
      </c>
      <c r="HN171" s="367" t="str">
        <f t="shared" si="482"/>
        <v xml:space="preserve">      </v>
      </c>
      <c r="HO171" s="418" t="str">
        <f t="shared" si="505"/>
        <v xml:space="preserve">      </v>
      </c>
      <c r="HP171" s="367" t="str">
        <f t="shared" si="483"/>
        <v xml:space="preserve">      </v>
      </c>
      <c r="HQ171" s="107" t="str">
        <f t="shared" si="484"/>
        <v xml:space="preserve">      </v>
      </c>
      <c r="HR171" s="366" t="str">
        <f t="shared" si="485"/>
        <v xml:space="preserve">      </v>
      </c>
      <c r="HS171" s="544" t="str">
        <f t="shared" si="506"/>
        <v/>
      </c>
      <c r="HT171" s="542" t="str">
        <f t="shared" si="486"/>
        <v/>
      </c>
      <c r="HU171" s="541" t="str">
        <f t="shared" si="487"/>
        <v/>
      </c>
      <c r="HV171" s="540" t="str">
        <f t="shared" si="488"/>
        <v/>
      </c>
      <c r="HW171" s="537" t="str">
        <f t="shared" si="489"/>
        <v/>
      </c>
      <c r="HX171" s="539" t="str">
        <f t="shared" si="490"/>
        <v/>
      </c>
      <c r="HY171" s="553" t="str">
        <f>IFERROR(IF(OR(HS171="SUPPLEMENTARY",HS171="RE-EXAM"),'Supp. Result Entry'!AQ169,""),"")</f>
        <v/>
      </c>
      <c r="HZ171" s="538" t="str">
        <f t="shared" si="491"/>
        <v/>
      </c>
      <c r="IA171" s="415" t="str">
        <f t="shared" si="492"/>
        <v/>
      </c>
      <c r="IB171" s="415" t="str">
        <f>IF(AND(HZ171="",IA171=""),"",IF(OR(HS171="SUPPLEMENTARY",HS171="RE-EXAM"),'Supp. Result Entry'!AQ169,HS171))</f>
        <v/>
      </c>
      <c r="IC171" s="87"/>
      <c r="IS171" s="109" t="str">
        <f>IF('Supp. Result Entry'!T169="","",'Supp. Result Entry'!$T$4)</f>
        <v/>
      </c>
      <c r="IT171" s="110" t="str">
        <f>IF('Supp. Result Entry'!W169="","",'Supp. Result Entry'!$W$4)</f>
        <v/>
      </c>
      <c r="IU171" s="110" t="str">
        <f>IF('Supp. Result Entry'!Z169="","",'Supp. Result Entry'!$Z$4)</f>
        <v/>
      </c>
      <c r="IV171" s="110" t="str">
        <f>IF('Supp. Result Entry'!AC169="","",'Supp. Result Entry'!$AC$4)</f>
        <v/>
      </c>
      <c r="IW171" s="110" t="str">
        <f>IF('Supp. Result Entry'!AF169="","",'Supp. Result Entry'!$AF$4)</f>
        <v/>
      </c>
      <c r="IX171" s="110" t="str">
        <f>IF('Supp. Result Entry'!AI169="","",'Supp. Result Entry'!$AI$4)</f>
        <v/>
      </c>
      <c r="IY171" s="110" t="str">
        <f>IF('Supp. Result Entry'!AI169="","",'Supp. Result Entry'!$AL$4)</f>
        <v/>
      </c>
      <c r="IZ171" s="110" t="str">
        <f>IF('Supp. Result Entry'!U169="","",'Supp. Result Entry'!U169)</f>
        <v/>
      </c>
      <c r="JA171" s="110" t="str">
        <f>IF('Supp. Result Entry'!X169="","",'Supp. Result Entry'!X169)</f>
        <v/>
      </c>
      <c r="JB171" s="110" t="str">
        <f>IF('Supp. Result Entry'!AA169="","",'Supp. Result Entry'!AA169)</f>
        <v/>
      </c>
      <c r="JC171" s="110" t="str">
        <f>IF('Supp. Result Entry'!AD169="","",'Supp. Result Entry'!AD169)</f>
        <v/>
      </c>
      <c r="JD171" s="110" t="str">
        <f>IF('Supp. Result Entry'!AG169="","",'Supp. Result Entry'!AG169)</f>
        <v/>
      </c>
      <c r="JE171" s="110" t="str">
        <f>IF('Supp. Result Entry'!AJ169="","",'Supp. Result Entry'!AJ169)</f>
        <v/>
      </c>
      <c r="JF171" s="110" t="str">
        <f>IF('Supp. Result Entry'!AM169="","",'Supp. Result Entry'!AM169)</f>
        <v/>
      </c>
      <c r="JG171" s="110" t="str">
        <f>IF('Supp. Result Entry'!V169="","",'Supp. Result Entry'!V169)</f>
        <v/>
      </c>
      <c r="JH171" s="110" t="str">
        <f>IF('Supp. Result Entry'!Y169="","",'Supp. Result Entry'!Y169)</f>
        <v/>
      </c>
      <c r="JI171" s="110" t="str">
        <f>IF('Supp. Result Entry'!AB169="","",'Supp. Result Entry'!AB169)</f>
        <v/>
      </c>
      <c r="JJ171" s="110" t="str">
        <f>IF('Supp. Result Entry'!AE169="","",'Supp. Result Entry'!AE169)</f>
        <v/>
      </c>
      <c r="JK171" s="110" t="str">
        <f>IF('Supp. Result Entry'!AH169="","",'Supp. Result Entry'!AH169)</f>
        <v/>
      </c>
      <c r="JL171" s="110" t="str">
        <f>IF('Supp. Result Entry'!AK169="","",'Supp. Result Entry'!AK169)</f>
        <v/>
      </c>
      <c r="JM171" s="110" t="str">
        <f>IF('Supp. Result Entry'!AN169="","",'Supp. Result Entry'!AN169)</f>
        <v/>
      </c>
      <c r="JN171" s="110">
        <f>COUNTIF('Supp. Result Entry'!K169:Q169,"S")</f>
        <v>0</v>
      </c>
      <c r="JO171" s="110">
        <f t="shared" si="416"/>
        <v>0</v>
      </c>
      <c r="JP171" s="110">
        <f t="shared" si="493"/>
        <v>0</v>
      </c>
      <c r="JQ171" s="110" t="str">
        <f t="shared" si="417"/>
        <v/>
      </c>
      <c r="JR171" s="110" t="str">
        <f t="shared" si="418"/>
        <v/>
      </c>
      <c r="JS171" s="110" t="str">
        <f t="shared" si="419"/>
        <v/>
      </c>
      <c r="JT171" s="110" t="str">
        <f t="shared" si="420"/>
        <v/>
      </c>
      <c r="JU171" s="110" t="str">
        <f t="shared" si="421"/>
        <v/>
      </c>
      <c r="JV171" s="110" t="str">
        <f t="shared" si="422"/>
        <v/>
      </c>
      <c r="JW171" s="110" t="str">
        <f t="shared" si="423"/>
        <v/>
      </c>
      <c r="JX171" s="110" t="str">
        <f t="shared" si="494"/>
        <v/>
      </c>
      <c r="JY171" s="110" t="str">
        <f t="shared" si="495"/>
        <v/>
      </c>
      <c r="JZ171" s="110" t="str">
        <f t="shared" si="424"/>
        <v/>
      </c>
      <c r="KA171" s="108" t="str">
        <f t="shared" si="496"/>
        <v/>
      </c>
    </row>
    <row r="172" spans="1:287" s="108" customFormat="1" ht="21.95" customHeight="1">
      <c r="A172" s="89">
        <v>166</v>
      </c>
      <c r="B172" s="90" t="str">
        <f>IF('Marks Entry'!B172="","",'Marks Entry'!B172)</f>
        <v/>
      </c>
      <c r="C172" s="94" t="str">
        <f>IF('Marks Entry'!D172="","",'Marks Entry'!D172)</f>
        <v/>
      </c>
      <c r="D172" s="91" t="str">
        <f>IF('Marks Entry'!E172="","",'Marks Entry'!E172)</f>
        <v/>
      </c>
      <c r="E172" s="92" t="str">
        <f>IF('Marks Entry'!F172="","",'Marks Entry'!F172)</f>
        <v/>
      </c>
      <c r="F172" s="93" t="str">
        <f>IF('Marks Entry'!G172="","",'Marks Entry'!G172)</f>
        <v/>
      </c>
      <c r="G172" s="93" t="str">
        <f>IF('Marks Entry'!H172="","",'Marks Entry'!H172)</f>
        <v/>
      </c>
      <c r="H172" s="93" t="str">
        <f>IF('Marks Entry'!I172="","",'Marks Entry'!I172)</f>
        <v/>
      </c>
      <c r="I172" s="94" t="str">
        <f>IF('Marks Entry'!J172="","",'Marks Entry'!J172)</f>
        <v/>
      </c>
      <c r="J172" s="95" t="str">
        <f>IF('Marks Entry'!K172="","",'Marks Entry'!K172)</f>
        <v/>
      </c>
      <c r="K172" s="68" t="str">
        <f>IF('Marks Entry'!L172="","",'Marks Entry'!L172)</f>
        <v/>
      </c>
      <c r="L172" s="68" t="str">
        <f>IF('Marks Entry'!M172="","",'Marks Entry'!M172)</f>
        <v/>
      </c>
      <c r="M172" s="68" t="str">
        <f>IF('Marks Entry'!N172="","",'Marks Entry'!N172)</f>
        <v/>
      </c>
      <c r="N172" s="514" t="str">
        <f t="shared" si="425"/>
        <v/>
      </c>
      <c r="O172" s="68" t="str">
        <f>IF('Marks Entry'!O172="","",'Marks Entry'!O172)</f>
        <v/>
      </c>
      <c r="P172" s="515" t="str">
        <f t="shared" si="426"/>
        <v/>
      </c>
      <c r="Q172" s="68" t="str">
        <f>IF('Marks Entry'!P172="","",'Marks Entry'!P172)</f>
        <v/>
      </c>
      <c r="R172" s="96" t="str">
        <f t="shared" si="427"/>
        <v/>
      </c>
      <c r="S172" s="65">
        <f t="shared" si="428"/>
        <v>0</v>
      </c>
      <c r="T172" s="65">
        <f t="shared" si="429"/>
        <v>0</v>
      </c>
      <c r="U172" s="66" t="str">
        <f t="shared" si="339"/>
        <v/>
      </c>
      <c r="V172" s="65" t="str">
        <f t="shared" si="340"/>
        <v/>
      </c>
      <c r="W172" s="65" t="str">
        <f t="shared" si="430"/>
        <v/>
      </c>
      <c r="X172" s="65" t="str">
        <f t="shared" si="341"/>
        <v/>
      </c>
      <c r="Y172" s="68" t="str">
        <f>IF('Marks Entry'!Q172="","",'Marks Entry'!Q172)</f>
        <v/>
      </c>
      <c r="Z172" s="68" t="str">
        <f>IF('Marks Entry'!R172="","",'Marks Entry'!R172)</f>
        <v/>
      </c>
      <c r="AA172" s="68" t="str">
        <f>IF('Marks Entry'!S172="","",'Marks Entry'!S172)</f>
        <v/>
      </c>
      <c r="AB172" s="514" t="str">
        <f t="shared" si="342"/>
        <v/>
      </c>
      <c r="AC172" s="68" t="str">
        <f>IF('Marks Entry'!T172="","",'Marks Entry'!T172)</f>
        <v/>
      </c>
      <c r="AD172" s="515" t="str">
        <f t="shared" si="343"/>
        <v/>
      </c>
      <c r="AE172" s="68" t="str">
        <f>IF('Marks Entry'!U172="","",'Marks Entry'!U172)</f>
        <v/>
      </c>
      <c r="AF172" s="96" t="str">
        <f t="shared" si="344"/>
        <v/>
      </c>
      <c r="AG172" s="65">
        <f t="shared" si="345"/>
        <v>0</v>
      </c>
      <c r="AH172" s="65">
        <f t="shared" si="346"/>
        <v>0</v>
      </c>
      <c r="AI172" s="66" t="str">
        <f t="shared" si="347"/>
        <v/>
      </c>
      <c r="AJ172" s="65" t="str">
        <f t="shared" si="348"/>
        <v/>
      </c>
      <c r="AK172" s="65" t="str">
        <f t="shared" si="349"/>
        <v/>
      </c>
      <c r="AL172" s="65" t="str">
        <f t="shared" si="350"/>
        <v/>
      </c>
      <c r="AM172" s="524" t="str">
        <f>IF('Marks Entry'!V172="","",IF('Marks Entry'!V172=1,'School Profile'!$I$9,IF('Marks Entry'!V172=2,'School Profile'!$I$10,IF('Marks Entry'!V172=3,'School Profile'!$I$11,IF('Marks Entry'!V172=4,'School Profile'!$I$12,IF('Marks Entry'!V172=5,'School Profile'!$I$13,IF('Marks Entry'!V172=6,'School Profile'!$I$14,"")))))))</f>
        <v/>
      </c>
      <c r="AN172" s="68" t="str">
        <f>IF('Marks Entry'!W172="","",'Marks Entry'!W172)</f>
        <v/>
      </c>
      <c r="AO172" s="68" t="str">
        <f>IF('Marks Entry'!X172="","",'Marks Entry'!X172)</f>
        <v/>
      </c>
      <c r="AP172" s="68" t="str">
        <f>IF('Marks Entry'!Y172="","",'Marks Entry'!Y172)</f>
        <v/>
      </c>
      <c r="AQ172" s="514" t="str">
        <f t="shared" si="351"/>
        <v/>
      </c>
      <c r="AR172" s="68" t="str">
        <f>IF('Marks Entry'!Z172="","",'Marks Entry'!Z172)</f>
        <v/>
      </c>
      <c r="AS172" s="515" t="str">
        <f t="shared" si="352"/>
        <v/>
      </c>
      <c r="AT172" s="68" t="str">
        <f>IF('Marks Entry'!AA172="","",'Marks Entry'!AA172)</f>
        <v/>
      </c>
      <c r="AU172" s="96" t="str">
        <f t="shared" si="353"/>
        <v/>
      </c>
      <c r="AV172" s="65">
        <f t="shared" si="354"/>
        <v>0</v>
      </c>
      <c r="AW172" s="65">
        <f t="shared" si="355"/>
        <v>0</v>
      </c>
      <c r="AX172" s="66" t="str">
        <f t="shared" si="356"/>
        <v/>
      </c>
      <c r="AY172" s="65" t="str">
        <f t="shared" si="357"/>
        <v/>
      </c>
      <c r="AZ172" s="65" t="str">
        <f t="shared" si="358"/>
        <v/>
      </c>
      <c r="BA172" s="65" t="str">
        <f t="shared" si="359"/>
        <v/>
      </c>
      <c r="BB172" s="68" t="str">
        <f>IF('Marks Entry'!AB172="","",'Marks Entry'!AB172)</f>
        <v/>
      </c>
      <c r="BC172" s="68" t="str">
        <f>IF('Marks Entry'!AC172="","",'Marks Entry'!AC172)</f>
        <v/>
      </c>
      <c r="BD172" s="68" t="str">
        <f>IF('Marks Entry'!AD172="","",'Marks Entry'!AD172)</f>
        <v/>
      </c>
      <c r="BE172" s="514" t="str">
        <f t="shared" si="360"/>
        <v/>
      </c>
      <c r="BF172" s="68" t="str">
        <f>IF('Marks Entry'!AE172="","",'Marks Entry'!AE172)</f>
        <v/>
      </c>
      <c r="BG172" s="515" t="str">
        <f t="shared" si="361"/>
        <v/>
      </c>
      <c r="BH172" s="68" t="str">
        <f>IF('Marks Entry'!AF172="","",'Marks Entry'!AF172)</f>
        <v/>
      </c>
      <c r="BI172" s="96" t="str">
        <f t="shared" si="362"/>
        <v/>
      </c>
      <c r="BJ172" s="65">
        <f t="shared" si="363"/>
        <v>0</v>
      </c>
      <c r="BK172" s="65">
        <f t="shared" si="431"/>
        <v>0</v>
      </c>
      <c r="BL172" s="66" t="str">
        <f t="shared" si="364"/>
        <v/>
      </c>
      <c r="BM172" s="65" t="str">
        <f t="shared" si="365"/>
        <v/>
      </c>
      <c r="BN172" s="65" t="str">
        <f t="shared" si="366"/>
        <v/>
      </c>
      <c r="BO172" s="65" t="str">
        <f t="shared" si="367"/>
        <v/>
      </c>
      <c r="BP172" s="68" t="str">
        <f>IF('Marks Entry'!AG172="","",'Marks Entry'!AG172)</f>
        <v/>
      </c>
      <c r="BQ172" s="68" t="str">
        <f>IF('Marks Entry'!AH172="","",'Marks Entry'!AH172)</f>
        <v/>
      </c>
      <c r="BR172" s="68" t="str">
        <f>IF('Marks Entry'!AI172="","",'Marks Entry'!AI172)</f>
        <v/>
      </c>
      <c r="BS172" s="514" t="str">
        <f t="shared" si="368"/>
        <v/>
      </c>
      <c r="BT172" s="68" t="str">
        <f>IF('Marks Entry'!AJ172="","",'Marks Entry'!AJ172)</f>
        <v/>
      </c>
      <c r="BU172" s="515" t="str">
        <f t="shared" si="369"/>
        <v/>
      </c>
      <c r="BV172" s="68" t="str">
        <f>IF('Marks Entry'!AK172="","",'Marks Entry'!AK172)</f>
        <v/>
      </c>
      <c r="BW172" s="96" t="str">
        <f t="shared" si="370"/>
        <v/>
      </c>
      <c r="BX172" s="65">
        <f t="shared" si="371"/>
        <v>0</v>
      </c>
      <c r="BY172" s="65">
        <f t="shared" si="372"/>
        <v>0</v>
      </c>
      <c r="BZ172" s="66" t="str">
        <f t="shared" si="373"/>
        <v/>
      </c>
      <c r="CA172" s="65" t="str">
        <f t="shared" si="374"/>
        <v/>
      </c>
      <c r="CB172" s="65" t="str">
        <f t="shared" si="375"/>
        <v/>
      </c>
      <c r="CC172" s="65" t="str">
        <f t="shared" si="376"/>
        <v/>
      </c>
      <c r="CD172" s="66">
        <f t="shared" si="497"/>
        <v>0</v>
      </c>
      <c r="CE172" s="68" t="str">
        <f>IF('Marks Entry'!AL172="","",'Marks Entry'!AL172)</f>
        <v/>
      </c>
      <c r="CF172" s="68" t="str">
        <f>IF('Marks Entry'!AM172="","",'Marks Entry'!AM172)</f>
        <v/>
      </c>
      <c r="CG172" s="68" t="str">
        <f>IF('Marks Entry'!AN172="","",'Marks Entry'!AN172)</f>
        <v/>
      </c>
      <c r="CH172" s="514" t="str">
        <f t="shared" si="378"/>
        <v/>
      </c>
      <c r="CI172" s="68" t="str">
        <f>IF('Marks Entry'!AO172="","",'Marks Entry'!AO172)</f>
        <v/>
      </c>
      <c r="CJ172" s="515" t="str">
        <f t="shared" si="379"/>
        <v/>
      </c>
      <c r="CK172" s="68" t="str">
        <f>IF('Marks Entry'!AP172="","",'Marks Entry'!AP172)</f>
        <v/>
      </c>
      <c r="CL172" s="96" t="str">
        <f t="shared" si="380"/>
        <v/>
      </c>
      <c r="CM172" s="65">
        <f t="shared" si="381"/>
        <v>0</v>
      </c>
      <c r="CN172" s="65">
        <f t="shared" si="382"/>
        <v>0</v>
      </c>
      <c r="CO172" s="66" t="str">
        <f t="shared" si="383"/>
        <v/>
      </c>
      <c r="CP172" s="65" t="str">
        <f t="shared" si="384"/>
        <v/>
      </c>
      <c r="CQ172" s="65" t="str">
        <f t="shared" si="385"/>
        <v/>
      </c>
      <c r="CR172" s="65" t="str">
        <f t="shared" si="386"/>
        <v/>
      </c>
      <c r="CS172" s="616"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8" t="str">
        <f>IF('School Profile'!$D$20="NO","",IF('Marks Entry'!AR172="","",'Marks Entry'!AR172))</f>
        <v/>
      </c>
      <c r="CU172" s="68" t="str">
        <f>IF('School Profile'!$D$20="NO","",IF('Marks Entry'!AS172="","",'Marks Entry'!AS172))</f>
        <v/>
      </c>
      <c r="CV172" s="68" t="str">
        <f>IF('School Profile'!$D$20="NO","",IF('Marks Entry'!AT172="","",'Marks Entry'!AT172))</f>
        <v/>
      </c>
      <c r="CW172" s="514" t="str">
        <f>IF('School Profile'!$D$20="NO","",IF(AND(CT172="",CU172="",CV172=""),"",SUM(CT172:CV172)))</f>
        <v/>
      </c>
      <c r="CX172" s="68" t="str">
        <f>IF('School Profile'!$D$20="NO","",IF('Marks Entry'!AU172="","",'Marks Entry'!AU172))</f>
        <v/>
      </c>
      <c r="CY172" s="68" t="str">
        <f>IF('School Profile'!$D$20="NO","",IF('Marks Entry'!AV172="","",'Marks Entry'!AV172))</f>
        <v/>
      </c>
      <c r="CZ172" s="515" t="str">
        <f>IF('School Profile'!$D$20="NO","",IF(AND(CX172="",CY172=""),"",SUM(CX172,CY172)))</f>
        <v/>
      </c>
      <c r="DA172" s="69" t="str">
        <f>IF('School Profile'!$D$20="NO","",IF(AND(CW172="",CZ172=""),"",SUM(CW172+CZ172)))</f>
        <v/>
      </c>
      <c r="DB172" s="68" t="str">
        <f>IF('School Profile'!$D$20="NO","",IF('Marks Entry'!AW172="","",'Marks Entry'!AW172))</f>
        <v/>
      </c>
      <c r="DC172" s="68" t="str">
        <f>IF('School Profile'!$D$20="NO","",IF('Marks Entry'!AX172="","",'Marks Entry'!AX172))</f>
        <v/>
      </c>
      <c r="DD172" s="515" t="str">
        <f>IF('School Profile'!$D$20="NO","",IF(AND(DB172="",DC172=""),"",SUM(DB172,DC172)))</f>
        <v/>
      </c>
      <c r="DE172" s="96" t="str">
        <f>IF('School Profile'!$D$20="NO","",IF(AND(DA172="",DD172=""),"",SUM(DA172,DD172)))</f>
        <v/>
      </c>
      <c r="DF172" s="532">
        <f t="shared" si="387"/>
        <v>0</v>
      </c>
      <c r="DG172" s="65">
        <f t="shared" si="388"/>
        <v>0</v>
      </c>
      <c r="DH172" s="66" t="str">
        <f t="shared" si="389"/>
        <v/>
      </c>
      <c r="DI172" s="65" t="str">
        <f t="shared" si="390"/>
        <v/>
      </c>
      <c r="DJ172" s="65" t="str">
        <f t="shared" si="391"/>
        <v/>
      </c>
      <c r="DK172" s="65" t="str">
        <f t="shared" si="392"/>
        <v/>
      </c>
      <c r="DL172" s="97" t="str">
        <f t="shared" si="432"/>
        <v/>
      </c>
      <c r="DM172" s="97" t="str">
        <f t="shared" si="433"/>
        <v/>
      </c>
      <c r="DN172" s="97" t="str">
        <f t="shared" si="434"/>
        <v/>
      </c>
      <c r="DO172" s="97" t="str">
        <f t="shared" si="435"/>
        <v/>
      </c>
      <c r="DP172" s="97" t="str">
        <f t="shared" si="436"/>
        <v/>
      </c>
      <c r="DQ172" s="97" t="str">
        <f t="shared" si="437"/>
        <v/>
      </c>
      <c r="DR172" s="97" t="str">
        <f t="shared" si="438"/>
        <v/>
      </c>
      <c r="DS172" s="98">
        <f t="shared" si="439"/>
        <v>0</v>
      </c>
      <c r="DT172" s="98">
        <f t="shared" si="440"/>
        <v>0</v>
      </c>
      <c r="DU172" s="98">
        <f t="shared" si="441"/>
        <v>0</v>
      </c>
      <c r="DV172" s="98">
        <f t="shared" si="442"/>
        <v>0</v>
      </c>
      <c r="DW172" s="98">
        <f t="shared" si="443"/>
        <v>0</v>
      </c>
      <c r="DX172" s="98" t="str">
        <f t="shared" si="444"/>
        <v/>
      </c>
      <c r="DY172" s="99" t="str">
        <f t="shared" si="445"/>
        <v/>
      </c>
      <c r="DZ172" s="74" t="str">
        <f>IF('Marks Entry'!AY172="","",'Marks Entry'!AY172)</f>
        <v/>
      </c>
      <c r="EA172" s="74" t="str">
        <f>IF('Marks Entry'!AZ172="","",'Marks Entry'!AZ172)</f>
        <v/>
      </c>
      <c r="EB172" s="74" t="str">
        <f>IF('Marks Entry'!BA172="","",'Marks Entry'!BA172)</f>
        <v/>
      </c>
      <c r="EC172" s="527" t="str">
        <f t="shared" si="393"/>
        <v/>
      </c>
      <c r="ED172" s="74" t="str">
        <f>IF('Marks Entry'!BB172="","",'Marks Entry'!BB172)</f>
        <v/>
      </c>
      <c r="EE172" s="528" t="str">
        <f t="shared" si="394"/>
        <v/>
      </c>
      <c r="EF172" s="74" t="str">
        <f>IF('Marks Entry'!BC172="","",'Marks Entry'!BC172)</f>
        <v/>
      </c>
      <c r="EG172" s="530" t="str">
        <f t="shared" si="395"/>
        <v/>
      </c>
      <c r="EH172" s="368" t="str">
        <f t="shared" si="446"/>
        <v/>
      </c>
      <c r="EI172" s="65">
        <f t="shared" si="447"/>
        <v>0</v>
      </c>
      <c r="EJ172" s="65">
        <f t="shared" si="448"/>
        <v>0</v>
      </c>
      <c r="EK172" s="66" t="str">
        <f t="shared" si="449"/>
        <v/>
      </c>
      <c r="EL172" s="74" t="str">
        <f>IF('Marks Entry'!BD172="","",'Marks Entry'!BD172)</f>
        <v/>
      </c>
      <c r="EM172" s="74" t="str">
        <f>IF('Marks Entry'!BE172="","",'Marks Entry'!BE172)</f>
        <v/>
      </c>
      <c r="EN172" s="74" t="str">
        <f>IF('Marks Entry'!BF172="","",'Marks Entry'!BF172)</f>
        <v/>
      </c>
      <c r="EO172" s="527" t="str">
        <f t="shared" si="396"/>
        <v/>
      </c>
      <c r="EP172" s="74" t="str">
        <f>IF('Marks Entry'!BG172="","",'Marks Entry'!BG172)</f>
        <v/>
      </c>
      <c r="EQ172" s="74" t="str">
        <f>IF('Marks Entry'!BH172="","",'Marks Entry'!BH172)</f>
        <v/>
      </c>
      <c r="ER172" s="528" t="str">
        <f t="shared" si="397"/>
        <v/>
      </c>
      <c r="ES172" s="529" t="str">
        <f t="shared" si="398"/>
        <v/>
      </c>
      <c r="ET172" s="74" t="str">
        <f>IF('Marks Entry'!BI172="","",'Marks Entry'!BI172)</f>
        <v/>
      </c>
      <c r="EU172" s="74" t="str">
        <f>IF('Marks Entry'!BJ172="","",'Marks Entry'!BJ172)</f>
        <v/>
      </c>
      <c r="EV172" s="528" t="str">
        <f t="shared" si="399"/>
        <v/>
      </c>
      <c r="EW172" s="530" t="str">
        <f t="shared" si="400"/>
        <v/>
      </c>
      <c r="EX172" s="368" t="str">
        <f t="shared" si="450"/>
        <v/>
      </c>
      <c r="EY172" s="65">
        <f t="shared" si="451"/>
        <v>0</v>
      </c>
      <c r="EZ172" s="65">
        <f t="shared" si="452"/>
        <v>0</v>
      </c>
      <c r="FA172" s="66" t="str">
        <f t="shared" si="453"/>
        <v/>
      </c>
      <c r="FB172" s="74" t="str">
        <f>IF('Marks Entry'!BK172="","",'Marks Entry'!BK172)</f>
        <v/>
      </c>
      <c r="FC172" s="74" t="str">
        <f>IF('Marks Entry'!BL172="","",'Marks Entry'!BL172)</f>
        <v/>
      </c>
      <c r="FD172" s="74" t="str">
        <f>IF('Marks Entry'!BM172="","",'Marks Entry'!BM172)</f>
        <v/>
      </c>
      <c r="FE172" s="74" t="str">
        <f>IF('Marks Entry'!BN172="","",'Marks Entry'!BN172)</f>
        <v/>
      </c>
      <c r="FF172" s="74" t="str">
        <f>IF('Marks Entry'!BO172="","",'Marks Entry'!BO172)</f>
        <v/>
      </c>
      <c r="FG172" s="74" t="str">
        <f>IF('Marks Entry'!BP172="","",'Marks Entry'!BP172)</f>
        <v/>
      </c>
      <c r="FH172" s="527" t="str">
        <f t="shared" si="401"/>
        <v/>
      </c>
      <c r="FI172" s="74" t="str">
        <f>IF('Marks Entry'!BQ172="","",'Marks Entry'!BQ172)</f>
        <v/>
      </c>
      <c r="FJ172" s="74" t="str">
        <f>IF('Marks Entry'!BR172="","",'Marks Entry'!BR172)</f>
        <v/>
      </c>
      <c r="FK172" s="528" t="str">
        <f t="shared" si="402"/>
        <v/>
      </c>
      <c r="FL172" s="529" t="str">
        <f t="shared" si="403"/>
        <v/>
      </c>
      <c r="FM172" s="74" t="str">
        <f>IF('Marks Entry'!BS172="","",'Marks Entry'!BS172)</f>
        <v/>
      </c>
      <c r="FN172" s="74" t="str">
        <f>IF('Marks Entry'!BT172="","",'Marks Entry'!BT172)</f>
        <v/>
      </c>
      <c r="FO172" s="528" t="str">
        <f t="shared" si="404"/>
        <v/>
      </c>
      <c r="FP172" s="530" t="str">
        <f t="shared" si="405"/>
        <v/>
      </c>
      <c r="FQ172" s="368" t="str">
        <f t="shared" si="454"/>
        <v/>
      </c>
      <c r="FR172" s="65">
        <f t="shared" si="455"/>
        <v>0</v>
      </c>
      <c r="FS172" s="65">
        <f t="shared" si="456"/>
        <v>0</v>
      </c>
      <c r="FT172" s="66" t="str">
        <f t="shared" si="457"/>
        <v/>
      </c>
      <c r="FU172" s="74" t="str">
        <f>IF('Marks Entry'!BU172="","",'Marks Entry'!BU172)</f>
        <v/>
      </c>
      <c r="FV172" s="74" t="str">
        <f>IF('Marks Entry'!BV172="","",'Marks Entry'!BV172)</f>
        <v/>
      </c>
      <c r="FW172" s="74" t="str">
        <f>IF('Marks Entry'!BW172="","",'Marks Entry'!BW172)</f>
        <v/>
      </c>
      <c r="FX172" s="75" t="str">
        <f t="shared" si="406"/>
        <v/>
      </c>
      <c r="FY172" s="368" t="str">
        <f t="shared" si="458"/>
        <v/>
      </c>
      <c r="FZ172" s="65">
        <f t="shared" si="459"/>
        <v>0</v>
      </c>
      <c r="GA172" s="66">
        <f t="shared" si="460"/>
        <v>0</v>
      </c>
      <c r="GB172" s="66" t="str">
        <f t="shared" si="461"/>
        <v/>
      </c>
      <c r="GC172" s="74" t="str">
        <f>IF('Marks Entry'!BX172="","",'Marks Entry'!BX172)</f>
        <v/>
      </c>
      <c r="GD172" s="74" t="str">
        <f>IF('Marks Entry'!BY172="","",'Marks Entry'!BY172)</f>
        <v/>
      </c>
      <c r="GE172" s="74" t="str">
        <f>IF('Marks Entry'!BZ172="","",'Marks Entry'!BZ172)</f>
        <v/>
      </c>
      <c r="GF172" s="75" t="str">
        <f t="shared" si="462"/>
        <v/>
      </c>
      <c r="GG172" s="368" t="str">
        <f t="shared" si="463"/>
        <v/>
      </c>
      <c r="GH172" s="65">
        <f t="shared" si="464"/>
        <v>0</v>
      </c>
      <c r="GI172" s="66">
        <f t="shared" si="465"/>
        <v>0</v>
      </c>
      <c r="GJ172" s="66" t="str">
        <f t="shared" si="466"/>
        <v/>
      </c>
      <c r="GK172" s="100" t="str">
        <f>IF(AND(F172="",B172=""),"",IF('Student DATA Entry'!M169="","",'Student DATA Entry'!M169))</f>
        <v/>
      </c>
      <c r="GL172" s="101" t="str">
        <f>IF(AND(B172="",F172=""),"",IF('Student DATA Entry'!N169="","",'Student DATA Entry'!N169))</f>
        <v/>
      </c>
      <c r="GM172" s="581" t="str">
        <f t="shared" si="467"/>
        <v/>
      </c>
      <c r="GN172" s="94" t="str">
        <f t="shared" si="468"/>
        <v/>
      </c>
      <c r="GO172" s="94" t="str">
        <f t="shared" si="469"/>
        <v/>
      </c>
      <c r="GP172" s="102" t="str">
        <f t="shared" si="498"/>
        <v/>
      </c>
      <c r="GQ172" s="94" t="str">
        <f t="shared" si="470"/>
        <v/>
      </c>
      <c r="GR172" s="103" t="str">
        <f t="shared" si="471"/>
        <v/>
      </c>
      <c r="GS172" s="102" t="str">
        <f t="shared" si="499"/>
        <v/>
      </c>
      <c r="GT172" s="104" t="str">
        <f t="shared" si="472"/>
        <v/>
      </c>
      <c r="GU172" s="94" t="str">
        <f>IF('Marks Entry'!V172=1,GT172,"")</f>
        <v/>
      </c>
      <c r="GV172" s="94" t="str">
        <f>IF('Marks Entry'!V172=2,GT172,"")</f>
        <v/>
      </c>
      <c r="GW172" s="94" t="str">
        <f>IF('Marks Entry'!V172=3,GT172,"")</f>
        <v/>
      </c>
      <c r="GX172" s="94" t="str">
        <f>IF('Marks Entry'!V172=4,GT172,"")</f>
        <v/>
      </c>
      <c r="GY172" s="94" t="str">
        <f>IF('Marks Entry'!V172=5,GT172,"")</f>
        <v/>
      </c>
      <c r="GZ172" s="94" t="str">
        <f t="shared" si="473"/>
        <v/>
      </c>
      <c r="HA172" s="105" t="str">
        <f t="shared" si="500"/>
        <v/>
      </c>
      <c r="HB172" s="94" t="str">
        <f t="shared" si="474"/>
        <v/>
      </c>
      <c r="HC172" s="94" t="str">
        <f t="shared" si="475"/>
        <v/>
      </c>
      <c r="HD172" s="105" t="str">
        <f t="shared" si="501"/>
        <v/>
      </c>
      <c r="HE172" s="94" t="str">
        <f t="shared" si="476"/>
        <v/>
      </c>
      <c r="HF172" s="94" t="str">
        <f t="shared" si="477"/>
        <v/>
      </c>
      <c r="HG172" s="105" t="str">
        <f t="shared" si="502"/>
        <v/>
      </c>
      <c r="HH172" s="94" t="str">
        <f t="shared" si="478"/>
        <v/>
      </c>
      <c r="HI172" s="94" t="str">
        <f t="shared" si="479"/>
        <v/>
      </c>
      <c r="HJ172" s="105" t="str">
        <f t="shared" si="503"/>
        <v/>
      </c>
      <c r="HK172" s="94" t="str">
        <f t="shared" si="480"/>
        <v/>
      </c>
      <c r="HL172" s="94" t="str">
        <f t="shared" si="481"/>
        <v/>
      </c>
      <c r="HM172" s="105" t="str">
        <f t="shared" si="504"/>
        <v/>
      </c>
      <c r="HN172" s="367" t="str">
        <f t="shared" si="482"/>
        <v xml:space="preserve">      </v>
      </c>
      <c r="HO172" s="418" t="str">
        <f t="shared" si="505"/>
        <v xml:space="preserve">      </v>
      </c>
      <c r="HP172" s="367" t="str">
        <f t="shared" si="483"/>
        <v xml:space="preserve">      </v>
      </c>
      <c r="HQ172" s="107" t="str">
        <f t="shared" si="484"/>
        <v xml:space="preserve">      </v>
      </c>
      <c r="HR172" s="366" t="str">
        <f t="shared" si="485"/>
        <v xml:space="preserve">      </v>
      </c>
      <c r="HS172" s="544" t="str">
        <f t="shared" si="506"/>
        <v/>
      </c>
      <c r="HT172" s="542" t="str">
        <f t="shared" si="486"/>
        <v/>
      </c>
      <c r="HU172" s="541" t="str">
        <f t="shared" si="487"/>
        <v/>
      </c>
      <c r="HV172" s="540" t="str">
        <f t="shared" si="488"/>
        <v/>
      </c>
      <c r="HW172" s="537" t="str">
        <f t="shared" si="489"/>
        <v/>
      </c>
      <c r="HX172" s="539" t="str">
        <f t="shared" si="490"/>
        <v/>
      </c>
      <c r="HY172" s="553" t="str">
        <f>IFERROR(IF(OR(HS172="SUPPLEMENTARY",HS172="RE-EXAM"),'Supp. Result Entry'!AQ170,""),"")</f>
        <v/>
      </c>
      <c r="HZ172" s="538" t="str">
        <f t="shared" si="491"/>
        <v/>
      </c>
      <c r="IA172" s="415" t="str">
        <f t="shared" si="492"/>
        <v/>
      </c>
      <c r="IB172" s="415" t="str">
        <f>IF(AND(HZ172="",IA172=""),"",IF(OR(HS172="SUPPLEMENTARY",HS172="RE-EXAM"),'Supp. Result Entry'!AQ170,HS172))</f>
        <v/>
      </c>
      <c r="IC172" s="87"/>
      <c r="IS172" s="109" t="str">
        <f>IF('Supp. Result Entry'!T170="","",'Supp. Result Entry'!$T$4)</f>
        <v/>
      </c>
      <c r="IT172" s="110" t="str">
        <f>IF('Supp. Result Entry'!W170="","",'Supp. Result Entry'!$W$4)</f>
        <v/>
      </c>
      <c r="IU172" s="110" t="str">
        <f>IF('Supp. Result Entry'!Z170="","",'Supp. Result Entry'!$Z$4)</f>
        <v/>
      </c>
      <c r="IV172" s="110" t="str">
        <f>IF('Supp. Result Entry'!AC170="","",'Supp. Result Entry'!$AC$4)</f>
        <v/>
      </c>
      <c r="IW172" s="110" t="str">
        <f>IF('Supp. Result Entry'!AF170="","",'Supp. Result Entry'!$AF$4)</f>
        <v/>
      </c>
      <c r="IX172" s="110" t="str">
        <f>IF('Supp. Result Entry'!AI170="","",'Supp. Result Entry'!$AI$4)</f>
        <v/>
      </c>
      <c r="IY172" s="110" t="str">
        <f>IF('Supp. Result Entry'!AI170="","",'Supp. Result Entry'!$AL$4)</f>
        <v/>
      </c>
      <c r="IZ172" s="110" t="str">
        <f>IF('Supp. Result Entry'!U170="","",'Supp. Result Entry'!U170)</f>
        <v/>
      </c>
      <c r="JA172" s="110" t="str">
        <f>IF('Supp. Result Entry'!X170="","",'Supp. Result Entry'!X170)</f>
        <v/>
      </c>
      <c r="JB172" s="110" t="str">
        <f>IF('Supp. Result Entry'!AA170="","",'Supp. Result Entry'!AA170)</f>
        <v/>
      </c>
      <c r="JC172" s="110" t="str">
        <f>IF('Supp. Result Entry'!AD170="","",'Supp. Result Entry'!AD170)</f>
        <v/>
      </c>
      <c r="JD172" s="110" t="str">
        <f>IF('Supp. Result Entry'!AG170="","",'Supp. Result Entry'!AG170)</f>
        <v/>
      </c>
      <c r="JE172" s="110" t="str">
        <f>IF('Supp. Result Entry'!AJ170="","",'Supp. Result Entry'!AJ170)</f>
        <v/>
      </c>
      <c r="JF172" s="110" t="str">
        <f>IF('Supp. Result Entry'!AM170="","",'Supp. Result Entry'!AM170)</f>
        <v/>
      </c>
      <c r="JG172" s="110" t="str">
        <f>IF('Supp. Result Entry'!V170="","",'Supp. Result Entry'!V170)</f>
        <v/>
      </c>
      <c r="JH172" s="110" t="str">
        <f>IF('Supp. Result Entry'!Y170="","",'Supp. Result Entry'!Y170)</f>
        <v/>
      </c>
      <c r="JI172" s="110" t="str">
        <f>IF('Supp. Result Entry'!AB170="","",'Supp. Result Entry'!AB170)</f>
        <v/>
      </c>
      <c r="JJ172" s="110" t="str">
        <f>IF('Supp. Result Entry'!AE170="","",'Supp. Result Entry'!AE170)</f>
        <v/>
      </c>
      <c r="JK172" s="110" t="str">
        <f>IF('Supp. Result Entry'!AH170="","",'Supp. Result Entry'!AH170)</f>
        <v/>
      </c>
      <c r="JL172" s="110" t="str">
        <f>IF('Supp. Result Entry'!AK170="","",'Supp. Result Entry'!AK170)</f>
        <v/>
      </c>
      <c r="JM172" s="110" t="str">
        <f>IF('Supp. Result Entry'!AN170="","",'Supp. Result Entry'!AN170)</f>
        <v/>
      </c>
      <c r="JN172" s="110">
        <f>COUNTIF('Supp. Result Entry'!K170:Q170,"S")</f>
        <v>0</v>
      </c>
      <c r="JO172" s="110">
        <f t="shared" si="416"/>
        <v>0</v>
      </c>
      <c r="JP172" s="110">
        <f t="shared" si="493"/>
        <v>0</v>
      </c>
      <c r="JQ172" s="110" t="str">
        <f t="shared" si="417"/>
        <v/>
      </c>
      <c r="JR172" s="110" t="str">
        <f t="shared" si="418"/>
        <v/>
      </c>
      <c r="JS172" s="110" t="str">
        <f t="shared" si="419"/>
        <v/>
      </c>
      <c r="JT172" s="110" t="str">
        <f t="shared" si="420"/>
        <v/>
      </c>
      <c r="JU172" s="110" t="str">
        <f t="shared" si="421"/>
        <v/>
      </c>
      <c r="JV172" s="110" t="str">
        <f t="shared" si="422"/>
        <v/>
      </c>
      <c r="JW172" s="110" t="str">
        <f t="shared" si="423"/>
        <v/>
      </c>
      <c r="JX172" s="110" t="str">
        <f t="shared" si="494"/>
        <v/>
      </c>
      <c r="JY172" s="110" t="str">
        <f t="shared" si="495"/>
        <v/>
      </c>
      <c r="JZ172" s="110" t="str">
        <f t="shared" si="424"/>
        <v/>
      </c>
      <c r="KA172" s="108" t="str">
        <f t="shared" si="496"/>
        <v/>
      </c>
    </row>
    <row r="173" spans="1:287" s="108" customFormat="1" ht="21.95" customHeight="1">
      <c r="A173" s="89">
        <v>167</v>
      </c>
      <c r="B173" s="90" t="str">
        <f>IF('Marks Entry'!B173="","",'Marks Entry'!B173)</f>
        <v/>
      </c>
      <c r="C173" s="94" t="str">
        <f>IF('Marks Entry'!D173="","",'Marks Entry'!D173)</f>
        <v/>
      </c>
      <c r="D173" s="91" t="str">
        <f>IF('Marks Entry'!E173="","",'Marks Entry'!E173)</f>
        <v/>
      </c>
      <c r="E173" s="92" t="str">
        <f>IF('Marks Entry'!F173="","",'Marks Entry'!F173)</f>
        <v/>
      </c>
      <c r="F173" s="93" t="str">
        <f>IF('Marks Entry'!G173="","",'Marks Entry'!G173)</f>
        <v/>
      </c>
      <c r="G173" s="93" t="str">
        <f>IF('Marks Entry'!H173="","",'Marks Entry'!H173)</f>
        <v/>
      </c>
      <c r="H173" s="93" t="str">
        <f>IF('Marks Entry'!I173="","",'Marks Entry'!I173)</f>
        <v/>
      </c>
      <c r="I173" s="94" t="str">
        <f>IF('Marks Entry'!J173="","",'Marks Entry'!J173)</f>
        <v/>
      </c>
      <c r="J173" s="95" t="str">
        <f>IF('Marks Entry'!K173="","",'Marks Entry'!K173)</f>
        <v/>
      </c>
      <c r="K173" s="68" t="str">
        <f>IF('Marks Entry'!L173="","",'Marks Entry'!L173)</f>
        <v/>
      </c>
      <c r="L173" s="68" t="str">
        <f>IF('Marks Entry'!M173="","",'Marks Entry'!M173)</f>
        <v/>
      </c>
      <c r="M173" s="68" t="str">
        <f>IF('Marks Entry'!N173="","",'Marks Entry'!N173)</f>
        <v/>
      </c>
      <c r="N173" s="514" t="str">
        <f t="shared" si="425"/>
        <v/>
      </c>
      <c r="O173" s="68" t="str">
        <f>IF('Marks Entry'!O173="","",'Marks Entry'!O173)</f>
        <v/>
      </c>
      <c r="P173" s="515" t="str">
        <f t="shared" si="426"/>
        <v/>
      </c>
      <c r="Q173" s="68" t="str">
        <f>IF('Marks Entry'!P173="","",'Marks Entry'!P173)</f>
        <v/>
      </c>
      <c r="R173" s="96" t="str">
        <f t="shared" si="427"/>
        <v/>
      </c>
      <c r="S173" s="65">
        <f t="shared" si="428"/>
        <v>0</v>
      </c>
      <c r="T173" s="65">
        <f t="shared" si="429"/>
        <v>0</v>
      </c>
      <c r="U173" s="66" t="str">
        <f t="shared" si="339"/>
        <v/>
      </c>
      <c r="V173" s="65" t="str">
        <f t="shared" si="340"/>
        <v/>
      </c>
      <c r="W173" s="65" t="str">
        <f t="shared" si="430"/>
        <v/>
      </c>
      <c r="X173" s="65" t="str">
        <f t="shared" si="341"/>
        <v/>
      </c>
      <c r="Y173" s="68" t="str">
        <f>IF('Marks Entry'!Q173="","",'Marks Entry'!Q173)</f>
        <v/>
      </c>
      <c r="Z173" s="68" t="str">
        <f>IF('Marks Entry'!R173="","",'Marks Entry'!R173)</f>
        <v/>
      </c>
      <c r="AA173" s="68" t="str">
        <f>IF('Marks Entry'!S173="","",'Marks Entry'!S173)</f>
        <v/>
      </c>
      <c r="AB173" s="514" t="str">
        <f t="shared" si="342"/>
        <v/>
      </c>
      <c r="AC173" s="68" t="str">
        <f>IF('Marks Entry'!T173="","",'Marks Entry'!T173)</f>
        <v/>
      </c>
      <c r="AD173" s="515" t="str">
        <f t="shared" si="343"/>
        <v/>
      </c>
      <c r="AE173" s="68" t="str">
        <f>IF('Marks Entry'!U173="","",'Marks Entry'!U173)</f>
        <v/>
      </c>
      <c r="AF173" s="96" t="str">
        <f t="shared" si="344"/>
        <v/>
      </c>
      <c r="AG173" s="65">
        <f t="shared" si="345"/>
        <v>0</v>
      </c>
      <c r="AH173" s="65">
        <f t="shared" si="346"/>
        <v>0</v>
      </c>
      <c r="AI173" s="66" t="str">
        <f t="shared" si="347"/>
        <v/>
      </c>
      <c r="AJ173" s="65" t="str">
        <f t="shared" si="348"/>
        <v/>
      </c>
      <c r="AK173" s="65" t="str">
        <f t="shared" si="349"/>
        <v/>
      </c>
      <c r="AL173" s="65" t="str">
        <f t="shared" si="350"/>
        <v/>
      </c>
      <c r="AM173" s="524" t="str">
        <f>IF('Marks Entry'!V173="","",IF('Marks Entry'!V173=1,'School Profile'!$I$9,IF('Marks Entry'!V173=2,'School Profile'!$I$10,IF('Marks Entry'!V173=3,'School Profile'!$I$11,IF('Marks Entry'!V173=4,'School Profile'!$I$12,IF('Marks Entry'!V173=5,'School Profile'!$I$13,IF('Marks Entry'!V173=6,'School Profile'!$I$14,"")))))))</f>
        <v/>
      </c>
      <c r="AN173" s="68" t="str">
        <f>IF('Marks Entry'!W173="","",'Marks Entry'!W173)</f>
        <v/>
      </c>
      <c r="AO173" s="68" t="str">
        <f>IF('Marks Entry'!X173="","",'Marks Entry'!X173)</f>
        <v/>
      </c>
      <c r="AP173" s="68" t="str">
        <f>IF('Marks Entry'!Y173="","",'Marks Entry'!Y173)</f>
        <v/>
      </c>
      <c r="AQ173" s="514" t="str">
        <f t="shared" si="351"/>
        <v/>
      </c>
      <c r="AR173" s="68" t="str">
        <f>IF('Marks Entry'!Z173="","",'Marks Entry'!Z173)</f>
        <v/>
      </c>
      <c r="AS173" s="515" t="str">
        <f t="shared" si="352"/>
        <v/>
      </c>
      <c r="AT173" s="68" t="str">
        <f>IF('Marks Entry'!AA173="","",'Marks Entry'!AA173)</f>
        <v/>
      </c>
      <c r="AU173" s="96" t="str">
        <f t="shared" si="353"/>
        <v/>
      </c>
      <c r="AV173" s="65">
        <f t="shared" si="354"/>
        <v>0</v>
      </c>
      <c r="AW173" s="65">
        <f t="shared" si="355"/>
        <v>0</v>
      </c>
      <c r="AX173" s="66" t="str">
        <f t="shared" si="356"/>
        <v/>
      </c>
      <c r="AY173" s="65" t="str">
        <f t="shared" si="357"/>
        <v/>
      </c>
      <c r="AZ173" s="65" t="str">
        <f t="shared" si="358"/>
        <v/>
      </c>
      <c r="BA173" s="65" t="str">
        <f t="shared" si="359"/>
        <v/>
      </c>
      <c r="BB173" s="68" t="str">
        <f>IF('Marks Entry'!AB173="","",'Marks Entry'!AB173)</f>
        <v/>
      </c>
      <c r="BC173" s="68" t="str">
        <f>IF('Marks Entry'!AC173="","",'Marks Entry'!AC173)</f>
        <v/>
      </c>
      <c r="BD173" s="68" t="str">
        <f>IF('Marks Entry'!AD173="","",'Marks Entry'!AD173)</f>
        <v/>
      </c>
      <c r="BE173" s="514" t="str">
        <f t="shared" si="360"/>
        <v/>
      </c>
      <c r="BF173" s="68" t="str">
        <f>IF('Marks Entry'!AE173="","",'Marks Entry'!AE173)</f>
        <v/>
      </c>
      <c r="BG173" s="515" t="str">
        <f t="shared" si="361"/>
        <v/>
      </c>
      <c r="BH173" s="68" t="str">
        <f>IF('Marks Entry'!AF173="","",'Marks Entry'!AF173)</f>
        <v/>
      </c>
      <c r="BI173" s="96" t="str">
        <f t="shared" si="362"/>
        <v/>
      </c>
      <c r="BJ173" s="65">
        <f t="shared" si="363"/>
        <v>0</v>
      </c>
      <c r="BK173" s="65">
        <f t="shared" si="431"/>
        <v>0</v>
      </c>
      <c r="BL173" s="66" t="str">
        <f t="shared" si="364"/>
        <v/>
      </c>
      <c r="BM173" s="65" t="str">
        <f t="shared" si="365"/>
        <v/>
      </c>
      <c r="BN173" s="65" t="str">
        <f t="shared" si="366"/>
        <v/>
      </c>
      <c r="BO173" s="65" t="str">
        <f t="shared" si="367"/>
        <v/>
      </c>
      <c r="BP173" s="68" t="str">
        <f>IF('Marks Entry'!AG173="","",'Marks Entry'!AG173)</f>
        <v/>
      </c>
      <c r="BQ173" s="68" t="str">
        <f>IF('Marks Entry'!AH173="","",'Marks Entry'!AH173)</f>
        <v/>
      </c>
      <c r="BR173" s="68" t="str">
        <f>IF('Marks Entry'!AI173="","",'Marks Entry'!AI173)</f>
        <v/>
      </c>
      <c r="BS173" s="514" t="str">
        <f t="shared" si="368"/>
        <v/>
      </c>
      <c r="BT173" s="68" t="str">
        <f>IF('Marks Entry'!AJ173="","",'Marks Entry'!AJ173)</f>
        <v/>
      </c>
      <c r="BU173" s="515" t="str">
        <f t="shared" si="369"/>
        <v/>
      </c>
      <c r="BV173" s="68" t="str">
        <f>IF('Marks Entry'!AK173="","",'Marks Entry'!AK173)</f>
        <v/>
      </c>
      <c r="BW173" s="96" t="str">
        <f t="shared" si="370"/>
        <v/>
      </c>
      <c r="BX173" s="65">
        <f t="shared" si="371"/>
        <v>0</v>
      </c>
      <c r="BY173" s="65">
        <f t="shared" si="372"/>
        <v>0</v>
      </c>
      <c r="BZ173" s="66" t="str">
        <f t="shared" si="373"/>
        <v/>
      </c>
      <c r="CA173" s="65" t="str">
        <f t="shared" si="374"/>
        <v/>
      </c>
      <c r="CB173" s="65" t="str">
        <f t="shared" si="375"/>
        <v/>
      </c>
      <c r="CC173" s="65" t="str">
        <f t="shared" si="376"/>
        <v/>
      </c>
      <c r="CD173" s="66">
        <f t="shared" si="497"/>
        <v>0</v>
      </c>
      <c r="CE173" s="68" t="str">
        <f>IF('Marks Entry'!AL173="","",'Marks Entry'!AL173)</f>
        <v/>
      </c>
      <c r="CF173" s="68" t="str">
        <f>IF('Marks Entry'!AM173="","",'Marks Entry'!AM173)</f>
        <v/>
      </c>
      <c r="CG173" s="68" t="str">
        <f>IF('Marks Entry'!AN173="","",'Marks Entry'!AN173)</f>
        <v/>
      </c>
      <c r="CH173" s="514" t="str">
        <f t="shared" si="378"/>
        <v/>
      </c>
      <c r="CI173" s="68" t="str">
        <f>IF('Marks Entry'!AO173="","",'Marks Entry'!AO173)</f>
        <v/>
      </c>
      <c r="CJ173" s="515" t="str">
        <f t="shared" si="379"/>
        <v/>
      </c>
      <c r="CK173" s="68" t="str">
        <f>IF('Marks Entry'!AP173="","",'Marks Entry'!AP173)</f>
        <v/>
      </c>
      <c r="CL173" s="96" t="str">
        <f t="shared" si="380"/>
        <v/>
      </c>
      <c r="CM173" s="65">
        <f t="shared" si="381"/>
        <v>0</v>
      </c>
      <c r="CN173" s="65">
        <f t="shared" si="382"/>
        <v>0</v>
      </c>
      <c r="CO173" s="66" t="str">
        <f t="shared" si="383"/>
        <v/>
      </c>
      <c r="CP173" s="65" t="str">
        <f t="shared" si="384"/>
        <v/>
      </c>
      <c r="CQ173" s="65" t="str">
        <f t="shared" si="385"/>
        <v/>
      </c>
      <c r="CR173" s="65" t="str">
        <f t="shared" si="386"/>
        <v/>
      </c>
      <c r="CS173" s="616"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8" t="str">
        <f>IF('School Profile'!$D$20="NO","",IF('Marks Entry'!AR173="","",'Marks Entry'!AR173))</f>
        <v/>
      </c>
      <c r="CU173" s="68" t="str">
        <f>IF('School Profile'!$D$20="NO","",IF('Marks Entry'!AS173="","",'Marks Entry'!AS173))</f>
        <v/>
      </c>
      <c r="CV173" s="68" t="str">
        <f>IF('School Profile'!$D$20="NO","",IF('Marks Entry'!AT173="","",'Marks Entry'!AT173))</f>
        <v/>
      </c>
      <c r="CW173" s="514" t="str">
        <f>IF('School Profile'!$D$20="NO","",IF(AND(CT173="",CU173="",CV173=""),"",SUM(CT173:CV173)))</f>
        <v/>
      </c>
      <c r="CX173" s="68" t="str">
        <f>IF('School Profile'!$D$20="NO","",IF('Marks Entry'!AU173="","",'Marks Entry'!AU173))</f>
        <v/>
      </c>
      <c r="CY173" s="68" t="str">
        <f>IF('School Profile'!$D$20="NO","",IF('Marks Entry'!AV173="","",'Marks Entry'!AV173))</f>
        <v/>
      </c>
      <c r="CZ173" s="515" t="str">
        <f>IF('School Profile'!$D$20="NO","",IF(AND(CX173="",CY173=""),"",SUM(CX173,CY173)))</f>
        <v/>
      </c>
      <c r="DA173" s="69" t="str">
        <f>IF('School Profile'!$D$20="NO","",IF(AND(CW173="",CZ173=""),"",SUM(CW173+CZ173)))</f>
        <v/>
      </c>
      <c r="DB173" s="68" t="str">
        <f>IF('School Profile'!$D$20="NO","",IF('Marks Entry'!AW173="","",'Marks Entry'!AW173))</f>
        <v/>
      </c>
      <c r="DC173" s="68" t="str">
        <f>IF('School Profile'!$D$20="NO","",IF('Marks Entry'!AX173="","",'Marks Entry'!AX173))</f>
        <v/>
      </c>
      <c r="DD173" s="515" t="str">
        <f>IF('School Profile'!$D$20="NO","",IF(AND(DB173="",DC173=""),"",SUM(DB173,DC173)))</f>
        <v/>
      </c>
      <c r="DE173" s="96" t="str">
        <f>IF('School Profile'!$D$20="NO","",IF(AND(DA173="",DD173=""),"",SUM(DA173,DD173)))</f>
        <v/>
      </c>
      <c r="DF173" s="532">
        <f t="shared" si="387"/>
        <v>0</v>
      </c>
      <c r="DG173" s="65">
        <f t="shared" si="388"/>
        <v>0</v>
      </c>
      <c r="DH173" s="66" t="str">
        <f t="shared" si="389"/>
        <v/>
      </c>
      <c r="DI173" s="65" t="str">
        <f t="shared" si="390"/>
        <v/>
      </c>
      <c r="DJ173" s="65" t="str">
        <f t="shared" si="391"/>
        <v/>
      </c>
      <c r="DK173" s="65" t="str">
        <f t="shared" si="392"/>
        <v/>
      </c>
      <c r="DL173" s="97" t="str">
        <f t="shared" si="432"/>
        <v/>
      </c>
      <c r="DM173" s="97" t="str">
        <f t="shared" si="433"/>
        <v/>
      </c>
      <c r="DN173" s="97" t="str">
        <f t="shared" si="434"/>
        <v/>
      </c>
      <c r="DO173" s="97" t="str">
        <f t="shared" si="435"/>
        <v/>
      </c>
      <c r="DP173" s="97" t="str">
        <f t="shared" si="436"/>
        <v/>
      </c>
      <c r="DQ173" s="97" t="str">
        <f t="shared" si="437"/>
        <v/>
      </c>
      <c r="DR173" s="97" t="str">
        <f t="shared" si="438"/>
        <v/>
      </c>
      <c r="DS173" s="98">
        <f t="shared" si="439"/>
        <v>0</v>
      </c>
      <c r="DT173" s="98">
        <f t="shared" si="440"/>
        <v>0</v>
      </c>
      <c r="DU173" s="98">
        <f t="shared" si="441"/>
        <v>0</v>
      </c>
      <c r="DV173" s="98">
        <f t="shared" si="442"/>
        <v>0</v>
      </c>
      <c r="DW173" s="98">
        <f t="shared" si="443"/>
        <v>0</v>
      </c>
      <c r="DX173" s="98" t="str">
        <f t="shared" si="444"/>
        <v/>
      </c>
      <c r="DY173" s="99" t="str">
        <f t="shared" si="445"/>
        <v/>
      </c>
      <c r="DZ173" s="74" t="str">
        <f>IF('Marks Entry'!AY173="","",'Marks Entry'!AY173)</f>
        <v/>
      </c>
      <c r="EA173" s="74" t="str">
        <f>IF('Marks Entry'!AZ173="","",'Marks Entry'!AZ173)</f>
        <v/>
      </c>
      <c r="EB173" s="74" t="str">
        <f>IF('Marks Entry'!BA173="","",'Marks Entry'!BA173)</f>
        <v/>
      </c>
      <c r="EC173" s="527" t="str">
        <f t="shared" si="393"/>
        <v/>
      </c>
      <c r="ED173" s="74" t="str">
        <f>IF('Marks Entry'!BB173="","",'Marks Entry'!BB173)</f>
        <v/>
      </c>
      <c r="EE173" s="528" t="str">
        <f t="shared" si="394"/>
        <v/>
      </c>
      <c r="EF173" s="74" t="str">
        <f>IF('Marks Entry'!BC173="","",'Marks Entry'!BC173)</f>
        <v/>
      </c>
      <c r="EG173" s="530" t="str">
        <f t="shared" si="395"/>
        <v/>
      </c>
      <c r="EH173" s="368" t="str">
        <f t="shared" si="446"/>
        <v/>
      </c>
      <c r="EI173" s="65">
        <f t="shared" si="447"/>
        <v>0</v>
      </c>
      <c r="EJ173" s="65">
        <f t="shared" si="448"/>
        <v>0</v>
      </c>
      <c r="EK173" s="66" t="str">
        <f t="shared" si="449"/>
        <v/>
      </c>
      <c r="EL173" s="74" t="str">
        <f>IF('Marks Entry'!BD173="","",'Marks Entry'!BD173)</f>
        <v/>
      </c>
      <c r="EM173" s="74" t="str">
        <f>IF('Marks Entry'!BE173="","",'Marks Entry'!BE173)</f>
        <v/>
      </c>
      <c r="EN173" s="74" t="str">
        <f>IF('Marks Entry'!BF173="","",'Marks Entry'!BF173)</f>
        <v/>
      </c>
      <c r="EO173" s="527" t="str">
        <f t="shared" si="396"/>
        <v/>
      </c>
      <c r="EP173" s="74" t="str">
        <f>IF('Marks Entry'!BG173="","",'Marks Entry'!BG173)</f>
        <v/>
      </c>
      <c r="EQ173" s="74" t="str">
        <f>IF('Marks Entry'!BH173="","",'Marks Entry'!BH173)</f>
        <v/>
      </c>
      <c r="ER173" s="528" t="str">
        <f t="shared" si="397"/>
        <v/>
      </c>
      <c r="ES173" s="529" t="str">
        <f t="shared" si="398"/>
        <v/>
      </c>
      <c r="ET173" s="74" t="str">
        <f>IF('Marks Entry'!BI173="","",'Marks Entry'!BI173)</f>
        <v/>
      </c>
      <c r="EU173" s="74" t="str">
        <f>IF('Marks Entry'!BJ173="","",'Marks Entry'!BJ173)</f>
        <v/>
      </c>
      <c r="EV173" s="528" t="str">
        <f t="shared" si="399"/>
        <v/>
      </c>
      <c r="EW173" s="530" t="str">
        <f t="shared" si="400"/>
        <v/>
      </c>
      <c r="EX173" s="368" t="str">
        <f t="shared" si="450"/>
        <v/>
      </c>
      <c r="EY173" s="65">
        <f t="shared" si="451"/>
        <v>0</v>
      </c>
      <c r="EZ173" s="65">
        <f t="shared" si="452"/>
        <v>0</v>
      </c>
      <c r="FA173" s="66" t="str">
        <f t="shared" si="453"/>
        <v/>
      </c>
      <c r="FB173" s="74" t="str">
        <f>IF('Marks Entry'!BK173="","",'Marks Entry'!BK173)</f>
        <v/>
      </c>
      <c r="FC173" s="74" t="str">
        <f>IF('Marks Entry'!BL173="","",'Marks Entry'!BL173)</f>
        <v/>
      </c>
      <c r="FD173" s="74" t="str">
        <f>IF('Marks Entry'!BM173="","",'Marks Entry'!BM173)</f>
        <v/>
      </c>
      <c r="FE173" s="74" t="str">
        <f>IF('Marks Entry'!BN173="","",'Marks Entry'!BN173)</f>
        <v/>
      </c>
      <c r="FF173" s="74" t="str">
        <f>IF('Marks Entry'!BO173="","",'Marks Entry'!BO173)</f>
        <v/>
      </c>
      <c r="FG173" s="74" t="str">
        <f>IF('Marks Entry'!BP173="","",'Marks Entry'!BP173)</f>
        <v/>
      </c>
      <c r="FH173" s="527" t="str">
        <f t="shared" si="401"/>
        <v/>
      </c>
      <c r="FI173" s="74" t="str">
        <f>IF('Marks Entry'!BQ173="","",'Marks Entry'!BQ173)</f>
        <v/>
      </c>
      <c r="FJ173" s="74" t="str">
        <f>IF('Marks Entry'!BR173="","",'Marks Entry'!BR173)</f>
        <v/>
      </c>
      <c r="FK173" s="528" t="str">
        <f t="shared" si="402"/>
        <v/>
      </c>
      <c r="FL173" s="529" t="str">
        <f t="shared" si="403"/>
        <v/>
      </c>
      <c r="FM173" s="74" t="str">
        <f>IF('Marks Entry'!BS173="","",'Marks Entry'!BS173)</f>
        <v/>
      </c>
      <c r="FN173" s="74" t="str">
        <f>IF('Marks Entry'!BT173="","",'Marks Entry'!BT173)</f>
        <v/>
      </c>
      <c r="FO173" s="528" t="str">
        <f t="shared" si="404"/>
        <v/>
      </c>
      <c r="FP173" s="530" t="str">
        <f t="shared" si="405"/>
        <v/>
      </c>
      <c r="FQ173" s="368" t="str">
        <f t="shared" si="454"/>
        <v/>
      </c>
      <c r="FR173" s="65">
        <f t="shared" si="455"/>
        <v>0</v>
      </c>
      <c r="FS173" s="65">
        <f t="shared" si="456"/>
        <v>0</v>
      </c>
      <c r="FT173" s="66" t="str">
        <f t="shared" si="457"/>
        <v/>
      </c>
      <c r="FU173" s="74" t="str">
        <f>IF('Marks Entry'!BU173="","",'Marks Entry'!BU173)</f>
        <v/>
      </c>
      <c r="FV173" s="74" t="str">
        <f>IF('Marks Entry'!BV173="","",'Marks Entry'!BV173)</f>
        <v/>
      </c>
      <c r="FW173" s="74" t="str">
        <f>IF('Marks Entry'!BW173="","",'Marks Entry'!BW173)</f>
        <v/>
      </c>
      <c r="FX173" s="75" t="str">
        <f t="shared" si="406"/>
        <v/>
      </c>
      <c r="FY173" s="368" t="str">
        <f t="shared" si="458"/>
        <v/>
      </c>
      <c r="FZ173" s="65">
        <f t="shared" si="459"/>
        <v>0</v>
      </c>
      <c r="GA173" s="66">
        <f t="shared" si="460"/>
        <v>0</v>
      </c>
      <c r="GB173" s="66" t="str">
        <f t="shared" si="461"/>
        <v/>
      </c>
      <c r="GC173" s="74" t="str">
        <f>IF('Marks Entry'!BX173="","",'Marks Entry'!BX173)</f>
        <v/>
      </c>
      <c r="GD173" s="74" t="str">
        <f>IF('Marks Entry'!BY173="","",'Marks Entry'!BY173)</f>
        <v/>
      </c>
      <c r="GE173" s="74" t="str">
        <f>IF('Marks Entry'!BZ173="","",'Marks Entry'!BZ173)</f>
        <v/>
      </c>
      <c r="GF173" s="75" t="str">
        <f t="shared" si="462"/>
        <v/>
      </c>
      <c r="GG173" s="368" t="str">
        <f t="shared" si="463"/>
        <v/>
      </c>
      <c r="GH173" s="65">
        <f t="shared" si="464"/>
        <v>0</v>
      </c>
      <c r="GI173" s="66">
        <f t="shared" si="465"/>
        <v>0</v>
      </c>
      <c r="GJ173" s="66" t="str">
        <f t="shared" si="466"/>
        <v/>
      </c>
      <c r="GK173" s="100" t="str">
        <f>IF(AND(F173="",B173=""),"",IF('Student DATA Entry'!M170="","",'Student DATA Entry'!M170))</f>
        <v/>
      </c>
      <c r="GL173" s="101" t="str">
        <f>IF(AND(B173="",F173=""),"",IF('Student DATA Entry'!N170="","",'Student DATA Entry'!N170))</f>
        <v/>
      </c>
      <c r="GM173" s="581" t="str">
        <f t="shared" si="467"/>
        <v/>
      </c>
      <c r="GN173" s="94" t="str">
        <f t="shared" si="468"/>
        <v/>
      </c>
      <c r="GO173" s="94" t="str">
        <f t="shared" si="469"/>
        <v/>
      </c>
      <c r="GP173" s="102" t="str">
        <f t="shared" si="498"/>
        <v/>
      </c>
      <c r="GQ173" s="94" t="str">
        <f t="shared" si="470"/>
        <v/>
      </c>
      <c r="GR173" s="103" t="str">
        <f t="shared" si="471"/>
        <v/>
      </c>
      <c r="GS173" s="102" t="str">
        <f t="shared" si="499"/>
        <v/>
      </c>
      <c r="GT173" s="104" t="str">
        <f t="shared" si="472"/>
        <v/>
      </c>
      <c r="GU173" s="94" t="str">
        <f>IF('Marks Entry'!V173=1,GT173,"")</f>
        <v/>
      </c>
      <c r="GV173" s="94" t="str">
        <f>IF('Marks Entry'!V173=2,GT173,"")</f>
        <v/>
      </c>
      <c r="GW173" s="94" t="str">
        <f>IF('Marks Entry'!V173=3,GT173,"")</f>
        <v/>
      </c>
      <c r="GX173" s="94" t="str">
        <f>IF('Marks Entry'!V173=4,GT173,"")</f>
        <v/>
      </c>
      <c r="GY173" s="94" t="str">
        <f>IF('Marks Entry'!V173=5,GT173,"")</f>
        <v/>
      </c>
      <c r="GZ173" s="94" t="str">
        <f t="shared" si="473"/>
        <v/>
      </c>
      <c r="HA173" s="105" t="str">
        <f t="shared" si="500"/>
        <v/>
      </c>
      <c r="HB173" s="94" t="str">
        <f t="shared" si="474"/>
        <v/>
      </c>
      <c r="HC173" s="94" t="str">
        <f t="shared" si="475"/>
        <v/>
      </c>
      <c r="HD173" s="105" t="str">
        <f t="shared" si="501"/>
        <v/>
      </c>
      <c r="HE173" s="94" t="str">
        <f t="shared" si="476"/>
        <v/>
      </c>
      <c r="HF173" s="94" t="str">
        <f t="shared" si="477"/>
        <v/>
      </c>
      <c r="HG173" s="105" t="str">
        <f t="shared" si="502"/>
        <v/>
      </c>
      <c r="HH173" s="94" t="str">
        <f t="shared" si="478"/>
        <v/>
      </c>
      <c r="HI173" s="94" t="str">
        <f t="shared" si="479"/>
        <v/>
      </c>
      <c r="HJ173" s="105" t="str">
        <f t="shared" si="503"/>
        <v/>
      </c>
      <c r="HK173" s="94" t="str">
        <f t="shared" si="480"/>
        <v/>
      </c>
      <c r="HL173" s="94" t="str">
        <f t="shared" si="481"/>
        <v/>
      </c>
      <c r="HM173" s="105" t="str">
        <f t="shared" si="504"/>
        <v/>
      </c>
      <c r="HN173" s="367" t="str">
        <f t="shared" si="482"/>
        <v xml:space="preserve">      </v>
      </c>
      <c r="HO173" s="418" t="str">
        <f t="shared" si="505"/>
        <v xml:space="preserve">      </v>
      </c>
      <c r="HP173" s="367" t="str">
        <f t="shared" si="483"/>
        <v xml:space="preserve">      </v>
      </c>
      <c r="HQ173" s="107" t="str">
        <f t="shared" si="484"/>
        <v xml:space="preserve">      </v>
      </c>
      <c r="HR173" s="366" t="str">
        <f t="shared" si="485"/>
        <v xml:space="preserve">      </v>
      </c>
      <c r="HS173" s="544" t="str">
        <f t="shared" si="506"/>
        <v/>
      </c>
      <c r="HT173" s="542" t="str">
        <f t="shared" si="486"/>
        <v/>
      </c>
      <c r="HU173" s="541" t="str">
        <f t="shared" si="487"/>
        <v/>
      </c>
      <c r="HV173" s="540" t="str">
        <f t="shared" si="488"/>
        <v/>
      </c>
      <c r="HW173" s="537" t="str">
        <f t="shared" si="489"/>
        <v/>
      </c>
      <c r="HX173" s="539" t="str">
        <f t="shared" si="490"/>
        <v/>
      </c>
      <c r="HY173" s="553" t="str">
        <f>IFERROR(IF(OR(HS173="SUPPLEMENTARY",HS173="RE-EXAM"),'Supp. Result Entry'!AQ171,""),"")</f>
        <v/>
      </c>
      <c r="HZ173" s="538" t="str">
        <f t="shared" si="491"/>
        <v/>
      </c>
      <c r="IA173" s="415" t="str">
        <f t="shared" si="492"/>
        <v/>
      </c>
      <c r="IB173" s="415" t="str">
        <f>IF(AND(HZ173="",IA173=""),"",IF(OR(HS173="SUPPLEMENTARY",HS173="RE-EXAM"),'Supp. Result Entry'!AQ171,HS173))</f>
        <v/>
      </c>
      <c r="IC173" s="87"/>
      <c r="IS173" s="109" t="str">
        <f>IF('Supp. Result Entry'!T171="","",'Supp. Result Entry'!$T$4)</f>
        <v/>
      </c>
      <c r="IT173" s="110" t="str">
        <f>IF('Supp. Result Entry'!W171="","",'Supp. Result Entry'!$W$4)</f>
        <v/>
      </c>
      <c r="IU173" s="110" t="str">
        <f>IF('Supp. Result Entry'!Z171="","",'Supp. Result Entry'!$Z$4)</f>
        <v/>
      </c>
      <c r="IV173" s="110" t="str">
        <f>IF('Supp. Result Entry'!AC171="","",'Supp. Result Entry'!$AC$4)</f>
        <v/>
      </c>
      <c r="IW173" s="110" t="str">
        <f>IF('Supp. Result Entry'!AF171="","",'Supp. Result Entry'!$AF$4)</f>
        <v/>
      </c>
      <c r="IX173" s="110" t="str">
        <f>IF('Supp. Result Entry'!AI171="","",'Supp. Result Entry'!$AI$4)</f>
        <v/>
      </c>
      <c r="IY173" s="110" t="str">
        <f>IF('Supp. Result Entry'!AI171="","",'Supp. Result Entry'!$AL$4)</f>
        <v/>
      </c>
      <c r="IZ173" s="110" t="str">
        <f>IF('Supp. Result Entry'!U171="","",'Supp. Result Entry'!U171)</f>
        <v/>
      </c>
      <c r="JA173" s="110" t="str">
        <f>IF('Supp. Result Entry'!X171="","",'Supp. Result Entry'!X171)</f>
        <v/>
      </c>
      <c r="JB173" s="110" t="str">
        <f>IF('Supp. Result Entry'!AA171="","",'Supp. Result Entry'!AA171)</f>
        <v/>
      </c>
      <c r="JC173" s="110" t="str">
        <f>IF('Supp. Result Entry'!AD171="","",'Supp. Result Entry'!AD171)</f>
        <v/>
      </c>
      <c r="JD173" s="110" t="str">
        <f>IF('Supp. Result Entry'!AG171="","",'Supp. Result Entry'!AG171)</f>
        <v/>
      </c>
      <c r="JE173" s="110" t="str">
        <f>IF('Supp. Result Entry'!AJ171="","",'Supp. Result Entry'!AJ171)</f>
        <v/>
      </c>
      <c r="JF173" s="110" t="str">
        <f>IF('Supp. Result Entry'!AM171="","",'Supp. Result Entry'!AM171)</f>
        <v/>
      </c>
      <c r="JG173" s="110" t="str">
        <f>IF('Supp. Result Entry'!V171="","",'Supp. Result Entry'!V171)</f>
        <v/>
      </c>
      <c r="JH173" s="110" t="str">
        <f>IF('Supp. Result Entry'!Y171="","",'Supp. Result Entry'!Y171)</f>
        <v/>
      </c>
      <c r="JI173" s="110" t="str">
        <f>IF('Supp. Result Entry'!AB171="","",'Supp. Result Entry'!AB171)</f>
        <v/>
      </c>
      <c r="JJ173" s="110" t="str">
        <f>IF('Supp. Result Entry'!AE171="","",'Supp. Result Entry'!AE171)</f>
        <v/>
      </c>
      <c r="JK173" s="110" t="str">
        <f>IF('Supp. Result Entry'!AH171="","",'Supp. Result Entry'!AH171)</f>
        <v/>
      </c>
      <c r="JL173" s="110" t="str">
        <f>IF('Supp. Result Entry'!AK171="","",'Supp. Result Entry'!AK171)</f>
        <v/>
      </c>
      <c r="JM173" s="110" t="str">
        <f>IF('Supp. Result Entry'!AN171="","",'Supp. Result Entry'!AN171)</f>
        <v/>
      </c>
      <c r="JN173" s="110">
        <f>COUNTIF('Supp. Result Entry'!K171:Q171,"S")</f>
        <v>0</v>
      </c>
      <c r="JO173" s="110">
        <f t="shared" si="416"/>
        <v>0</v>
      </c>
      <c r="JP173" s="110">
        <f t="shared" si="493"/>
        <v>0</v>
      </c>
      <c r="JQ173" s="110" t="str">
        <f t="shared" si="417"/>
        <v/>
      </c>
      <c r="JR173" s="110" t="str">
        <f t="shared" si="418"/>
        <v/>
      </c>
      <c r="JS173" s="110" t="str">
        <f t="shared" si="419"/>
        <v/>
      </c>
      <c r="JT173" s="110" t="str">
        <f t="shared" si="420"/>
        <v/>
      </c>
      <c r="JU173" s="110" t="str">
        <f t="shared" si="421"/>
        <v/>
      </c>
      <c r="JV173" s="110" t="str">
        <f t="shared" si="422"/>
        <v/>
      </c>
      <c r="JW173" s="110" t="str">
        <f t="shared" si="423"/>
        <v/>
      </c>
      <c r="JX173" s="110" t="str">
        <f t="shared" si="494"/>
        <v/>
      </c>
      <c r="JY173" s="110" t="str">
        <f t="shared" si="495"/>
        <v/>
      </c>
      <c r="JZ173" s="110" t="str">
        <f t="shared" si="424"/>
        <v/>
      </c>
      <c r="KA173" s="108" t="str">
        <f t="shared" si="496"/>
        <v/>
      </c>
    </row>
    <row r="174" spans="1:287" s="108" customFormat="1" ht="21.95" customHeight="1">
      <c r="A174" s="89">
        <v>168</v>
      </c>
      <c r="B174" s="90" t="str">
        <f>IF('Marks Entry'!B174="","",'Marks Entry'!B174)</f>
        <v/>
      </c>
      <c r="C174" s="94" t="str">
        <f>IF('Marks Entry'!D174="","",'Marks Entry'!D174)</f>
        <v/>
      </c>
      <c r="D174" s="91" t="str">
        <f>IF('Marks Entry'!E174="","",'Marks Entry'!E174)</f>
        <v/>
      </c>
      <c r="E174" s="92" t="str">
        <f>IF('Marks Entry'!F174="","",'Marks Entry'!F174)</f>
        <v/>
      </c>
      <c r="F174" s="93" t="str">
        <f>IF('Marks Entry'!G174="","",'Marks Entry'!G174)</f>
        <v/>
      </c>
      <c r="G174" s="93" t="str">
        <f>IF('Marks Entry'!H174="","",'Marks Entry'!H174)</f>
        <v/>
      </c>
      <c r="H174" s="93" t="str">
        <f>IF('Marks Entry'!I174="","",'Marks Entry'!I174)</f>
        <v/>
      </c>
      <c r="I174" s="94" t="str">
        <f>IF('Marks Entry'!J174="","",'Marks Entry'!J174)</f>
        <v/>
      </c>
      <c r="J174" s="95" t="str">
        <f>IF('Marks Entry'!K174="","",'Marks Entry'!K174)</f>
        <v/>
      </c>
      <c r="K174" s="68" t="str">
        <f>IF('Marks Entry'!L174="","",'Marks Entry'!L174)</f>
        <v/>
      </c>
      <c r="L174" s="68" t="str">
        <f>IF('Marks Entry'!M174="","",'Marks Entry'!M174)</f>
        <v/>
      </c>
      <c r="M174" s="68" t="str">
        <f>IF('Marks Entry'!N174="","",'Marks Entry'!N174)</f>
        <v/>
      </c>
      <c r="N174" s="514" t="str">
        <f t="shared" si="425"/>
        <v/>
      </c>
      <c r="O174" s="68" t="str">
        <f>IF('Marks Entry'!O174="","",'Marks Entry'!O174)</f>
        <v/>
      </c>
      <c r="P174" s="515" t="str">
        <f t="shared" si="426"/>
        <v/>
      </c>
      <c r="Q174" s="68" t="str">
        <f>IF('Marks Entry'!P174="","",'Marks Entry'!P174)</f>
        <v/>
      </c>
      <c r="R174" s="96" t="str">
        <f t="shared" si="427"/>
        <v/>
      </c>
      <c r="S174" s="65">
        <f t="shared" si="428"/>
        <v>0</v>
      </c>
      <c r="T174" s="65">
        <f t="shared" si="429"/>
        <v>0</v>
      </c>
      <c r="U174" s="66" t="str">
        <f t="shared" si="339"/>
        <v/>
      </c>
      <c r="V174" s="65" t="str">
        <f t="shared" si="340"/>
        <v/>
      </c>
      <c r="W174" s="65" t="str">
        <f t="shared" si="430"/>
        <v/>
      </c>
      <c r="X174" s="65" t="str">
        <f t="shared" si="341"/>
        <v/>
      </c>
      <c r="Y174" s="68" t="str">
        <f>IF('Marks Entry'!Q174="","",'Marks Entry'!Q174)</f>
        <v/>
      </c>
      <c r="Z174" s="68" t="str">
        <f>IF('Marks Entry'!R174="","",'Marks Entry'!R174)</f>
        <v/>
      </c>
      <c r="AA174" s="68" t="str">
        <f>IF('Marks Entry'!S174="","",'Marks Entry'!S174)</f>
        <v/>
      </c>
      <c r="AB174" s="514" t="str">
        <f t="shared" si="342"/>
        <v/>
      </c>
      <c r="AC174" s="68" t="str">
        <f>IF('Marks Entry'!T174="","",'Marks Entry'!T174)</f>
        <v/>
      </c>
      <c r="AD174" s="515" t="str">
        <f t="shared" si="343"/>
        <v/>
      </c>
      <c r="AE174" s="68" t="str">
        <f>IF('Marks Entry'!U174="","",'Marks Entry'!U174)</f>
        <v/>
      </c>
      <c r="AF174" s="96" t="str">
        <f t="shared" si="344"/>
        <v/>
      </c>
      <c r="AG174" s="65">
        <f t="shared" si="345"/>
        <v>0</v>
      </c>
      <c r="AH174" s="65">
        <f t="shared" si="346"/>
        <v>0</v>
      </c>
      <c r="AI174" s="66" t="str">
        <f t="shared" si="347"/>
        <v/>
      </c>
      <c r="AJ174" s="65" t="str">
        <f t="shared" si="348"/>
        <v/>
      </c>
      <c r="AK174" s="65" t="str">
        <f t="shared" si="349"/>
        <v/>
      </c>
      <c r="AL174" s="65" t="str">
        <f t="shared" si="350"/>
        <v/>
      </c>
      <c r="AM174" s="524" t="str">
        <f>IF('Marks Entry'!V174="","",IF('Marks Entry'!V174=1,'School Profile'!$I$9,IF('Marks Entry'!V174=2,'School Profile'!$I$10,IF('Marks Entry'!V174=3,'School Profile'!$I$11,IF('Marks Entry'!V174=4,'School Profile'!$I$12,IF('Marks Entry'!V174=5,'School Profile'!$I$13,IF('Marks Entry'!V174=6,'School Profile'!$I$14,"")))))))</f>
        <v/>
      </c>
      <c r="AN174" s="68" t="str">
        <f>IF('Marks Entry'!W174="","",'Marks Entry'!W174)</f>
        <v/>
      </c>
      <c r="AO174" s="68" t="str">
        <f>IF('Marks Entry'!X174="","",'Marks Entry'!X174)</f>
        <v/>
      </c>
      <c r="AP174" s="68" t="str">
        <f>IF('Marks Entry'!Y174="","",'Marks Entry'!Y174)</f>
        <v/>
      </c>
      <c r="AQ174" s="514" t="str">
        <f t="shared" si="351"/>
        <v/>
      </c>
      <c r="AR174" s="68" t="str">
        <f>IF('Marks Entry'!Z174="","",'Marks Entry'!Z174)</f>
        <v/>
      </c>
      <c r="AS174" s="515" t="str">
        <f t="shared" si="352"/>
        <v/>
      </c>
      <c r="AT174" s="68" t="str">
        <f>IF('Marks Entry'!AA174="","",'Marks Entry'!AA174)</f>
        <v/>
      </c>
      <c r="AU174" s="96" t="str">
        <f t="shared" si="353"/>
        <v/>
      </c>
      <c r="AV174" s="65">
        <f t="shared" si="354"/>
        <v>0</v>
      </c>
      <c r="AW174" s="65">
        <f t="shared" si="355"/>
        <v>0</v>
      </c>
      <c r="AX174" s="66" t="str">
        <f t="shared" si="356"/>
        <v/>
      </c>
      <c r="AY174" s="65" t="str">
        <f t="shared" si="357"/>
        <v/>
      </c>
      <c r="AZ174" s="65" t="str">
        <f t="shared" si="358"/>
        <v/>
      </c>
      <c r="BA174" s="65" t="str">
        <f t="shared" si="359"/>
        <v/>
      </c>
      <c r="BB174" s="68" t="str">
        <f>IF('Marks Entry'!AB174="","",'Marks Entry'!AB174)</f>
        <v/>
      </c>
      <c r="BC174" s="68" t="str">
        <f>IF('Marks Entry'!AC174="","",'Marks Entry'!AC174)</f>
        <v/>
      </c>
      <c r="BD174" s="68" t="str">
        <f>IF('Marks Entry'!AD174="","",'Marks Entry'!AD174)</f>
        <v/>
      </c>
      <c r="BE174" s="514" t="str">
        <f t="shared" si="360"/>
        <v/>
      </c>
      <c r="BF174" s="68" t="str">
        <f>IF('Marks Entry'!AE174="","",'Marks Entry'!AE174)</f>
        <v/>
      </c>
      <c r="BG174" s="515" t="str">
        <f t="shared" si="361"/>
        <v/>
      </c>
      <c r="BH174" s="68" t="str">
        <f>IF('Marks Entry'!AF174="","",'Marks Entry'!AF174)</f>
        <v/>
      </c>
      <c r="BI174" s="96" t="str">
        <f t="shared" si="362"/>
        <v/>
      </c>
      <c r="BJ174" s="65">
        <f t="shared" si="363"/>
        <v>0</v>
      </c>
      <c r="BK174" s="65">
        <f t="shared" si="431"/>
        <v>0</v>
      </c>
      <c r="BL174" s="66" t="str">
        <f t="shared" si="364"/>
        <v/>
      </c>
      <c r="BM174" s="65" t="str">
        <f t="shared" si="365"/>
        <v/>
      </c>
      <c r="BN174" s="65" t="str">
        <f t="shared" si="366"/>
        <v/>
      </c>
      <c r="BO174" s="65" t="str">
        <f t="shared" si="367"/>
        <v/>
      </c>
      <c r="BP174" s="68" t="str">
        <f>IF('Marks Entry'!AG174="","",'Marks Entry'!AG174)</f>
        <v/>
      </c>
      <c r="BQ174" s="68" t="str">
        <f>IF('Marks Entry'!AH174="","",'Marks Entry'!AH174)</f>
        <v/>
      </c>
      <c r="BR174" s="68" t="str">
        <f>IF('Marks Entry'!AI174="","",'Marks Entry'!AI174)</f>
        <v/>
      </c>
      <c r="BS174" s="514" t="str">
        <f t="shared" si="368"/>
        <v/>
      </c>
      <c r="BT174" s="68" t="str">
        <f>IF('Marks Entry'!AJ174="","",'Marks Entry'!AJ174)</f>
        <v/>
      </c>
      <c r="BU174" s="515" t="str">
        <f t="shared" si="369"/>
        <v/>
      </c>
      <c r="BV174" s="68" t="str">
        <f>IF('Marks Entry'!AK174="","",'Marks Entry'!AK174)</f>
        <v/>
      </c>
      <c r="BW174" s="96" t="str">
        <f t="shared" si="370"/>
        <v/>
      </c>
      <c r="BX174" s="65">
        <f t="shared" si="371"/>
        <v>0</v>
      </c>
      <c r="BY174" s="65">
        <f t="shared" si="372"/>
        <v>0</v>
      </c>
      <c r="BZ174" s="66" t="str">
        <f t="shared" si="373"/>
        <v/>
      </c>
      <c r="CA174" s="65" t="str">
        <f t="shared" si="374"/>
        <v/>
      </c>
      <c r="CB174" s="65" t="str">
        <f t="shared" si="375"/>
        <v/>
      </c>
      <c r="CC174" s="65" t="str">
        <f t="shared" si="376"/>
        <v/>
      </c>
      <c r="CD174" s="66">
        <f t="shared" si="497"/>
        <v>0</v>
      </c>
      <c r="CE174" s="68" t="str">
        <f>IF('Marks Entry'!AL174="","",'Marks Entry'!AL174)</f>
        <v/>
      </c>
      <c r="CF174" s="68" t="str">
        <f>IF('Marks Entry'!AM174="","",'Marks Entry'!AM174)</f>
        <v/>
      </c>
      <c r="CG174" s="68" t="str">
        <f>IF('Marks Entry'!AN174="","",'Marks Entry'!AN174)</f>
        <v/>
      </c>
      <c r="CH174" s="514" t="str">
        <f t="shared" si="378"/>
        <v/>
      </c>
      <c r="CI174" s="68" t="str">
        <f>IF('Marks Entry'!AO174="","",'Marks Entry'!AO174)</f>
        <v/>
      </c>
      <c r="CJ174" s="515" t="str">
        <f t="shared" si="379"/>
        <v/>
      </c>
      <c r="CK174" s="68" t="str">
        <f>IF('Marks Entry'!AP174="","",'Marks Entry'!AP174)</f>
        <v/>
      </c>
      <c r="CL174" s="96" t="str">
        <f t="shared" si="380"/>
        <v/>
      </c>
      <c r="CM174" s="65">
        <f t="shared" si="381"/>
        <v>0</v>
      </c>
      <c r="CN174" s="65">
        <f t="shared" si="382"/>
        <v>0</v>
      </c>
      <c r="CO174" s="66" t="str">
        <f t="shared" si="383"/>
        <v/>
      </c>
      <c r="CP174" s="65" t="str">
        <f t="shared" si="384"/>
        <v/>
      </c>
      <c r="CQ174" s="65" t="str">
        <f t="shared" si="385"/>
        <v/>
      </c>
      <c r="CR174" s="65" t="str">
        <f t="shared" si="386"/>
        <v/>
      </c>
      <c r="CS174" s="616"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8" t="str">
        <f>IF('School Profile'!$D$20="NO","",IF('Marks Entry'!AR174="","",'Marks Entry'!AR174))</f>
        <v/>
      </c>
      <c r="CU174" s="68" t="str">
        <f>IF('School Profile'!$D$20="NO","",IF('Marks Entry'!AS174="","",'Marks Entry'!AS174))</f>
        <v/>
      </c>
      <c r="CV174" s="68" t="str">
        <f>IF('School Profile'!$D$20="NO","",IF('Marks Entry'!AT174="","",'Marks Entry'!AT174))</f>
        <v/>
      </c>
      <c r="CW174" s="514" t="str">
        <f>IF('School Profile'!$D$20="NO","",IF(AND(CT174="",CU174="",CV174=""),"",SUM(CT174:CV174)))</f>
        <v/>
      </c>
      <c r="CX174" s="68" t="str">
        <f>IF('School Profile'!$D$20="NO","",IF('Marks Entry'!AU174="","",'Marks Entry'!AU174))</f>
        <v/>
      </c>
      <c r="CY174" s="68" t="str">
        <f>IF('School Profile'!$D$20="NO","",IF('Marks Entry'!AV174="","",'Marks Entry'!AV174))</f>
        <v/>
      </c>
      <c r="CZ174" s="515" t="str">
        <f>IF('School Profile'!$D$20="NO","",IF(AND(CX174="",CY174=""),"",SUM(CX174,CY174)))</f>
        <v/>
      </c>
      <c r="DA174" s="69" t="str">
        <f>IF('School Profile'!$D$20="NO","",IF(AND(CW174="",CZ174=""),"",SUM(CW174+CZ174)))</f>
        <v/>
      </c>
      <c r="DB174" s="68" t="str">
        <f>IF('School Profile'!$D$20="NO","",IF('Marks Entry'!AW174="","",'Marks Entry'!AW174))</f>
        <v/>
      </c>
      <c r="DC174" s="68" t="str">
        <f>IF('School Profile'!$D$20="NO","",IF('Marks Entry'!AX174="","",'Marks Entry'!AX174))</f>
        <v/>
      </c>
      <c r="DD174" s="515" t="str">
        <f>IF('School Profile'!$D$20="NO","",IF(AND(DB174="",DC174=""),"",SUM(DB174,DC174)))</f>
        <v/>
      </c>
      <c r="DE174" s="96" t="str">
        <f>IF('School Profile'!$D$20="NO","",IF(AND(DA174="",DD174=""),"",SUM(DA174,DD174)))</f>
        <v/>
      </c>
      <c r="DF174" s="532">
        <f t="shared" si="387"/>
        <v>0</v>
      </c>
      <c r="DG174" s="65">
        <f t="shared" si="388"/>
        <v>0</v>
      </c>
      <c r="DH174" s="66" t="str">
        <f t="shared" si="389"/>
        <v/>
      </c>
      <c r="DI174" s="65" t="str">
        <f t="shared" si="390"/>
        <v/>
      </c>
      <c r="DJ174" s="65" t="str">
        <f t="shared" si="391"/>
        <v/>
      </c>
      <c r="DK174" s="65" t="str">
        <f t="shared" si="392"/>
        <v/>
      </c>
      <c r="DL174" s="97" t="str">
        <f t="shared" si="432"/>
        <v/>
      </c>
      <c r="DM174" s="97" t="str">
        <f t="shared" si="433"/>
        <v/>
      </c>
      <c r="DN174" s="97" t="str">
        <f t="shared" si="434"/>
        <v/>
      </c>
      <c r="DO174" s="97" t="str">
        <f t="shared" si="435"/>
        <v/>
      </c>
      <c r="DP174" s="97" t="str">
        <f t="shared" si="436"/>
        <v/>
      </c>
      <c r="DQ174" s="97" t="str">
        <f t="shared" si="437"/>
        <v/>
      </c>
      <c r="DR174" s="97" t="str">
        <f t="shared" si="438"/>
        <v/>
      </c>
      <c r="DS174" s="98">
        <f t="shared" si="439"/>
        <v>0</v>
      </c>
      <c r="DT174" s="98">
        <f t="shared" si="440"/>
        <v>0</v>
      </c>
      <c r="DU174" s="98">
        <f t="shared" si="441"/>
        <v>0</v>
      </c>
      <c r="DV174" s="98">
        <f t="shared" si="442"/>
        <v>0</v>
      </c>
      <c r="DW174" s="98">
        <f t="shared" si="443"/>
        <v>0</v>
      </c>
      <c r="DX174" s="98" t="str">
        <f t="shared" si="444"/>
        <v/>
      </c>
      <c r="DY174" s="99" t="str">
        <f t="shared" si="445"/>
        <v/>
      </c>
      <c r="DZ174" s="74" t="str">
        <f>IF('Marks Entry'!AY174="","",'Marks Entry'!AY174)</f>
        <v/>
      </c>
      <c r="EA174" s="74" t="str">
        <f>IF('Marks Entry'!AZ174="","",'Marks Entry'!AZ174)</f>
        <v/>
      </c>
      <c r="EB174" s="74" t="str">
        <f>IF('Marks Entry'!BA174="","",'Marks Entry'!BA174)</f>
        <v/>
      </c>
      <c r="EC174" s="527" t="str">
        <f t="shared" si="393"/>
        <v/>
      </c>
      <c r="ED174" s="74" t="str">
        <f>IF('Marks Entry'!BB174="","",'Marks Entry'!BB174)</f>
        <v/>
      </c>
      <c r="EE174" s="528" t="str">
        <f t="shared" si="394"/>
        <v/>
      </c>
      <c r="EF174" s="74" t="str">
        <f>IF('Marks Entry'!BC174="","",'Marks Entry'!BC174)</f>
        <v/>
      </c>
      <c r="EG174" s="530" t="str">
        <f t="shared" si="395"/>
        <v/>
      </c>
      <c r="EH174" s="368" t="str">
        <f t="shared" si="446"/>
        <v/>
      </c>
      <c r="EI174" s="65">
        <f t="shared" si="447"/>
        <v>0</v>
      </c>
      <c r="EJ174" s="65">
        <f t="shared" si="448"/>
        <v>0</v>
      </c>
      <c r="EK174" s="66" t="str">
        <f t="shared" si="449"/>
        <v/>
      </c>
      <c r="EL174" s="74" t="str">
        <f>IF('Marks Entry'!BD174="","",'Marks Entry'!BD174)</f>
        <v/>
      </c>
      <c r="EM174" s="74" t="str">
        <f>IF('Marks Entry'!BE174="","",'Marks Entry'!BE174)</f>
        <v/>
      </c>
      <c r="EN174" s="74" t="str">
        <f>IF('Marks Entry'!BF174="","",'Marks Entry'!BF174)</f>
        <v/>
      </c>
      <c r="EO174" s="527" t="str">
        <f t="shared" si="396"/>
        <v/>
      </c>
      <c r="EP174" s="74" t="str">
        <f>IF('Marks Entry'!BG174="","",'Marks Entry'!BG174)</f>
        <v/>
      </c>
      <c r="EQ174" s="74" t="str">
        <f>IF('Marks Entry'!BH174="","",'Marks Entry'!BH174)</f>
        <v/>
      </c>
      <c r="ER174" s="528" t="str">
        <f t="shared" si="397"/>
        <v/>
      </c>
      <c r="ES174" s="529" t="str">
        <f t="shared" si="398"/>
        <v/>
      </c>
      <c r="ET174" s="74" t="str">
        <f>IF('Marks Entry'!BI174="","",'Marks Entry'!BI174)</f>
        <v/>
      </c>
      <c r="EU174" s="74" t="str">
        <f>IF('Marks Entry'!BJ174="","",'Marks Entry'!BJ174)</f>
        <v/>
      </c>
      <c r="EV174" s="528" t="str">
        <f t="shared" si="399"/>
        <v/>
      </c>
      <c r="EW174" s="530" t="str">
        <f t="shared" si="400"/>
        <v/>
      </c>
      <c r="EX174" s="368" t="str">
        <f t="shared" si="450"/>
        <v/>
      </c>
      <c r="EY174" s="65">
        <f t="shared" si="451"/>
        <v>0</v>
      </c>
      <c r="EZ174" s="65">
        <f t="shared" si="452"/>
        <v>0</v>
      </c>
      <c r="FA174" s="66" t="str">
        <f t="shared" si="453"/>
        <v/>
      </c>
      <c r="FB174" s="74" t="str">
        <f>IF('Marks Entry'!BK174="","",'Marks Entry'!BK174)</f>
        <v/>
      </c>
      <c r="FC174" s="74" t="str">
        <f>IF('Marks Entry'!BL174="","",'Marks Entry'!BL174)</f>
        <v/>
      </c>
      <c r="FD174" s="74" t="str">
        <f>IF('Marks Entry'!BM174="","",'Marks Entry'!BM174)</f>
        <v/>
      </c>
      <c r="FE174" s="74" t="str">
        <f>IF('Marks Entry'!BN174="","",'Marks Entry'!BN174)</f>
        <v/>
      </c>
      <c r="FF174" s="74" t="str">
        <f>IF('Marks Entry'!BO174="","",'Marks Entry'!BO174)</f>
        <v/>
      </c>
      <c r="FG174" s="74" t="str">
        <f>IF('Marks Entry'!BP174="","",'Marks Entry'!BP174)</f>
        <v/>
      </c>
      <c r="FH174" s="527" t="str">
        <f t="shared" si="401"/>
        <v/>
      </c>
      <c r="FI174" s="74" t="str">
        <f>IF('Marks Entry'!BQ174="","",'Marks Entry'!BQ174)</f>
        <v/>
      </c>
      <c r="FJ174" s="74" t="str">
        <f>IF('Marks Entry'!BR174="","",'Marks Entry'!BR174)</f>
        <v/>
      </c>
      <c r="FK174" s="528" t="str">
        <f t="shared" si="402"/>
        <v/>
      </c>
      <c r="FL174" s="529" t="str">
        <f t="shared" si="403"/>
        <v/>
      </c>
      <c r="FM174" s="74" t="str">
        <f>IF('Marks Entry'!BS174="","",'Marks Entry'!BS174)</f>
        <v/>
      </c>
      <c r="FN174" s="74" t="str">
        <f>IF('Marks Entry'!BT174="","",'Marks Entry'!BT174)</f>
        <v/>
      </c>
      <c r="FO174" s="528" t="str">
        <f t="shared" si="404"/>
        <v/>
      </c>
      <c r="FP174" s="530" t="str">
        <f t="shared" si="405"/>
        <v/>
      </c>
      <c r="FQ174" s="368" t="str">
        <f t="shared" si="454"/>
        <v/>
      </c>
      <c r="FR174" s="65">
        <f t="shared" si="455"/>
        <v>0</v>
      </c>
      <c r="FS174" s="65">
        <f t="shared" si="456"/>
        <v>0</v>
      </c>
      <c r="FT174" s="66" t="str">
        <f t="shared" si="457"/>
        <v/>
      </c>
      <c r="FU174" s="74" t="str">
        <f>IF('Marks Entry'!BU174="","",'Marks Entry'!BU174)</f>
        <v/>
      </c>
      <c r="FV174" s="74" t="str">
        <f>IF('Marks Entry'!BV174="","",'Marks Entry'!BV174)</f>
        <v/>
      </c>
      <c r="FW174" s="74" t="str">
        <f>IF('Marks Entry'!BW174="","",'Marks Entry'!BW174)</f>
        <v/>
      </c>
      <c r="FX174" s="75" t="str">
        <f t="shared" si="406"/>
        <v/>
      </c>
      <c r="FY174" s="368" t="str">
        <f t="shared" si="458"/>
        <v/>
      </c>
      <c r="FZ174" s="65">
        <f t="shared" si="459"/>
        <v>0</v>
      </c>
      <c r="GA174" s="66">
        <f t="shared" si="460"/>
        <v>0</v>
      </c>
      <c r="GB174" s="66" t="str">
        <f t="shared" si="461"/>
        <v/>
      </c>
      <c r="GC174" s="74" t="str">
        <f>IF('Marks Entry'!BX174="","",'Marks Entry'!BX174)</f>
        <v/>
      </c>
      <c r="GD174" s="74" t="str">
        <f>IF('Marks Entry'!BY174="","",'Marks Entry'!BY174)</f>
        <v/>
      </c>
      <c r="GE174" s="74" t="str">
        <f>IF('Marks Entry'!BZ174="","",'Marks Entry'!BZ174)</f>
        <v/>
      </c>
      <c r="GF174" s="75" t="str">
        <f t="shared" si="462"/>
        <v/>
      </c>
      <c r="GG174" s="368" t="str">
        <f t="shared" si="463"/>
        <v/>
      </c>
      <c r="GH174" s="65">
        <f t="shared" si="464"/>
        <v>0</v>
      </c>
      <c r="GI174" s="66">
        <f t="shared" si="465"/>
        <v>0</v>
      </c>
      <c r="GJ174" s="66" t="str">
        <f t="shared" si="466"/>
        <v/>
      </c>
      <c r="GK174" s="100" t="str">
        <f>IF(AND(F174="",B174=""),"",IF('Student DATA Entry'!M171="","",'Student DATA Entry'!M171))</f>
        <v/>
      </c>
      <c r="GL174" s="101" t="str">
        <f>IF(AND(B174="",F174=""),"",IF('Student DATA Entry'!N171="","",'Student DATA Entry'!N171))</f>
        <v/>
      </c>
      <c r="GM174" s="581" t="str">
        <f t="shared" si="467"/>
        <v/>
      </c>
      <c r="GN174" s="94" t="str">
        <f t="shared" si="468"/>
        <v/>
      </c>
      <c r="GO174" s="94" t="str">
        <f t="shared" si="469"/>
        <v/>
      </c>
      <c r="GP174" s="102" t="str">
        <f t="shared" si="498"/>
        <v/>
      </c>
      <c r="GQ174" s="94" t="str">
        <f t="shared" si="470"/>
        <v/>
      </c>
      <c r="GR174" s="103" t="str">
        <f t="shared" si="471"/>
        <v/>
      </c>
      <c r="GS174" s="102" t="str">
        <f t="shared" si="499"/>
        <v/>
      </c>
      <c r="GT174" s="104" t="str">
        <f t="shared" si="472"/>
        <v/>
      </c>
      <c r="GU174" s="94" t="str">
        <f>IF('Marks Entry'!V174=1,GT174,"")</f>
        <v/>
      </c>
      <c r="GV174" s="94" t="str">
        <f>IF('Marks Entry'!V174=2,GT174,"")</f>
        <v/>
      </c>
      <c r="GW174" s="94" t="str">
        <f>IF('Marks Entry'!V174=3,GT174,"")</f>
        <v/>
      </c>
      <c r="GX174" s="94" t="str">
        <f>IF('Marks Entry'!V174=4,GT174,"")</f>
        <v/>
      </c>
      <c r="GY174" s="94" t="str">
        <f>IF('Marks Entry'!V174=5,GT174,"")</f>
        <v/>
      </c>
      <c r="GZ174" s="94" t="str">
        <f t="shared" si="473"/>
        <v/>
      </c>
      <c r="HA174" s="105" t="str">
        <f t="shared" si="500"/>
        <v/>
      </c>
      <c r="HB174" s="94" t="str">
        <f t="shared" si="474"/>
        <v/>
      </c>
      <c r="HC174" s="94" t="str">
        <f t="shared" si="475"/>
        <v/>
      </c>
      <c r="HD174" s="105" t="str">
        <f t="shared" si="501"/>
        <v/>
      </c>
      <c r="HE174" s="94" t="str">
        <f t="shared" si="476"/>
        <v/>
      </c>
      <c r="HF174" s="94" t="str">
        <f t="shared" si="477"/>
        <v/>
      </c>
      <c r="HG174" s="105" t="str">
        <f t="shared" si="502"/>
        <v/>
      </c>
      <c r="HH174" s="94" t="str">
        <f t="shared" si="478"/>
        <v/>
      </c>
      <c r="HI174" s="94" t="str">
        <f t="shared" si="479"/>
        <v/>
      </c>
      <c r="HJ174" s="105" t="str">
        <f t="shared" si="503"/>
        <v/>
      </c>
      <c r="HK174" s="94" t="str">
        <f t="shared" si="480"/>
        <v/>
      </c>
      <c r="HL174" s="94" t="str">
        <f t="shared" si="481"/>
        <v/>
      </c>
      <c r="HM174" s="105" t="str">
        <f t="shared" si="504"/>
        <v/>
      </c>
      <c r="HN174" s="367" t="str">
        <f t="shared" si="482"/>
        <v xml:space="preserve">      </v>
      </c>
      <c r="HO174" s="418" t="str">
        <f t="shared" si="505"/>
        <v xml:space="preserve">      </v>
      </c>
      <c r="HP174" s="367" t="str">
        <f t="shared" si="483"/>
        <v xml:space="preserve">      </v>
      </c>
      <c r="HQ174" s="107" t="str">
        <f t="shared" si="484"/>
        <v xml:space="preserve">      </v>
      </c>
      <c r="HR174" s="366" t="str">
        <f t="shared" si="485"/>
        <v xml:space="preserve">      </v>
      </c>
      <c r="HS174" s="544" t="str">
        <f t="shared" si="506"/>
        <v/>
      </c>
      <c r="HT174" s="542" t="str">
        <f t="shared" si="486"/>
        <v/>
      </c>
      <c r="HU174" s="541" t="str">
        <f t="shared" si="487"/>
        <v/>
      </c>
      <c r="HV174" s="540" t="str">
        <f t="shared" si="488"/>
        <v/>
      </c>
      <c r="HW174" s="537" t="str">
        <f t="shared" si="489"/>
        <v/>
      </c>
      <c r="HX174" s="539" t="str">
        <f t="shared" si="490"/>
        <v/>
      </c>
      <c r="HY174" s="553" t="str">
        <f>IFERROR(IF(OR(HS174="SUPPLEMENTARY",HS174="RE-EXAM"),'Supp. Result Entry'!AQ172,""),"")</f>
        <v/>
      </c>
      <c r="HZ174" s="538" t="str">
        <f t="shared" si="491"/>
        <v/>
      </c>
      <c r="IA174" s="415" t="str">
        <f t="shared" si="492"/>
        <v/>
      </c>
      <c r="IB174" s="415" t="str">
        <f>IF(AND(HZ174="",IA174=""),"",IF(OR(HS174="SUPPLEMENTARY",HS174="RE-EXAM"),'Supp. Result Entry'!AQ172,HS174))</f>
        <v/>
      </c>
      <c r="IC174" s="87"/>
      <c r="IS174" s="109" t="str">
        <f>IF('Supp. Result Entry'!T172="","",'Supp. Result Entry'!$T$4)</f>
        <v/>
      </c>
      <c r="IT174" s="110" t="str">
        <f>IF('Supp. Result Entry'!W172="","",'Supp. Result Entry'!$W$4)</f>
        <v/>
      </c>
      <c r="IU174" s="110" t="str">
        <f>IF('Supp. Result Entry'!Z172="","",'Supp. Result Entry'!$Z$4)</f>
        <v/>
      </c>
      <c r="IV174" s="110" t="str">
        <f>IF('Supp. Result Entry'!AC172="","",'Supp. Result Entry'!$AC$4)</f>
        <v/>
      </c>
      <c r="IW174" s="110" t="str">
        <f>IF('Supp. Result Entry'!AF172="","",'Supp. Result Entry'!$AF$4)</f>
        <v/>
      </c>
      <c r="IX174" s="110" t="str">
        <f>IF('Supp. Result Entry'!AI172="","",'Supp. Result Entry'!$AI$4)</f>
        <v/>
      </c>
      <c r="IY174" s="110" t="str">
        <f>IF('Supp. Result Entry'!AI172="","",'Supp. Result Entry'!$AL$4)</f>
        <v/>
      </c>
      <c r="IZ174" s="110" t="str">
        <f>IF('Supp. Result Entry'!U172="","",'Supp. Result Entry'!U172)</f>
        <v/>
      </c>
      <c r="JA174" s="110" t="str">
        <f>IF('Supp. Result Entry'!X172="","",'Supp. Result Entry'!X172)</f>
        <v/>
      </c>
      <c r="JB174" s="110" t="str">
        <f>IF('Supp. Result Entry'!AA172="","",'Supp. Result Entry'!AA172)</f>
        <v/>
      </c>
      <c r="JC174" s="110" t="str">
        <f>IF('Supp. Result Entry'!AD172="","",'Supp. Result Entry'!AD172)</f>
        <v/>
      </c>
      <c r="JD174" s="110" t="str">
        <f>IF('Supp. Result Entry'!AG172="","",'Supp. Result Entry'!AG172)</f>
        <v/>
      </c>
      <c r="JE174" s="110" t="str">
        <f>IF('Supp. Result Entry'!AJ172="","",'Supp. Result Entry'!AJ172)</f>
        <v/>
      </c>
      <c r="JF174" s="110" t="str">
        <f>IF('Supp. Result Entry'!AM172="","",'Supp. Result Entry'!AM172)</f>
        <v/>
      </c>
      <c r="JG174" s="110" t="str">
        <f>IF('Supp. Result Entry'!V172="","",'Supp. Result Entry'!V172)</f>
        <v/>
      </c>
      <c r="JH174" s="110" t="str">
        <f>IF('Supp. Result Entry'!Y172="","",'Supp. Result Entry'!Y172)</f>
        <v/>
      </c>
      <c r="JI174" s="110" t="str">
        <f>IF('Supp. Result Entry'!AB172="","",'Supp. Result Entry'!AB172)</f>
        <v/>
      </c>
      <c r="JJ174" s="110" t="str">
        <f>IF('Supp. Result Entry'!AE172="","",'Supp. Result Entry'!AE172)</f>
        <v/>
      </c>
      <c r="JK174" s="110" t="str">
        <f>IF('Supp. Result Entry'!AH172="","",'Supp. Result Entry'!AH172)</f>
        <v/>
      </c>
      <c r="JL174" s="110" t="str">
        <f>IF('Supp. Result Entry'!AK172="","",'Supp. Result Entry'!AK172)</f>
        <v/>
      </c>
      <c r="JM174" s="110" t="str">
        <f>IF('Supp. Result Entry'!AN172="","",'Supp. Result Entry'!AN172)</f>
        <v/>
      </c>
      <c r="JN174" s="110">
        <f>COUNTIF('Supp. Result Entry'!K172:Q172,"S")</f>
        <v>0</v>
      </c>
      <c r="JO174" s="110">
        <f t="shared" si="416"/>
        <v>0</v>
      </c>
      <c r="JP174" s="110">
        <f t="shared" si="493"/>
        <v>0</v>
      </c>
      <c r="JQ174" s="110" t="str">
        <f t="shared" si="417"/>
        <v/>
      </c>
      <c r="JR174" s="110" t="str">
        <f t="shared" si="418"/>
        <v/>
      </c>
      <c r="JS174" s="110" t="str">
        <f t="shared" si="419"/>
        <v/>
      </c>
      <c r="JT174" s="110" t="str">
        <f t="shared" si="420"/>
        <v/>
      </c>
      <c r="JU174" s="110" t="str">
        <f t="shared" si="421"/>
        <v/>
      </c>
      <c r="JV174" s="110" t="str">
        <f t="shared" si="422"/>
        <v/>
      </c>
      <c r="JW174" s="110" t="str">
        <f t="shared" si="423"/>
        <v/>
      </c>
      <c r="JX174" s="110" t="str">
        <f t="shared" si="494"/>
        <v/>
      </c>
      <c r="JY174" s="110" t="str">
        <f t="shared" si="495"/>
        <v/>
      </c>
      <c r="JZ174" s="110" t="str">
        <f t="shared" si="424"/>
        <v/>
      </c>
      <c r="KA174" s="108" t="str">
        <f t="shared" si="496"/>
        <v/>
      </c>
    </row>
    <row r="175" spans="1:287" s="108" customFormat="1" ht="21.95" customHeight="1">
      <c r="A175" s="89">
        <v>169</v>
      </c>
      <c r="B175" s="90" t="str">
        <f>IF('Marks Entry'!B175="","",'Marks Entry'!B175)</f>
        <v/>
      </c>
      <c r="C175" s="94" t="str">
        <f>IF('Marks Entry'!D175="","",'Marks Entry'!D175)</f>
        <v/>
      </c>
      <c r="D175" s="91" t="str">
        <f>IF('Marks Entry'!E175="","",'Marks Entry'!E175)</f>
        <v/>
      </c>
      <c r="E175" s="92" t="str">
        <f>IF('Marks Entry'!F175="","",'Marks Entry'!F175)</f>
        <v/>
      </c>
      <c r="F175" s="93" t="str">
        <f>IF('Marks Entry'!G175="","",'Marks Entry'!G175)</f>
        <v/>
      </c>
      <c r="G175" s="93" t="str">
        <f>IF('Marks Entry'!H175="","",'Marks Entry'!H175)</f>
        <v/>
      </c>
      <c r="H175" s="93" t="str">
        <f>IF('Marks Entry'!I175="","",'Marks Entry'!I175)</f>
        <v/>
      </c>
      <c r="I175" s="94" t="str">
        <f>IF('Marks Entry'!J175="","",'Marks Entry'!J175)</f>
        <v/>
      </c>
      <c r="J175" s="95" t="str">
        <f>IF('Marks Entry'!K175="","",'Marks Entry'!K175)</f>
        <v/>
      </c>
      <c r="K175" s="68" t="str">
        <f>IF('Marks Entry'!L175="","",'Marks Entry'!L175)</f>
        <v/>
      </c>
      <c r="L175" s="68" t="str">
        <f>IF('Marks Entry'!M175="","",'Marks Entry'!M175)</f>
        <v/>
      </c>
      <c r="M175" s="68" t="str">
        <f>IF('Marks Entry'!N175="","",'Marks Entry'!N175)</f>
        <v/>
      </c>
      <c r="N175" s="514" t="str">
        <f t="shared" si="425"/>
        <v/>
      </c>
      <c r="O175" s="68" t="str">
        <f>IF('Marks Entry'!O175="","",'Marks Entry'!O175)</f>
        <v/>
      </c>
      <c r="P175" s="515" t="str">
        <f t="shared" si="426"/>
        <v/>
      </c>
      <c r="Q175" s="68" t="str">
        <f>IF('Marks Entry'!P175="","",'Marks Entry'!P175)</f>
        <v/>
      </c>
      <c r="R175" s="96" t="str">
        <f t="shared" si="427"/>
        <v/>
      </c>
      <c r="S175" s="65">
        <f t="shared" si="428"/>
        <v>0</v>
      </c>
      <c r="T175" s="65">
        <f t="shared" si="429"/>
        <v>0</v>
      </c>
      <c r="U175" s="66" t="str">
        <f t="shared" si="339"/>
        <v/>
      </c>
      <c r="V175" s="65" t="str">
        <f t="shared" si="340"/>
        <v/>
      </c>
      <c r="W175" s="65" t="str">
        <f t="shared" si="430"/>
        <v/>
      </c>
      <c r="X175" s="65" t="str">
        <f t="shared" si="341"/>
        <v/>
      </c>
      <c r="Y175" s="68" t="str">
        <f>IF('Marks Entry'!Q175="","",'Marks Entry'!Q175)</f>
        <v/>
      </c>
      <c r="Z175" s="68" t="str">
        <f>IF('Marks Entry'!R175="","",'Marks Entry'!R175)</f>
        <v/>
      </c>
      <c r="AA175" s="68" t="str">
        <f>IF('Marks Entry'!S175="","",'Marks Entry'!S175)</f>
        <v/>
      </c>
      <c r="AB175" s="514" t="str">
        <f t="shared" si="342"/>
        <v/>
      </c>
      <c r="AC175" s="68" t="str">
        <f>IF('Marks Entry'!T175="","",'Marks Entry'!T175)</f>
        <v/>
      </c>
      <c r="AD175" s="515" t="str">
        <f t="shared" si="343"/>
        <v/>
      </c>
      <c r="AE175" s="68" t="str">
        <f>IF('Marks Entry'!U175="","",'Marks Entry'!U175)</f>
        <v/>
      </c>
      <c r="AF175" s="96" t="str">
        <f t="shared" si="344"/>
        <v/>
      </c>
      <c r="AG175" s="65">
        <f t="shared" si="345"/>
        <v>0</v>
      </c>
      <c r="AH175" s="65">
        <f t="shared" si="346"/>
        <v>0</v>
      </c>
      <c r="AI175" s="66" t="str">
        <f t="shared" si="347"/>
        <v/>
      </c>
      <c r="AJ175" s="65" t="str">
        <f t="shared" si="348"/>
        <v/>
      </c>
      <c r="AK175" s="65" t="str">
        <f t="shared" si="349"/>
        <v/>
      </c>
      <c r="AL175" s="65" t="str">
        <f t="shared" si="350"/>
        <v/>
      </c>
      <c r="AM175" s="524" t="str">
        <f>IF('Marks Entry'!V175="","",IF('Marks Entry'!V175=1,'School Profile'!$I$9,IF('Marks Entry'!V175=2,'School Profile'!$I$10,IF('Marks Entry'!V175=3,'School Profile'!$I$11,IF('Marks Entry'!V175=4,'School Profile'!$I$12,IF('Marks Entry'!V175=5,'School Profile'!$I$13,IF('Marks Entry'!V175=6,'School Profile'!$I$14,"")))))))</f>
        <v/>
      </c>
      <c r="AN175" s="68" t="str">
        <f>IF('Marks Entry'!W175="","",'Marks Entry'!W175)</f>
        <v/>
      </c>
      <c r="AO175" s="68" t="str">
        <f>IF('Marks Entry'!X175="","",'Marks Entry'!X175)</f>
        <v/>
      </c>
      <c r="AP175" s="68" t="str">
        <f>IF('Marks Entry'!Y175="","",'Marks Entry'!Y175)</f>
        <v/>
      </c>
      <c r="AQ175" s="514" t="str">
        <f t="shared" si="351"/>
        <v/>
      </c>
      <c r="AR175" s="68" t="str">
        <f>IF('Marks Entry'!Z175="","",'Marks Entry'!Z175)</f>
        <v/>
      </c>
      <c r="AS175" s="515" t="str">
        <f t="shared" si="352"/>
        <v/>
      </c>
      <c r="AT175" s="68" t="str">
        <f>IF('Marks Entry'!AA175="","",'Marks Entry'!AA175)</f>
        <v/>
      </c>
      <c r="AU175" s="96" t="str">
        <f t="shared" si="353"/>
        <v/>
      </c>
      <c r="AV175" s="65">
        <f t="shared" si="354"/>
        <v>0</v>
      </c>
      <c r="AW175" s="65">
        <f t="shared" si="355"/>
        <v>0</v>
      </c>
      <c r="AX175" s="66" t="str">
        <f t="shared" si="356"/>
        <v/>
      </c>
      <c r="AY175" s="65" t="str">
        <f t="shared" si="357"/>
        <v/>
      </c>
      <c r="AZ175" s="65" t="str">
        <f t="shared" si="358"/>
        <v/>
      </c>
      <c r="BA175" s="65" t="str">
        <f t="shared" si="359"/>
        <v/>
      </c>
      <c r="BB175" s="68" t="str">
        <f>IF('Marks Entry'!AB175="","",'Marks Entry'!AB175)</f>
        <v/>
      </c>
      <c r="BC175" s="68" t="str">
        <f>IF('Marks Entry'!AC175="","",'Marks Entry'!AC175)</f>
        <v/>
      </c>
      <c r="BD175" s="68" t="str">
        <f>IF('Marks Entry'!AD175="","",'Marks Entry'!AD175)</f>
        <v/>
      </c>
      <c r="BE175" s="514" t="str">
        <f t="shared" si="360"/>
        <v/>
      </c>
      <c r="BF175" s="68" t="str">
        <f>IF('Marks Entry'!AE175="","",'Marks Entry'!AE175)</f>
        <v/>
      </c>
      <c r="BG175" s="515" t="str">
        <f t="shared" si="361"/>
        <v/>
      </c>
      <c r="BH175" s="68" t="str">
        <f>IF('Marks Entry'!AF175="","",'Marks Entry'!AF175)</f>
        <v/>
      </c>
      <c r="BI175" s="96" t="str">
        <f t="shared" si="362"/>
        <v/>
      </c>
      <c r="BJ175" s="65">
        <f t="shared" si="363"/>
        <v>0</v>
      </c>
      <c r="BK175" s="65">
        <f t="shared" si="431"/>
        <v>0</v>
      </c>
      <c r="BL175" s="66" t="str">
        <f t="shared" si="364"/>
        <v/>
      </c>
      <c r="BM175" s="65" t="str">
        <f t="shared" si="365"/>
        <v/>
      </c>
      <c r="BN175" s="65" t="str">
        <f t="shared" si="366"/>
        <v/>
      </c>
      <c r="BO175" s="65" t="str">
        <f t="shared" si="367"/>
        <v/>
      </c>
      <c r="BP175" s="68" t="str">
        <f>IF('Marks Entry'!AG175="","",'Marks Entry'!AG175)</f>
        <v/>
      </c>
      <c r="BQ175" s="68" t="str">
        <f>IF('Marks Entry'!AH175="","",'Marks Entry'!AH175)</f>
        <v/>
      </c>
      <c r="BR175" s="68" t="str">
        <f>IF('Marks Entry'!AI175="","",'Marks Entry'!AI175)</f>
        <v/>
      </c>
      <c r="BS175" s="514" t="str">
        <f t="shared" si="368"/>
        <v/>
      </c>
      <c r="BT175" s="68" t="str">
        <f>IF('Marks Entry'!AJ175="","",'Marks Entry'!AJ175)</f>
        <v/>
      </c>
      <c r="BU175" s="515" t="str">
        <f t="shared" si="369"/>
        <v/>
      </c>
      <c r="BV175" s="68" t="str">
        <f>IF('Marks Entry'!AK175="","",'Marks Entry'!AK175)</f>
        <v/>
      </c>
      <c r="BW175" s="96" t="str">
        <f t="shared" si="370"/>
        <v/>
      </c>
      <c r="BX175" s="65">
        <f t="shared" si="371"/>
        <v>0</v>
      </c>
      <c r="BY175" s="65">
        <f t="shared" si="372"/>
        <v>0</v>
      </c>
      <c r="BZ175" s="66" t="str">
        <f t="shared" si="373"/>
        <v/>
      </c>
      <c r="CA175" s="65" t="str">
        <f t="shared" si="374"/>
        <v/>
      </c>
      <c r="CB175" s="65" t="str">
        <f t="shared" si="375"/>
        <v/>
      </c>
      <c r="CC175" s="65" t="str">
        <f t="shared" si="376"/>
        <v/>
      </c>
      <c r="CD175" s="66">
        <f t="shared" si="497"/>
        <v>0</v>
      </c>
      <c r="CE175" s="68" t="str">
        <f>IF('Marks Entry'!AL175="","",'Marks Entry'!AL175)</f>
        <v/>
      </c>
      <c r="CF175" s="68" t="str">
        <f>IF('Marks Entry'!AM175="","",'Marks Entry'!AM175)</f>
        <v/>
      </c>
      <c r="CG175" s="68" t="str">
        <f>IF('Marks Entry'!AN175="","",'Marks Entry'!AN175)</f>
        <v/>
      </c>
      <c r="CH175" s="514" t="str">
        <f t="shared" si="378"/>
        <v/>
      </c>
      <c r="CI175" s="68" t="str">
        <f>IF('Marks Entry'!AO175="","",'Marks Entry'!AO175)</f>
        <v/>
      </c>
      <c r="CJ175" s="515" t="str">
        <f t="shared" si="379"/>
        <v/>
      </c>
      <c r="CK175" s="68" t="str">
        <f>IF('Marks Entry'!AP175="","",'Marks Entry'!AP175)</f>
        <v/>
      </c>
      <c r="CL175" s="96" t="str">
        <f t="shared" si="380"/>
        <v/>
      </c>
      <c r="CM175" s="65">
        <f t="shared" si="381"/>
        <v>0</v>
      </c>
      <c r="CN175" s="65">
        <f t="shared" si="382"/>
        <v>0</v>
      </c>
      <c r="CO175" s="66" t="str">
        <f t="shared" si="383"/>
        <v/>
      </c>
      <c r="CP175" s="65" t="str">
        <f t="shared" si="384"/>
        <v/>
      </c>
      <c r="CQ175" s="65" t="str">
        <f t="shared" si="385"/>
        <v/>
      </c>
      <c r="CR175" s="65" t="str">
        <f t="shared" si="386"/>
        <v/>
      </c>
      <c r="CS175" s="616"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8" t="str">
        <f>IF('School Profile'!$D$20="NO","",IF('Marks Entry'!AR175="","",'Marks Entry'!AR175))</f>
        <v/>
      </c>
      <c r="CU175" s="68" t="str">
        <f>IF('School Profile'!$D$20="NO","",IF('Marks Entry'!AS175="","",'Marks Entry'!AS175))</f>
        <v/>
      </c>
      <c r="CV175" s="68" t="str">
        <f>IF('School Profile'!$D$20="NO","",IF('Marks Entry'!AT175="","",'Marks Entry'!AT175))</f>
        <v/>
      </c>
      <c r="CW175" s="514" t="str">
        <f>IF('School Profile'!$D$20="NO","",IF(AND(CT175="",CU175="",CV175=""),"",SUM(CT175:CV175)))</f>
        <v/>
      </c>
      <c r="CX175" s="68" t="str">
        <f>IF('School Profile'!$D$20="NO","",IF('Marks Entry'!AU175="","",'Marks Entry'!AU175))</f>
        <v/>
      </c>
      <c r="CY175" s="68" t="str">
        <f>IF('School Profile'!$D$20="NO","",IF('Marks Entry'!AV175="","",'Marks Entry'!AV175))</f>
        <v/>
      </c>
      <c r="CZ175" s="515" t="str">
        <f>IF('School Profile'!$D$20="NO","",IF(AND(CX175="",CY175=""),"",SUM(CX175,CY175)))</f>
        <v/>
      </c>
      <c r="DA175" s="69" t="str">
        <f>IF('School Profile'!$D$20="NO","",IF(AND(CW175="",CZ175=""),"",SUM(CW175+CZ175)))</f>
        <v/>
      </c>
      <c r="DB175" s="68" t="str">
        <f>IF('School Profile'!$D$20="NO","",IF('Marks Entry'!AW175="","",'Marks Entry'!AW175))</f>
        <v/>
      </c>
      <c r="DC175" s="68" t="str">
        <f>IF('School Profile'!$D$20="NO","",IF('Marks Entry'!AX175="","",'Marks Entry'!AX175))</f>
        <v/>
      </c>
      <c r="DD175" s="515" t="str">
        <f>IF('School Profile'!$D$20="NO","",IF(AND(DB175="",DC175=""),"",SUM(DB175,DC175)))</f>
        <v/>
      </c>
      <c r="DE175" s="96" t="str">
        <f>IF('School Profile'!$D$20="NO","",IF(AND(DA175="",DD175=""),"",SUM(DA175,DD175)))</f>
        <v/>
      </c>
      <c r="DF175" s="532">
        <f t="shared" si="387"/>
        <v>0</v>
      </c>
      <c r="DG175" s="65">
        <f t="shared" si="388"/>
        <v>0</v>
      </c>
      <c r="DH175" s="66" t="str">
        <f t="shared" si="389"/>
        <v/>
      </c>
      <c r="DI175" s="65" t="str">
        <f t="shared" si="390"/>
        <v/>
      </c>
      <c r="DJ175" s="65" t="str">
        <f t="shared" si="391"/>
        <v/>
      </c>
      <c r="DK175" s="65" t="str">
        <f t="shared" si="392"/>
        <v/>
      </c>
      <c r="DL175" s="97" t="str">
        <f t="shared" si="432"/>
        <v/>
      </c>
      <c r="DM175" s="97" t="str">
        <f t="shared" si="433"/>
        <v/>
      </c>
      <c r="DN175" s="97" t="str">
        <f t="shared" si="434"/>
        <v/>
      </c>
      <c r="DO175" s="97" t="str">
        <f t="shared" si="435"/>
        <v/>
      </c>
      <c r="DP175" s="97" t="str">
        <f t="shared" si="436"/>
        <v/>
      </c>
      <c r="DQ175" s="97" t="str">
        <f t="shared" si="437"/>
        <v/>
      </c>
      <c r="DR175" s="97" t="str">
        <f t="shared" si="438"/>
        <v/>
      </c>
      <c r="DS175" s="98">
        <f t="shared" si="439"/>
        <v>0</v>
      </c>
      <c r="DT175" s="98">
        <f t="shared" si="440"/>
        <v>0</v>
      </c>
      <c r="DU175" s="98">
        <f t="shared" si="441"/>
        <v>0</v>
      </c>
      <c r="DV175" s="98">
        <f t="shared" si="442"/>
        <v>0</v>
      </c>
      <c r="DW175" s="98">
        <f t="shared" si="443"/>
        <v>0</v>
      </c>
      <c r="DX175" s="98" t="str">
        <f t="shared" si="444"/>
        <v/>
      </c>
      <c r="DY175" s="99" t="str">
        <f t="shared" si="445"/>
        <v/>
      </c>
      <c r="DZ175" s="74" t="str">
        <f>IF('Marks Entry'!AY175="","",'Marks Entry'!AY175)</f>
        <v/>
      </c>
      <c r="EA175" s="74" t="str">
        <f>IF('Marks Entry'!AZ175="","",'Marks Entry'!AZ175)</f>
        <v/>
      </c>
      <c r="EB175" s="74" t="str">
        <f>IF('Marks Entry'!BA175="","",'Marks Entry'!BA175)</f>
        <v/>
      </c>
      <c r="EC175" s="527" t="str">
        <f t="shared" si="393"/>
        <v/>
      </c>
      <c r="ED175" s="74" t="str">
        <f>IF('Marks Entry'!BB175="","",'Marks Entry'!BB175)</f>
        <v/>
      </c>
      <c r="EE175" s="528" t="str">
        <f t="shared" si="394"/>
        <v/>
      </c>
      <c r="EF175" s="74" t="str">
        <f>IF('Marks Entry'!BC175="","",'Marks Entry'!BC175)</f>
        <v/>
      </c>
      <c r="EG175" s="530" t="str">
        <f t="shared" si="395"/>
        <v/>
      </c>
      <c r="EH175" s="368" t="str">
        <f t="shared" si="446"/>
        <v/>
      </c>
      <c r="EI175" s="65">
        <f t="shared" si="447"/>
        <v>0</v>
      </c>
      <c r="EJ175" s="65">
        <f t="shared" si="448"/>
        <v>0</v>
      </c>
      <c r="EK175" s="66" t="str">
        <f t="shared" si="449"/>
        <v/>
      </c>
      <c r="EL175" s="74" t="str">
        <f>IF('Marks Entry'!BD175="","",'Marks Entry'!BD175)</f>
        <v/>
      </c>
      <c r="EM175" s="74" t="str">
        <f>IF('Marks Entry'!BE175="","",'Marks Entry'!BE175)</f>
        <v/>
      </c>
      <c r="EN175" s="74" t="str">
        <f>IF('Marks Entry'!BF175="","",'Marks Entry'!BF175)</f>
        <v/>
      </c>
      <c r="EO175" s="527" t="str">
        <f t="shared" si="396"/>
        <v/>
      </c>
      <c r="EP175" s="74" t="str">
        <f>IF('Marks Entry'!BG175="","",'Marks Entry'!BG175)</f>
        <v/>
      </c>
      <c r="EQ175" s="74" t="str">
        <f>IF('Marks Entry'!BH175="","",'Marks Entry'!BH175)</f>
        <v/>
      </c>
      <c r="ER175" s="528" t="str">
        <f t="shared" si="397"/>
        <v/>
      </c>
      <c r="ES175" s="529" t="str">
        <f t="shared" si="398"/>
        <v/>
      </c>
      <c r="ET175" s="74" t="str">
        <f>IF('Marks Entry'!BI175="","",'Marks Entry'!BI175)</f>
        <v/>
      </c>
      <c r="EU175" s="74" t="str">
        <f>IF('Marks Entry'!BJ175="","",'Marks Entry'!BJ175)</f>
        <v/>
      </c>
      <c r="EV175" s="528" t="str">
        <f t="shared" si="399"/>
        <v/>
      </c>
      <c r="EW175" s="530" t="str">
        <f t="shared" si="400"/>
        <v/>
      </c>
      <c r="EX175" s="368" t="str">
        <f t="shared" si="450"/>
        <v/>
      </c>
      <c r="EY175" s="65">
        <f t="shared" si="451"/>
        <v>0</v>
      </c>
      <c r="EZ175" s="65">
        <f t="shared" si="452"/>
        <v>0</v>
      </c>
      <c r="FA175" s="66" t="str">
        <f t="shared" si="453"/>
        <v/>
      </c>
      <c r="FB175" s="74" t="str">
        <f>IF('Marks Entry'!BK175="","",'Marks Entry'!BK175)</f>
        <v/>
      </c>
      <c r="FC175" s="74" t="str">
        <f>IF('Marks Entry'!BL175="","",'Marks Entry'!BL175)</f>
        <v/>
      </c>
      <c r="FD175" s="74" t="str">
        <f>IF('Marks Entry'!BM175="","",'Marks Entry'!BM175)</f>
        <v/>
      </c>
      <c r="FE175" s="74" t="str">
        <f>IF('Marks Entry'!BN175="","",'Marks Entry'!BN175)</f>
        <v/>
      </c>
      <c r="FF175" s="74" t="str">
        <f>IF('Marks Entry'!BO175="","",'Marks Entry'!BO175)</f>
        <v/>
      </c>
      <c r="FG175" s="74" t="str">
        <f>IF('Marks Entry'!BP175="","",'Marks Entry'!BP175)</f>
        <v/>
      </c>
      <c r="FH175" s="527" t="str">
        <f t="shared" si="401"/>
        <v/>
      </c>
      <c r="FI175" s="74" t="str">
        <f>IF('Marks Entry'!BQ175="","",'Marks Entry'!BQ175)</f>
        <v/>
      </c>
      <c r="FJ175" s="74" t="str">
        <f>IF('Marks Entry'!BR175="","",'Marks Entry'!BR175)</f>
        <v/>
      </c>
      <c r="FK175" s="528" t="str">
        <f t="shared" si="402"/>
        <v/>
      </c>
      <c r="FL175" s="529" t="str">
        <f t="shared" si="403"/>
        <v/>
      </c>
      <c r="FM175" s="74" t="str">
        <f>IF('Marks Entry'!BS175="","",'Marks Entry'!BS175)</f>
        <v/>
      </c>
      <c r="FN175" s="74" t="str">
        <f>IF('Marks Entry'!BT175="","",'Marks Entry'!BT175)</f>
        <v/>
      </c>
      <c r="FO175" s="528" t="str">
        <f t="shared" si="404"/>
        <v/>
      </c>
      <c r="FP175" s="530" t="str">
        <f t="shared" si="405"/>
        <v/>
      </c>
      <c r="FQ175" s="368" t="str">
        <f t="shared" si="454"/>
        <v/>
      </c>
      <c r="FR175" s="65">
        <f t="shared" si="455"/>
        <v>0</v>
      </c>
      <c r="FS175" s="65">
        <f t="shared" si="456"/>
        <v>0</v>
      </c>
      <c r="FT175" s="66" t="str">
        <f t="shared" si="457"/>
        <v/>
      </c>
      <c r="FU175" s="74" t="str">
        <f>IF('Marks Entry'!BU175="","",'Marks Entry'!BU175)</f>
        <v/>
      </c>
      <c r="FV175" s="74" t="str">
        <f>IF('Marks Entry'!BV175="","",'Marks Entry'!BV175)</f>
        <v/>
      </c>
      <c r="FW175" s="74" t="str">
        <f>IF('Marks Entry'!BW175="","",'Marks Entry'!BW175)</f>
        <v/>
      </c>
      <c r="FX175" s="75" t="str">
        <f t="shared" si="406"/>
        <v/>
      </c>
      <c r="FY175" s="368" t="str">
        <f t="shared" si="458"/>
        <v/>
      </c>
      <c r="FZ175" s="65">
        <f t="shared" si="459"/>
        <v>0</v>
      </c>
      <c r="GA175" s="66">
        <f t="shared" si="460"/>
        <v>0</v>
      </c>
      <c r="GB175" s="66" t="str">
        <f t="shared" si="461"/>
        <v/>
      </c>
      <c r="GC175" s="74" t="str">
        <f>IF('Marks Entry'!BX175="","",'Marks Entry'!BX175)</f>
        <v/>
      </c>
      <c r="GD175" s="74" t="str">
        <f>IF('Marks Entry'!BY175="","",'Marks Entry'!BY175)</f>
        <v/>
      </c>
      <c r="GE175" s="74" t="str">
        <f>IF('Marks Entry'!BZ175="","",'Marks Entry'!BZ175)</f>
        <v/>
      </c>
      <c r="GF175" s="75" t="str">
        <f t="shared" si="462"/>
        <v/>
      </c>
      <c r="GG175" s="368" t="str">
        <f t="shared" si="463"/>
        <v/>
      </c>
      <c r="GH175" s="65">
        <f t="shared" si="464"/>
        <v>0</v>
      </c>
      <c r="GI175" s="66">
        <f t="shared" si="465"/>
        <v>0</v>
      </c>
      <c r="GJ175" s="66" t="str">
        <f t="shared" si="466"/>
        <v/>
      </c>
      <c r="GK175" s="100" t="str">
        <f>IF(AND(F175="",B175=""),"",IF('Student DATA Entry'!M172="","",'Student DATA Entry'!M172))</f>
        <v/>
      </c>
      <c r="GL175" s="101" t="str">
        <f>IF(AND(B175="",F175=""),"",IF('Student DATA Entry'!N172="","",'Student DATA Entry'!N172))</f>
        <v/>
      </c>
      <c r="GM175" s="581" t="str">
        <f t="shared" si="467"/>
        <v/>
      </c>
      <c r="GN175" s="94" t="str">
        <f t="shared" si="468"/>
        <v/>
      </c>
      <c r="GO175" s="94" t="str">
        <f t="shared" si="469"/>
        <v/>
      </c>
      <c r="GP175" s="102" t="str">
        <f t="shared" si="498"/>
        <v/>
      </c>
      <c r="GQ175" s="94" t="str">
        <f t="shared" si="470"/>
        <v/>
      </c>
      <c r="GR175" s="103" t="str">
        <f t="shared" si="471"/>
        <v/>
      </c>
      <c r="GS175" s="102" t="str">
        <f t="shared" si="499"/>
        <v/>
      </c>
      <c r="GT175" s="104" t="str">
        <f t="shared" si="472"/>
        <v/>
      </c>
      <c r="GU175" s="94" t="str">
        <f>IF('Marks Entry'!V175=1,GT175,"")</f>
        <v/>
      </c>
      <c r="GV175" s="94" t="str">
        <f>IF('Marks Entry'!V175=2,GT175,"")</f>
        <v/>
      </c>
      <c r="GW175" s="94" t="str">
        <f>IF('Marks Entry'!V175=3,GT175,"")</f>
        <v/>
      </c>
      <c r="GX175" s="94" t="str">
        <f>IF('Marks Entry'!V175=4,GT175,"")</f>
        <v/>
      </c>
      <c r="GY175" s="94" t="str">
        <f>IF('Marks Entry'!V175=5,GT175,"")</f>
        <v/>
      </c>
      <c r="GZ175" s="94" t="str">
        <f t="shared" si="473"/>
        <v/>
      </c>
      <c r="HA175" s="105" t="str">
        <f t="shared" si="500"/>
        <v/>
      </c>
      <c r="HB175" s="94" t="str">
        <f t="shared" si="474"/>
        <v/>
      </c>
      <c r="HC175" s="94" t="str">
        <f t="shared" si="475"/>
        <v/>
      </c>
      <c r="HD175" s="105" t="str">
        <f t="shared" si="501"/>
        <v/>
      </c>
      <c r="HE175" s="94" t="str">
        <f t="shared" si="476"/>
        <v/>
      </c>
      <c r="HF175" s="94" t="str">
        <f t="shared" si="477"/>
        <v/>
      </c>
      <c r="HG175" s="105" t="str">
        <f t="shared" si="502"/>
        <v/>
      </c>
      <c r="HH175" s="94" t="str">
        <f t="shared" si="478"/>
        <v/>
      </c>
      <c r="HI175" s="94" t="str">
        <f t="shared" si="479"/>
        <v/>
      </c>
      <c r="HJ175" s="105" t="str">
        <f t="shared" si="503"/>
        <v/>
      </c>
      <c r="HK175" s="94" t="str">
        <f t="shared" si="480"/>
        <v/>
      </c>
      <c r="HL175" s="94" t="str">
        <f t="shared" si="481"/>
        <v/>
      </c>
      <c r="HM175" s="105" t="str">
        <f t="shared" si="504"/>
        <v/>
      </c>
      <c r="HN175" s="367" t="str">
        <f t="shared" si="482"/>
        <v xml:space="preserve">      </v>
      </c>
      <c r="HO175" s="418" t="str">
        <f t="shared" si="505"/>
        <v xml:space="preserve">      </v>
      </c>
      <c r="HP175" s="367" t="str">
        <f t="shared" si="483"/>
        <v xml:space="preserve">      </v>
      </c>
      <c r="HQ175" s="107" t="str">
        <f t="shared" si="484"/>
        <v xml:space="preserve">      </v>
      </c>
      <c r="HR175" s="366" t="str">
        <f t="shared" si="485"/>
        <v xml:space="preserve">      </v>
      </c>
      <c r="HS175" s="544" t="str">
        <f t="shared" si="506"/>
        <v/>
      </c>
      <c r="HT175" s="542" t="str">
        <f t="shared" si="486"/>
        <v/>
      </c>
      <c r="HU175" s="541" t="str">
        <f t="shared" si="487"/>
        <v/>
      </c>
      <c r="HV175" s="540" t="str">
        <f t="shared" si="488"/>
        <v/>
      </c>
      <c r="HW175" s="537" t="str">
        <f t="shared" si="489"/>
        <v/>
      </c>
      <c r="HX175" s="539" t="str">
        <f t="shared" si="490"/>
        <v/>
      </c>
      <c r="HY175" s="553" t="str">
        <f>IFERROR(IF(OR(HS175="SUPPLEMENTARY",HS175="RE-EXAM"),'Supp. Result Entry'!AQ173,""),"")</f>
        <v/>
      </c>
      <c r="HZ175" s="538" t="str">
        <f t="shared" si="491"/>
        <v/>
      </c>
      <c r="IA175" s="415" t="str">
        <f t="shared" si="492"/>
        <v/>
      </c>
      <c r="IB175" s="415" t="str">
        <f>IF(AND(HZ175="",IA175=""),"",IF(OR(HS175="SUPPLEMENTARY",HS175="RE-EXAM"),'Supp. Result Entry'!AQ173,HS175))</f>
        <v/>
      </c>
      <c r="IC175" s="87"/>
      <c r="IS175" s="109" t="str">
        <f>IF('Supp. Result Entry'!T173="","",'Supp. Result Entry'!$T$4)</f>
        <v/>
      </c>
      <c r="IT175" s="110" t="str">
        <f>IF('Supp. Result Entry'!W173="","",'Supp. Result Entry'!$W$4)</f>
        <v/>
      </c>
      <c r="IU175" s="110" t="str">
        <f>IF('Supp. Result Entry'!Z173="","",'Supp. Result Entry'!$Z$4)</f>
        <v/>
      </c>
      <c r="IV175" s="110" t="str">
        <f>IF('Supp. Result Entry'!AC173="","",'Supp. Result Entry'!$AC$4)</f>
        <v/>
      </c>
      <c r="IW175" s="110" t="str">
        <f>IF('Supp. Result Entry'!AF173="","",'Supp. Result Entry'!$AF$4)</f>
        <v/>
      </c>
      <c r="IX175" s="110" t="str">
        <f>IF('Supp. Result Entry'!AI173="","",'Supp. Result Entry'!$AI$4)</f>
        <v/>
      </c>
      <c r="IY175" s="110" t="str">
        <f>IF('Supp. Result Entry'!AI173="","",'Supp. Result Entry'!$AL$4)</f>
        <v/>
      </c>
      <c r="IZ175" s="110" t="str">
        <f>IF('Supp. Result Entry'!U173="","",'Supp. Result Entry'!U173)</f>
        <v/>
      </c>
      <c r="JA175" s="110" t="str">
        <f>IF('Supp. Result Entry'!X173="","",'Supp. Result Entry'!X173)</f>
        <v/>
      </c>
      <c r="JB175" s="110" t="str">
        <f>IF('Supp. Result Entry'!AA173="","",'Supp. Result Entry'!AA173)</f>
        <v/>
      </c>
      <c r="JC175" s="110" t="str">
        <f>IF('Supp. Result Entry'!AD173="","",'Supp. Result Entry'!AD173)</f>
        <v/>
      </c>
      <c r="JD175" s="110" t="str">
        <f>IF('Supp. Result Entry'!AG173="","",'Supp. Result Entry'!AG173)</f>
        <v/>
      </c>
      <c r="JE175" s="110" t="str">
        <f>IF('Supp. Result Entry'!AJ173="","",'Supp. Result Entry'!AJ173)</f>
        <v/>
      </c>
      <c r="JF175" s="110" t="str">
        <f>IF('Supp. Result Entry'!AM173="","",'Supp. Result Entry'!AM173)</f>
        <v/>
      </c>
      <c r="JG175" s="110" t="str">
        <f>IF('Supp. Result Entry'!V173="","",'Supp. Result Entry'!V173)</f>
        <v/>
      </c>
      <c r="JH175" s="110" t="str">
        <f>IF('Supp. Result Entry'!Y173="","",'Supp. Result Entry'!Y173)</f>
        <v/>
      </c>
      <c r="JI175" s="110" t="str">
        <f>IF('Supp. Result Entry'!AB173="","",'Supp. Result Entry'!AB173)</f>
        <v/>
      </c>
      <c r="JJ175" s="110" t="str">
        <f>IF('Supp. Result Entry'!AE173="","",'Supp. Result Entry'!AE173)</f>
        <v/>
      </c>
      <c r="JK175" s="110" t="str">
        <f>IF('Supp. Result Entry'!AH173="","",'Supp. Result Entry'!AH173)</f>
        <v/>
      </c>
      <c r="JL175" s="110" t="str">
        <f>IF('Supp. Result Entry'!AK173="","",'Supp. Result Entry'!AK173)</f>
        <v/>
      </c>
      <c r="JM175" s="110" t="str">
        <f>IF('Supp. Result Entry'!AN173="","",'Supp. Result Entry'!AN173)</f>
        <v/>
      </c>
      <c r="JN175" s="110">
        <f>COUNTIF('Supp. Result Entry'!K173:Q173,"S")</f>
        <v>0</v>
      </c>
      <c r="JO175" s="110">
        <f t="shared" si="416"/>
        <v>0</v>
      </c>
      <c r="JP175" s="110">
        <f t="shared" si="493"/>
        <v>0</v>
      </c>
      <c r="JQ175" s="110" t="str">
        <f t="shared" si="417"/>
        <v/>
      </c>
      <c r="JR175" s="110" t="str">
        <f t="shared" si="418"/>
        <v/>
      </c>
      <c r="JS175" s="110" t="str">
        <f t="shared" si="419"/>
        <v/>
      </c>
      <c r="JT175" s="110" t="str">
        <f t="shared" si="420"/>
        <v/>
      </c>
      <c r="JU175" s="110" t="str">
        <f t="shared" si="421"/>
        <v/>
      </c>
      <c r="JV175" s="110" t="str">
        <f t="shared" si="422"/>
        <v/>
      </c>
      <c r="JW175" s="110" t="str">
        <f t="shared" si="423"/>
        <v/>
      </c>
      <c r="JX175" s="110" t="str">
        <f t="shared" si="494"/>
        <v/>
      </c>
      <c r="JY175" s="110" t="str">
        <f t="shared" si="495"/>
        <v/>
      </c>
      <c r="JZ175" s="110" t="str">
        <f t="shared" si="424"/>
        <v/>
      </c>
      <c r="KA175" s="108" t="str">
        <f t="shared" si="496"/>
        <v/>
      </c>
    </row>
    <row r="176" spans="1:287" s="108" customFormat="1" ht="21.95" customHeight="1">
      <c r="A176" s="89">
        <v>170</v>
      </c>
      <c r="B176" s="90" t="str">
        <f>IF('Marks Entry'!B176="","",'Marks Entry'!B176)</f>
        <v/>
      </c>
      <c r="C176" s="94" t="str">
        <f>IF('Marks Entry'!D176="","",'Marks Entry'!D176)</f>
        <v/>
      </c>
      <c r="D176" s="91" t="str">
        <f>IF('Marks Entry'!E176="","",'Marks Entry'!E176)</f>
        <v/>
      </c>
      <c r="E176" s="92" t="str">
        <f>IF('Marks Entry'!F176="","",'Marks Entry'!F176)</f>
        <v/>
      </c>
      <c r="F176" s="93" t="str">
        <f>IF('Marks Entry'!G176="","",'Marks Entry'!G176)</f>
        <v/>
      </c>
      <c r="G176" s="93" t="str">
        <f>IF('Marks Entry'!H176="","",'Marks Entry'!H176)</f>
        <v/>
      </c>
      <c r="H176" s="93" t="str">
        <f>IF('Marks Entry'!I176="","",'Marks Entry'!I176)</f>
        <v/>
      </c>
      <c r="I176" s="94" t="str">
        <f>IF('Marks Entry'!J176="","",'Marks Entry'!J176)</f>
        <v/>
      </c>
      <c r="J176" s="95" t="str">
        <f>IF('Marks Entry'!K176="","",'Marks Entry'!K176)</f>
        <v/>
      </c>
      <c r="K176" s="68" t="str">
        <f>IF('Marks Entry'!L176="","",'Marks Entry'!L176)</f>
        <v/>
      </c>
      <c r="L176" s="68" t="str">
        <f>IF('Marks Entry'!M176="","",'Marks Entry'!M176)</f>
        <v/>
      </c>
      <c r="M176" s="68" t="str">
        <f>IF('Marks Entry'!N176="","",'Marks Entry'!N176)</f>
        <v/>
      </c>
      <c r="N176" s="514" t="str">
        <f t="shared" si="425"/>
        <v/>
      </c>
      <c r="O176" s="68" t="str">
        <f>IF('Marks Entry'!O176="","",'Marks Entry'!O176)</f>
        <v/>
      </c>
      <c r="P176" s="515" t="str">
        <f t="shared" si="426"/>
        <v/>
      </c>
      <c r="Q176" s="68" t="str">
        <f>IF('Marks Entry'!P176="","",'Marks Entry'!P176)</f>
        <v/>
      </c>
      <c r="R176" s="96" t="str">
        <f t="shared" si="427"/>
        <v/>
      </c>
      <c r="S176" s="65">
        <f t="shared" si="428"/>
        <v>0</v>
      </c>
      <c r="T176" s="65">
        <f t="shared" si="429"/>
        <v>0</v>
      </c>
      <c r="U176" s="66" t="str">
        <f t="shared" si="339"/>
        <v/>
      </c>
      <c r="V176" s="65" t="str">
        <f t="shared" si="340"/>
        <v/>
      </c>
      <c r="W176" s="65" t="str">
        <f t="shared" si="430"/>
        <v/>
      </c>
      <c r="X176" s="65" t="str">
        <f t="shared" si="341"/>
        <v/>
      </c>
      <c r="Y176" s="68" t="str">
        <f>IF('Marks Entry'!Q176="","",'Marks Entry'!Q176)</f>
        <v/>
      </c>
      <c r="Z176" s="68" t="str">
        <f>IF('Marks Entry'!R176="","",'Marks Entry'!R176)</f>
        <v/>
      </c>
      <c r="AA176" s="68" t="str">
        <f>IF('Marks Entry'!S176="","",'Marks Entry'!S176)</f>
        <v/>
      </c>
      <c r="AB176" s="514" t="str">
        <f t="shared" si="342"/>
        <v/>
      </c>
      <c r="AC176" s="68" t="str">
        <f>IF('Marks Entry'!T176="","",'Marks Entry'!T176)</f>
        <v/>
      </c>
      <c r="AD176" s="515" t="str">
        <f t="shared" si="343"/>
        <v/>
      </c>
      <c r="AE176" s="68" t="str">
        <f>IF('Marks Entry'!U176="","",'Marks Entry'!U176)</f>
        <v/>
      </c>
      <c r="AF176" s="96" t="str">
        <f t="shared" si="344"/>
        <v/>
      </c>
      <c r="AG176" s="65">
        <f t="shared" si="345"/>
        <v>0</v>
      </c>
      <c r="AH176" s="65">
        <f t="shared" si="346"/>
        <v>0</v>
      </c>
      <c r="AI176" s="66" t="str">
        <f t="shared" si="347"/>
        <v/>
      </c>
      <c r="AJ176" s="65" t="str">
        <f t="shared" si="348"/>
        <v/>
      </c>
      <c r="AK176" s="65" t="str">
        <f t="shared" si="349"/>
        <v/>
      </c>
      <c r="AL176" s="65" t="str">
        <f t="shared" si="350"/>
        <v/>
      </c>
      <c r="AM176" s="524" t="str">
        <f>IF('Marks Entry'!V176="","",IF('Marks Entry'!V176=1,'School Profile'!$I$9,IF('Marks Entry'!V176=2,'School Profile'!$I$10,IF('Marks Entry'!V176=3,'School Profile'!$I$11,IF('Marks Entry'!V176=4,'School Profile'!$I$12,IF('Marks Entry'!V176=5,'School Profile'!$I$13,IF('Marks Entry'!V176=6,'School Profile'!$I$14,"")))))))</f>
        <v/>
      </c>
      <c r="AN176" s="68" t="str">
        <f>IF('Marks Entry'!W176="","",'Marks Entry'!W176)</f>
        <v/>
      </c>
      <c r="AO176" s="68" t="str">
        <f>IF('Marks Entry'!X176="","",'Marks Entry'!X176)</f>
        <v/>
      </c>
      <c r="AP176" s="68" t="str">
        <f>IF('Marks Entry'!Y176="","",'Marks Entry'!Y176)</f>
        <v/>
      </c>
      <c r="AQ176" s="514" t="str">
        <f t="shared" si="351"/>
        <v/>
      </c>
      <c r="AR176" s="68" t="str">
        <f>IF('Marks Entry'!Z176="","",'Marks Entry'!Z176)</f>
        <v/>
      </c>
      <c r="AS176" s="515" t="str">
        <f t="shared" si="352"/>
        <v/>
      </c>
      <c r="AT176" s="68" t="str">
        <f>IF('Marks Entry'!AA176="","",'Marks Entry'!AA176)</f>
        <v/>
      </c>
      <c r="AU176" s="96" t="str">
        <f t="shared" si="353"/>
        <v/>
      </c>
      <c r="AV176" s="65">
        <f t="shared" si="354"/>
        <v>0</v>
      </c>
      <c r="AW176" s="65">
        <f t="shared" si="355"/>
        <v>0</v>
      </c>
      <c r="AX176" s="66" t="str">
        <f t="shared" si="356"/>
        <v/>
      </c>
      <c r="AY176" s="65" t="str">
        <f t="shared" si="357"/>
        <v/>
      </c>
      <c r="AZ176" s="65" t="str">
        <f t="shared" si="358"/>
        <v/>
      </c>
      <c r="BA176" s="65" t="str">
        <f t="shared" si="359"/>
        <v/>
      </c>
      <c r="BB176" s="68" t="str">
        <f>IF('Marks Entry'!AB176="","",'Marks Entry'!AB176)</f>
        <v/>
      </c>
      <c r="BC176" s="68" t="str">
        <f>IF('Marks Entry'!AC176="","",'Marks Entry'!AC176)</f>
        <v/>
      </c>
      <c r="BD176" s="68" t="str">
        <f>IF('Marks Entry'!AD176="","",'Marks Entry'!AD176)</f>
        <v/>
      </c>
      <c r="BE176" s="514" t="str">
        <f t="shared" si="360"/>
        <v/>
      </c>
      <c r="BF176" s="68" t="str">
        <f>IF('Marks Entry'!AE176="","",'Marks Entry'!AE176)</f>
        <v/>
      </c>
      <c r="BG176" s="515" t="str">
        <f t="shared" si="361"/>
        <v/>
      </c>
      <c r="BH176" s="68" t="str">
        <f>IF('Marks Entry'!AF176="","",'Marks Entry'!AF176)</f>
        <v/>
      </c>
      <c r="BI176" s="96" t="str">
        <f t="shared" si="362"/>
        <v/>
      </c>
      <c r="BJ176" s="65">
        <f t="shared" si="363"/>
        <v>0</v>
      </c>
      <c r="BK176" s="65">
        <f t="shared" si="431"/>
        <v>0</v>
      </c>
      <c r="BL176" s="66" t="str">
        <f t="shared" si="364"/>
        <v/>
      </c>
      <c r="BM176" s="65" t="str">
        <f t="shared" si="365"/>
        <v/>
      </c>
      <c r="BN176" s="65" t="str">
        <f t="shared" si="366"/>
        <v/>
      </c>
      <c r="BO176" s="65" t="str">
        <f t="shared" si="367"/>
        <v/>
      </c>
      <c r="BP176" s="68" t="str">
        <f>IF('Marks Entry'!AG176="","",'Marks Entry'!AG176)</f>
        <v/>
      </c>
      <c r="BQ176" s="68" t="str">
        <f>IF('Marks Entry'!AH176="","",'Marks Entry'!AH176)</f>
        <v/>
      </c>
      <c r="BR176" s="68" t="str">
        <f>IF('Marks Entry'!AI176="","",'Marks Entry'!AI176)</f>
        <v/>
      </c>
      <c r="BS176" s="514" t="str">
        <f t="shared" si="368"/>
        <v/>
      </c>
      <c r="BT176" s="68" t="str">
        <f>IF('Marks Entry'!AJ176="","",'Marks Entry'!AJ176)</f>
        <v/>
      </c>
      <c r="BU176" s="515" t="str">
        <f t="shared" si="369"/>
        <v/>
      </c>
      <c r="BV176" s="68" t="str">
        <f>IF('Marks Entry'!AK176="","",'Marks Entry'!AK176)</f>
        <v/>
      </c>
      <c r="BW176" s="96" t="str">
        <f t="shared" si="370"/>
        <v/>
      </c>
      <c r="BX176" s="65">
        <f t="shared" si="371"/>
        <v>0</v>
      </c>
      <c r="BY176" s="65">
        <f t="shared" si="372"/>
        <v>0</v>
      </c>
      <c r="BZ176" s="66" t="str">
        <f t="shared" si="373"/>
        <v/>
      </c>
      <c r="CA176" s="65" t="str">
        <f t="shared" si="374"/>
        <v/>
      </c>
      <c r="CB176" s="65" t="str">
        <f t="shared" si="375"/>
        <v/>
      </c>
      <c r="CC176" s="65" t="str">
        <f t="shared" si="376"/>
        <v/>
      </c>
      <c r="CD176" s="66">
        <f t="shared" si="497"/>
        <v>0</v>
      </c>
      <c r="CE176" s="68" t="str">
        <f>IF('Marks Entry'!AL176="","",'Marks Entry'!AL176)</f>
        <v/>
      </c>
      <c r="CF176" s="68" t="str">
        <f>IF('Marks Entry'!AM176="","",'Marks Entry'!AM176)</f>
        <v/>
      </c>
      <c r="CG176" s="68" t="str">
        <f>IF('Marks Entry'!AN176="","",'Marks Entry'!AN176)</f>
        <v/>
      </c>
      <c r="CH176" s="514" t="str">
        <f t="shared" si="378"/>
        <v/>
      </c>
      <c r="CI176" s="68" t="str">
        <f>IF('Marks Entry'!AO176="","",'Marks Entry'!AO176)</f>
        <v/>
      </c>
      <c r="CJ176" s="515" t="str">
        <f t="shared" si="379"/>
        <v/>
      </c>
      <c r="CK176" s="68" t="str">
        <f>IF('Marks Entry'!AP176="","",'Marks Entry'!AP176)</f>
        <v/>
      </c>
      <c r="CL176" s="96" t="str">
        <f t="shared" si="380"/>
        <v/>
      </c>
      <c r="CM176" s="65">
        <f t="shared" si="381"/>
        <v>0</v>
      </c>
      <c r="CN176" s="65">
        <f t="shared" si="382"/>
        <v>0</v>
      </c>
      <c r="CO176" s="66" t="str">
        <f t="shared" si="383"/>
        <v/>
      </c>
      <c r="CP176" s="65" t="str">
        <f t="shared" si="384"/>
        <v/>
      </c>
      <c r="CQ176" s="65" t="str">
        <f t="shared" si="385"/>
        <v/>
      </c>
      <c r="CR176" s="65" t="str">
        <f t="shared" si="386"/>
        <v/>
      </c>
      <c r="CS176" s="616"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8" t="str">
        <f>IF('School Profile'!$D$20="NO","",IF('Marks Entry'!AR176="","",'Marks Entry'!AR176))</f>
        <v/>
      </c>
      <c r="CU176" s="68" t="str">
        <f>IF('School Profile'!$D$20="NO","",IF('Marks Entry'!AS176="","",'Marks Entry'!AS176))</f>
        <v/>
      </c>
      <c r="CV176" s="68" t="str">
        <f>IF('School Profile'!$D$20="NO","",IF('Marks Entry'!AT176="","",'Marks Entry'!AT176))</f>
        <v/>
      </c>
      <c r="CW176" s="514" t="str">
        <f>IF('School Profile'!$D$20="NO","",IF(AND(CT176="",CU176="",CV176=""),"",SUM(CT176:CV176)))</f>
        <v/>
      </c>
      <c r="CX176" s="68" t="str">
        <f>IF('School Profile'!$D$20="NO","",IF('Marks Entry'!AU176="","",'Marks Entry'!AU176))</f>
        <v/>
      </c>
      <c r="CY176" s="68" t="str">
        <f>IF('School Profile'!$D$20="NO","",IF('Marks Entry'!AV176="","",'Marks Entry'!AV176))</f>
        <v/>
      </c>
      <c r="CZ176" s="515" t="str">
        <f>IF('School Profile'!$D$20="NO","",IF(AND(CX176="",CY176=""),"",SUM(CX176,CY176)))</f>
        <v/>
      </c>
      <c r="DA176" s="69" t="str">
        <f>IF('School Profile'!$D$20="NO","",IF(AND(CW176="",CZ176=""),"",SUM(CW176+CZ176)))</f>
        <v/>
      </c>
      <c r="DB176" s="68" t="str">
        <f>IF('School Profile'!$D$20="NO","",IF('Marks Entry'!AW176="","",'Marks Entry'!AW176))</f>
        <v/>
      </c>
      <c r="DC176" s="68" t="str">
        <f>IF('School Profile'!$D$20="NO","",IF('Marks Entry'!AX176="","",'Marks Entry'!AX176))</f>
        <v/>
      </c>
      <c r="DD176" s="515" t="str">
        <f>IF('School Profile'!$D$20="NO","",IF(AND(DB176="",DC176=""),"",SUM(DB176,DC176)))</f>
        <v/>
      </c>
      <c r="DE176" s="96" t="str">
        <f>IF('School Profile'!$D$20="NO","",IF(AND(DA176="",DD176=""),"",SUM(DA176,DD176)))</f>
        <v/>
      </c>
      <c r="DF176" s="532">
        <f t="shared" si="387"/>
        <v>0</v>
      </c>
      <c r="DG176" s="65">
        <f t="shared" si="388"/>
        <v>0</v>
      </c>
      <c r="DH176" s="66" t="str">
        <f t="shared" si="389"/>
        <v/>
      </c>
      <c r="DI176" s="65" t="str">
        <f t="shared" si="390"/>
        <v/>
      </c>
      <c r="DJ176" s="65" t="str">
        <f t="shared" si="391"/>
        <v/>
      </c>
      <c r="DK176" s="65" t="str">
        <f t="shared" si="392"/>
        <v/>
      </c>
      <c r="DL176" s="97" t="str">
        <f t="shared" si="432"/>
        <v/>
      </c>
      <c r="DM176" s="97" t="str">
        <f t="shared" si="433"/>
        <v/>
      </c>
      <c r="DN176" s="97" t="str">
        <f t="shared" si="434"/>
        <v/>
      </c>
      <c r="DO176" s="97" t="str">
        <f t="shared" si="435"/>
        <v/>
      </c>
      <c r="DP176" s="97" t="str">
        <f t="shared" si="436"/>
        <v/>
      </c>
      <c r="DQ176" s="97" t="str">
        <f t="shared" si="437"/>
        <v/>
      </c>
      <c r="DR176" s="97" t="str">
        <f t="shared" si="438"/>
        <v/>
      </c>
      <c r="DS176" s="98">
        <f t="shared" si="439"/>
        <v>0</v>
      </c>
      <c r="DT176" s="98">
        <f t="shared" si="440"/>
        <v>0</v>
      </c>
      <c r="DU176" s="98">
        <f t="shared" si="441"/>
        <v>0</v>
      </c>
      <c r="DV176" s="98">
        <f t="shared" si="442"/>
        <v>0</v>
      </c>
      <c r="DW176" s="98">
        <f t="shared" si="443"/>
        <v>0</v>
      </c>
      <c r="DX176" s="98" t="str">
        <f t="shared" si="444"/>
        <v/>
      </c>
      <c r="DY176" s="99" t="str">
        <f t="shared" si="445"/>
        <v/>
      </c>
      <c r="DZ176" s="74" t="str">
        <f>IF('Marks Entry'!AY176="","",'Marks Entry'!AY176)</f>
        <v/>
      </c>
      <c r="EA176" s="74" t="str">
        <f>IF('Marks Entry'!AZ176="","",'Marks Entry'!AZ176)</f>
        <v/>
      </c>
      <c r="EB176" s="74" t="str">
        <f>IF('Marks Entry'!BA176="","",'Marks Entry'!BA176)</f>
        <v/>
      </c>
      <c r="EC176" s="527" t="str">
        <f t="shared" si="393"/>
        <v/>
      </c>
      <c r="ED176" s="74" t="str">
        <f>IF('Marks Entry'!BB176="","",'Marks Entry'!BB176)</f>
        <v/>
      </c>
      <c r="EE176" s="528" t="str">
        <f t="shared" si="394"/>
        <v/>
      </c>
      <c r="EF176" s="74" t="str">
        <f>IF('Marks Entry'!BC176="","",'Marks Entry'!BC176)</f>
        <v/>
      </c>
      <c r="EG176" s="530" t="str">
        <f t="shared" si="395"/>
        <v/>
      </c>
      <c r="EH176" s="368" t="str">
        <f t="shared" si="446"/>
        <v/>
      </c>
      <c r="EI176" s="65">
        <f t="shared" si="447"/>
        <v>0</v>
      </c>
      <c r="EJ176" s="65">
        <f t="shared" si="448"/>
        <v>0</v>
      </c>
      <c r="EK176" s="66" t="str">
        <f t="shared" si="449"/>
        <v/>
      </c>
      <c r="EL176" s="74" t="str">
        <f>IF('Marks Entry'!BD176="","",'Marks Entry'!BD176)</f>
        <v/>
      </c>
      <c r="EM176" s="74" t="str">
        <f>IF('Marks Entry'!BE176="","",'Marks Entry'!BE176)</f>
        <v/>
      </c>
      <c r="EN176" s="74" t="str">
        <f>IF('Marks Entry'!BF176="","",'Marks Entry'!BF176)</f>
        <v/>
      </c>
      <c r="EO176" s="527" t="str">
        <f t="shared" si="396"/>
        <v/>
      </c>
      <c r="EP176" s="74" t="str">
        <f>IF('Marks Entry'!BG176="","",'Marks Entry'!BG176)</f>
        <v/>
      </c>
      <c r="EQ176" s="74" t="str">
        <f>IF('Marks Entry'!BH176="","",'Marks Entry'!BH176)</f>
        <v/>
      </c>
      <c r="ER176" s="528" t="str">
        <f t="shared" si="397"/>
        <v/>
      </c>
      <c r="ES176" s="529" t="str">
        <f t="shared" si="398"/>
        <v/>
      </c>
      <c r="ET176" s="74" t="str">
        <f>IF('Marks Entry'!BI176="","",'Marks Entry'!BI176)</f>
        <v/>
      </c>
      <c r="EU176" s="74" t="str">
        <f>IF('Marks Entry'!BJ176="","",'Marks Entry'!BJ176)</f>
        <v/>
      </c>
      <c r="EV176" s="528" t="str">
        <f t="shared" si="399"/>
        <v/>
      </c>
      <c r="EW176" s="530" t="str">
        <f t="shared" si="400"/>
        <v/>
      </c>
      <c r="EX176" s="368" t="str">
        <f t="shared" si="450"/>
        <v/>
      </c>
      <c r="EY176" s="65">
        <f t="shared" si="451"/>
        <v>0</v>
      </c>
      <c r="EZ176" s="65">
        <f t="shared" si="452"/>
        <v>0</v>
      </c>
      <c r="FA176" s="66" t="str">
        <f t="shared" si="453"/>
        <v/>
      </c>
      <c r="FB176" s="74" t="str">
        <f>IF('Marks Entry'!BK176="","",'Marks Entry'!BK176)</f>
        <v/>
      </c>
      <c r="FC176" s="74" t="str">
        <f>IF('Marks Entry'!BL176="","",'Marks Entry'!BL176)</f>
        <v/>
      </c>
      <c r="FD176" s="74" t="str">
        <f>IF('Marks Entry'!BM176="","",'Marks Entry'!BM176)</f>
        <v/>
      </c>
      <c r="FE176" s="74" t="str">
        <f>IF('Marks Entry'!BN176="","",'Marks Entry'!BN176)</f>
        <v/>
      </c>
      <c r="FF176" s="74" t="str">
        <f>IF('Marks Entry'!BO176="","",'Marks Entry'!BO176)</f>
        <v/>
      </c>
      <c r="FG176" s="74" t="str">
        <f>IF('Marks Entry'!BP176="","",'Marks Entry'!BP176)</f>
        <v/>
      </c>
      <c r="FH176" s="527" t="str">
        <f t="shared" si="401"/>
        <v/>
      </c>
      <c r="FI176" s="74" t="str">
        <f>IF('Marks Entry'!BQ176="","",'Marks Entry'!BQ176)</f>
        <v/>
      </c>
      <c r="FJ176" s="74" t="str">
        <f>IF('Marks Entry'!BR176="","",'Marks Entry'!BR176)</f>
        <v/>
      </c>
      <c r="FK176" s="528" t="str">
        <f t="shared" si="402"/>
        <v/>
      </c>
      <c r="FL176" s="529" t="str">
        <f t="shared" si="403"/>
        <v/>
      </c>
      <c r="FM176" s="74" t="str">
        <f>IF('Marks Entry'!BS176="","",'Marks Entry'!BS176)</f>
        <v/>
      </c>
      <c r="FN176" s="74" t="str">
        <f>IF('Marks Entry'!BT176="","",'Marks Entry'!BT176)</f>
        <v/>
      </c>
      <c r="FO176" s="528" t="str">
        <f t="shared" si="404"/>
        <v/>
      </c>
      <c r="FP176" s="530" t="str">
        <f t="shared" si="405"/>
        <v/>
      </c>
      <c r="FQ176" s="368" t="str">
        <f t="shared" si="454"/>
        <v/>
      </c>
      <c r="FR176" s="65">
        <f t="shared" si="455"/>
        <v>0</v>
      </c>
      <c r="FS176" s="65">
        <f t="shared" si="456"/>
        <v>0</v>
      </c>
      <c r="FT176" s="66" t="str">
        <f t="shared" si="457"/>
        <v/>
      </c>
      <c r="FU176" s="74" t="str">
        <f>IF('Marks Entry'!BU176="","",'Marks Entry'!BU176)</f>
        <v/>
      </c>
      <c r="FV176" s="74" t="str">
        <f>IF('Marks Entry'!BV176="","",'Marks Entry'!BV176)</f>
        <v/>
      </c>
      <c r="FW176" s="74" t="str">
        <f>IF('Marks Entry'!BW176="","",'Marks Entry'!BW176)</f>
        <v/>
      </c>
      <c r="FX176" s="75" t="str">
        <f t="shared" si="406"/>
        <v/>
      </c>
      <c r="FY176" s="368" t="str">
        <f t="shared" si="458"/>
        <v/>
      </c>
      <c r="FZ176" s="65">
        <f t="shared" si="459"/>
        <v>0</v>
      </c>
      <c r="GA176" s="66">
        <f t="shared" si="460"/>
        <v>0</v>
      </c>
      <c r="GB176" s="66" t="str">
        <f t="shared" si="461"/>
        <v/>
      </c>
      <c r="GC176" s="74" t="str">
        <f>IF('Marks Entry'!BX176="","",'Marks Entry'!BX176)</f>
        <v/>
      </c>
      <c r="GD176" s="74" t="str">
        <f>IF('Marks Entry'!BY176="","",'Marks Entry'!BY176)</f>
        <v/>
      </c>
      <c r="GE176" s="74" t="str">
        <f>IF('Marks Entry'!BZ176="","",'Marks Entry'!BZ176)</f>
        <v/>
      </c>
      <c r="GF176" s="75" t="str">
        <f t="shared" si="462"/>
        <v/>
      </c>
      <c r="GG176" s="368" t="str">
        <f t="shared" si="463"/>
        <v/>
      </c>
      <c r="GH176" s="65">
        <f t="shared" si="464"/>
        <v>0</v>
      </c>
      <c r="GI176" s="66">
        <f t="shared" si="465"/>
        <v>0</v>
      </c>
      <c r="GJ176" s="66" t="str">
        <f t="shared" si="466"/>
        <v/>
      </c>
      <c r="GK176" s="100" t="str">
        <f>IF(AND(F176="",B176=""),"",IF('Student DATA Entry'!M173="","",'Student DATA Entry'!M173))</f>
        <v/>
      </c>
      <c r="GL176" s="101" t="str">
        <f>IF(AND(B176="",F176=""),"",IF('Student DATA Entry'!N173="","",'Student DATA Entry'!N173))</f>
        <v/>
      </c>
      <c r="GM176" s="581" t="str">
        <f t="shared" si="467"/>
        <v/>
      </c>
      <c r="GN176" s="94" t="str">
        <f t="shared" si="468"/>
        <v/>
      </c>
      <c r="GO176" s="94" t="str">
        <f t="shared" si="469"/>
        <v/>
      </c>
      <c r="GP176" s="102" t="str">
        <f t="shared" si="498"/>
        <v/>
      </c>
      <c r="GQ176" s="94" t="str">
        <f t="shared" si="470"/>
        <v/>
      </c>
      <c r="GR176" s="103" t="str">
        <f t="shared" si="471"/>
        <v/>
      </c>
      <c r="GS176" s="102" t="str">
        <f t="shared" si="499"/>
        <v/>
      </c>
      <c r="GT176" s="104" t="str">
        <f t="shared" si="472"/>
        <v/>
      </c>
      <c r="GU176" s="94" t="str">
        <f>IF('Marks Entry'!V176=1,GT176,"")</f>
        <v/>
      </c>
      <c r="GV176" s="94" t="str">
        <f>IF('Marks Entry'!V176=2,GT176,"")</f>
        <v/>
      </c>
      <c r="GW176" s="94" t="str">
        <f>IF('Marks Entry'!V176=3,GT176,"")</f>
        <v/>
      </c>
      <c r="GX176" s="94" t="str">
        <f>IF('Marks Entry'!V176=4,GT176,"")</f>
        <v/>
      </c>
      <c r="GY176" s="94" t="str">
        <f>IF('Marks Entry'!V176=5,GT176,"")</f>
        <v/>
      </c>
      <c r="GZ176" s="94" t="str">
        <f t="shared" si="473"/>
        <v/>
      </c>
      <c r="HA176" s="105" t="str">
        <f t="shared" si="500"/>
        <v/>
      </c>
      <c r="HB176" s="94" t="str">
        <f t="shared" si="474"/>
        <v/>
      </c>
      <c r="HC176" s="94" t="str">
        <f t="shared" si="475"/>
        <v/>
      </c>
      <c r="HD176" s="105" t="str">
        <f t="shared" si="501"/>
        <v/>
      </c>
      <c r="HE176" s="94" t="str">
        <f t="shared" si="476"/>
        <v/>
      </c>
      <c r="HF176" s="94" t="str">
        <f t="shared" si="477"/>
        <v/>
      </c>
      <c r="HG176" s="105" t="str">
        <f t="shared" si="502"/>
        <v/>
      </c>
      <c r="HH176" s="94" t="str">
        <f t="shared" si="478"/>
        <v/>
      </c>
      <c r="HI176" s="94" t="str">
        <f t="shared" si="479"/>
        <v/>
      </c>
      <c r="HJ176" s="105" t="str">
        <f t="shared" si="503"/>
        <v/>
      </c>
      <c r="HK176" s="94" t="str">
        <f t="shared" si="480"/>
        <v/>
      </c>
      <c r="HL176" s="94" t="str">
        <f t="shared" si="481"/>
        <v/>
      </c>
      <c r="HM176" s="105" t="str">
        <f t="shared" si="504"/>
        <v/>
      </c>
      <c r="HN176" s="367" t="str">
        <f t="shared" si="482"/>
        <v xml:space="preserve">      </v>
      </c>
      <c r="HO176" s="418" t="str">
        <f t="shared" si="505"/>
        <v xml:space="preserve">      </v>
      </c>
      <c r="HP176" s="367" t="str">
        <f t="shared" si="483"/>
        <v xml:space="preserve">      </v>
      </c>
      <c r="HQ176" s="107" t="str">
        <f t="shared" si="484"/>
        <v xml:space="preserve">      </v>
      </c>
      <c r="HR176" s="366" t="str">
        <f t="shared" si="485"/>
        <v xml:space="preserve">      </v>
      </c>
      <c r="HS176" s="544" t="str">
        <f t="shared" si="506"/>
        <v/>
      </c>
      <c r="HT176" s="542" t="str">
        <f t="shared" si="486"/>
        <v/>
      </c>
      <c r="HU176" s="541" t="str">
        <f t="shared" si="487"/>
        <v/>
      </c>
      <c r="HV176" s="540" t="str">
        <f t="shared" si="488"/>
        <v/>
      </c>
      <c r="HW176" s="537" t="str">
        <f t="shared" si="489"/>
        <v/>
      </c>
      <c r="HX176" s="539" t="str">
        <f t="shared" si="490"/>
        <v/>
      </c>
      <c r="HY176" s="553" t="str">
        <f>IFERROR(IF(OR(HS176="SUPPLEMENTARY",HS176="RE-EXAM"),'Supp. Result Entry'!AQ174,""),"")</f>
        <v/>
      </c>
      <c r="HZ176" s="538" t="str">
        <f t="shared" si="491"/>
        <v/>
      </c>
      <c r="IA176" s="415" t="str">
        <f t="shared" si="492"/>
        <v/>
      </c>
      <c r="IB176" s="415" t="str">
        <f>IF(AND(HZ176="",IA176=""),"",IF(OR(HS176="SUPPLEMENTARY",HS176="RE-EXAM"),'Supp. Result Entry'!AQ174,HS176))</f>
        <v/>
      </c>
      <c r="IC176" s="87"/>
      <c r="IS176" s="109" t="str">
        <f>IF('Supp. Result Entry'!T174="","",'Supp. Result Entry'!$T$4)</f>
        <v/>
      </c>
      <c r="IT176" s="110" t="str">
        <f>IF('Supp. Result Entry'!W174="","",'Supp. Result Entry'!$W$4)</f>
        <v/>
      </c>
      <c r="IU176" s="110" t="str">
        <f>IF('Supp. Result Entry'!Z174="","",'Supp. Result Entry'!$Z$4)</f>
        <v/>
      </c>
      <c r="IV176" s="110" t="str">
        <f>IF('Supp. Result Entry'!AC174="","",'Supp. Result Entry'!$AC$4)</f>
        <v/>
      </c>
      <c r="IW176" s="110" t="str">
        <f>IF('Supp. Result Entry'!AF174="","",'Supp. Result Entry'!$AF$4)</f>
        <v/>
      </c>
      <c r="IX176" s="110" t="str">
        <f>IF('Supp. Result Entry'!AI174="","",'Supp. Result Entry'!$AI$4)</f>
        <v/>
      </c>
      <c r="IY176" s="110" t="str">
        <f>IF('Supp. Result Entry'!AI174="","",'Supp. Result Entry'!$AL$4)</f>
        <v/>
      </c>
      <c r="IZ176" s="110" t="str">
        <f>IF('Supp. Result Entry'!U174="","",'Supp. Result Entry'!U174)</f>
        <v/>
      </c>
      <c r="JA176" s="110" t="str">
        <f>IF('Supp. Result Entry'!X174="","",'Supp. Result Entry'!X174)</f>
        <v/>
      </c>
      <c r="JB176" s="110" t="str">
        <f>IF('Supp. Result Entry'!AA174="","",'Supp. Result Entry'!AA174)</f>
        <v/>
      </c>
      <c r="JC176" s="110" t="str">
        <f>IF('Supp. Result Entry'!AD174="","",'Supp. Result Entry'!AD174)</f>
        <v/>
      </c>
      <c r="JD176" s="110" t="str">
        <f>IF('Supp. Result Entry'!AG174="","",'Supp. Result Entry'!AG174)</f>
        <v/>
      </c>
      <c r="JE176" s="110" t="str">
        <f>IF('Supp. Result Entry'!AJ174="","",'Supp. Result Entry'!AJ174)</f>
        <v/>
      </c>
      <c r="JF176" s="110" t="str">
        <f>IF('Supp. Result Entry'!AM174="","",'Supp. Result Entry'!AM174)</f>
        <v/>
      </c>
      <c r="JG176" s="110" t="str">
        <f>IF('Supp. Result Entry'!V174="","",'Supp. Result Entry'!V174)</f>
        <v/>
      </c>
      <c r="JH176" s="110" t="str">
        <f>IF('Supp. Result Entry'!Y174="","",'Supp. Result Entry'!Y174)</f>
        <v/>
      </c>
      <c r="JI176" s="110" t="str">
        <f>IF('Supp. Result Entry'!AB174="","",'Supp. Result Entry'!AB174)</f>
        <v/>
      </c>
      <c r="JJ176" s="110" t="str">
        <f>IF('Supp. Result Entry'!AE174="","",'Supp. Result Entry'!AE174)</f>
        <v/>
      </c>
      <c r="JK176" s="110" t="str">
        <f>IF('Supp. Result Entry'!AH174="","",'Supp. Result Entry'!AH174)</f>
        <v/>
      </c>
      <c r="JL176" s="110" t="str">
        <f>IF('Supp. Result Entry'!AK174="","",'Supp. Result Entry'!AK174)</f>
        <v/>
      </c>
      <c r="JM176" s="110" t="str">
        <f>IF('Supp. Result Entry'!AN174="","",'Supp. Result Entry'!AN174)</f>
        <v/>
      </c>
      <c r="JN176" s="110">
        <f>COUNTIF('Supp. Result Entry'!K174:Q174,"S")</f>
        <v>0</v>
      </c>
      <c r="JO176" s="110">
        <f t="shared" si="416"/>
        <v>0</v>
      </c>
      <c r="JP176" s="110">
        <f t="shared" si="493"/>
        <v>0</v>
      </c>
      <c r="JQ176" s="110" t="str">
        <f t="shared" si="417"/>
        <v/>
      </c>
      <c r="JR176" s="110" t="str">
        <f t="shared" si="418"/>
        <v/>
      </c>
      <c r="JS176" s="110" t="str">
        <f t="shared" si="419"/>
        <v/>
      </c>
      <c r="JT176" s="110" t="str">
        <f t="shared" si="420"/>
        <v/>
      </c>
      <c r="JU176" s="110" t="str">
        <f t="shared" si="421"/>
        <v/>
      </c>
      <c r="JV176" s="110" t="str">
        <f t="shared" si="422"/>
        <v/>
      </c>
      <c r="JW176" s="110" t="str">
        <f t="shared" si="423"/>
        <v/>
      </c>
      <c r="JX176" s="110" t="str">
        <f t="shared" si="494"/>
        <v/>
      </c>
      <c r="JY176" s="110" t="str">
        <f t="shared" si="495"/>
        <v/>
      </c>
      <c r="JZ176" s="110" t="str">
        <f t="shared" si="424"/>
        <v/>
      </c>
      <c r="KA176" s="108" t="str">
        <f t="shared" si="496"/>
        <v/>
      </c>
    </row>
    <row r="177" spans="1:287" s="108" customFormat="1" ht="21.95" customHeight="1">
      <c r="A177" s="89">
        <v>171</v>
      </c>
      <c r="B177" s="90" t="str">
        <f>IF('Marks Entry'!B177="","",'Marks Entry'!B177)</f>
        <v/>
      </c>
      <c r="C177" s="94" t="str">
        <f>IF('Marks Entry'!D177="","",'Marks Entry'!D177)</f>
        <v/>
      </c>
      <c r="D177" s="91" t="str">
        <f>IF('Marks Entry'!E177="","",'Marks Entry'!E177)</f>
        <v/>
      </c>
      <c r="E177" s="92" t="str">
        <f>IF('Marks Entry'!F177="","",'Marks Entry'!F177)</f>
        <v/>
      </c>
      <c r="F177" s="93" t="str">
        <f>IF('Marks Entry'!G177="","",'Marks Entry'!G177)</f>
        <v/>
      </c>
      <c r="G177" s="93" t="str">
        <f>IF('Marks Entry'!H177="","",'Marks Entry'!H177)</f>
        <v/>
      </c>
      <c r="H177" s="93" t="str">
        <f>IF('Marks Entry'!I177="","",'Marks Entry'!I177)</f>
        <v/>
      </c>
      <c r="I177" s="94" t="str">
        <f>IF('Marks Entry'!J177="","",'Marks Entry'!J177)</f>
        <v/>
      </c>
      <c r="J177" s="95" t="str">
        <f>IF('Marks Entry'!K177="","",'Marks Entry'!K177)</f>
        <v/>
      </c>
      <c r="K177" s="68" t="str">
        <f>IF('Marks Entry'!L177="","",'Marks Entry'!L177)</f>
        <v/>
      </c>
      <c r="L177" s="68" t="str">
        <f>IF('Marks Entry'!M177="","",'Marks Entry'!M177)</f>
        <v/>
      </c>
      <c r="M177" s="68" t="str">
        <f>IF('Marks Entry'!N177="","",'Marks Entry'!N177)</f>
        <v/>
      </c>
      <c r="N177" s="514" t="str">
        <f t="shared" si="425"/>
        <v/>
      </c>
      <c r="O177" s="68" t="str">
        <f>IF('Marks Entry'!O177="","",'Marks Entry'!O177)</f>
        <v/>
      </c>
      <c r="P177" s="515" t="str">
        <f t="shared" si="426"/>
        <v/>
      </c>
      <c r="Q177" s="68" t="str">
        <f>IF('Marks Entry'!P177="","",'Marks Entry'!P177)</f>
        <v/>
      </c>
      <c r="R177" s="96" t="str">
        <f t="shared" si="427"/>
        <v/>
      </c>
      <c r="S177" s="65">
        <f t="shared" si="428"/>
        <v>0</v>
      </c>
      <c r="T177" s="65">
        <f t="shared" si="429"/>
        <v>0</v>
      </c>
      <c r="U177" s="66" t="str">
        <f t="shared" si="339"/>
        <v/>
      </c>
      <c r="V177" s="65" t="str">
        <f t="shared" si="340"/>
        <v/>
      </c>
      <c r="W177" s="65" t="str">
        <f t="shared" si="430"/>
        <v/>
      </c>
      <c r="X177" s="65" t="str">
        <f t="shared" si="341"/>
        <v/>
      </c>
      <c r="Y177" s="68" t="str">
        <f>IF('Marks Entry'!Q177="","",'Marks Entry'!Q177)</f>
        <v/>
      </c>
      <c r="Z177" s="68" t="str">
        <f>IF('Marks Entry'!R177="","",'Marks Entry'!R177)</f>
        <v/>
      </c>
      <c r="AA177" s="68" t="str">
        <f>IF('Marks Entry'!S177="","",'Marks Entry'!S177)</f>
        <v/>
      </c>
      <c r="AB177" s="514" t="str">
        <f t="shared" si="342"/>
        <v/>
      </c>
      <c r="AC177" s="68" t="str">
        <f>IF('Marks Entry'!T177="","",'Marks Entry'!T177)</f>
        <v/>
      </c>
      <c r="AD177" s="515" t="str">
        <f t="shared" si="343"/>
        <v/>
      </c>
      <c r="AE177" s="68" t="str">
        <f>IF('Marks Entry'!U177="","",'Marks Entry'!U177)</f>
        <v/>
      </c>
      <c r="AF177" s="96" t="str">
        <f t="shared" si="344"/>
        <v/>
      </c>
      <c r="AG177" s="65">
        <f t="shared" si="345"/>
        <v>0</v>
      </c>
      <c r="AH177" s="65">
        <f t="shared" si="346"/>
        <v>0</v>
      </c>
      <c r="AI177" s="66" t="str">
        <f t="shared" si="347"/>
        <v/>
      </c>
      <c r="AJ177" s="65" t="str">
        <f t="shared" si="348"/>
        <v/>
      </c>
      <c r="AK177" s="65" t="str">
        <f t="shared" si="349"/>
        <v/>
      </c>
      <c r="AL177" s="65" t="str">
        <f t="shared" si="350"/>
        <v/>
      </c>
      <c r="AM177" s="524" t="str">
        <f>IF('Marks Entry'!V177="","",IF('Marks Entry'!V177=1,'School Profile'!$I$9,IF('Marks Entry'!V177=2,'School Profile'!$I$10,IF('Marks Entry'!V177=3,'School Profile'!$I$11,IF('Marks Entry'!V177=4,'School Profile'!$I$12,IF('Marks Entry'!V177=5,'School Profile'!$I$13,IF('Marks Entry'!V177=6,'School Profile'!$I$14,"")))))))</f>
        <v/>
      </c>
      <c r="AN177" s="68" t="str">
        <f>IF('Marks Entry'!W177="","",'Marks Entry'!W177)</f>
        <v/>
      </c>
      <c r="AO177" s="68" t="str">
        <f>IF('Marks Entry'!X177="","",'Marks Entry'!X177)</f>
        <v/>
      </c>
      <c r="AP177" s="68" t="str">
        <f>IF('Marks Entry'!Y177="","",'Marks Entry'!Y177)</f>
        <v/>
      </c>
      <c r="AQ177" s="514" t="str">
        <f t="shared" si="351"/>
        <v/>
      </c>
      <c r="AR177" s="68" t="str">
        <f>IF('Marks Entry'!Z177="","",'Marks Entry'!Z177)</f>
        <v/>
      </c>
      <c r="AS177" s="515" t="str">
        <f t="shared" si="352"/>
        <v/>
      </c>
      <c r="AT177" s="68" t="str">
        <f>IF('Marks Entry'!AA177="","",'Marks Entry'!AA177)</f>
        <v/>
      </c>
      <c r="AU177" s="96" t="str">
        <f t="shared" si="353"/>
        <v/>
      </c>
      <c r="AV177" s="65">
        <f t="shared" si="354"/>
        <v>0</v>
      </c>
      <c r="AW177" s="65">
        <f t="shared" si="355"/>
        <v>0</v>
      </c>
      <c r="AX177" s="66" t="str">
        <f t="shared" si="356"/>
        <v/>
      </c>
      <c r="AY177" s="65" t="str">
        <f t="shared" si="357"/>
        <v/>
      </c>
      <c r="AZ177" s="65" t="str">
        <f t="shared" si="358"/>
        <v/>
      </c>
      <c r="BA177" s="65" t="str">
        <f t="shared" si="359"/>
        <v/>
      </c>
      <c r="BB177" s="68" t="str">
        <f>IF('Marks Entry'!AB177="","",'Marks Entry'!AB177)</f>
        <v/>
      </c>
      <c r="BC177" s="68" t="str">
        <f>IF('Marks Entry'!AC177="","",'Marks Entry'!AC177)</f>
        <v/>
      </c>
      <c r="BD177" s="68" t="str">
        <f>IF('Marks Entry'!AD177="","",'Marks Entry'!AD177)</f>
        <v/>
      </c>
      <c r="BE177" s="514" t="str">
        <f t="shared" si="360"/>
        <v/>
      </c>
      <c r="BF177" s="68" t="str">
        <f>IF('Marks Entry'!AE177="","",'Marks Entry'!AE177)</f>
        <v/>
      </c>
      <c r="BG177" s="515" t="str">
        <f t="shared" si="361"/>
        <v/>
      </c>
      <c r="BH177" s="68" t="str">
        <f>IF('Marks Entry'!AF177="","",'Marks Entry'!AF177)</f>
        <v/>
      </c>
      <c r="BI177" s="96" t="str">
        <f t="shared" si="362"/>
        <v/>
      </c>
      <c r="BJ177" s="65">
        <f t="shared" si="363"/>
        <v>0</v>
      </c>
      <c r="BK177" s="65">
        <f t="shared" si="431"/>
        <v>0</v>
      </c>
      <c r="BL177" s="66" t="str">
        <f t="shared" si="364"/>
        <v/>
      </c>
      <c r="BM177" s="65" t="str">
        <f t="shared" si="365"/>
        <v/>
      </c>
      <c r="BN177" s="65" t="str">
        <f t="shared" si="366"/>
        <v/>
      </c>
      <c r="BO177" s="65" t="str">
        <f t="shared" si="367"/>
        <v/>
      </c>
      <c r="BP177" s="68" t="str">
        <f>IF('Marks Entry'!AG177="","",'Marks Entry'!AG177)</f>
        <v/>
      </c>
      <c r="BQ177" s="68" t="str">
        <f>IF('Marks Entry'!AH177="","",'Marks Entry'!AH177)</f>
        <v/>
      </c>
      <c r="BR177" s="68" t="str">
        <f>IF('Marks Entry'!AI177="","",'Marks Entry'!AI177)</f>
        <v/>
      </c>
      <c r="BS177" s="514" t="str">
        <f t="shared" si="368"/>
        <v/>
      </c>
      <c r="BT177" s="68" t="str">
        <f>IF('Marks Entry'!AJ177="","",'Marks Entry'!AJ177)</f>
        <v/>
      </c>
      <c r="BU177" s="515" t="str">
        <f t="shared" si="369"/>
        <v/>
      </c>
      <c r="BV177" s="68" t="str">
        <f>IF('Marks Entry'!AK177="","",'Marks Entry'!AK177)</f>
        <v/>
      </c>
      <c r="BW177" s="96" t="str">
        <f t="shared" si="370"/>
        <v/>
      </c>
      <c r="BX177" s="65">
        <f t="shared" si="371"/>
        <v>0</v>
      </c>
      <c r="BY177" s="65">
        <f t="shared" si="372"/>
        <v>0</v>
      </c>
      <c r="BZ177" s="66" t="str">
        <f t="shared" si="373"/>
        <v/>
      </c>
      <c r="CA177" s="65" t="str">
        <f t="shared" si="374"/>
        <v/>
      </c>
      <c r="CB177" s="65" t="str">
        <f t="shared" si="375"/>
        <v/>
      </c>
      <c r="CC177" s="65" t="str">
        <f t="shared" si="376"/>
        <v/>
      </c>
      <c r="CD177" s="66">
        <f t="shared" si="497"/>
        <v>0</v>
      </c>
      <c r="CE177" s="68" t="str">
        <f>IF('Marks Entry'!AL177="","",'Marks Entry'!AL177)</f>
        <v/>
      </c>
      <c r="CF177" s="68" t="str">
        <f>IF('Marks Entry'!AM177="","",'Marks Entry'!AM177)</f>
        <v/>
      </c>
      <c r="CG177" s="68" t="str">
        <f>IF('Marks Entry'!AN177="","",'Marks Entry'!AN177)</f>
        <v/>
      </c>
      <c r="CH177" s="514" t="str">
        <f t="shared" si="378"/>
        <v/>
      </c>
      <c r="CI177" s="68" t="str">
        <f>IF('Marks Entry'!AO177="","",'Marks Entry'!AO177)</f>
        <v/>
      </c>
      <c r="CJ177" s="515" t="str">
        <f t="shared" si="379"/>
        <v/>
      </c>
      <c r="CK177" s="68" t="str">
        <f>IF('Marks Entry'!AP177="","",'Marks Entry'!AP177)</f>
        <v/>
      </c>
      <c r="CL177" s="96" t="str">
        <f t="shared" si="380"/>
        <v/>
      </c>
      <c r="CM177" s="65">
        <f t="shared" si="381"/>
        <v>0</v>
      </c>
      <c r="CN177" s="65">
        <f t="shared" si="382"/>
        <v>0</v>
      </c>
      <c r="CO177" s="66" t="str">
        <f t="shared" si="383"/>
        <v/>
      </c>
      <c r="CP177" s="65" t="str">
        <f t="shared" si="384"/>
        <v/>
      </c>
      <c r="CQ177" s="65" t="str">
        <f t="shared" si="385"/>
        <v/>
      </c>
      <c r="CR177" s="65" t="str">
        <f t="shared" si="386"/>
        <v/>
      </c>
      <c r="CS177" s="616"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8" t="str">
        <f>IF('School Profile'!$D$20="NO","",IF('Marks Entry'!AR177="","",'Marks Entry'!AR177))</f>
        <v/>
      </c>
      <c r="CU177" s="68" t="str">
        <f>IF('School Profile'!$D$20="NO","",IF('Marks Entry'!AS177="","",'Marks Entry'!AS177))</f>
        <v/>
      </c>
      <c r="CV177" s="68" t="str">
        <f>IF('School Profile'!$D$20="NO","",IF('Marks Entry'!AT177="","",'Marks Entry'!AT177))</f>
        <v/>
      </c>
      <c r="CW177" s="514" t="str">
        <f>IF('School Profile'!$D$20="NO","",IF(AND(CT177="",CU177="",CV177=""),"",SUM(CT177:CV177)))</f>
        <v/>
      </c>
      <c r="CX177" s="68" t="str">
        <f>IF('School Profile'!$D$20="NO","",IF('Marks Entry'!AU177="","",'Marks Entry'!AU177))</f>
        <v/>
      </c>
      <c r="CY177" s="68" t="str">
        <f>IF('School Profile'!$D$20="NO","",IF('Marks Entry'!AV177="","",'Marks Entry'!AV177))</f>
        <v/>
      </c>
      <c r="CZ177" s="515" t="str">
        <f>IF('School Profile'!$D$20="NO","",IF(AND(CX177="",CY177=""),"",SUM(CX177,CY177)))</f>
        <v/>
      </c>
      <c r="DA177" s="69" t="str">
        <f>IF('School Profile'!$D$20="NO","",IF(AND(CW177="",CZ177=""),"",SUM(CW177+CZ177)))</f>
        <v/>
      </c>
      <c r="DB177" s="68" t="str">
        <f>IF('School Profile'!$D$20="NO","",IF('Marks Entry'!AW177="","",'Marks Entry'!AW177))</f>
        <v/>
      </c>
      <c r="DC177" s="68" t="str">
        <f>IF('School Profile'!$D$20="NO","",IF('Marks Entry'!AX177="","",'Marks Entry'!AX177))</f>
        <v/>
      </c>
      <c r="DD177" s="515" t="str">
        <f>IF('School Profile'!$D$20="NO","",IF(AND(DB177="",DC177=""),"",SUM(DB177,DC177)))</f>
        <v/>
      </c>
      <c r="DE177" s="96" t="str">
        <f>IF('School Profile'!$D$20="NO","",IF(AND(DA177="",DD177=""),"",SUM(DA177,DD177)))</f>
        <v/>
      </c>
      <c r="DF177" s="532">
        <f t="shared" si="387"/>
        <v>0</v>
      </c>
      <c r="DG177" s="65">
        <f t="shared" si="388"/>
        <v>0</v>
      </c>
      <c r="DH177" s="66" t="str">
        <f t="shared" si="389"/>
        <v/>
      </c>
      <c r="DI177" s="65" t="str">
        <f t="shared" si="390"/>
        <v/>
      </c>
      <c r="DJ177" s="65" t="str">
        <f t="shared" si="391"/>
        <v/>
      </c>
      <c r="DK177" s="65" t="str">
        <f t="shared" si="392"/>
        <v/>
      </c>
      <c r="DL177" s="97" t="str">
        <f t="shared" si="432"/>
        <v/>
      </c>
      <c r="DM177" s="97" t="str">
        <f t="shared" si="433"/>
        <v/>
      </c>
      <c r="DN177" s="97" t="str">
        <f t="shared" si="434"/>
        <v/>
      </c>
      <c r="DO177" s="97" t="str">
        <f t="shared" si="435"/>
        <v/>
      </c>
      <c r="DP177" s="97" t="str">
        <f t="shared" si="436"/>
        <v/>
      </c>
      <c r="DQ177" s="97" t="str">
        <f t="shared" si="437"/>
        <v/>
      </c>
      <c r="DR177" s="97" t="str">
        <f t="shared" si="438"/>
        <v/>
      </c>
      <c r="DS177" s="98">
        <f t="shared" si="439"/>
        <v>0</v>
      </c>
      <c r="DT177" s="98">
        <f t="shared" si="440"/>
        <v>0</v>
      </c>
      <c r="DU177" s="98">
        <f t="shared" si="441"/>
        <v>0</v>
      </c>
      <c r="DV177" s="98">
        <f t="shared" si="442"/>
        <v>0</v>
      </c>
      <c r="DW177" s="98">
        <f t="shared" si="443"/>
        <v>0</v>
      </c>
      <c r="DX177" s="98" t="str">
        <f t="shared" si="444"/>
        <v/>
      </c>
      <c r="DY177" s="99" t="str">
        <f t="shared" si="445"/>
        <v/>
      </c>
      <c r="DZ177" s="74" t="str">
        <f>IF('Marks Entry'!AY177="","",'Marks Entry'!AY177)</f>
        <v/>
      </c>
      <c r="EA177" s="74" t="str">
        <f>IF('Marks Entry'!AZ177="","",'Marks Entry'!AZ177)</f>
        <v/>
      </c>
      <c r="EB177" s="74" t="str">
        <f>IF('Marks Entry'!BA177="","",'Marks Entry'!BA177)</f>
        <v/>
      </c>
      <c r="EC177" s="527" t="str">
        <f t="shared" si="393"/>
        <v/>
      </c>
      <c r="ED177" s="74" t="str">
        <f>IF('Marks Entry'!BB177="","",'Marks Entry'!BB177)</f>
        <v/>
      </c>
      <c r="EE177" s="528" t="str">
        <f t="shared" si="394"/>
        <v/>
      </c>
      <c r="EF177" s="74" t="str">
        <f>IF('Marks Entry'!BC177="","",'Marks Entry'!BC177)</f>
        <v/>
      </c>
      <c r="EG177" s="530" t="str">
        <f t="shared" si="395"/>
        <v/>
      </c>
      <c r="EH177" s="368" t="str">
        <f t="shared" si="446"/>
        <v/>
      </c>
      <c r="EI177" s="65">
        <f t="shared" si="447"/>
        <v>0</v>
      </c>
      <c r="EJ177" s="65">
        <f t="shared" si="448"/>
        <v>0</v>
      </c>
      <c r="EK177" s="66" t="str">
        <f t="shared" si="449"/>
        <v/>
      </c>
      <c r="EL177" s="74" t="str">
        <f>IF('Marks Entry'!BD177="","",'Marks Entry'!BD177)</f>
        <v/>
      </c>
      <c r="EM177" s="74" t="str">
        <f>IF('Marks Entry'!BE177="","",'Marks Entry'!BE177)</f>
        <v/>
      </c>
      <c r="EN177" s="74" t="str">
        <f>IF('Marks Entry'!BF177="","",'Marks Entry'!BF177)</f>
        <v/>
      </c>
      <c r="EO177" s="527" t="str">
        <f t="shared" si="396"/>
        <v/>
      </c>
      <c r="EP177" s="74" t="str">
        <f>IF('Marks Entry'!BG177="","",'Marks Entry'!BG177)</f>
        <v/>
      </c>
      <c r="EQ177" s="74" t="str">
        <f>IF('Marks Entry'!BH177="","",'Marks Entry'!BH177)</f>
        <v/>
      </c>
      <c r="ER177" s="528" t="str">
        <f t="shared" si="397"/>
        <v/>
      </c>
      <c r="ES177" s="529" t="str">
        <f t="shared" si="398"/>
        <v/>
      </c>
      <c r="ET177" s="74" t="str">
        <f>IF('Marks Entry'!BI177="","",'Marks Entry'!BI177)</f>
        <v/>
      </c>
      <c r="EU177" s="74" t="str">
        <f>IF('Marks Entry'!BJ177="","",'Marks Entry'!BJ177)</f>
        <v/>
      </c>
      <c r="EV177" s="528" t="str">
        <f t="shared" si="399"/>
        <v/>
      </c>
      <c r="EW177" s="530" t="str">
        <f t="shared" si="400"/>
        <v/>
      </c>
      <c r="EX177" s="368" t="str">
        <f t="shared" si="450"/>
        <v/>
      </c>
      <c r="EY177" s="65">
        <f t="shared" si="451"/>
        <v>0</v>
      </c>
      <c r="EZ177" s="65">
        <f t="shared" si="452"/>
        <v>0</v>
      </c>
      <c r="FA177" s="66" t="str">
        <f t="shared" si="453"/>
        <v/>
      </c>
      <c r="FB177" s="74" t="str">
        <f>IF('Marks Entry'!BK177="","",'Marks Entry'!BK177)</f>
        <v/>
      </c>
      <c r="FC177" s="74" t="str">
        <f>IF('Marks Entry'!BL177="","",'Marks Entry'!BL177)</f>
        <v/>
      </c>
      <c r="FD177" s="74" t="str">
        <f>IF('Marks Entry'!BM177="","",'Marks Entry'!BM177)</f>
        <v/>
      </c>
      <c r="FE177" s="74" t="str">
        <f>IF('Marks Entry'!BN177="","",'Marks Entry'!BN177)</f>
        <v/>
      </c>
      <c r="FF177" s="74" t="str">
        <f>IF('Marks Entry'!BO177="","",'Marks Entry'!BO177)</f>
        <v/>
      </c>
      <c r="FG177" s="74" t="str">
        <f>IF('Marks Entry'!BP177="","",'Marks Entry'!BP177)</f>
        <v/>
      </c>
      <c r="FH177" s="527" t="str">
        <f t="shared" si="401"/>
        <v/>
      </c>
      <c r="FI177" s="74" t="str">
        <f>IF('Marks Entry'!BQ177="","",'Marks Entry'!BQ177)</f>
        <v/>
      </c>
      <c r="FJ177" s="74" t="str">
        <f>IF('Marks Entry'!BR177="","",'Marks Entry'!BR177)</f>
        <v/>
      </c>
      <c r="FK177" s="528" t="str">
        <f t="shared" si="402"/>
        <v/>
      </c>
      <c r="FL177" s="529" t="str">
        <f t="shared" si="403"/>
        <v/>
      </c>
      <c r="FM177" s="74" t="str">
        <f>IF('Marks Entry'!BS177="","",'Marks Entry'!BS177)</f>
        <v/>
      </c>
      <c r="FN177" s="74" t="str">
        <f>IF('Marks Entry'!BT177="","",'Marks Entry'!BT177)</f>
        <v/>
      </c>
      <c r="FO177" s="528" t="str">
        <f t="shared" si="404"/>
        <v/>
      </c>
      <c r="FP177" s="530" t="str">
        <f t="shared" si="405"/>
        <v/>
      </c>
      <c r="FQ177" s="368" t="str">
        <f t="shared" si="454"/>
        <v/>
      </c>
      <c r="FR177" s="65">
        <f t="shared" si="455"/>
        <v>0</v>
      </c>
      <c r="FS177" s="65">
        <f t="shared" si="456"/>
        <v>0</v>
      </c>
      <c r="FT177" s="66" t="str">
        <f t="shared" si="457"/>
        <v/>
      </c>
      <c r="FU177" s="74" t="str">
        <f>IF('Marks Entry'!BU177="","",'Marks Entry'!BU177)</f>
        <v/>
      </c>
      <c r="FV177" s="74" t="str">
        <f>IF('Marks Entry'!BV177="","",'Marks Entry'!BV177)</f>
        <v/>
      </c>
      <c r="FW177" s="74" t="str">
        <f>IF('Marks Entry'!BW177="","",'Marks Entry'!BW177)</f>
        <v/>
      </c>
      <c r="FX177" s="75" t="str">
        <f t="shared" si="406"/>
        <v/>
      </c>
      <c r="FY177" s="368" t="str">
        <f t="shared" si="458"/>
        <v/>
      </c>
      <c r="FZ177" s="65">
        <f t="shared" si="459"/>
        <v>0</v>
      </c>
      <c r="GA177" s="66">
        <f t="shared" si="460"/>
        <v>0</v>
      </c>
      <c r="GB177" s="66" t="str">
        <f t="shared" si="461"/>
        <v/>
      </c>
      <c r="GC177" s="74" t="str">
        <f>IF('Marks Entry'!BX177="","",'Marks Entry'!BX177)</f>
        <v/>
      </c>
      <c r="GD177" s="74" t="str">
        <f>IF('Marks Entry'!BY177="","",'Marks Entry'!BY177)</f>
        <v/>
      </c>
      <c r="GE177" s="74" t="str">
        <f>IF('Marks Entry'!BZ177="","",'Marks Entry'!BZ177)</f>
        <v/>
      </c>
      <c r="GF177" s="75" t="str">
        <f t="shared" si="462"/>
        <v/>
      </c>
      <c r="GG177" s="368" t="str">
        <f t="shared" si="463"/>
        <v/>
      </c>
      <c r="GH177" s="65">
        <f t="shared" si="464"/>
        <v>0</v>
      </c>
      <c r="GI177" s="66">
        <f t="shared" si="465"/>
        <v>0</v>
      </c>
      <c r="GJ177" s="66" t="str">
        <f t="shared" si="466"/>
        <v/>
      </c>
      <c r="GK177" s="100" t="str">
        <f>IF(AND(F177="",B177=""),"",IF('Student DATA Entry'!M174="","",'Student DATA Entry'!M174))</f>
        <v/>
      </c>
      <c r="GL177" s="101" t="str">
        <f>IF(AND(B177="",F177=""),"",IF('Student DATA Entry'!N174="","",'Student DATA Entry'!N174))</f>
        <v/>
      </c>
      <c r="GM177" s="581" t="str">
        <f t="shared" si="467"/>
        <v/>
      </c>
      <c r="GN177" s="94" t="str">
        <f t="shared" si="468"/>
        <v/>
      </c>
      <c r="GO177" s="94" t="str">
        <f t="shared" si="469"/>
        <v/>
      </c>
      <c r="GP177" s="102" t="str">
        <f t="shared" si="498"/>
        <v/>
      </c>
      <c r="GQ177" s="94" t="str">
        <f t="shared" si="470"/>
        <v/>
      </c>
      <c r="GR177" s="103" t="str">
        <f t="shared" si="471"/>
        <v/>
      </c>
      <c r="GS177" s="102" t="str">
        <f t="shared" si="499"/>
        <v/>
      </c>
      <c r="GT177" s="104" t="str">
        <f t="shared" si="472"/>
        <v/>
      </c>
      <c r="GU177" s="94" t="str">
        <f>IF('Marks Entry'!V177=1,GT177,"")</f>
        <v/>
      </c>
      <c r="GV177" s="94" t="str">
        <f>IF('Marks Entry'!V177=2,GT177,"")</f>
        <v/>
      </c>
      <c r="GW177" s="94" t="str">
        <f>IF('Marks Entry'!V177=3,GT177,"")</f>
        <v/>
      </c>
      <c r="GX177" s="94" t="str">
        <f>IF('Marks Entry'!V177=4,GT177,"")</f>
        <v/>
      </c>
      <c r="GY177" s="94" t="str">
        <f>IF('Marks Entry'!V177=5,GT177,"")</f>
        <v/>
      </c>
      <c r="GZ177" s="94" t="str">
        <f t="shared" si="473"/>
        <v/>
      </c>
      <c r="HA177" s="105" t="str">
        <f t="shared" si="500"/>
        <v/>
      </c>
      <c r="HB177" s="94" t="str">
        <f t="shared" si="474"/>
        <v/>
      </c>
      <c r="HC177" s="94" t="str">
        <f t="shared" si="475"/>
        <v/>
      </c>
      <c r="HD177" s="105" t="str">
        <f t="shared" si="501"/>
        <v/>
      </c>
      <c r="HE177" s="94" t="str">
        <f t="shared" si="476"/>
        <v/>
      </c>
      <c r="HF177" s="94" t="str">
        <f t="shared" si="477"/>
        <v/>
      </c>
      <c r="HG177" s="105" t="str">
        <f t="shared" si="502"/>
        <v/>
      </c>
      <c r="HH177" s="94" t="str">
        <f t="shared" si="478"/>
        <v/>
      </c>
      <c r="HI177" s="94" t="str">
        <f t="shared" si="479"/>
        <v/>
      </c>
      <c r="HJ177" s="105" t="str">
        <f t="shared" si="503"/>
        <v/>
      </c>
      <c r="HK177" s="94" t="str">
        <f t="shared" si="480"/>
        <v/>
      </c>
      <c r="HL177" s="94" t="str">
        <f t="shared" si="481"/>
        <v/>
      </c>
      <c r="HM177" s="105" t="str">
        <f t="shared" si="504"/>
        <v/>
      </c>
      <c r="HN177" s="367" t="str">
        <f t="shared" si="482"/>
        <v xml:space="preserve">      </v>
      </c>
      <c r="HO177" s="418" t="str">
        <f t="shared" si="505"/>
        <v xml:space="preserve">      </v>
      </c>
      <c r="HP177" s="367" t="str">
        <f t="shared" si="483"/>
        <v xml:space="preserve">      </v>
      </c>
      <c r="HQ177" s="107" t="str">
        <f t="shared" si="484"/>
        <v xml:space="preserve">      </v>
      </c>
      <c r="HR177" s="366" t="str">
        <f t="shared" si="485"/>
        <v xml:space="preserve">      </v>
      </c>
      <c r="HS177" s="544" t="str">
        <f t="shared" si="506"/>
        <v/>
      </c>
      <c r="HT177" s="542" t="str">
        <f t="shared" si="486"/>
        <v/>
      </c>
      <c r="HU177" s="541" t="str">
        <f t="shared" si="487"/>
        <v/>
      </c>
      <c r="HV177" s="540" t="str">
        <f t="shared" si="488"/>
        <v/>
      </c>
      <c r="HW177" s="537" t="str">
        <f t="shared" si="489"/>
        <v/>
      </c>
      <c r="HX177" s="539" t="str">
        <f t="shared" si="490"/>
        <v/>
      </c>
      <c r="HY177" s="553" t="str">
        <f>IFERROR(IF(OR(HS177="SUPPLEMENTARY",HS177="RE-EXAM"),'Supp. Result Entry'!AQ175,""),"")</f>
        <v/>
      </c>
      <c r="HZ177" s="538" t="str">
        <f t="shared" si="491"/>
        <v/>
      </c>
      <c r="IA177" s="415" t="str">
        <f t="shared" si="492"/>
        <v/>
      </c>
      <c r="IB177" s="415" t="str">
        <f>IF(AND(HZ177="",IA177=""),"",IF(OR(HS177="SUPPLEMENTARY",HS177="RE-EXAM"),'Supp. Result Entry'!AQ175,HS177))</f>
        <v/>
      </c>
      <c r="IC177" s="87"/>
      <c r="IS177" s="109" t="str">
        <f>IF('Supp. Result Entry'!T175="","",'Supp. Result Entry'!$T$4)</f>
        <v/>
      </c>
      <c r="IT177" s="110" t="str">
        <f>IF('Supp. Result Entry'!W175="","",'Supp. Result Entry'!$W$4)</f>
        <v/>
      </c>
      <c r="IU177" s="110" t="str">
        <f>IF('Supp. Result Entry'!Z175="","",'Supp. Result Entry'!$Z$4)</f>
        <v/>
      </c>
      <c r="IV177" s="110" t="str">
        <f>IF('Supp. Result Entry'!AC175="","",'Supp. Result Entry'!$AC$4)</f>
        <v/>
      </c>
      <c r="IW177" s="110" t="str">
        <f>IF('Supp. Result Entry'!AF175="","",'Supp. Result Entry'!$AF$4)</f>
        <v/>
      </c>
      <c r="IX177" s="110" t="str">
        <f>IF('Supp. Result Entry'!AI175="","",'Supp. Result Entry'!$AI$4)</f>
        <v/>
      </c>
      <c r="IY177" s="110" t="str">
        <f>IF('Supp. Result Entry'!AI175="","",'Supp. Result Entry'!$AL$4)</f>
        <v/>
      </c>
      <c r="IZ177" s="110" t="str">
        <f>IF('Supp. Result Entry'!U175="","",'Supp. Result Entry'!U175)</f>
        <v/>
      </c>
      <c r="JA177" s="110" t="str">
        <f>IF('Supp. Result Entry'!X175="","",'Supp. Result Entry'!X175)</f>
        <v/>
      </c>
      <c r="JB177" s="110" t="str">
        <f>IF('Supp. Result Entry'!AA175="","",'Supp. Result Entry'!AA175)</f>
        <v/>
      </c>
      <c r="JC177" s="110" t="str">
        <f>IF('Supp. Result Entry'!AD175="","",'Supp. Result Entry'!AD175)</f>
        <v/>
      </c>
      <c r="JD177" s="110" t="str">
        <f>IF('Supp. Result Entry'!AG175="","",'Supp. Result Entry'!AG175)</f>
        <v/>
      </c>
      <c r="JE177" s="110" t="str">
        <f>IF('Supp. Result Entry'!AJ175="","",'Supp. Result Entry'!AJ175)</f>
        <v/>
      </c>
      <c r="JF177" s="110" t="str">
        <f>IF('Supp. Result Entry'!AM175="","",'Supp. Result Entry'!AM175)</f>
        <v/>
      </c>
      <c r="JG177" s="110" t="str">
        <f>IF('Supp. Result Entry'!V175="","",'Supp. Result Entry'!V175)</f>
        <v/>
      </c>
      <c r="JH177" s="110" t="str">
        <f>IF('Supp. Result Entry'!Y175="","",'Supp. Result Entry'!Y175)</f>
        <v/>
      </c>
      <c r="JI177" s="110" t="str">
        <f>IF('Supp. Result Entry'!AB175="","",'Supp. Result Entry'!AB175)</f>
        <v/>
      </c>
      <c r="JJ177" s="110" t="str">
        <f>IF('Supp. Result Entry'!AE175="","",'Supp. Result Entry'!AE175)</f>
        <v/>
      </c>
      <c r="JK177" s="110" t="str">
        <f>IF('Supp. Result Entry'!AH175="","",'Supp. Result Entry'!AH175)</f>
        <v/>
      </c>
      <c r="JL177" s="110" t="str">
        <f>IF('Supp. Result Entry'!AK175="","",'Supp. Result Entry'!AK175)</f>
        <v/>
      </c>
      <c r="JM177" s="110" t="str">
        <f>IF('Supp. Result Entry'!AN175="","",'Supp. Result Entry'!AN175)</f>
        <v/>
      </c>
      <c r="JN177" s="110">
        <f>COUNTIF('Supp. Result Entry'!K175:Q175,"S")</f>
        <v>0</v>
      </c>
      <c r="JO177" s="110">
        <f t="shared" si="416"/>
        <v>0</v>
      </c>
      <c r="JP177" s="110">
        <f t="shared" si="493"/>
        <v>0</v>
      </c>
      <c r="JQ177" s="110" t="str">
        <f t="shared" si="417"/>
        <v/>
      </c>
      <c r="JR177" s="110" t="str">
        <f t="shared" si="418"/>
        <v/>
      </c>
      <c r="JS177" s="110" t="str">
        <f t="shared" si="419"/>
        <v/>
      </c>
      <c r="JT177" s="110" t="str">
        <f t="shared" si="420"/>
        <v/>
      </c>
      <c r="JU177" s="110" t="str">
        <f t="shared" si="421"/>
        <v/>
      </c>
      <c r="JV177" s="110" t="str">
        <f t="shared" si="422"/>
        <v/>
      </c>
      <c r="JW177" s="110" t="str">
        <f t="shared" si="423"/>
        <v/>
      </c>
      <c r="JX177" s="110" t="str">
        <f t="shared" si="494"/>
        <v/>
      </c>
      <c r="JY177" s="110" t="str">
        <f t="shared" si="495"/>
        <v/>
      </c>
      <c r="JZ177" s="110" t="str">
        <f t="shared" si="424"/>
        <v/>
      </c>
      <c r="KA177" s="108" t="str">
        <f t="shared" si="496"/>
        <v/>
      </c>
    </row>
    <row r="178" spans="1:287" s="108" customFormat="1" ht="21.95" customHeight="1">
      <c r="A178" s="89">
        <v>172</v>
      </c>
      <c r="B178" s="90" t="str">
        <f>IF('Marks Entry'!B178="","",'Marks Entry'!B178)</f>
        <v/>
      </c>
      <c r="C178" s="94" t="str">
        <f>IF('Marks Entry'!D178="","",'Marks Entry'!D178)</f>
        <v/>
      </c>
      <c r="D178" s="91" t="str">
        <f>IF('Marks Entry'!E178="","",'Marks Entry'!E178)</f>
        <v/>
      </c>
      <c r="E178" s="92" t="str">
        <f>IF('Marks Entry'!F178="","",'Marks Entry'!F178)</f>
        <v/>
      </c>
      <c r="F178" s="93" t="str">
        <f>IF('Marks Entry'!G178="","",'Marks Entry'!G178)</f>
        <v/>
      </c>
      <c r="G178" s="93" t="str">
        <f>IF('Marks Entry'!H178="","",'Marks Entry'!H178)</f>
        <v/>
      </c>
      <c r="H178" s="93" t="str">
        <f>IF('Marks Entry'!I178="","",'Marks Entry'!I178)</f>
        <v/>
      </c>
      <c r="I178" s="94" t="str">
        <f>IF('Marks Entry'!J178="","",'Marks Entry'!J178)</f>
        <v/>
      </c>
      <c r="J178" s="95" t="str">
        <f>IF('Marks Entry'!K178="","",'Marks Entry'!K178)</f>
        <v/>
      </c>
      <c r="K178" s="68" t="str">
        <f>IF('Marks Entry'!L178="","",'Marks Entry'!L178)</f>
        <v/>
      </c>
      <c r="L178" s="68" t="str">
        <f>IF('Marks Entry'!M178="","",'Marks Entry'!M178)</f>
        <v/>
      </c>
      <c r="M178" s="68" t="str">
        <f>IF('Marks Entry'!N178="","",'Marks Entry'!N178)</f>
        <v/>
      </c>
      <c r="N178" s="514" t="str">
        <f t="shared" si="425"/>
        <v/>
      </c>
      <c r="O178" s="68" t="str">
        <f>IF('Marks Entry'!O178="","",'Marks Entry'!O178)</f>
        <v/>
      </c>
      <c r="P178" s="515" t="str">
        <f t="shared" si="426"/>
        <v/>
      </c>
      <c r="Q178" s="68" t="str">
        <f>IF('Marks Entry'!P178="","",'Marks Entry'!P178)</f>
        <v/>
      </c>
      <c r="R178" s="96" t="str">
        <f t="shared" si="427"/>
        <v/>
      </c>
      <c r="S178" s="65">
        <f t="shared" si="428"/>
        <v>0</v>
      </c>
      <c r="T178" s="65">
        <f t="shared" si="429"/>
        <v>0</v>
      </c>
      <c r="U178" s="66" t="str">
        <f t="shared" si="339"/>
        <v/>
      </c>
      <c r="V178" s="65" t="str">
        <f t="shared" si="340"/>
        <v/>
      </c>
      <c r="W178" s="65" t="str">
        <f t="shared" si="430"/>
        <v/>
      </c>
      <c r="X178" s="65" t="str">
        <f t="shared" si="341"/>
        <v/>
      </c>
      <c r="Y178" s="68" t="str">
        <f>IF('Marks Entry'!Q178="","",'Marks Entry'!Q178)</f>
        <v/>
      </c>
      <c r="Z178" s="68" t="str">
        <f>IF('Marks Entry'!R178="","",'Marks Entry'!R178)</f>
        <v/>
      </c>
      <c r="AA178" s="68" t="str">
        <f>IF('Marks Entry'!S178="","",'Marks Entry'!S178)</f>
        <v/>
      </c>
      <c r="AB178" s="514" t="str">
        <f t="shared" si="342"/>
        <v/>
      </c>
      <c r="AC178" s="68" t="str">
        <f>IF('Marks Entry'!T178="","",'Marks Entry'!T178)</f>
        <v/>
      </c>
      <c r="AD178" s="515" t="str">
        <f t="shared" si="343"/>
        <v/>
      </c>
      <c r="AE178" s="68" t="str">
        <f>IF('Marks Entry'!U178="","",'Marks Entry'!U178)</f>
        <v/>
      </c>
      <c r="AF178" s="96" t="str">
        <f t="shared" si="344"/>
        <v/>
      </c>
      <c r="AG178" s="65">
        <f t="shared" si="345"/>
        <v>0</v>
      </c>
      <c r="AH178" s="65">
        <f t="shared" si="346"/>
        <v>0</v>
      </c>
      <c r="AI178" s="66" t="str">
        <f t="shared" si="347"/>
        <v/>
      </c>
      <c r="AJ178" s="65" t="str">
        <f t="shared" si="348"/>
        <v/>
      </c>
      <c r="AK178" s="65" t="str">
        <f t="shared" si="349"/>
        <v/>
      </c>
      <c r="AL178" s="65" t="str">
        <f t="shared" si="350"/>
        <v/>
      </c>
      <c r="AM178" s="524" t="str">
        <f>IF('Marks Entry'!V178="","",IF('Marks Entry'!V178=1,'School Profile'!$I$9,IF('Marks Entry'!V178=2,'School Profile'!$I$10,IF('Marks Entry'!V178=3,'School Profile'!$I$11,IF('Marks Entry'!V178=4,'School Profile'!$I$12,IF('Marks Entry'!V178=5,'School Profile'!$I$13,IF('Marks Entry'!V178=6,'School Profile'!$I$14,"")))))))</f>
        <v/>
      </c>
      <c r="AN178" s="68" t="str">
        <f>IF('Marks Entry'!W178="","",'Marks Entry'!W178)</f>
        <v/>
      </c>
      <c r="AO178" s="68" t="str">
        <f>IF('Marks Entry'!X178="","",'Marks Entry'!X178)</f>
        <v/>
      </c>
      <c r="AP178" s="68" t="str">
        <f>IF('Marks Entry'!Y178="","",'Marks Entry'!Y178)</f>
        <v/>
      </c>
      <c r="AQ178" s="514" t="str">
        <f t="shared" si="351"/>
        <v/>
      </c>
      <c r="AR178" s="68" t="str">
        <f>IF('Marks Entry'!Z178="","",'Marks Entry'!Z178)</f>
        <v/>
      </c>
      <c r="AS178" s="515" t="str">
        <f t="shared" si="352"/>
        <v/>
      </c>
      <c r="AT178" s="68" t="str">
        <f>IF('Marks Entry'!AA178="","",'Marks Entry'!AA178)</f>
        <v/>
      </c>
      <c r="AU178" s="96" t="str">
        <f t="shared" si="353"/>
        <v/>
      </c>
      <c r="AV178" s="65">
        <f t="shared" si="354"/>
        <v>0</v>
      </c>
      <c r="AW178" s="65">
        <f t="shared" si="355"/>
        <v>0</v>
      </c>
      <c r="AX178" s="66" t="str">
        <f t="shared" si="356"/>
        <v/>
      </c>
      <c r="AY178" s="65" t="str">
        <f t="shared" si="357"/>
        <v/>
      </c>
      <c r="AZ178" s="65" t="str">
        <f t="shared" si="358"/>
        <v/>
      </c>
      <c r="BA178" s="65" t="str">
        <f t="shared" si="359"/>
        <v/>
      </c>
      <c r="BB178" s="68" t="str">
        <f>IF('Marks Entry'!AB178="","",'Marks Entry'!AB178)</f>
        <v/>
      </c>
      <c r="BC178" s="68" t="str">
        <f>IF('Marks Entry'!AC178="","",'Marks Entry'!AC178)</f>
        <v/>
      </c>
      <c r="BD178" s="68" t="str">
        <f>IF('Marks Entry'!AD178="","",'Marks Entry'!AD178)</f>
        <v/>
      </c>
      <c r="BE178" s="514" t="str">
        <f t="shared" si="360"/>
        <v/>
      </c>
      <c r="BF178" s="68" t="str">
        <f>IF('Marks Entry'!AE178="","",'Marks Entry'!AE178)</f>
        <v/>
      </c>
      <c r="BG178" s="515" t="str">
        <f t="shared" si="361"/>
        <v/>
      </c>
      <c r="BH178" s="68" t="str">
        <f>IF('Marks Entry'!AF178="","",'Marks Entry'!AF178)</f>
        <v/>
      </c>
      <c r="BI178" s="96" t="str">
        <f t="shared" si="362"/>
        <v/>
      </c>
      <c r="BJ178" s="65">
        <f t="shared" si="363"/>
        <v>0</v>
      </c>
      <c r="BK178" s="65">
        <f t="shared" si="431"/>
        <v>0</v>
      </c>
      <c r="BL178" s="66" t="str">
        <f t="shared" si="364"/>
        <v/>
      </c>
      <c r="BM178" s="65" t="str">
        <f t="shared" si="365"/>
        <v/>
      </c>
      <c r="BN178" s="65" t="str">
        <f t="shared" si="366"/>
        <v/>
      </c>
      <c r="BO178" s="65" t="str">
        <f t="shared" si="367"/>
        <v/>
      </c>
      <c r="BP178" s="68" t="str">
        <f>IF('Marks Entry'!AG178="","",'Marks Entry'!AG178)</f>
        <v/>
      </c>
      <c r="BQ178" s="68" t="str">
        <f>IF('Marks Entry'!AH178="","",'Marks Entry'!AH178)</f>
        <v/>
      </c>
      <c r="BR178" s="68" t="str">
        <f>IF('Marks Entry'!AI178="","",'Marks Entry'!AI178)</f>
        <v/>
      </c>
      <c r="BS178" s="514" t="str">
        <f t="shared" si="368"/>
        <v/>
      </c>
      <c r="BT178" s="68" t="str">
        <f>IF('Marks Entry'!AJ178="","",'Marks Entry'!AJ178)</f>
        <v/>
      </c>
      <c r="BU178" s="515" t="str">
        <f t="shared" si="369"/>
        <v/>
      </c>
      <c r="BV178" s="68" t="str">
        <f>IF('Marks Entry'!AK178="","",'Marks Entry'!AK178)</f>
        <v/>
      </c>
      <c r="BW178" s="96" t="str">
        <f t="shared" si="370"/>
        <v/>
      </c>
      <c r="BX178" s="65">
        <f t="shared" si="371"/>
        <v>0</v>
      </c>
      <c r="BY178" s="65">
        <f t="shared" si="372"/>
        <v>0</v>
      </c>
      <c r="BZ178" s="66" t="str">
        <f t="shared" si="373"/>
        <v/>
      </c>
      <c r="CA178" s="65" t="str">
        <f t="shared" si="374"/>
        <v/>
      </c>
      <c r="CB178" s="65" t="str">
        <f t="shared" si="375"/>
        <v/>
      </c>
      <c r="CC178" s="65" t="str">
        <f t="shared" si="376"/>
        <v/>
      </c>
      <c r="CD178" s="66">
        <f t="shared" si="497"/>
        <v>0</v>
      </c>
      <c r="CE178" s="68" t="str">
        <f>IF('Marks Entry'!AL178="","",'Marks Entry'!AL178)</f>
        <v/>
      </c>
      <c r="CF178" s="68" t="str">
        <f>IF('Marks Entry'!AM178="","",'Marks Entry'!AM178)</f>
        <v/>
      </c>
      <c r="CG178" s="68" t="str">
        <f>IF('Marks Entry'!AN178="","",'Marks Entry'!AN178)</f>
        <v/>
      </c>
      <c r="CH178" s="514" t="str">
        <f t="shared" si="378"/>
        <v/>
      </c>
      <c r="CI178" s="68" t="str">
        <f>IF('Marks Entry'!AO178="","",'Marks Entry'!AO178)</f>
        <v/>
      </c>
      <c r="CJ178" s="515" t="str">
        <f t="shared" si="379"/>
        <v/>
      </c>
      <c r="CK178" s="68" t="str">
        <f>IF('Marks Entry'!AP178="","",'Marks Entry'!AP178)</f>
        <v/>
      </c>
      <c r="CL178" s="96" t="str">
        <f t="shared" si="380"/>
        <v/>
      </c>
      <c r="CM178" s="65">
        <f t="shared" si="381"/>
        <v>0</v>
      </c>
      <c r="CN178" s="65">
        <f t="shared" si="382"/>
        <v>0</v>
      </c>
      <c r="CO178" s="66" t="str">
        <f t="shared" si="383"/>
        <v/>
      </c>
      <c r="CP178" s="65" t="str">
        <f t="shared" si="384"/>
        <v/>
      </c>
      <c r="CQ178" s="65" t="str">
        <f t="shared" si="385"/>
        <v/>
      </c>
      <c r="CR178" s="65" t="str">
        <f t="shared" si="386"/>
        <v/>
      </c>
      <c r="CS178" s="616"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8" t="str">
        <f>IF('School Profile'!$D$20="NO","",IF('Marks Entry'!AR178="","",'Marks Entry'!AR178))</f>
        <v/>
      </c>
      <c r="CU178" s="68" t="str">
        <f>IF('School Profile'!$D$20="NO","",IF('Marks Entry'!AS178="","",'Marks Entry'!AS178))</f>
        <v/>
      </c>
      <c r="CV178" s="68" t="str">
        <f>IF('School Profile'!$D$20="NO","",IF('Marks Entry'!AT178="","",'Marks Entry'!AT178))</f>
        <v/>
      </c>
      <c r="CW178" s="514" t="str">
        <f>IF('School Profile'!$D$20="NO","",IF(AND(CT178="",CU178="",CV178=""),"",SUM(CT178:CV178)))</f>
        <v/>
      </c>
      <c r="CX178" s="68" t="str">
        <f>IF('School Profile'!$D$20="NO","",IF('Marks Entry'!AU178="","",'Marks Entry'!AU178))</f>
        <v/>
      </c>
      <c r="CY178" s="68" t="str">
        <f>IF('School Profile'!$D$20="NO","",IF('Marks Entry'!AV178="","",'Marks Entry'!AV178))</f>
        <v/>
      </c>
      <c r="CZ178" s="515" t="str">
        <f>IF('School Profile'!$D$20="NO","",IF(AND(CX178="",CY178=""),"",SUM(CX178,CY178)))</f>
        <v/>
      </c>
      <c r="DA178" s="69" t="str">
        <f>IF('School Profile'!$D$20="NO","",IF(AND(CW178="",CZ178=""),"",SUM(CW178+CZ178)))</f>
        <v/>
      </c>
      <c r="DB178" s="68" t="str">
        <f>IF('School Profile'!$D$20="NO","",IF('Marks Entry'!AW178="","",'Marks Entry'!AW178))</f>
        <v/>
      </c>
      <c r="DC178" s="68" t="str">
        <f>IF('School Profile'!$D$20="NO","",IF('Marks Entry'!AX178="","",'Marks Entry'!AX178))</f>
        <v/>
      </c>
      <c r="DD178" s="515" t="str">
        <f>IF('School Profile'!$D$20="NO","",IF(AND(DB178="",DC178=""),"",SUM(DB178,DC178)))</f>
        <v/>
      </c>
      <c r="DE178" s="96" t="str">
        <f>IF('School Profile'!$D$20="NO","",IF(AND(DA178="",DD178=""),"",SUM(DA178,DD178)))</f>
        <v/>
      </c>
      <c r="DF178" s="532">
        <f t="shared" si="387"/>
        <v>0</v>
      </c>
      <c r="DG178" s="65">
        <f t="shared" si="388"/>
        <v>0</v>
      </c>
      <c r="DH178" s="66" t="str">
        <f t="shared" si="389"/>
        <v/>
      </c>
      <c r="DI178" s="65" t="str">
        <f t="shared" si="390"/>
        <v/>
      </c>
      <c r="DJ178" s="65" t="str">
        <f t="shared" si="391"/>
        <v/>
      </c>
      <c r="DK178" s="65" t="str">
        <f t="shared" si="392"/>
        <v/>
      </c>
      <c r="DL178" s="97" t="str">
        <f t="shared" si="432"/>
        <v/>
      </c>
      <c r="DM178" s="97" t="str">
        <f t="shared" si="433"/>
        <v/>
      </c>
      <c r="DN178" s="97" t="str">
        <f t="shared" si="434"/>
        <v/>
      </c>
      <c r="DO178" s="97" t="str">
        <f t="shared" si="435"/>
        <v/>
      </c>
      <c r="DP178" s="97" t="str">
        <f t="shared" si="436"/>
        <v/>
      </c>
      <c r="DQ178" s="97" t="str">
        <f t="shared" si="437"/>
        <v/>
      </c>
      <c r="DR178" s="97" t="str">
        <f t="shared" si="438"/>
        <v/>
      </c>
      <c r="DS178" s="98">
        <f t="shared" si="439"/>
        <v>0</v>
      </c>
      <c r="DT178" s="98">
        <f t="shared" si="440"/>
        <v>0</v>
      </c>
      <c r="DU178" s="98">
        <f t="shared" si="441"/>
        <v>0</v>
      </c>
      <c r="DV178" s="98">
        <f t="shared" si="442"/>
        <v>0</v>
      </c>
      <c r="DW178" s="98">
        <f t="shared" si="443"/>
        <v>0</v>
      </c>
      <c r="DX178" s="98" t="str">
        <f t="shared" si="444"/>
        <v/>
      </c>
      <c r="DY178" s="99" t="str">
        <f t="shared" si="445"/>
        <v/>
      </c>
      <c r="DZ178" s="74" t="str">
        <f>IF('Marks Entry'!AY178="","",'Marks Entry'!AY178)</f>
        <v/>
      </c>
      <c r="EA178" s="74" t="str">
        <f>IF('Marks Entry'!AZ178="","",'Marks Entry'!AZ178)</f>
        <v/>
      </c>
      <c r="EB178" s="74" t="str">
        <f>IF('Marks Entry'!BA178="","",'Marks Entry'!BA178)</f>
        <v/>
      </c>
      <c r="EC178" s="527" t="str">
        <f t="shared" si="393"/>
        <v/>
      </c>
      <c r="ED178" s="74" t="str">
        <f>IF('Marks Entry'!BB178="","",'Marks Entry'!BB178)</f>
        <v/>
      </c>
      <c r="EE178" s="528" t="str">
        <f t="shared" si="394"/>
        <v/>
      </c>
      <c r="EF178" s="74" t="str">
        <f>IF('Marks Entry'!BC178="","",'Marks Entry'!BC178)</f>
        <v/>
      </c>
      <c r="EG178" s="530" t="str">
        <f t="shared" si="395"/>
        <v/>
      </c>
      <c r="EH178" s="368" t="str">
        <f t="shared" si="446"/>
        <v/>
      </c>
      <c r="EI178" s="65">
        <f t="shared" si="447"/>
        <v>0</v>
      </c>
      <c r="EJ178" s="65">
        <f t="shared" si="448"/>
        <v>0</v>
      </c>
      <c r="EK178" s="66" t="str">
        <f t="shared" si="449"/>
        <v/>
      </c>
      <c r="EL178" s="74" t="str">
        <f>IF('Marks Entry'!BD178="","",'Marks Entry'!BD178)</f>
        <v/>
      </c>
      <c r="EM178" s="74" t="str">
        <f>IF('Marks Entry'!BE178="","",'Marks Entry'!BE178)</f>
        <v/>
      </c>
      <c r="EN178" s="74" t="str">
        <f>IF('Marks Entry'!BF178="","",'Marks Entry'!BF178)</f>
        <v/>
      </c>
      <c r="EO178" s="527" t="str">
        <f t="shared" si="396"/>
        <v/>
      </c>
      <c r="EP178" s="74" t="str">
        <f>IF('Marks Entry'!BG178="","",'Marks Entry'!BG178)</f>
        <v/>
      </c>
      <c r="EQ178" s="74" t="str">
        <f>IF('Marks Entry'!BH178="","",'Marks Entry'!BH178)</f>
        <v/>
      </c>
      <c r="ER178" s="528" t="str">
        <f t="shared" si="397"/>
        <v/>
      </c>
      <c r="ES178" s="529" t="str">
        <f t="shared" si="398"/>
        <v/>
      </c>
      <c r="ET178" s="74" t="str">
        <f>IF('Marks Entry'!BI178="","",'Marks Entry'!BI178)</f>
        <v/>
      </c>
      <c r="EU178" s="74" t="str">
        <f>IF('Marks Entry'!BJ178="","",'Marks Entry'!BJ178)</f>
        <v/>
      </c>
      <c r="EV178" s="528" t="str">
        <f t="shared" si="399"/>
        <v/>
      </c>
      <c r="EW178" s="530" t="str">
        <f t="shared" si="400"/>
        <v/>
      </c>
      <c r="EX178" s="368" t="str">
        <f t="shared" si="450"/>
        <v/>
      </c>
      <c r="EY178" s="65">
        <f t="shared" si="451"/>
        <v>0</v>
      </c>
      <c r="EZ178" s="65">
        <f t="shared" si="452"/>
        <v>0</v>
      </c>
      <c r="FA178" s="66" t="str">
        <f t="shared" si="453"/>
        <v/>
      </c>
      <c r="FB178" s="74" t="str">
        <f>IF('Marks Entry'!BK178="","",'Marks Entry'!BK178)</f>
        <v/>
      </c>
      <c r="FC178" s="74" t="str">
        <f>IF('Marks Entry'!BL178="","",'Marks Entry'!BL178)</f>
        <v/>
      </c>
      <c r="FD178" s="74" t="str">
        <f>IF('Marks Entry'!BM178="","",'Marks Entry'!BM178)</f>
        <v/>
      </c>
      <c r="FE178" s="74" t="str">
        <f>IF('Marks Entry'!BN178="","",'Marks Entry'!BN178)</f>
        <v/>
      </c>
      <c r="FF178" s="74" t="str">
        <f>IF('Marks Entry'!BO178="","",'Marks Entry'!BO178)</f>
        <v/>
      </c>
      <c r="FG178" s="74" t="str">
        <f>IF('Marks Entry'!BP178="","",'Marks Entry'!BP178)</f>
        <v/>
      </c>
      <c r="FH178" s="527" t="str">
        <f t="shared" si="401"/>
        <v/>
      </c>
      <c r="FI178" s="74" t="str">
        <f>IF('Marks Entry'!BQ178="","",'Marks Entry'!BQ178)</f>
        <v/>
      </c>
      <c r="FJ178" s="74" t="str">
        <f>IF('Marks Entry'!BR178="","",'Marks Entry'!BR178)</f>
        <v/>
      </c>
      <c r="FK178" s="528" t="str">
        <f t="shared" si="402"/>
        <v/>
      </c>
      <c r="FL178" s="529" t="str">
        <f t="shared" si="403"/>
        <v/>
      </c>
      <c r="FM178" s="74" t="str">
        <f>IF('Marks Entry'!BS178="","",'Marks Entry'!BS178)</f>
        <v/>
      </c>
      <c r="FN178" s="74" t="str">
        <f>IF('Marks Entry'!BT178="","",'Marks Entry'!BT178)</f>
        <v/>
      </c>
      <c r="FO178" s="528" t="str">
        <f t="shared" si="404"/>
        <v/>
      </c>
      <c r="FP178" s="530" t="str">
        <f t="shared" si="405"/>
        <v/>
      </c>
      <c r="FQ178" s="368" t="str">
        <f t="shared" si="454"/>
        <v/>
      </c>
      <c r="FR178" s="65">
        <f t="shared" si="455"/>
        <v>0</v>
      </c>
      <c r="FS178" s="65">
        <f t="shared" si="456"/>
        <v>0</v>
      </c>
      <c r="FT178" s="66" t="str">
        <f t="shared" si="457"/>
        <v/>
      </c>
      <c r="FU178" s="74" t="str">
        <f>IF('Marks Entry'!BU178="","",'Marks Entry'!BU178)</f>
        <v/>
      </c>
      <c r="FV178" s="74" t="str">
        <f>IF('Marks Entry'!BV178="","",'Marks Entry'!BV178)</f>
        <v/>
      </c>
      <c r="FW178" s="74" t="str">
        <f>IF('Marks Entry'!BW178="","",'Marks Entry'!BW178)</f>
        <v/>
      </c>
      <c r="FX178" s="75" t="str">
        <f t="shared" si="406"/>
        <v/>
      </c>
      <c r="FY178" s="368" t="str">
        <f t="shared" si="458"/>
        <v/>
      </c>
      <c r="FZ178" s="65">
        <f t="shared" si="459"/>
        <v>0</v>
      </c>
      <c r="GA178" s="66">
        <f t="shared" si="460"/>
        <v>0</v>
      </c>
      <c r="GB178" s="66" t="str">
        <f t="shared" si="461"/>
        <v/>
      </c>
      <c r="GC178" s="74" t="str">
        <f>IF('Marks Entry'!BX178="","",'Marks Entry'!BX178)</f>
        <v/>
      </c>
      <c r="GD178" s="74" t="str">
        <f>IF('Marks Entry'!BY178="","",'Marks Entry'!BY178)</f>
        <v/>
      </c>
      <c r="GE178" s="74" t="str">
        <f>IF('Marks Entry'!BZ178="","",'Marks Entry'!BZ178)</f>
        <v/>
      </c>
      <c r="GF178" s="75" t="str">
        <f t="shared" si="462"/>
        <v/>
      </c>
      <c r="GG178" s="368" t="str">
        <f t="shared" si="463"/>
        <v/>
      </c>
      <c r="GH178" s="65">
        <f t="shared" si="464"/>
        <v>0</v>
      </c>
      <c r="GI178" s="66">
        <f t="shared" si="465"/>
        <v>0</v>
      </c>
      <c r="GJ178" s="66" t="str">
        <f t="shared" si="466"/>
        <v/>
      </c>
      <c r="GK178" s="100" t="str">
        <f>IF(AND(F178="",B178=""),"",IF('Student DATA Entry'!M175="","",'Student DATA Entry'!M175))</f>
        <v/>
      </c>
      <c r="GL178" s="101" t="str">
        <f>IF(AND(B178="",F178=""),"",IF('Student DATA Entry'!N175="","",'Student DATA Entry'!N175))</f>
        <v/>
      </c>
      <c r="GM178" s="581" t="str">
        <f t="shared" si="467"/>
        <v/>
      </c>
      <c r="GN178" s="94" t="str">
        <f t="shared" si="468"/>
        <v/>
      </c>
      <c r="GO178" s="94" t="str">
        <f t="shared" si="469"/>
        <v/>
      </c>
      <c r="GP178" s="102" t="str">
        <f t="shared" si="498"/>
        <v/>
      </c>
      <c r="GQ178" s="94" t="str">
        <f t="shared" si="470"/>
        <v/>
      </c>
      <c r="GR178" s="103" t="str">
        <f t="shared" si="471"/>
        <v/>
      </c>
      <c r="GS178" s="102" t="str">
        <f t="shared" si="499"/>
        <v/>
      </c>
      <c r="GT178" s="104" t="str">
        <f t="shared" si="472"/>
        <v/>
      </c>
      <c r="GU178" s="94" t="str">
        <f>IF('Marks Entry'!V178=1,GT178,"")</f>
        <v/>
      </c>
      <c r="GV178" s="94" t="str">
        <f>IF('Marks Entry'!V178=2,GT178,"")</f>
        <v/>
      </c>
      <c r="GW178" s="94" t="str">
        <f>IF('Marks Entry'!V178=3,GT178,"")</f>
        <v/>
      </c>
      <c r="GX178" s="94" t="str">
        <f>IF('Marks Entry'!V178=4,GT178,"")</f>
        <v/>
      </c>
      <c r="GY178" s="94" t="str">
        <f>IF('Marks Entry'!V178=5,GT178,"")</f>
        <v/>
      </c>
      <c r="GZ178" s="94" t="str">
        <f t="shared" si="473"/>
        <v/>
      </c>
      <c r="HA178" s="105" t="str">
        <f t="shared" si="500"/>
        <v/>
      </c>
      <c r="HB178" s="94" t="str">
        <f t="shared" si="474"/>
        <v/>
      </c>
      <c r="HC178" s="94" t="str">
        <f t="shared" si="475"/>
        <v/>
      </c>
      <c r="HD178" s="105" t="str">
        <f t="shared" si="501"/>
        <v/>
      </c>
      <c r="HE178" s="94" t="str">
        <f t="shared" si="476"/>
        <v/>
      </c>
      <c r="HF178" s="94" t="str">
        <f t="shared" si="477"/>
        <v/>
      </c>
      <c r="HG178" s="105" t="str">
        <f t="shared" si="502"/>
        <v/>
      </c>
      <c r="HH178" s="94" t="str">
        <f t="shared" si="478"/>
        <v/>
      </c>
      <c r="HI178" s="94" t="str">
        <f t="shared" si="479"/>
        <v/>
      </c>
      <c r="HJ178" s="105" t="str">
        <f t="shared" si="503"/>
        <v/>
      </c>
      <c r="HK178" s="94" t="str">
        <f t="shared" si="480"/>
        <v/>
      </c>
      <c r="HL178" s="94" t="str">
        <f t="shared" si="481"/>
        <v/>
      </c>
      <c r="HM178" s="105" t="str">
        <f t="shared" si="504"/>
        <v/>
      </c>
      <c r="HN178" s="367" t="str">
        <f t="shared" si="482"/>
        <v xml:space="preserve">      </v>
      </c>
      <c r="HO178" s="418" t="str">
        <f t="shared" si="505"/>
        <v xml:space="preserve">      </v>
      </c>
      <c r="HP178" s="367" t="str">
        <f t="shared" si="483"/>
        <v xml:space="preserve">      </v>
      </c>
      <c r="HQ178" s="107" t="str">
        <f t="shared" si="484"/>
        <v xml:space="preserve">      </v>
      </c>
      <c r="HR178" s="366" t="str">
        <f t="shared" si="485"/>
        <v xml:space="preserve">      </v>
      </c>
      <c r="HS178" s="544" t="str">
        <f t="shared" si="506"/>
        <v/>
      </c>
      <c r="HT178" s="542" t="str">
        <f t="shared" si="486"/>
        <v/>
      </c>
      <c r="HU178" s="541" t="str">
        <f t="shared" si="487"/>
        <v/>
      </c>
      <c r="HV178" s="540" t="str">
        <f t="shared" si="488"/>
        <v/>
      </c>
      <c r="HW178" s="537" t="str">
        <f t="shared" si="489"/>
        <v/>
      </c>
      <c r="HX178" s="539" t="str">
        <f t="shared" si="490"/>
        <v/>
      </c>
      <c r="HY178" s="553" t="str">
        <f>IFERROR(IF(OR(HS178="SUPPLEMENTARY",HS178="RE-EXAM"),'Supp. Result Entry'!AQ176,""),"")</f>
        <v/>
      </c>
      <c r="HZ178" s="538" t="str">
        <f t="shared" si="491"/>
        <v/>
      </c>
      <c r="IA178" s="415" t="str">
        <f t="shared" si="492"/>
        <v/>
      </c>
      <c r="IB178" s="415" t="str">
        <f>IF(AND(HZ178="",IA178=""),"",IF(OR(HS178="SUPPLEMENTARY",HS178="RE-EXAM"),'Supp. Result Entry'!AQ176,HS178))</f>
        <v/>
      </c>
      <c r="IC178" s="87"/>
      <c r="IS178" s="109" t="str">
        <f>IF('Supp. Result Entry'!T176="","",'Supp. Result Entry'!$T$4)</f>
        <v/>
      </c>
      <c r="IT178" s="110" t="str">
        <f>IF('Supp. Result Entry'!W176="","",'Supp. Result Entry'!$W$4)</f>
        <v/>
      </c>
      <c r="IU178" s="110" t="str">
        <f>IF('Supp. Result Entry'!Z176="","",'Supp. Result Entry'!$Z$4)</f>
        <v/>
      </c>
      <c r="IV178" s="110" t="str">
        <f>IF('Supp. Result Entry'!AC176="","",'Supp. Result Entry'!$AC$4)</f>
        <v/>
      </c>
      <c r="IW178" s="110" t="str">
        <f>IF('Supp. Result Entry'!AF176="","",'Supp. Result Entry'!$AF$4)</f>
        <v/>
      </c>
      <c r="IX178" s="110" t="str">
        <f>IF('Supp. Result Entry'!AI176="","",'Supp. Result Entry'!$AI$4)</f>
        <v/>
      </c>
      <c r="IY178" s="110" t="str">
        <f>IF('Supp. Result Entry'!AI176="","",'Supp. Result Entry'!$AL$4)</f>
        <v/>
      </c>
      <c r="IZ178" s="110" t="str">
        <f>IF('Supp. Result Entry'!U176="","",'Supp. Result Entry'!U176)</f>
        <v/>
      </c>
      <c r="JA178" s="110" t="str">
        <f>IF('Supp. Result Entry'!X176="","",'Supp. Result Entry'!X176)</f>
        <v/>
      </c>
      <c r="JB178" s="110" t="str">
        <f>IF('Supp. Result Entry'!AA176="","",'Supp. Result Entry'!AA176)</f>
        <v/>
      </c>
      <c r="JC178" s="110" t="str">
        <f>IF('Supp. Result Entry'!AD176="","",'Supp. Result Entry'!AD176)</f>
        <v/>
      </c>
      <c r="JD178" s="110" t="str">
        <f>IF('Supp. Result Entry'!AG176="","",'Supp. Result Entry'!AG176)</f>
        <v/>
      </c>
      <c r="JE178" s="110" t="str">
        <f>IF('Supp. Result Entry'!AJ176="","",'Supp. Result Entry'!AJ176)</f>
        <v/>
      </c>
      <c r="JF178" s="110" t="str">
        <f>IF('Supp. Result Entry'!AM176="","",'Supp. Result Entry'!AM176)</f>
        <v/>
      </c>
      <c r="JG178" s="110" t="str">
        <f>IF('Supp. Result Entry'!V176="","",'Supp. Result Entry'!V176)</f>
        <v/>
      </c>
      <c r="JH178" s="110" t="str">
        <f>IF('Supp. Result Entry'!Y176="","",'Supp. Result Entry'!Y176)</f>
        <v/>
      </c>
      <c r="JI178" s="110" t="str">
        <f>IF('Supp. Result Entry'!AB176="","",'Supp. Result Entry'!AB176)</f>
        <v/>
      </c>
      <c r="JJ178" s="110" t="str">
        <f>IF('Supp. Result Entry'!AE176="","",'Supp. Result Entry'!AE176)</f>
        <v/>
      </c>
      <c r="JK178" s="110" t="str">
        <f>IF('Supp. Result Entry'!AH176="","",'Supp. Result Entry'!AH176)</f>
        <v/>
      </c>
      <c r="JL178" s="110" t="str">
        <f>IF('Supp. Result Entry'!AK176="","",'Supp. Result Entry'!AK176)</f>
        <v/>
      </c>
      <c r="JM178" s="110" t="str">
        <f>IF('Supp. Result Entry'!AN176="","",'Supp. Result Entry'!AN176)</f>
        <v/>
      </c>
      <c r="JN178" s="110">
        <f>COUNTIF('Supp. Result Entry'!K176:Q176,"S")</f>
        <v>0</v>
      </c>
      <c r="JO178" s="110">
        <f t="shared" si="416"/>
        <v>0</v>
      </c>
      <c r="JP178" s="110">
        <f t="shared" si="493"/>
        <v>0</v>
      </c>
      <c r="JQ178" s="110" t="str">
        <f t="shared" si="417"/>
        <v/>
      </c>
      <c r="JR178" s="110" t="str">
        <f t="shared" si="418"/>
        <v/>
      </c>
      <c r="JS178" s="110" t="str">
        <f t="shared" si="419"/>
        <v/>
      </c>
      <c r="JT178" s="110" t="str">
        <f t="shared" si="420"/>
        <v/>
      </c>
      <c r="JU178" s="110" t="str">
        <f t="shared" si="421"/>
        <v/>
      </c>
      <c r="JV178" s="110" t="str">
        <f t="shared" si="422"/>
        <v/>
      </c>
      <c r="JW178" s="110" t="str">
        <f t="shared" si="423"/>
        <v/>
      </c>
      <c r="JX178" s="110" t="str">
        <f t="shared" si="494"/>
        <v/>
      </c>
      <c r="JY178" s="110" t="str">
        <f t="shared" si="495"/>
        <v/>
      </c>
      <c r="JZ178" s="110" t="str">
        <f t="shared" si="424"/>
        <v/>
      </c>
      <c r="KA178" s="108" t="str">
        <f t="shared" si="496"/>
        <v/>
      </c>
    </row>
    <row r="179" spans="1:287" s="108" customFormat="1" ht="21.95" customHeight="1">
      <c r="A179" s="89">
        <v>173</v>
      </c>
      <c r="B179" s="90" t="str">
        <f>IF('Marks Entry'!B179="","",'Marks Entry'!B179)</f>
        <v/>
      </c>
      <c r="C179" s="94" t="str">
        <f>IF('Marks Entry'!D179="","",'Marks Entry'!D179)</f>
        <v/>
      </c>
      <c r="D179" s="91" t="str">
        <f>IF('Marks Entry'!E179="","",'Marks Entry'!E179)</f>
        <v/>
      </c>
      <c r="E179" s="92" t="str">
        <f>IF('Marks Entry'!F179="","",'Marks Entry'!F179)</f>
        <v/>
      </c>
      <c r="F179" s="93" t="str">
        <f>IF('Marks Entry'!G179="","",'Marks Entry'!G179)</f>
        <v/>
      </c>
      <c r="G179" s="93" t="str">
        <f>IF('Marks Entry'!H179="","",'Marks Entry'!H179)</f>
        <v/>
      </c>
      <c r="H179" s="93" t="str">
        <f>IF('Marks Entry'!I179="","",'Marks Entry'!I179)</f>
        <v/>
      </c>
      <c r="I179" s="94" t="str">
        <f>IF('Marks Entry'!J179="","",'Marks Entry'!J179)</f>
        <v/>
      </c>
      <c r="J179" s="95" t="str">
        <f>IF('Marks Entry'!K179="","",'Marks Entry'!K179)</f>
        <v/>
      </c>
      <c r="K179" s="68" t="str">
        <f>IF('Marks Entry'!L179="","",'Marks Entry'!L179)</f>
        <v/>
      </c>
      <c r="L179" s="68" t="str">
        <f>IF('Marks Entry'!M179="","",'Marks Entry'!M179)</f>
        <v/>
      </c>
      <c r="M179" s="68" t="str">
        <f>IF('Marks Entry'!N179="","",'Marks Entry'!N179)</f>
        <v/>
      </c>
      <c r="N179" s="514" t="str">
        <f t="shared" si="425"/>
        <v/>
      </c>
      <c r="O179" s="68" t="str">
        <f>IF('Marks Entry'!O179="","",'Marks Entry'!O179)</f>
        <v/>
      </c>
      <c r="P179" s="515" t="str">
        <f t="shared" si="426"/>
        <v/>
      </c>
      <c r="Q179" s="68" t="str">
        <f>IF('Marks Entry'!P179="","",'Marks Entry'!P179)</f>
        <v/>
      </c>
      <c r="R179" s="96" t="str">
        <f t="shared" si="427"/>
        <v/>
      </c>
      <c r="S179" s="65">
        <f t="shared" si="428"/>
        <v>0</v>
      </c>
      <c r="T179" s="65">
        <f t="shared" si="429"/>
        <v>0</v>
      </c>
      <c r="U179" s="66" t="str">
        <f t="shared" si="339"/>
        <v/>
      </c>
      <c r="V179" s="65" t="str">
        <f t="shared" si="340"/>
        <v/>
      </c>
      <c r="W179" s="65" t="str">
        <f t="shared" si="430"/>
        <v/>
      </c>
      <c r="X179" s="65" t="str">
        <f t="shared" si="341"/>
        <v/>
      </c>
      <c r="Y179" s="68" t="str">
        <f>IF('Marks Entry'!Q179="","",'Marks Entry'!Q179)</f>
        <v/>
      </c>
      <c r="Z179" s="68" t="str">
        <f>IF('Marks Entry'!R179="","",'Marks Entry'!R179)</f>
        <v/>
      </c>
      <c r="AA179" s="68" t="str">
        <f>IF('Marks Entry'!S179="","",'Marks Entry'!S179)</f>
        <v/>
      </c>
      <c r="AB179" s="514" t="str">
        <f t="shared" si="342"/>
        <v/>
      </c>
      <c r="AC179" s="68" t="str">
        <f>IF('Marks Entry'!T179="","",'Marks Entry'!T179)</f>
        <v/>
      </c>
      <c r="AD179" s="515" t="str">
        <f t="shared" si="343"/>
        <v/>
      </c>
      <c r="AE179" s="68" t="str">
        <f>IF('Marks Entry'!U179="","",'Marks Entry'!U179)</f>
        <v/>
      </c>
      <c r="AF179" s="96" t="str">
        <f t="shared" si="344"/>
        <v/>
      </c>
      <c r="AG179" s="65">
        <f t="shared" si="345"/>
        <v>0</v>
      </c>
      <c r="AH179" s="65">
        <f t="shared" si="346"/>
        <v>0</v>
      </c>
      <c r="AI179" s="66" t="str">
        <f t="shared" si="347"/>
        <v/>
      </c>
      <c r="AJ179" s="65" t="str">
        <f t="shared" si="348"/>
        <v/>
      </c>
      <c r="AK179" s="65" t="str">
        <f t="shared" si="349"/>
        <v/>
      </c>
      <c r="AL179" s="65" t="str">
        <f t="shared" si="350"/>
        <v/>
      </c>
      <c r="AM179" s="524" t="str">
        <f>IF('Marks Entry'!V179="","",IF('Marks Entry'!V179=1,'School Profile'!$I$9,IF('Marks Entry'!V179=2,'School Profile'!$I$10,IF('Marks Entry'!V179=3,'School Profile'!$I$11,IF('Marks Entry'!V179=4,'School Profile'!$I$12,IF('Marks Entry'!V179=5,'School Profile'!$I$13,IF('Marks Entry'!V179=6,'School Profile'!$I$14,"")))))))</f>
        <v/>
      </c>
      <c r="AN179" s="68" t="str">
        <f>IF('Marks Entry'!W179="","",'Marks Entry'!W179)</f>
        <v/>
      </c>
      <c r="AO179" s="68" t="str">
        <f>IF('Marks Entry'!X179="","",'Marks Entry'!X179)</f>
        <v/>
      </c>
      <c r="AP179" s="68" t="str">
        <f>IF('Marks Entry'!Y179="","",'Marks Entry'!Y179)</f>
        <v/>
      </c>
      <c r="AQ179" s="514" t="str">
        <f t="shared" si="351"/>
        <v/>
      </c>
      <c r="AR179" s="68" t="str">
        <f>IF('Marks Entry'!Z179="","",'Marks Entry'!Z179)</f>
        <v/>
      </c>
      <c r="AS179" s="515" t="str">
        <f t="shared" si="352"/>
        <v/>
      </c>
      <c r="AT179" s="68" t="str">
        <f>IF('Marks Entry'!AA179="","",'Marks Entry'!AA179)</f>
        <v/>
      </c>
      <c r="AU179" s="96" t="str">
        <f t="shared" si="353"/>
        <v/>
      </c>
      <c r="AV179" s="65">
        <f t="shared" si="354"/>
        <v>0</v>
      </c>
      <c r="AW179" s="65">
        <f t="shared" si="355"/>
        <v>0</v>
      </c>
      <c r="AX179" s="66" t="str">
        <f t="shared" si="356"/>
        <v/>
      </c>
      <c r="AY179" s="65" t="str">
        <f t="shared" si="357"/>
        <v/>
      </c>
      <c r="AZ179" s="65" t="str">
        <f t="shared" si="358"/>
        <v/>
      </c>
      <c r="BA179" s="65" t="str">
        <f t="shared" si="359"/>
        <v/>
      </c>
      <c r="BB179" s="68" t="str">
        <f>IF('Marks Entry'!AB179="","",'Marks Entry'!AB179)</f>
        <v/>
      </c>
      <c r="BC179" s="68" t="str">
        <f>IF('Marks Entry'!AC179="","",'Marks Entry'!AC179)</f>
        <v/>
      </c>
      <c r="BD179" s="68" t="str">
        <f>IF('Marks Entry'!AD179="","",'Marks Entry'!AD179)</f>
        <v/>
      </c>
      <c r="BE179" s="514" t="str">
        <f t="shared" si="360"/>
        <v/>
      </c>
      <c r="BF179" s="68" t="str">
        <f>IF('Marks Entry'!AE179="","",'Marks Entry'!AE179)</f>
        <v/>
      </c>
      <c r="BG179" s="515" t="str">
        <f t="shared" si="361"/>
        <v/>
      </c>
      <c r="BH179" s="68" t="str">
        <f>IF('Marks Entry'!AF179="","",'Marks Entry'!AF179)</f>
        <v/>
      </c>
      <c r="BI179" s="96" t="str">
        <f t="shared" si="362"/>
        <v/>
      </c>
      <c r="BJ179" s="65">
        <f t="shared" si="363"/>
        <v>0</v>
      </c>
      <c r="BK179" s="65">
        <f t="shared" si="431"/>
        <v>0</v>
      </c>
      <c r="BL179" s="66" t="str">
        <f t="shared" si="364"/>
        <v/>
      </c>
      <c r="BM179" s="65" t="str">
        <f t="shared" si="365"/>
        <v/>
      </c>
      <c r="BN179" s="65" t="str">
        <f t="shared" si="366"/>
        <v/>
      </c>
      <c r="BO179" s="65" t="str">
        <f t="shared" si="367"/>
        <v/>
      </c>
      <c r="BP179" s="68" t="str">
        <f>IF('Marks Entry'!AG179="","",'Marks Entry'!AG179)</f>
        <v/>
      </c>
      <c r="BQ179" s="68" t="str">
        <f>IF('Marks Entry'!AH179="","",'Marks Entry'!AH179)</f>
        <v/>
      </c>
      <c r="BR179" s="68" t="str">
        <f>IF('Marks Entry'!AI179="","",'Marks Entry'!AI179)</f>
        <v/>
      </c>
      <c r="BS179" s="514" t="str">
        <f t="shared" si="368"/>
        <v/>
      </c>
      <c r="BT179" s="68" t="str">
        <f>IF('Marks Entry'!AJ179="","",'Marks Entry'!AJ179)</f>
        <v/>
      </c>
      <c r="BU179" s="515" t="str">
        <f t="shared" si="369"/>
        <v/>
      </c>
      <c r="BV179" s="68" t="str">
        <f>IF('Marks Entry'!AK179="","",'Marks Entry'!AK179)</f>
        <v/>
      </c>
      <c r="BW179" s="96" t="str">
        <f t="shared" si="370"/>
        <v/>
      </c>
      <c r="BX179" s="65">
        <f t="shared" si="371"/>
        <v>0</v>
      </c>
      <c r="BY179" s="65">
        <f t="shared" si="372"/>
        <v>0</v>
      </c>
      <c r="BZ179" s="66" t="str">
        <f t="shared" si="373"/>
        <v/>
      </c>
      <c r="CA179" s="65" t="str">
        <f t="shared" si="374"/>
        <v/>
      </c>
      <c r="CB179" s="65" t="str">
        <f t="shared" si="375"/>
        <v/>
      </c>
      <c r="CC179" s="65" t="str">
        <f t="shared" si="376"/>
        <v/>
      </c>
      <c r="CD179" s="66">
        <f t="shared" si="497"/>
        <v>0</v>
      </c>
      <c r="CE179" s="68" t="str">
        <f>IF('Marks Entry'!AL179="","",'Marks Entry'!AL179)</f>
        <v/>
      </c>
      <c r="CF179" s="68" t="str">
        <f>IF('Marks Entry'!AM179="","",'Marks Entry'!AM179)</f>
        <v/>
      </c>
      <c r="CG179" s="68" t="str">
        <f>IF('Marks Entry'!AN179="","",'Marks Entry'!AN179)</f>
        <v/>
      </c>
      <c r="CH179" s="514" t="str">
        <f t="shared" si="378"/>
        <v/>
      </c>
      <c r="CI179" s="68" t="str">
        <f>IF('Marks Entry'!AO179="","",'Marks Entry'!AO179)</f>
        <v/>
      </c>
      <c r="CJ179" s="515" t="str">
        <f t="shared" si="379"/>
        <v/>
      </c>
      <c r="CK179" s="68" t="str">
        <f>IF('Marks Entry'!AP179="","",'Marks Entry'!AP179)</f>
        <v/>
      </c>
      <c r="CL179" s="96" t="str">
        <f t="shared" si="380"/>
        <v/>
      </c>
      <c r="CM179" s="65">
        <f t="shared" si="381"/>
        <v>0</v>
      </c>
      <c r="CN179" s="65">
        <f t="shared" si="382"/>
        <v>0</v>
      </c>
      <c r="CO179" s="66" t="str">
        <f t="shared" si="383"/>
        <v/>
      </c>
      <c r="CP179" s="65" t="str">
        <f t="shared" si="384"/>
        <v/>
      </c>
      <c r="CQ179" s="65" t="str">
        <f t="shared" si="385"/>
        <v/>
      </c>
      <c r="CR179" s="65" t="str">
        <f t="shared" si="386"/>
        <v/>
      </c>
      <c r="CS179" s="616"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8" t="str">
        <f>IF('School Profile'!$D$20="NO","",IF('Marks Entry'!AR179="","",'Marks Entry'!AR179))</f>
        <v/>
      </c>
      <c r="CU179" s="68" t="str">
        <f>IF('School Profile'!$D$20="NO","",IF('Marks Entry'!AS179="","",'Marks Entry'!AS179))</f>
        <v/>
      </c>
      <c r="CV179" s="68" t="str">
        <f>IF('School Profile'!$D$20="NO","",IF('Marks Entry'!AT179="","",'Marks Entry'!AT179))</f>
        <v/>
      </c>
      <c r="CW179" s="514" t="str">
        <f>IF('School Profile'!$D$20="NO","",IF(AND(CT179="",CU179="",CV179=""),"",SUM(CT179:CV179)))</f>
        <v/>
      </c>
      <c r="CX179" s="68" t="str">
        <f>IF('School Profile'!$D$20="NO","",IF('Marks Entry'!AU179="","",'Marks Entry'!AU179))</f>
        <v/>
      </c>
      <c r="CY179" s="68" t="str">
        <f>IF('School Profile'!$D$20="NO","",IF('Marks Entry'!AV179="","",'Marks Entry'!AV179))</f>
        <v/>
      </c>
      <c r="CZ179" s="515" t="str">
        <f>IF('School Profile'!$D$20="NO","",IF(AND(CX179="",CY179=""),"",SUM(CX179,CY179)))</f>
        <v/>
      </c>
      <c r="DA179" s="69" t="str">
        <f>IF('School Profile'!$D$20="NO","",IF(AND(CW179="",CZ179=""),"",SUM(CW179+CZ179)))</f>
        <v/>
      </c>
      <c r="DB179" s="68" t="str">
        <f>IF('School Profile'!$D$20="NO","",IF('Marks Entry'!AW179="","",'Marks Entry'!AW179))</f>
        <v/>
      </c>
      <c r="DC179" s="68" t="str">
        <f>IF('School Profile'!$D$20="NO","",IF('Marks Entry'!AX179="","",'Marks Entry'!AX179))</f>
        <v/>
      </c>
      <c r="DD179" s="515" t="str">
        <f>IF('School Profile'!$D$20="NO","",IF(AND(DB179="",DC179=""),"",SUM(DB179,DC179)))</f>
        <v/>
      </c>
      <c r="DE179" s="96" t="str">
        <f>IF('School Profile'!$D$20="NO","",IF(AND(DA179="",DD179=""),"",SUM(DA179,DD179)))</f>
        <v/>
      </c>
      <c r="DF179" s="532">
        <f t="shared" si="387"/>
        <v>0</v>
      </c>
      <c r="DG179" s="65">
        <f t="shared" si="388"/>
        <v>0</v>
      </c>
      <c r="DH179" s="66" t="str">
        <f t="shared" si="389"/>
        <v/>
      </c>
      <c r="DI179" s="65" t="str">
        <f t="shared" si="390"/>
        <v/>
      </c>
      <c r="DJ179" s="65" t="str">
        <f t="shared" si="391"/>
        <v/>
      </c>
      <c r="DK179" s="65" t="str">
        <f t="shared" si="392"/>
        <v/>
      </c>
      <c r="DL179" s="97" t="str">
        <f t="shared" si="432"/>
        <v/>
      </c>
      <c r="DM179" s="97" t="str">
        <f t="shared" si="433"/>
        <v/>
      </c>
      <c r="DN179" s="97" t="str">
        <f t="shared" si="434"/>
        <v/>
      </c>
      <c r="DO179" s="97" t="str">
        <f t="shared" si="435"/>
        <v/>
      </c>
      <c r="DP179" s="97" t="str">
        <f t="shared" si="436"/>
        <v/>
      </c>
      <c r="DQ179" s="97" t="str">
        <f t="shared" si="437"/>
        <v/>
      </c>
      <c r="DR179" s="97" t="str">
        <f t="shared" si="438"/>
        <v/>
      </c>
      <c r="DS179" s="98">
        <f t="shared" si="439"/>
        <v>0</v>
      </c>
      <c r="DT179" s="98">
        <f t="shared" si="440"/>
        <v>0</v>
      </c>
      <c r="DU179" s="98">
        <f t="shared" si="441"/>
        <v>0</v>
      </c>
      <c r="DV179" s="98">
        <f t="shared" si="442"/>
        <v>0</v>
      </c>
      <c r="DW179" s="98">
        <f t="shared" si="443"/>
        <v>0</v>
      </c>
      <c r="DX179" s="98" t="str">
        <f t="shared" si="444"/>
        <v/>
      </c>
      <c r="DY179" s="99" t="str">
        <f t="shared" si="445"/>
        <v/>
      </c>
      <c r="DZ179" s="74" t="str">
        <f>IF('Marks Entry'!AY179="","",'Marks Entry'!AY179)</f>
        <v/>
      </c>
      <c r="EA179" s="74" t="str">
        <f>IF('Marks Entry'!AZ179="","",'Marks Entry'!AZ179)</f>
        <v/>
      </c>
      <c r="EB179" s="74" t="str">
        <f>IF('Marks Entry'!BA179="","",'Marks Entry'!BA179)</f>
        <v/>
      </c>
      <c r="EC179" s="527" t="str">
        <f t="shared" si="393"/>
        <v/>
      </c>
      <c r="ED179" s="74" t="str">
        <f>IF('Marks Entry'!BB179="","",'Marks Entry'!BB179)</f>
        <v/>
      </c>
      <c r="EE179" s="528" t="str">
        <f t="shared" si="394"/>
        <v/>
      </c>
      <c r="EF179" s="74" t="str">
        <f>IF('Marks Entry'!BC179="","",'Marks Entry'!BC179)</f>
        <v/>
      </c>
      <c r="EG179" s="530" t="str">
        <f t="shared" si="395"/>
        <v/>
      </c>
      <c r="EH179" s="368" t="str">
        <f t="shared" si="446"/>
        <v/>
      </c>
      <c r="EI179" s="65">
        <f t="shared" si="447"/>
        <v>0</v>
      </c>
      <c r="EJ179" s="65">
        <f t="shared" si="448"/>
        <v>0</v>
      </c>
      <c r="EK179" s="66" t="str">
        <f t="shared" si="449"/>
        <v/>
      </c>
      <c r="EL179" s="74" t="str">
        <f>IF('Marks Entry'!BD179="","",'Marks Entry'!BD179)</f>
        <v/>
      </c>
      <c r="EM179" s="74" t="str">
        <f>IF('Marks Entry'!BE179="","",'Marks Entry'!BE179)</f>
        <v/>
      </c>
      <c r="EN179" s="74" t="str">
        <f>IF('Marks Entry'!BF179="","",'Marks Entry'!BF179)</f>
        <v/>
      </c>
      <c r="EO179" s="527" t="str">
        <f t="shared" si="396"/>
        <v/>
      </c>
      <c r="EP179" s="74" t="str">
        <f>IF('Marks Entry'!BG179="","",'Marks Entry'!BG179)</f>
        <v/>
      </c>
      <c r="EQ179" s="74" t="str">
        <f>IF('Marks Entry'!BH179="","",'Marks Entry'!BH179)</f>
        <v/>
      </c>
      <c r="ER179" s="528" t="str">
        <f t="shared" si="397"/>
        <v/>
      </c>
      <c r="ES179" s="529" t="str">
        <f t="shared" si="398"/>
        <v/>
      </c>
      <c r="ET179" s="74" t="str">
        <f>IF('Marks Entry'!BI179="","",'Marks Entry'!BI179)</f>
        <v/>
      </c>
      <c r="EU179" s="74" t="str">
        <f>IF('Marks Entry'!BJ179="","",'Marks Entry'!BJ179)</f>
        <v/>
      </c>
      <c r="EV179" s="528" t="str">
        <f t="shared" si="399"/>
        <v/>
      </c>
      <c r="EW179" s="530" t="str">
        <f t="shared" si="400"/>
        <v/>
      </c>
      <c r="EX179" s="368" t="str">
        <f t="shared" si="450"/>
        <v/>
      </c>
      <c r="EY179" s="65">
        <f t="shared" si="451"/>
        <v>0</v>
      </c>
      <c r="EZ179" s="65">
        <f t="shared" si="452"/>
        <v>0</v>
      </c>
      <c r="FA179" s="66" t="str">
        <f t="shared" si="453"/>
        <v/>
      </c>
      <c r="FB179" s="74" t="str">
        <f>IF('Marks Entry'!BK179="","",'Marks Entry'!BK179)</f>
        <v/>
      </c>
      <c r="FC179" s="74" t="str">
        <f>IF('Marks Entry'!BL179="","",'Marks Entry'!BL179)</f>
        <v/>
      </c>
      <c r="FD179" s="74" t="str">
        <f>IF('Marks Entry'!BM179="","",'Marks Entry'!BM179)</f>
        <v/>
      </c>
      <c r="FE179" s="74" t="str">
        <f>IF('Marks Entry'!BN179="","",'Marks Entry'!BN179)</f>
        <v/>
      </c>
      <c r="FF179" s="74" t="str">
        <f>IF('Marks Entry'!BO179="","",'Marks Entry'!BO179)</f>
        <v/>
      </c>
      <c r="FG179" s="74" t="str">
        <f>IF('Marks Entry'!BP179="","",'Marks Entry'!BP179)</f>
        <v/>
      </c>
      <c r="FH179" s="527" t="str">
        <f t="shared" si="401"/>
        <v/>
      </c>
      <c r="FI179" s="74" t="str">
        <f>IF('Marks Entry'!BQ179="","",'Marks Entry'!BQ179)</f>
        <v/>
      </c>
      <c r="FJ179" s="74" t="str">
        <f>IF('Marks Entry'!BR179="","",'Marks Entry'!BR179)</f>
        <v/>
      </c>
      <c r="FK179" s="528" t="str">
        <f t="shared" si="402"/>
        <v/>
      </c>
      <c r="FL179" s="529" t="str">
        <f t="shared" si="403"/>
        <v/>
      </c>
      <c r="FM179" s="74" t="str">
        <f>IF('Marks Entry'!BS179="","",'Marks Entry'!BS179)</f>
        <v/>
      </c>
      <c r="FN179" s="74" t="str">
        <f>IF('Marks Entry'!BT179="","",'Marks Entry'!BT179)</f>
        <v/>
      </c>
      <c r="FO179" s="528" t="str">
        <f t="shared" si="404"/>
        <v/>
      </c>
      <c r="FP179" s="530" t="str">
        <f t="shared" si="405"/>
        <v/>
      </c>
      <c r="FQ179" s="368" t="str">
        <f t="shared" si="454"/>
        <v/>
      </c>
      <c r="FR179" s="65">
        <f t="shared" si="455"/>
        <v>0</v>
      </c>
      <c r="FS179" s="65">
        <f t="shared" si="456"/>
        <v>0</v>
      </c>
      <c r="FT179" s="66" t="str">
        <f t="shared" si="457"/>
        <v/>
      </c>
      <c r="FU179" s="74" t="str">
        <f>IF('Marks Entry'!BU179="","",'Marks Entry'!BU179)</f>
        <v/>
      </c>
      <c r="FV179" s="74" t="str">
        <f>IF('Marks Entry'!BV179="","",'Marks Entry'!BV179)</f>
        <v/>
      </c>
      <c r="FW179" s="74" t="str">
        <f>IF('Marks Entry'!BW179="","",'Marks Entry'!BW179)</f>
        <v/>
      </c>
      <c r="FX179" s="75" t="str">
        <f t="shared" si="406"/>
        <v/>
      </c>
      <c r="FY179" s="368" t="str">
        <f t="shared" si="458"/>
        <v/>
      </c>
      <c r="FZ179" s="65">
        <f t="shared" si="459"/>
        <v>0</v>
      </c>
      <c r="GA179" s="66">
        <f t="shared" si="460"/>
        <v>0</v>
      </c>
      <c r="GB179" s="66" t="str">
        <f t="shared" si="461"/>
        <v/>
      </c>
      <c r="GC179" s="74" t="str">
        <f>IF('Marks Entry'!BX179="","",'Marks Entry'!BX179)</f>
        <v/>
      </c>
      <c r="GD179" s="74" t="str">
        <f>IF('Marks Entry'!BY179="","",'Marks Entry'!BY179)</f>
        <v/>
      </c>
      <c r="GE179" s="74" t="str">
        <f>IF('Marks Entry'!BZ179="","",'Marks Entry'!BZ179)</f>
        <v/>
      </c>
      <c r="GF179" s="75" t="str">
        <f t="shared" si="462"/>
        <v/>
      </c>
      <c r="GG179" s="368" t="str">
        <f t="shared" si="463"/>
        <v/>
      </c>
      <c r="GH179" s="65">
        <f t="shared" si="464"/>
        <v>0</v>
      </c>
      <c r="GI179" s="66">
        <f t="shared" si="465"/>
        <v>0</v>
      </c>
      <c r="GJ179" s="66" t="str">
        <f t="shared" si="466"/>
        <v/>
      </c>
      <c r="GK179" s="100" t="str">
        <f>IF(AND(F179="",B179=""),"",IF('Student DATA Entry'!M176="","",'Student DATA Entry'!M176))</f>
        <v/>
      </c>
      <c r="GL179" s="101" t="str">
        <f>IF(AND(B179="",F179=""),"",IF('Student DATA Entry'!N176="","",'Student DATA Entry'!N176))</f>
        <v/>
      </c>
      <c r="GM179" s="581" t="str">
        <f t="shared" si="467"/>
        <v/>
      </c>
      <c r="GN179" s="94" t="str">
        <f t="shared" si="468"/>
        <v/>
      </c>
      <c r="GO179" s="94" t="str">
        <f t="shared" si="469"/>
        <v/>
      </c>
      <c r="GP179" s="102" t="str">
        <f t="shared" si="498"/>
        <v/>
      </c>
      <c r="GQ179" s="94" t="str">
        <f t="shared" si="470"/>
        <v/>
      </c>
      <c r="GR179" s="103" t="str">
        <f t="shared" si="471"/>
        <v/>
      </c>
      <c r="GS179" s="102" t="str">
        <f t="shared" si="499"/>
        <v/>
      </c>
      <c r="GT179" s="104" t="str">
        <f t="shared" si="472"/>
        <v/>
      </c>
      <c r="GU179" s="94" t="str">
        <f>IF('Marks Entry'!V179=1,GT179,"")</f>
        <v/>
      </c>
      <c r="GV179" s="94" t="str">
        <f>IF('Marks Entry'!V179=2,GT179,"")</f>
        <v/>
      </c>
      <c r="GW179" s="94" t="str">
        <f>IF('Marks Entry'!V179=3,GT179,"")</f>
        <v/>
      </c>
      <c r="GX179" s="94" t="str">
        <f>IF('Marks Entry'!V179=4,GT179,"")</f>
        <v/>
      </c>
      <c r="GY179" s="94" t="str">
        <f>IF('Marks Entry'!V179=5,GT179,"")</f>
        <v/>
      </c>
      <c r="GZ179" s="94" t="str">
        <f t="shared" si="473"/>
        <v/>
      </c>
      <c r="HA179" s="105" t="str">
        <f t="shared" si="500"/>
        <v/>
      </c>
      <c r="HB179" s="94" t="str">
        <f t="shared" si="474"/>
        <v/>
      </c>
      <c r="HC179" s="94" t="str">
        <f t="shared" si="475"/>
        <v/>
      </c>
      <c r="HD179" s="105" t="str">
        <f t="shared" si="501"/>
        <v/>
      </c>
      <c r="HE179" s="94" t="str">
        <f t="shared" si="476"/>
        <v/>
      </c>
      <c r="HF179" s="94" t="str">
        <f t="shared" si="477"/>
        <v/>
      </c>
      <c r="HG179" s="105" t="str">
        <f t="shared" si="502"/>
        <v/>
      </c>
      <c r="HH179" s="94" t="str">
        <f t="shared" si="478"/>
        <v/>
      </c>
      <c r="HI179" s="94" t="str">
        <f t="shared" si="479"/>
        <v/>
      </c>
      <c r="HJ179" s="105" t="str">
        <f t="shared" si="503"/>
        <v/>
      </c>
      <c r="HK179" s="94" t="str">
        <f t="shared" si="480"/>
        <v/>
      </c>
      <c r="HL179" s="94" t="str">
        <f t="shared" si="481"/>
        <v/>
      </c>
      <c r="HM179" s="105" t="str">
        <f t="shared" si="504"/>
        <v/>
      </c>
      <c r="HN179" s="367" t="str">
        <f t="shared" si="482"/>
        <v xml:space="preserve">      </v>
      </c>
      <c r="HO179" s="418" t="str">
        <f t="shared" si="505"/>
        <v xml:space="preserve">      </v>
      </c>
      <c r="HP179" s="367" t="str">
        <f t="shared" si="483"/>
        <v xml:space="preserve">      </v>
      </c>
      <c r="HQ179" s="107" t="str">
        <f t="shared" si="484"/>
        <v xml:space="preserve">      </v>
      </c>
      <c r="HR179" s="366" t="str">
        <f t="shared" si="485"/>
        <v xml:space="preserve">      </v>
      </c>
      <c r="HS179" s="544" t="str">
        <f t="shared" si="506"/>
        <v/>
      </c>
      <c r="HT179" s="542" t="str">
        <f t="shared" si="486"/>
        <v/>
      </c>
      <c r="HU179" s="541" t="str">
        <f t="shared" si="487"/>
        <v/>
      </c>
      <c r="HV179" s="540" t="str">
        <f t="shared" si="488"/>
        <v/>
      </c>
      <c r="HW179" s="537" t="str">
        <f t="shared" si="489"/>
        <v/>
      </c>
      <c r="HX179" s="539" t="str">
        <f t="shared" si="490"/>
        <v/>
      </c>
      <c r="HY179" s="553" t="str">
        <f>IFERROR(IF(OR(HS179="SUPPLEMENTARY",HS179="RE-EXAM"),'Supp. Result Entry'!AQ177,""),"")</f>
        <v/>
      </c>
      <c r="HZ179" s="538" t="str">
        <f t="shared" si="491"/>
        <v/>
      </c>
      <c r="IA179" s="415" t="str">
        <f t="shared" si="492"/>
        <v/>
      </c>
      <c r="IB179" s="415" t="str">
        <f>IF(AND(HZ179="",IA179=""),"",IF(OR(HS179="SUPPLEMENTARY",HS179="RE-EXAM"),'Supp. Result Entry'!AQ177,HS179))</f>
        <v/>
      </c>
      <c r="IC179" s="87"/>
      <c r="IS179" s="109" t="str">
        <f>IF('Supp. Result Entry'!T177="","",'Supp. Result Entry'!$T$4)</f>
        <v/>
      </c>
      <c r="IT179" s="110" t="str">
        <f>IF('Supp. Result Entry'!W177="","",'Supp. Result Entry'!$W$4)</f>
        <v/>
      </c>
      <c r="IU179" s="110" t="str">
        <f>IF('Supp. Result Entry'!Z177="","",'Supp. Result Entry'!$Z$4)</f>
        <v/>
      </c>
      <c r="IV179" s="110" t="str">
        <f>IF('Supp. Result Entry'!AC177="","",'Supp. Result Entry'!$AC$4)</f>
        <v/>
      </c>
      <c r="IW179" s="110" t="str">
        <f>IF('Supp. Result Entry'!AF177="","",'Supp. Result Entry'!$AF$4)</f>
        <v/>
      </c>
      <c r="IX179" s="110" t="str">
        <f>IF('Supp. Result Entry'!AI177="","",'Supp. Result Entry'!$AI$4)</f>
        <v/>
      </c>
      <c r="IY179" s="110" t="str">
        <f>IF('Supp. Result Entry'!AI177="","",'Supp. Result Entry'!$AL$4)</f>
        <v/>
      </c>
      <c r="IZ179" s="110" t="str">
        <f>IF('Supp. Result Entry'!U177="","",'Supp. Result Entry'!U177)</f>
        <v/>
      </c>
      <c r="JA179" s="110" t="str">
        <f>IF('Supp. Result Entry'!X177="","",'Supp. Result Entry'!X177)</f>
        <v/>
      </c>
      <c r="JB179" s="110" t="str">
        <f>IF('Supp. Result Entry'!AA177="","",'Supp. Result Entry'!AA177)</f>
        <v/>
      </c>
      <c r="JC179" s="110" t="str">
        <f>IF('Supp. Result Entry'!AD177="","",'Supp. Result Entry'!AD177)</f>
        <v/>
      </c>
      <c r="JD179" s="110" t="str">
        <f>IF('Supp. Result Entry'!AG177="","",'Supp. Result Entry'!AG177)</f>
        <v/>
      </c>
      <c r="JE179" s="110" t="str">
        <f>IF('Supp. Result Entry'!AJ177="","",'Supp. Result Entry'!AJ177)</f>
        <v/>
      </c>
      <c r="JF179" s="110" t="str">
        <f>IF('Supp. Result Entry'!AM177="","",'Supp. Result Entry'!AM177)</f>
        <v/>
      </c>
      <c r="JG179" s="110" t="str">
        <f>IF('Supp. Result Entry'!V177="","",'Supp. Result Entry'!V177)</f>
        <v/>
      </c>
      <c r="JH179" s="110" t="str">
        <f>IF('Supp. Result Entry'!Y177="","",'Supp. Result Entry'!Y177)</f>
        <v/>
      </c>
      <c r="JI179" s="110" t="str">
        <f>IF('Supp. Result Entry'!AB177="","",'Supp. Result Entry'!AB177)</f>
        <v/>
      </c>
      <c r="JJ179" s="110" t="str">
        <f>IF('Supp. Result Entry'!AE177="","",'Supp. Result Entry'!AE177)</f>
        <v/>
      </c>
      <c r="JK179" s="110" t="str">
        <f>IF('Supp. Result Entry'!AH177="","",'Supp. Result Entry'!AH177)</f>
        <v/>
      </c>
      <c r="JL179" s="110" t="str">
        <f>IF('Supp. Result Entry'!AK177="","",'Supp. Result Entry'!AK177)</f>
        <v/>
      </c>
      <c r="JM179" s="110" t="str">
        <f>IF('Supp. Result Entry'!AN177="","",'Supp. Result Entry'!AN177)</f>
        <v/>
      </c>
      <c r="JN179" s="110">
        <f>COUNTIF('Supp. Result Entry'!K177:Q177,"S")</f>
        <v>0</v>
      </c>
      <c r="JO179" s="110">
        <f t="shared" si="416"/>
        <v>0</v>
      </c>
      <c r="JP179" s="110">
        <f t="shared" si="493"/>
        <v>0</v>
      </c>
      <c r="JQ179" s="110" t="str">
        <f t="shared" si="417"/>
        <v/>
      </c>
      <c r="JR179" s="110" t="str">
        <f t="shared" si="418"/>
        <v/>
      </c>
      <c r="JS179" s="110" t="str">
        <f t="shared" si="419"/>
        <v/>
      </c>
      <c r="JT179" s="110" t="str">
        <f t="shared" si="420"/>
        <v/>
      </c>
      <c r="JU179" s="110" t="str">
        <f t="shared" si="421"/>
        <v/>
      </c>
      <c r="JV179" s="110" t="str">
        <f t="shared" si="422"/>
        <v/>
      </c>
      <c r="JW179" s="110" t="str">
        <f t="shared" si="423"/>
        <v/>
      </c>
      <c r="JX179" s="110" t="str">
        <f t="shared" si="494"/>
        <v/>
      </c>
      <c r="JY179" s="110" t="str">
        <f t="shared" si="495"/>
        <v/>
      </c>
      <c r="JZ179" s="110" t="str">
        <f t="shared" si="424"/>
        <v/>
      </c>
      <c r="KA179" s="108" t="str">
        <f t="shared" si="496"/>
        <v/>
      </c>
    </row>
    <row r="180" spans="1:287" s="108" customFormat="1" ht="21.95" customHeight="1">
      <c r="A180" s="89">
        <v>174</v>
      </c>
      <c r="B180" s="90" t="str">
        <f>IF('Marks Entry'!B180="","",'Marks Entry'!B180)</f>
        <v/>
      </c>
      <c r="C180" s="94" t="str">
        <f>IF('Marks Entry'!D180="","",'Marks Entry'!D180)</f>
        <v/>
      </c>
      <c r="D180" s="91" t="str">
        <f>IF('Marks Entry'!E180="","",'Marks Entry'!E180)</f>
        <v/>
      </c>
      <c r="E180" s="92" t="str">
        <f>IF('Marks Entry'!F180="","",'Marks Entry'!F180)</f>
        <v/>
      </c>
      <c r="F180" s="93" t="str">
        <f>IF('Marks Entry'!G180="","",'Marks Entry'!G180)</f>
        <v/>
      </c>
      <c r="G180" s="93" t="str">
        <f>IF('Marks Entry'!H180="","",'Marks Entry'!H180)</f>
        <v/>
      </c>
      <c r="H180" s="93" t="str">
        <f>IF('Marks Entry'!I180="","",'Marks Entry'!I180)</f>
        <v/>
      </c>
      <c r="I180" s="94" t="str">
        <f>IF('Marks Entry'!J180="","",'Marks Entry'!J180)</f>
        <v/>
      </c>
      <c r="J180" s="95" t="str">
        <f>IF('Marks Entry'!K180="","",'Marks Entry'!K180)</f>
        <v/>
      </c>
      <c r="K180" s="68" t="str">
        <f>IF('Marks Entry'!L180="","",'Marks Entry'!L180)</f>
        <v/>
      </c>
      <c r="L180" s="68" t="str">
        <f>IF('Marks Entry'!M180="","",'Marks Entry'!M180)</f>
        <v/>
      </c>
      <c r="M180" s="68" t="str">
        <f>IF('Marks Entry'!N180="","",'Marks Entry'!N180)</f>
        <v/>
      </c>
      <c r="N180" s="514" t="str">
        <f t="shared" si="425"/>
        <v/>
      </c>
      <c r="O180" s="68" t="str">
        <f>IF('Marks Entry'!O180="","",'Marks Entry'!O180)</f>
        <v/>
      </c>
      <c r="P180" s="515" t="str">
        <f t="shared" si="426"/>
        <v/>
      </c>
      <c r="Q180" s="68" t="str">
        <f>IF('Marks Entry'!P180="","",'Marks Entry'!P180)</f>
        <v/>
      </c>
      <c r="R180" s="96" t="str">
        <f t="shared" si="427"/>
        <v/>
      </c>
      <c r="S180" s="65">
        <f t="shared" si="428"/>
        <v>0</v>
      </c>
      <c r="T180" s="65">
        <f t="shared" si="429"/>
        <v>0</v>
      </c>
      <c r="U180" s="66" t="str">
        <f t="shared" si="339"/>
        <v/>
      </c>
      <c r="V180" s="65" t="str">
        <f t="shared" si="340"/>
        <v/>
      </c>
      <c r="W180" s="65" t="str">
        <f t="shared" si="430"/>
        <v/>
      </c>
      <c r="X180" s="65" t="str">
        <f t="shared" si="341"/>
        <v/>
      </c>
      <c r="Y180" s="68" t="str">
        <f>IF('Marks Entry'!Q180="","",'Marks Entry'!Q180)</f>
        <v/>
      </c>
      <c r="Z180" s="68" t="str">
        <f>IF('Marks Entry'!R180="","",'Marks Entry'!R180)</f>
        <v/>
      </c>
      <c r="AA180" s="68" t="str">
        <f>IF('Marks Entry'!S180="","",'Marks Entry'!S180)</f>
        <v/>
      </c>
      <c r="AB180" s="514" t="str">
        <f t="shared" si="342"/>
        <v/>
      </c>
      <c r="AC180" s="68" t="str">
        <f>IF('Marks Entry'!T180="","",'Marks Entry'!T180)</f>
        <v/>
      </c>
      <c r="AD180" s="515" t="str">
        <f t="shared" si="343"/>
        <v/>
      </c>
      <c r="AE180" s="68" t="str">
        <f>IF('Marks Entry'!U180="","",'Marks Entry'!U180)</f>
        <v/>
      </c>
      <c r="AF180" s="96" t="str">
        <f t="shared" si="344"/>
        <v/>
      </c>
      <c r="AG180" s="65">
        <f t="shared" si="345"/>
        <v>0</v>
      </c>
      <c r="AH180" s="65">
        <f t="shared" si="346"/>
        <v>0</v>
      </c>
      <c r="AI180" s="66" t="str">
        <f t="shared" si="347"/>
        <v/>
      </c>
      <c r="AJ180" s="65" t="str">
        <f t="shared" si="348"/>
        <v/>
      </c>
      <c r="AK180" s="65" t="str">
        <f t="shared" si="349"/>
        <v/>
      </c>
      <c r="AL180" s="65" t="str">
        <f t="shared" si="350"/>
        <v/>
      </c>
      <c r="AM180" s="524" t="str">
        <f>IF('Marks Entry'!V180="","",IF('Marks Entry'!V180=1,'School Profile'!$I$9,IF('Marks Entry'!V180=2,'School Profile'!$I$10,IF('Marks Entry'!V180=3,'School Profile'!$I$11,IF('Marks Entry'!V180=4,'School Profile'!$I$12,IF('Marks Entry'!V180=5,'School Profile'!$I$13,IF('Marks Entry'!V180=6,'School Profile'!$I$14,"")))))))</f>
        <v/>
      </c>
      <c r="AN180" s="68" t="str">
        <f>IF('Marks Entry'!W180="","",'Marks Entry'!W180)</f>
        <v/>
      </c>
      <c r="AO180" s="68" t="str">
        <f>IF('Marks Entry'!X180="","",'Marks Entry'!X180)</f>
        <v/>
      </c>
      <c r="AP180" s="68" t="str">
        <f>IF('Marks Entry'!Y180="","",'Marks Entry'!Y180)</f>
        <v/>
      </c>
      <c r="AQ180" s="514" t="str">
        <f t="shared" si="351"/>
        <v/>
      </c>
      <c r="AR180" s="68" t="str">
        <f>IF('Marks Entry'!Z180="","",'Marks Entry'!Z180)</f>
        <v/>
      </c>
      <c r="AS180" s="515" t="str">
        <f t="shared" si="352"/>
        <v/>
      </c>
      <c r="AT180" s="68" t="str">
        <f>IF('Marks Entry'!AA180="","",'Marks Entry'!AA180)</f>
        <v/>
      </c>
      <c r="AU180" s="96" t="str">
        <f t="shared" si="353"/>
        <v/>
      </c>
      <c r="AV180" s="65">
        <f t="shared" si="354"/>
        <v>0</v>
      </c>
      <c r="AW180" s="65">
        <f t="shared" si="355"/>
        <v>0</v>
      </c>
      <c r="AX180" s="66" t="str">
        <f t="shared" si="356"/>
        <v/>
      </c>
      <c r="AY180" s="65" t="str">
        <f t="shared" si="357"/>
        <v/>
      </c>
      <c r="AZ180" s="65" t="str">
        <f t="shared" si="358"/>
        <v/>
      </c>
      <c r="BA180" s="65" t="str">
        <f t="shared" si="359"/>
        <v/>
      </c>
      <c r="BB180" s="68" t="str">
        <f>IF('Marks Entry'!AB180="","",'Marks Entry'!AB180)</f>
        <v/>
      </c>
      <c r="BC180" s="68" t="str">
        <f>IF('Marks Entry'!AC180="","",'Marks Entry'!AC180)</f>
        <v/>
      </c>
      <c r="BD180" s="68" t="str">
        <f>IF('Marks Entry'!AD180="","",'Marks Entry'!AD180)</f>
        <v/>
      </c>
      <c r="BE180" s="514" t="str">
        <f t="shared" si="360"/>
        <v/>
      </c>
      <c r="BF180" s="68" t="str">
        <f>IF('Marks Entry'!AE180="","",'Marks Entry'!AE180)</f>
        <v/>
      </c>
      <c r="BG180" s="515" t="str">
        <f t="shared" si="361"/>
        <v/>
      </c>
      <c r="BH180" s="68" t="str">
        <f>IF('Marks Entry'!AF180="","",'Marks Entry'!AF180)</f>
        <v/>
      </c>
      <c r="BI180" s="96" t="str">
        <f t="shared" si="362"/>
        <v/>
      </c>
      <c r="BJ180" s="65">
        <f t="shared" si="363"/>
        <v>0</v>
      </c>
      <c r="BK180" s="65">
        <f t="shared" si="431"/>
        <v>0</v>
      </c>
      <c r="BL180" s="66" t="str">
        <f t="shared" si="364"/>
        <v/>
      </c>
      <c r="BM180" s="65" t="str">
        <f t="shared" si="365"/>
        <v/>
      </c>
      <c r="BN180" s="65" t="str">
        <f t="shared" si="366"/>
        <v/>
      </c>
      <c r="BO180" s="65" t="str">
        <f t="shared" si="367"/>
        <v/>
      </c>
      <c r="BP180" s="68" t="str">
        <f>IF('Marks Entry'!AG180="","",'Marks Entry'!AG180)</f>
        <v/>
      </c>
      <c r="BQ180" s="68" t="str">
        <f>IF('Marks Entry'!AH180="","",'Marks Entry'!AH180)</f>
        <v/>
      </c>
      <c r="BR180" s="68" t="str">
        <f>IF('Marks Entry'!AI180="","",'Marks Entry'!AI180)</f>
        <v/>
      </c>
      <c r="BS180" s="514" t="str">
        <f t="shared" si="368"/>
        <v/>
      </c>
      <c r="BT180" s="68" t="str">
        <f>IF('Marks Entry'!AJ180="","",'Marks Entry'!AJ180)</f>
        <v/>
      </c>
      <c r="BU180" s="515" t="str">
        <f t="shared" si="369"/>
        <v/>
      </c>
      <c r="BV180" s="68" t="str">
        <f>IF('Marks Entry'!AK180="","",'Marks Entry'!AK180)</f>
        <v/>
      </c>
      <c r="BW180" s="96" t="str">
        <f t="shared" si="370"/>
        <v/>
      </c>
      <c r="BX180" s="65">
        <f t="shared" si="371"/>
        <v>0</v>
      </c>
      <c r="BY180" s="65">
        <f t="shared" si="372"/>
        <v>0</v>
      </c>
      <c r="BZ180" s="66" t="str">
        <f t="shared" si="373"/>
        <v/>
      </c>
      <c r="CA180" s="65" t="str">
        <f t="shared" si="374"/>
        <v/>
      </c>
      <c r="CB180" s="65" t="str">
        <f t="shared" si="375"/>
        <v/>
      </c>
      <c r="CC180" s="65" t="str">
        <f t="shared" si="376"/>
        <v/>
      </c>
      <c r="CD180" s="66">
        <f t="shared" si="497"/>
        <v>0</v>
      </c>
      <c r="CE180" s="68" t="str">
        <f>IF('Marks Entry'!AL180="","",'Marks Entry'!AL180)</f>
        <v/>
      </c>
      <c r="CF180" s="68" t="str">
        <f>IF('Marks Entry'!AM180="","",'Marks Entry'!AM180)</f>
        <v/>
      </c>
      <c r="CG180" s="68" t="str">
        <f>IF('Marks Entry'!AN180="","",'Marks Entry'!AN180)</f>
        <v/>
      </c>
      <c r="CH180" s="514" t="str">
        <f t="shared" si="378"/>
        <v/>
      </c>
      <c r="CI180" s="68" t="str">
        <f>IF('Marks Entry'!AO180="","",'Marks Entry'!AO180)</f>
        <v/>
      </c>
      <c r="CJ180" s="515" t="str">
        <f t="shared" si="379"/>
        <v/>
      </c>
      <c r="CK180" s="68" t="str">
        <f>IF('Marks Entry'!AP180="","",'Marks Entry'!AP180)</f>
        <v/>
      </c>
      <c r="CL180" s="96" t="str">
        <f t="shared" si="380"/>
        <v/>
      </c>
      <c r="CM180" s="65">
        <f t="shared" si="381"/>
        <v>0</v>
      </c>
      <c r="CN180" s="65">
        <f t="shared" si="382"/>
        <v>0</v>
      </c>
      <c r="CO180" s="66" t="str">
        <f t="shared" si="383"/>
        <v/>
      </c>
      <c r="CP180" s="65" t="str">
        <f t="shared" si="384"/>
        <v/>
      </c>
      <c r="CQ180" s="65" t="str">
        <f t="shared" si="385"/>
        <v/>
      </c>
      <c r="CR180" s="65" t="str">
        <f t="shared" si="386"/>
        <v/>
      </c>
      <c r="CS180" s="616"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8" t="str">
        <f>IF('School Profile'!$D$20="NO","",IF('Marks Entry'!AR180="","",'Marks Entry'!AR180))</f>
        <v/>
      </c>
      <c r="CU180" s="68" t="str">
        <f>IF('School Profile'!$D$20="NO","",IF('Marks Entry'!AS180="","",'Marks Entry'!AS180))</f>
        <v/>
      </c>
      <c r="CV180" s="68" t="str">
        <f>IF('School Profile'!$D$20="NO","",IF('Marks Entry'!AT180="","",'Marks Entry'!AT180))</f>
        <v/>
      </c>
      <c r="CW180" s="514" t="str">
        <f>IF('School Profile'!$D$20="NO","",IF(AND(CT180="",CU180="",CV180=""),"",SUM(CT180:CV180)))</f>
        <v/>
      </c>
      <c r="CX180" s="68" t="str">
        <f>IF('School Profile'!$D$20="NO","",IF('Marks Entry'!AU180="","",'Marks Entry'!AU180))</f>
        <v/>
      </c>
      <c r="CY180" s="68" t="str">
        <f>IF('School Profile'!$D$20="NO","",IF('Marks Entry'!AV180="","",'Marks Entry'!AV180))</f>
        <v/>
      </c>
      <c r="CZ180" s="515" t="str">
        <f>IF('School Profile'!$D$20="NO","",IF(AND(CX180="",CY180=""),"",SUM(CX180,CY180)))</f>
        <v/>
      </c>
      <c r="DA180" s="69" t="str">
        <f>IF('School Profile'!$D$20="NO","",IF(AND(CW180="",CZ180=""),"",SUM(CW180+CZ180)))</f>
        <v/>
      </c>
      <c r="DB180" s="68" t="str">
        <f>IF('School Profile'!$D$20="NO","",IF('Marks Entry'!AW180="","",'Marks Entry'!AW180))</f>
        <v/>
      </c>
      <c r="DC180" s="68" t="str">
        <f>IF('School Profile'!$D$20="NO","",IF('Marks Entry'!AX180="","",'Marks Entry'!AX180))</f>
        <v/>
      </c>
      <c r="DD180" s="515" t="str">
        <f>IF('School Profile'!$D$20="NO","",IF(AND(DB180="",DC180=""),"",SUM(DB180,DC180)))</f>
        <v/>
      </c>
      <c r="DE180" s="96" t="str">
        <f>IF('School Profile'!$D$20="NO","",IF(AND(DA180="",DD180=""),"",SUM(DA180,DD180)))</f>
        <v/>
      </c>
      <c r="DF180" s="532">
        <f t="shared" si="387"/>
        <v>0</v>
      </c>
      <c r="DG180" s="65">
        <f t="shared" si="388"/>
        <v>0</v>
      </c>
      <c r="DH180" s="66" t="str">
        <f t="shared" si="389"/>
        <v/>
      </c>
      <c r="DI180" s="65" t="str">
        <f t="shared" si="390"/>
        <v/>
      </c>
      <c r="DJ180" s="65" t="str">
        <f t="shared" si="391"/>
        <v/>
      </c>
      <c r="DK180" s="65" t="str">
        <f t="shared" si="392"/>
        <v/>
      </c>
      <c r="DL180" s="97" t="str">
        <f t="shared" si="432"/>
        <v/>
      </c>
      <c r="DM180" s="97" t="str">
        <f t="shared" si="433"/>
        <v/>
      </c>
      <c r="DN180" s="97" t="str">
        <f t="shared" si="434"/>
        <v/>
      </c>
      <c r="DO180" s="97" t="str">
        <f t="shared" si="435"/>
        <v/>
      </c>
      <c r="DP180" s="97" t="str">
        <f t="shared" si="436"/>
        <v/>
      </c>
      <c r="DQ180" s="97" t="str">
        <f t="shared" si="437"/>
        <v/>
      </c>
      <c r="DR180" s="97" t="str">
        <f t="shared" si="438"/>
        <v/>
      </c>
      <c r="DS180" s="98">
        <f t="shared" si="439"/>
        <v>0</v>
      </c>
      <c r="DT180" s="98">
        <f t="shared" si="440"/>
        <v>0</v>
      </c>
      <c r="DU180" s="98">
        <f t="shared" si="441"/>
        <v>0</v>
      </c>
      <c r="DV180" s="98">
        <f t="shared" si="442"/>
        <v>0</v>
      </c>
      <c r="DW180" s="98">
        <f t="shared" si="443"/>
        <v>0</v>
      </c>
      <c r="DX180" s="98" t="str">
        <f t="shared" si="444"/>
        <v/>
      </c>
      <c r="DY180" s="99" t="str">
        <f t="shared" si="445"/>
        <v/>
      </c>
      <c r="DZ180" s="74" t="str">
        <f>IF('Marks Entry'!AY180="","",'Marks Entry'!AY180)</f>
        <v/>
      </c>
      <c r="EA180" s="74" t="str">
        <f>IF('Marks Entry'!AZ180="","",'Marks Entry'!AZ180)</f>
        <v/>
      </c>
      <c r="EB180" s="74" t="str">
        <f>IF('Marks Entry'!BA180="","",'Marks Entry'!BA180)</f>
        <v/>
      </c>
      <c r="EC180" s="527" t="str">
        <f t="shared" si="393"/>
        <v/>
      </c>
      <c r="ED180" s="74" t="str">
        <f>IF('Marks Entry'!BB180="","",'Marks Entry'!BB180)</f>
        <v/>
      </c>
      <c r="EE180" s="528" t="str">
        <f t="shared" si="394"/>
        <v/>
      </c>
      <c r="EF180" s="74" t="str">
        <f>IF('Marks Entry'!BC180="","",'Marks Entry'!BC180)</f>
        <v/>
      </c>
      <c r="EG180" s="530" t="str">
        <f t="shared" si="395"/>
        <v/>
      </c>
      <c r="EH180" s="368" t="str">
        <f t="shared" si="446"/>
        <v/>
      </c>
      <c r="EI180" s="65">
        <f t="shared" si="447"/>
        <v>0</v>
      </c>
      <c r="EJ180" s="65">
        <f t="shared" si="448"/>
        <v>0</v>
      </c>
      <c r="EK180" s="66" t="str">
        <f t="shared" si="449"/>
        <v/>
      </c>
      <c r="EL180" s="74" t="str">
        <f>IF('Marks Entry'!BD180="","",'Marks Entry'!BD180)</f>
        <v/>
      </c>
      <c r="EM180" s="74" t="str">
        <f>IF('Marks Entry'!BE180="","",'Marks Entry'!BE180)</f>
        <v/>
      </c>
      <c r="EN180" s="74" t="str">
        <f>IF('Marks Entry'!BF180="","",'Marks Entry'!BF180)</f>
        <v/>
      </c>
      <c r="EO180" s="527" t="str">
        <f t="shared" si="396"/>
        <v/>
      </c>
      <c r="EP180" s="74" t="str">
        <f>IF('Marks Entry'!BG180="","",'Marks Entry'!BG180)</f>
        <v/>
      </c>
      <c r="EQ180" s="74" t="str">
        <f>IF('Marks Entry'!BH180="","",'Marks Entry'!BH180)</f>
        <v/>
      </c>
      <c r="ER180" s="528" t="str">
        <f t="shared" si="397"/>
        <v/>
      </c>
      <c r="ES180" s="529" t="str">
        <f t="shared" si="398"/>
        <v/>
      </c>
      <c r="ET180" s="74" t="str">
        <f>IF('Marks Entry'!BI180="","",'Marks Entry'!BI180)</f>
        <v/>
      </c>
      <c r="EU180" s="74" t="str">
        <f>IF('Marks Entry'!BJ180="","",'Marks Entry'!BJ180)</f>
        <v/>
      </c>
      <c r="EV180" s="528" t="str">
        <f t="shared" si="399"/>
        <v/>
      </c>
      <c r="EW180" s="530" t="str">
        <f t="shared" si="400"/>
        <v/>
      </c>
      <c r="EX180" s="368" t="str">
        <f t="shared" si="450"/>
        <v/>
      </c>
      <c r="EY180" s="65">
        <f t="shared" si="451"/>
        <v>0</v>
      </c>
      <c r="EZ180" s="65">
        <f t="shared" si="452"/>
        <v>0</v>
      </c>
      <c r="FA180" s="66" t="str">
        <f t="shared" si="453"/>
        <v/>
      </c>
      <c r="FB180" s="74" t="str">
        <f>IF('Marks Entry'!BK180="","",'Marks Entry'!BK180)</f>
        <v/>
      </c>
      <c r="FC180" s="74" t="str">
        <f>IF('Marks Entry'!BL180="","",'Marks Entry'!BL180)</f>
        <v/>
      </c>
      <c r="FD180" s="74" t="str">
        <f>IF('Marks Entry'!BM180="","",'Marks Entry'!BM180)</f>
        <v/>
      </c>
      <c r="FE180" s="74" t="str">
        <f>IF('Marks Entry'!BN180="","",'Marks Entry'!BN180)</f>
        <v/>
      </c>
      <c r="FF180" s="74" t="str">
        <f>IF('Marks Entry'!BO180="","",'Marks Entry'!BO180)</f>
        <v/>
      </c>
      <c r="FG180" s="74" t="str">
        <f>IF('Marks Entry'!BP180="","",'Marks Entry'!BP180)</f>
        <v/>
      </c>
      <c r="FH180" s="527" t="str">
        <f t="shared" si="401"/>
        <v/>
      </c>
      <c r="FI180" s="74" t="str">
        <f>IF('Marks Entry'!BQ180="","",'Marks Entry'!BQ180)</f>
        <v/>
      </c>
      <c r="FJ180" s="74" t="str">
        <f>IF('Marks Entry'!BR180="","",'Marks Entry'!BR180)</f>
        <v/>
      </c>
      <c r="FK180" s="528" t="str">
        <f t="shared" si="402"/>
        <v/>
      </c>
      <c r="FL180" s="529" t="str">
        <f t="shared" si="403"/>
        <v/>
      </c>
      <c r="FM180" s="74" t="str">
        <f>IF('Marks Entry'!BS180="","",'Marks Entry'!BS180)</f>
        <v/>
      </c>
      <c r="FN180" s="74" t="str">
        <f>IF('Marks Entry'!BT180="","",'Marks Entry'!BT180)</f>
        <v/>
      </c>
      <c r="FO180" s="528" t="str">
        <f t="shared" si="404"/>
        <v/>
      </c>
      <c r="FP180" s="530" t="str">
        <f t="shared" si="405"/>
        <v/>
      </c>
      <c r="FQ180" s="368" t="str">
        <f t="shared" si="454"/>
        <v/>
      </c>
      <c r="FR180" s="65">
        <f t="shared" si="455"/>
        <v>0</v>
      </c>
      <c r="FS180" s="65">
        <f t="shared" si="456"/>
        <v>0</v>
      </c>
      <c r="FT180" s="66" t="str">
        <f t="shared" si="457"/>
        <v/>
      </c>
      <c r="FU180" s="74" t="str">
        <f>IF('Marks Entry'!BU180="","",'Marks Entry'!BU180)</f>
        <v/>
      </c>
      <c r="FV180" s="74" t="str">
        <f>IF('Marks Entry'!BV180="","",'Marks Entry'!BV180)</f>
        <v/>
      </c>
      <c r="FW180" s="74" t="str">
        <f>IF('Marks Entry'!BW180="","",'Marks Entry'!BW180)</f>
        <v/>
      </c>
      <c r="FX180" s="75" t="str">
        <f t="shared" si="406"/>
        <v/>
      </c>
      <c r="FY180" s="368" t="str">
        <f t="shared" si="458"/>
        <v/>
      </c>
      <c r="FZ180" s="65">
        <f t="shared" si="459"/>
        <v>0</v>
      </c>
      <c r="GA180" s="66">
        <f t="shared" si="460"/>
        <v>0</v>
      </c>
      <c r="GB180" s="66" t="str">
        <f t="shared" si="461"/>
        <v/>
      </c>
      <c r="GC180" s="74" t="str">
        <f>IF('Marks Entry'!BX180="","",'Marks Entry'!BX180)</f>
        <v/>
      </c>
      <c r="GD180" s="74" t="str">
        <f>IF('Marks Entry'!BY180="","",'Marks Entry'!BY180)</f>
        <v/>
      </c>
      <c r="GE180" s="74" t="str">
        <f>IF('Marks Entry'!BZ180="","",'Marks Entry'!BZ180)</f>
        <v/>
      </c>
      <c r="GF180" s="75" t="str">
        <f t="shared" si="462"/>
        <v/>
      </c>
      <c r="GG180" s="368" t="str">
        <f t="shared" si="463"/>
        <v/>
      </c>
      <c r="GH180" s="65">
        <f t="shared" si="464"/>
        <v>0</v>
      </c>
      <c r="GI180" s="66">
        <f t="shared" si="465"/>
        <v>0</v>
      </c>
      <c r="GJ180" s="66" t="str">
        <f t="shared" si="466"/>
        <v/>
      </c>
      <c r="GK180" s="100" t="str">
        <f>IF(AND(F180="",B180=""),"",IF('Student DATA Entry'!M177="","",'Student DATA Entry'!M177))</f>
        <v/>
      </c>
      <c r="GL180" s="101" t="str">
        <f>IF(AND(B180="",F180=""),"",IF('Student DATA Entry'!N177="","",'Student DATA Entry'!N177))</f>
        <v/>
      </c>
      <c r="GM180" s="581" t="str">
        <f t="shared" si="467"/>
        <v/>
      </c>
      <c r="GN180" s="94" t="str">
        <f t="shared" si="468"/>
        <v/>
      </c>
      <c r="GO180" s="94" t="str">
        <f t="shared" si="469"/>
        <v/>
      </c>
      <c r="GP180" s="102" t="str">
        <f t="shared" si="498"/>
        <v/>
      </c>
      <c r="GQ180" s="94" t="str">
        <f t="shared" si="470"/>
        <v/>
      </c>
      <c r="GR180" s="103" t="str">
        <f t="shared" si="471"/>
        <v/>
      </c>
      <c r="GS180" s="102" t="str">
        <f t="shared" si="499"/>
        <v/>
      </c>
      <c r="GT180" s="104" t="str">
        <f t="shared" si="472"/>
        <v/>
      </c>
      <c r="GU180" s="94" t="str">
        <f>IF('Marks Entry'!V180=1,GT180,"")</f>
        <v/>
      </c>
      <c r="GV180" s="94" t="str">
        <f>IF('Marks Entry'!V180=2,GT180,"")</f>
        <v/>
      </c>
      <c r="GW180" s="94" t="str">
        <f>IF('Marks Entry'!V180=3,GT180,"")</f>
        <v/>
      </c>
      <c r="GX180" s="94" t="str">
        <f>IF('Marks Entry'!V180=4,GT180,"")</f>
        <v/>
      </c>
      <c r="GY180" s="94" t="str">
        <f>IF('Marks Entry'!V180=5,GT180,"")</f>
        <v/>
      </c>
      <c r="GZ180" s="94" t="str">
        <f t="shared" si="473"/>
        <v/>
      </c>
      <c r="HA180" s="105" t="str">
        <f t="shared" si="500"/>
        <v/>
      </c>
      <c r="HB180" s="94" t="str">
        <f t="shared" si="474"/>
        <v/>
      </c>
      <c r="HC180" s="94" t="str">
        <f t="shared" si="475"/>
        <v/>
      </c>
      <c r="HD180" s="105" t="str">
        <f t="shared" si="501"/>
        <v/>
      </c>
      <c r="HE180" s="94" t="str">
        <f t="shared" si="476"/>
        <v/>
      </c>
      <c r="HF180" s="94" t="str">
        <f t="shared" si="477"/>
        <v/>
      </c>
      <c r="HG180" s="105" t="str">
        <f t="shared" si="502"/>
        <v/>
      </c>
      <c r="HH180" s="94" t="str">
        <f t="shared" si="478"/>
        <v/>
      </c>
      <c r="HI180" s="94" t="str">
        <f t="shared" si="479"/>
        <v/>
      </c>
      <c r="HJ180" s="105" t="str">
        <f t="shared" si="503"/>
        <v/>
      </c>
      <c r="HK180" s="94" t="str">
        <f t="shared" si="480"/>
        <v/>
      </c>
      <c r="HL180" s="94" t="str">
        <f t="shared" si="481"/>
        <v/>
      </c>
      <c r="HM180" s="105" t="str">
        <f t="shared" si="504"/>
        <v/>
      </c>
      <c r="HN180" s="367" t="str">
        <f t="shared" si="482"/>
        <v xml:space="preserve">      </v>
      </c>
      <c r="HO180" s="418" t="str">
        <f t="shared" si="505"/>
        <v xml:space="preserve">      </v>
      </c>
      <c r="HP180" s="367" t="str">
        <f t="shared" si="483"/>
        <v xml:space="preserve">      </v>
      </c>
      <c r="HQ180" s="107" t="str">
        <f t="shared" si="484"/>
        <v xml:space="preserve">      </v>
      </c>
      <c r="HR180" s="366" t="str">
        <f t="shared" si="485"/>
        <v xml:space="preserve">      </v>
      </c>
      <c r="HS180" s="544" t="str">
        <f t="shared" si="506"/>
        <v/>
      </c>
      <c r="HT180" s="542" t="str">
        <f t="shared" si="486"/>
        <v/>
      </c>
      <c r="HU180" s="541" t="str">
        <f t="shared" si="487"/>
        <v/>
      </c>
      <c r="HV180" s="540" t="str">
        <f t="shared" si="488"/>
        <v/>
      </c>
      <c r="HW180" s="537" t="str">
        <f t="shared" si="489"/>
        <v/>
      </c>
      <c r="HX180" s="539" t="str">
        <f t="shared" si="490"/>
        <v/>
      </c>
      <c r="HY180" s="553" t="str">
        <f>IFERROR(IF(OR(HS180="SUPPLEMENTARY",HS180="RE-EXAM"),'Supp. Result Entry'!AQ178,""),"")</f>
        <v/>
      </c>
      <c r="HZ180" s="538" t="str">
        <f t="shared" si="491"/>
        <v/>
      </c>
      <c r="IA180" s="415" t="str">
        <f t="shared" si="492"/>
        <v/>
      </c>
      <c r="IB180" s="415" t="str">
        <f>IF(AND(HZ180="",IA180=""),"",IF(OR(HS180="SUPPLEMENTARY",HS180="RE-EXAM"),'Supp. Result Entry'!AQ178,HS180))</f>
        <v/>
      </c>
      <c r="IC180" s="87"/>
      <c r="IS180" s="109" t="str">
        <f>IF('Supp. Result Entry'!T178="","",'Supp. Result Entry'!$T$4)</f>
        <v/>
      </c>
      <c r="IT180" s="110" t="str">
        <f>IF('Supp. Result Entry'!W178="","",'Supp. Result Entry'!$W$4)</f>
        <v/>
      </c>
      <c r="IU180" s="110" t="str">
        <f>IF('Supp. Result Entry'!Z178="","",'Supp. Result Entry'!$Z$4)</f>
        <v/>
      </c>
      <c r="IV180" s="110" t="str">
        <f>IF('Supp. Result Entry'!AC178="","",'Supp. Result Entry'!$AC$4)</f>
        <v/>
      </c>
      <c r="IW180" s="110" t="str">
        <f>IF('Supp. Result Entry'!AF178="","",'Supp. Result Entry'!$AF$4)</f>
        <v/>
      </c>
      <c r="IX180" s="110" t="str">
        <f>IF('Supp. Result Entry'!AI178="","",'Supp. Result Entry'!$AI$4)</f>
        <v/>
      </c>
      <c r="IY180" s="110" t="str">
        <f>IF('Supp. Result Entry'!AI178="","",'Supp. Result Entry'!$AL$4)</f>
        <v/>
      </c>
      <c r="IZ180" s="110" t="str">
        <f>IF('Supp. Result Entry'!U178="","",'Supp. Result Entry'!U178)</f>
        <v/>
      </c>
      <c r="JA180" s="110" t="str">
        <f>IF('Supp. Result Entry'!X178="","",'Supp. Result Entry'!X178)</f>
        <v/>
      </c>
      <c r="JB180" s="110" t="str">
        <f>IF('Supp. Result Entry'!AA178="","",'Supp. Result Entry'!AA178)</f>
        <v/>
      </c>
      <c r="JC180" s="110" t="str">
        <f>IF('Supp. Result Entry'!AD178="","",'Supp. Result Entry'!AD178)</f>
        <v/>
      </c>
      <c r="JD180" s="110" t="str">
        <f>IF('Supp. Result Entry'!AG178="","",'Supp. Result Entry'!AG178)</f>
        <v/>
      </c>
      <c r="JE180" s="110" t="str">
        <f>IF('Supp. Result Entry'!AJ178="","",'Supp. Result Entry'!AJ178)</f>
        <v/>
      </c>
      <c r="JF180" s="110" t="str">
        <f>IF('Supp. Result Entry'!AM178="","",'Supp. Result Entry'!AM178)</f>
        <v/>
      </c>
      <c r="JG180" s="110" t="str">
        <f>IF('Supp. Result Entry'!V178="","",'Supp. Result Entry'!V178)</f>
        <v/>
      </c>
      <c r="JH180" s="110" t="str">
        <f>IF('Supp. Result Entry'!Y178="","",'Supp. Result Entry'!Y178)</f>
        <v/>
      </c>
      <c r="JI180" s="110" t="str">
        <f>IF('Supp. Result Entry'!AB178="","",'Supp. Result Entry'!AB178)</f>
        <v/>
      </c>
      <c r="JJ180" s="110" t="str">
        <f>IF('Supp. Result Entry'!AE178="","",'Supp. Result Entry'!AE178)</f>
        <v/>
      </c>
      <c r="JK180" s="110" t="str">
        <f>IF('Supp. Result Entry'!AH178="","",'Supp. Result Entry'!AH178)</f>
        <v/>
      </c>
      <c r="JL180" s="110" t="str">
        <f>IF('Supp. Result Entry'!AK178="","",'Supp. Result Entry'!AK178)</f>
        <v/>
      </c>
      <c r="JM180" s="110" t="str">
        <f>IF('Supp. Result Entry'!AN178="","",'Supp. Result Entry'!AN178)</f>
        <v/>
      </c>
      <c r="JN180" s="110">
        <f>COUNTIF('Supp. Result Entry'!K178:Q178,"S")</f>
        <v>0</v>
      </c>
      <c r="JO180" s="110">
        <f t="shared" si="416"/>
        <v>0</v>
      </c>
      <c r="JP180" s="110">
        <f t="shared" si="493"/>
        <v>0</v>
      </c>
      <c r="JQ180" s="110" t="str">
        <f t="shared" si="417"/>
        <v/>
      </c>
      <c r="JR180" s="110" t="str">
        <f t="shared" si="418"/>
        <v/>
      </c>
      <c r="JS180" s="110" t="str">
        <f t="shared" si="419"/>
        <v/>
      </c>
      <c r="JT180" s="110" t="str">
        <f t="shared" si="420"/>
        <v/>
      </c>
      <c r="JU180" s="110" t="str">
        <f t="shared" si="421"/>
        <v/>
      </c>
      <c r="JV180" s="110" t="str">
        <f t="shared" si="422"/>
        <v/>
      </c>
      <c r="JW180" s="110" t="str">
        <f t="shared" si="423"/>
        <v/>
      </c>
      <c r="JX180" s="110" t="str">
        <f t="shared" si="494"/>
        <v/>
      </c>
      <c r="JY180" s="110" t="str">
        <f t="shared" si="495"/>
        <v/>
      </c>
      <c r="JZ180" s="110" t="str">
        <f t="shared" si="424"/>
        <v/>
      </c>
      <c r="KA180" s="108" t="str">
        <f t="shared" si="496"/>
        <v/>
      </c>
    </row>
    <row r="181" spans="1:287" s="108" customFormat="1" ht="21.95" customHeight="1">
      <c r="A181" s="89">
        <v>175</v>
      </c>
      <c r="B181" s="90" t="str">
        <f>IF('Marks Entry'!B181="","",'Marks Entry'!B181)</f>
        <v/>
      </c>
      <c r="C181" s="94" t="str">
        <f>IF('Marks Entry'!D181="","",'Marks Entry'!D181)</f>
        <v/>
      </c>
      <c r="D181" s="91" t="str">
        <f>IF('Marks Entry'!E181="","",'Marks Entry'!E181)</f>
        <v/>
      </c>
      <c r="E181" s="92" t="str">
        <f>IF('Marks Entry'!F181="","",'Marks Entry'!F181)</f>
        <v/>
      </c>
      <c r="F181" s="93" t="str">
        <f>IF('Marks Entry'!G181="","",'Marks Entry'!G181)</f>
        <v/>
      </c>
      <c r="G181" s="93" t="str">
        <f>IF('Marks Entry'!H181="","",'Marks Entry'!H181)</f>
        <v/>
      </c>
      <c r="H181" s="93" t="str">
        <f>IF('Marks Entry'!I181="","",'Marks Entry'!I181)</f>
        <v/>
      </c>
      <c r="I181" s="94" t="str">
        <f>IF('Marks Entry'!J181="","",'Marks Entry'!J181)</f>
        <v/>
      </c>
      <c r="J181" s="95" t="str">
        <f>IF('Marks Entry'!K181="","",'Marks Entry'!K181)</f>
        <v/>
      </c>
      <c r="K181" s="68" t="str">
        <f>IF('Marks Entry'!L181="","",'Marks Entry'!L181)</f>
        <v/>
      </c>
      <c r="L181" s="68" t="str">
        <f>IF('Marks Entry'!M181="","",'Marks Entry'!M181)</f>
        <v/>
      </c>
      <c r="M181" s="68" t="str">
        <f>IF('Marks Entry'!N181="","",'Marks Entry'!N181)</f>
        <v/>
      </c>
      <c r="N181" s="514" t="str">
        <f t="shared" si="425"/>
        <v/>
      </c>
      <c r="O181" s="68" t="str">
        <f>IF('Marks Entry'!O181="","",'Marks Entry'!O181)</f>
        <v/>
      </c>
      <c r="P181" s="515" t="str">
        <f t="shared" si="426"/>
        <v/>
      </c>
      <c r="Q181" s="68" t="str">
        <f>IF('Marks Entry'!P181="","",'Marks Entry'!P181)</f>
        <v/>
      </c>
      <c r="R181" s="96" t="str">
        <f t="shared" si="427"/>
        <v/>
      </c>
      <c r="S181" s="65">
        <f t="shared" si="428"/>
        <v>0</v>
      </c>
      <c r="T181" s="65">
        <f t="shared" si="429"/>
        <v>0</v>
      </c>
      <c r="U181" s="66" t="str">
        <f t="shared" si="339"/>
        <v/>
      </c>
      <c r="V181" s="65" t="str">
        <f t="shared" si="340"/>
        <v/>
      </c>
      <c r="W181" s="65" t="str">
        <f t="shared" si="430"/>
        <v/>
      </c>
      <c r="X181" s="65" t="str">
        <f t="shared" si="341"/>
        <v/>
      </c>
      <c r="Y181" s="68" t="str">
        <f>IF('Marks Entry'!Q181="","",'Marks Entry'!Q181)</f>
        <v/>
      </c>
      <c r="Z181" s="68" t="str">
        <f>IF('Marks Entry'!R181="","",'Marks Entry'!R181)</f>
        <v/>
      </c>
      <c r="AA181" s="68" t="str">
        <f>IF('Marks Entry'!S181="","",'Marks Entry'!S181)</f>
        <v/>
      </c>
      <c r="AB181" s="514" t="str">
        <f t="shared" si="342"/>
        <v/>
      </c>
      <c r="AC181" s="68" t="str">
        <f>IF('Marks Entry'!T181="","",'Marks Entry'!T181)</f>
        <v/>
      </c>
      <c r="AD181" s="515" t="str">
        <f t="shared" si="343"/>
        <v/>
      </c>
      <c r="AE181" s="68" t="str">
        <f>IF('Marks Entry'!U181="","",'Marks Entry'!U181)</f>
        <v/>
      </c>
      <c r="AF181" s="96" t="str">
        <f t="shared" si="344"/>
        <v/>
      </c>
      <c r="AG181" s="65">
        <f t="shared" si="345"/>
        <v>0</v>
      </c>
      <c r="AH181" s="65">
        <f t="shared" si="346"/>
        <v>0</v>
      </c>
      <c r="AI181" s="66" t="str">
        <f t="shared" si="347"/>
        <v/>
      </c>
      <c r="AJ181" s="65" t="str">
        <f t="shared" si="348"/>
        <v/>
      </c>
      <c r="AK181" s="65" t="str">
        <f t="shared" si="349"/>
        <v/>
      </c>
      <c r="AL181" s="65" t="str">
        <f t="shared" si="350"/>
        <v/>
      </c>
      <c r="AM181" s="524" t="str">
        <f>IF('Marks Entry'!V181="","",IF('Marks Entry'!V181=1,'School Profile'!$I$9,IF('Marks Entry'!V181=2,'School Profile'!$I$10,IF('Marks Entry'!V181=3,'School Profile'!$I$11,IF('Marks Entry'!V181=4,'School Profile'!$I$12,IF('Marks Entry'!V181=5,'School Profile'!$I$13,IF('Marks Entry'!V181=6,'School Profile'!$I$14,"")))))))</f>
        <v/>
      </c>
      <c r="AN181" s="68" t="str">
        <f>IF('Marks Entry'!W181="","",'Marks Entry'!W181)</f>
        <v/>
      </c>
      <c r="AO181" s="68" t="str">
        <f>IF('Marks Entry'!X181="","",'Marks Entry'!X181)</f>
        <v/>
      </c>
      <c r="AP181" s="68" t="str">
        <f>IF('Marks Entry'!Y181="","",'Marks Entry'!Y181)</f>
        <v/>
      </c>
      <c r="AQ181" s="514" t="str">
        <f t="shared" si="351"/>
        <v/>
      </c>
      <c r="AR181" s="68" t="str">
        <f>IF('Marks Entry'!Z181="","",'Marks Entry'!Z181)</f>
        <v/>
      </c>
      <c r="AS181" s="515" t="str">
        <f t="shared" si="352"/>
        <v/>
      </c>
      <c r="AT181" s="68" t="str">
        <f>IF('Marks Entry'!AA181="","",'Marks Entry'!AA181)</f>
        <v/>
      </c>
      <c r="AU181" s="96" t="str">
        <f t="shared" si="353"/>
        <v/>
      </c>
      <c r="AV181" s="65">
        <f t="shared" si="354"/>
        <v>0</v>
      </c>
      <c r="AW181" s="65">
        <f t="shared" si="355"/>
        <v>0</v>
      </c>
      <c r="AX181" s="66" t="str">
        <f t="shared" si="356"/>
        <v/>
      </c>
      <c r="AY181" s="65" t="str">
        <f t="shared" si="357"/>
        <v/>
      </c>
      <c r="AZ181" s="65" t="str">
        <f t="shared" si="358"/>
        <v/>
      </c>
      <c r="BA181" s="65" t="str">
        <f t="shared" si="359"/>
        <v/>
      </c>
      <c r="BB181" s="68" t="str">
        <f>IF('Marks Entry'!AB181="","",'Marks Entry'!AB181)</f>
        <v/>
      </c>
      <c r="BC181" s="68" t="str">
        <f>IF('Marks Entry'!AC181="","",'Marks Entry'!AC181)</f>
        <v/>
      </c>
      <c r="BD181" s="68" t="str">
        <f>IF('Marks Entry'!AD181="","",'Marks Entry'!AD181)</f>
        <v/>
      </c>
      <c r="BE181" s="514" t="str">
        <f t="shared" si="360"/>
        <v/>
      </c>
      <c r="BF181" s="68" t="str">
        <f>IF('Marks Entry'!AE181="","",'Marks Entry'!AE181)</f>
        <v/>
      </c>
      <c r="BG181" s="515" t="str">
        <f t="shared" si="361"/>
        <v/>
      </c>
      <c r="BH181" s="68" t="str">
        <f>IF('Marks Entry'!AF181="","",'Marks Entry'!AF181)</f>
        <v/>
      </c>
      <c r="BI181" s="96" t="str">
        <f t="shared" si="362"/>
        <v/>
      </c>
      <c r="BJ181" s="65">
        <f t="shared" si="363"/>
        <v>0</v>
      </c>
      <c r="BK181" s="65">
        <f t="shared" si="431"/>
        <v>0</v>
      </c>
      <c r="BL181" s="66" t="str">
        <f t="shared" si="364"/>
        <v/>
      </c>
      <c r="BM181" s="65" t="str">
        <f t="shared" si="365"/>
        <v/>
      </c>
      <c r="BN181" s="65" t="str">
        <f t="shared" si="366"/>
        <v/>
      </c>
      <c r="BO181" s="65" t="str">
        <f t="shared" si="367"/>
        <v/>
      </c>
      <c r="BP181" s="68" t="str">
        <f>IF('Marks Entry'!AG181="","",'Marks Entry'!AG181)</f>
        <v/>
      </c>
      <c r="BQ181" s="68" t="str">
        <f>IF('Marks Entry'!AH181="","",'Marks Entry'!AH181)</f>
        <v/>
      </c>
      <c r="BR181" s="68" t="str">
        <f>IF('Marks Entry'!AI181="","",'Marks Entry'!AI181)</f>
        <v/>
      </c>
      <c r="BS181" s="514" t="str">
        <f t="shared" si="368"/>
        <v/>
      </c>
      <c r="BT181" s="68" t="str">
        <f>IF('Marks Entry'!AJ181="","",'Marks Entry'!AJ181)</f>
        <v/>
      </c>
      <c r="BU181" s="515" t="str">
        <f t="shared" si="369"/>
        <v/>
      </c>
      <c r="BV181" s="68" t="str">
        <f>IF('Marks Entry'!AK181="","",'Marks Entry'!AK181)</f>
        <v/>
      </c>
      <c r="BW181" s="96" t="str">
        <f t="shared" si="370"/>
        <v/>
      </c>
      <c r="BX181" s="65">
        <f t="shared" si="371"/>
        <v>0</v>
      </c>
      <c r="BY181" s="65">
        <f t="shared" si="372"/>
        <v>0</v>
      </c>
      <c r="BZ181" s="66" t="str">
        <f t="shared" si="373"/>
        <v/>
      </c>
      <c r="CA181" s="65" t="str">
        <f t="shared" si="374"/>
        <v/>
      </c>
      <c r="CB181" s="65" t="str">
        <f t="shared" si="375"/>
        <v/>
      </c>
      <c r="CC181" s="65" t="str">
        <f t="shared" si="376"/>
        <v/>
      </c>
      <c r="CD181" s="66">
        <f t="shared" si="497"/>
        <v>0</v>
      </c>
      <c r="CE181" s="68" t="str">
        <f>IF('Marks Entry'!AL181="","",'Marks Entry'!AL181)</f>
        <v/>
      </c>
      <c r="CF181" s="68" t="str">
        <f>IF('Marks Entry'!AM181="","",'Marks Entry'!AM181)</f>
        <v/>
      </c>
      <c r="CG181" s="68" t="str">
        <f>IF('Marks Entry'!AN181="","",'Marks Entry'!AN181)</f>
        <v/>
      </c>
      <c r="CH181" s="514" t="str">
        <f t="shared" si="378"/>
        <v/>
      </c>
      <c r="CI181" s="68" t="str">
        <f>IF('Marks Entry'!AO181="","",'Marks Entry'!AO181)</f>
        <v/>
      </c>
      <c r="CJ181" s="515" t="str">
        <f t="shared" si="379"/>
        <v/>
      </c>
      <c r="CK181" s="68" t="str">
        <f>IF('Marks Entry'!AP181="","",'Marks Entry'!AP181)</f>
        <v/>
      </c>
      <c r="CL181" s="96" t="str">
        <f t="shared" si="380"/>
        <v/>
      </c>
      <c r="CM181" s="65">
        <f t="shared" si="381"/>
        <v>0</v>
      </c>
      <c r="CN181" s="65">
        <f t="shared" si="382"/>
        <v>0</v>
      </c>
      <c r="CO181" s="66" t="str">
        <f t="shared" si="383"/>
        <v/>
      </c>
      <c r="CP181" s="65" t="str">
        <f t="shared" si="384"/>
        <v/>
      </c>
      <c r="CQ181" s="65" t="str">
        <f t="shared" si="385"/>
        <v/>
      </c>
      <c r="CR181" s="65" t="str">
        <f t="shared" si="386"/>
        <v/>
      </c>
      <c r="CS181" s="616"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8" t="str">
        <f>IF('School Profile'!$D$20="NO","",IF('Marks Entry'!AR181="","",'Marks Entry'!AR181))</f>
        <v/>
      </c>
      <c r="CU181" s="68" t="str">
        <f>IF('School Profile'!$D$20="NO","",IF('Marks Entry'!AS181="","",'Marks Entry'!AS181))</f>
        <v/>
      </c>
      <c r="CV181" s="68" t="str">
        <f>IF('School Profile'!$D$20="NO","",IF('Marks Entry'!AT181="","",'Marks Entry'!AT181))</f>
        <v/>
      </c>
      <c r="CW181" s="514" t="str">
        <f>IF('School Profile'!$D$20="NO","",IF(AND(CT181="",CU181="",CV181=""),"",SUM(CT181:CV181)))</f>
        <v/>
      </c>
      <c r="CX181" s="68" t="str">
        <f>IF('School Profile'!$D$20="NO","",IF('Marks Entry'!AU181="","",'Marks Entry'!AU181))</f>
        <v/>
      </c>
      <c r="CY181" s="68" t="str">
        <f>IF('School Profile'!$D$20="NO","",IF('Marks Entry'!AV181="","",'Marks Entry'!AV181))</f>
        <v/>
      </c>
      <c r="CZ181" s="515" t="str">
        <f>IF('School Profile'!$D$20="NO","",IF(AND(CX181="",CY181=""),"",SUM(CX181,CY181)))</f>
        <v/>
      </c>
      <c r="DA181" s="69" t="str">
        <f>IF('School Profile'!$D$20="NO","",IF(AND(CW181="",CZ181=""),"",SUM(CW181+CZ181)))</f>
        <v/>
      </c>
      <c r="DB181" s="68" t="str">
        <f>IF('School Profile'!$D$20="NO","",IF('Marks Entry'!AW181="","",'Marks Entry'!AW181))</f>
        <v/>
      </c>
      <c r="DC181" s="68" t="str">
        <f>IF('School Profile'!$D$20="NO","",IF('Marks Entry'!AX181="","",'Marks Entry'!AX181))</f>
        <v/>
      </c>
      <c r="DD181" s="515" t="str">
        <f>IF('School Profile'!$D$20="NO","",IF(AND(DB181="",DC181=""),"",SUM(DB181,DC181)))</f>
        <v/>
      </c>
      <c r="DE181" s="96" t="str">
        <f>IF('School Profile'!$D$20="NO","",IF(AND(DA181="",DD181=""),"",SUM(DA181,DD181)))</f>
        <v/>
      </c>
      <c r="DF181" s="532">
        <f t="shared" si="387"/>
        <v>0</v>
      </c>
      <c r="DG181" s="65">
        <f t="shared" si="388"/>
        <v>0</v>
      </c>
      <c r="DH181" s="66" t="str">
        <f t="shared" si="389"/>
        <v/>
      </c>
      <c r="DI181" s="65" t="str">
        <f t="shared" si="390"/>
        <v/>
      </c>
      <c r="DJ181" s="65" t="str">
        <f t="shared" si="391"/>
        <v/>
      </c>
      <c r="DK181" s="65" t="str">
        <f t="shared" si="392"/>
        <v/>
      </c>
      <c r="DL181" s="97" t="str">
        <f t="shared" si="432"/>
        <v/>
      </c>
      <c r="DM181" s="97" t="str">
        <f t="shared" si="433"/>
        <v/>
      </c>
      <c r="DN181" s="97" t="str">
        <f t="shared" si="434"/>
        <v/>
      </c>
      <c r="DO181" s="97" t="str">
        <f t="shared" si="435"/>
        <v/>
      </c>
      <c r="DP181" s="97" t="str">
        <f t="shared" si="436"/>
        <v/>
      </c>
      <c r="DQ181" s="97" t="str">
        <f t="shared" si="437"/>
        <v/>
      </c>
      <c r="DR181" s="97" t="str">
        <f t="shared" si="438"/>
        <v/>
      </c>
      <c r="DS181" s="98">
        <f t="shared" si="439"/>
        <v>0</v>
      </c>
      <c r="DT181" s="98">
        <f t="shared" si="440"/>
        <v>0</v>
      </c>
      <c r="DU181" s="98">
        <f t="shared" si="441"/>
        <v>0</v>
      </c>
      <c r="DV181" s="98">
        <f t="shared" si="442"/>
        <v>0</v>
      </c>
      <c r="DW181" s="98">
        <f t="shared" si="443"/>
        <v>0</v>
      </c>
      <c r="DX181" s="98" t="str">
        <f t="shared" si="444"/>
        <v/>
      </c>
      <c r="DY181" s="99" t="str">
        <f t="shared" si="445"/>
        <v/>
      </c>
      <c r="DZ181" s="74" t="str">
        <f>IF('Marks Entry'!AY181="","",'Marks Entry'!AY181)</f>
        <v/>
      </c>
      <c r="EA181" s="74" t="str">
        <f>IF('Marks Entry'!AZ181="","",'Marks Entry'!AZ181)</f>
        <v/>
      </c>
      <c r="EB181" s="74" t="str">
        <f>IF('Marks Entry'!BA181="","",'Marks Entry'!BA181)</f>
        <v/>
      </c>
      <c r="EC181" s="527" t="str">
        <f t="shared" si="393"/>
        <v/>
      </c>
      <c r="ED181" s="74" t="str">
        <f>IF('Marks Entry'!BB181="","",'Marks Entry'!BB181)</f>
        <v/>
      </c>
      <c r="EE181" s="528" t="str">
        <f t="shared" si="394"/>
        <v/>
      </c>
      <c r="EF181" s="74" t="str">
        <f>IF('Marks Entry'!BC181="","",'Marks Entry'!BC181)</f>
        <v/>
      </c>
      <c r="EG181" s="530" t="str">
        <f t="shared" si="395"/>
        <v/>
      </c>
      <c r="EH181" s="368" t="str">
        <f t="shared" si="446"/>
        <v/>
      </c>
      <c r="EI181" s="65">
        <f t="shared" si="447"/>
        <v>0</v>
      </c>
      <c r="EJ181" s="65">
        <f t="shared" si="448"/>
        <v>0</v>
      </c>
      <c r="EK181" s="66" t="str">
        <f t="shared" si="449"/>
        <v/>
      </c>
      <c r="EL181" s="74" t="str">
        <f>IF('Marks Entry'!BD181="","",'Marks Entry'!BD181)</f>
        <v/>
      </c>
      <c r="EM181" s="74" t="str">
        <f>IF('Marks Entry'!BE181="","",'Marks Entry'!BE181)</f>
        <v/>
      </c>
      <c r="EN181" s="74" t="str">
        <f>IF('Marks Entry'!BF181="","",'Marks Entry'!BF181)</f>
        <v/>
      </c>
      <c r="EO181" s="527" t="str">
        <f t="shared" si="396"/>
        <v/>
      </c>
      <c r="EP181" s="74" t="str">
        <f>IF('Marks Entry'!BG181="","",'Marks Entry'!BG181)</f>
        <v/>
      </c>
      <c r="EQ181" s="74" t="str">
        <f>IF('Marks Entry'!BH181="","",'Marks Entry'!BH181)</f>
        <v/>
      </c>
      <c r="ER181" s="528" t="str">
        <f t="shared" si="397"/>
        <v/>
      </c>
      <c r="ES181" s="529" t="str">
        <f t="shared" si="398"/>
        <v/>
      </c>
      <c r="ET181" s="74" t="str">
        <f>IF('Marks Entry'!BI181="","",'Marks Entry'!BI181)</f>
        <v/>
      </c>
      <c r="EU181" s="74" t="str">
        <f>IF('Marks Entry'!BJ181="","",'Marks Entry'!BJ181)</f>
        <v/>
      </c>
      <c r="EV181" s="528" t="str">
        <f t="shared" si="399"/>
        <v/>
      </c>
      <c r="EW181" s="530" t="str">
        <f t="shared" si="400"/>
        <v/>
      </c>
      <c r="EX181" s="368" t="str">
        <f t="shared" si="450"/>
        <v/>
      </c>
      <c r="EY181" s="65">
        <f t="shared" si="451"/>
        <v>0</v>
      </c>
      <c r="EZ181" s="65">
        <f t="shared" si="452"/>
        <v>0</v>
      </c>
      <c r="FA181" s="66" t="str">
        <f t="shared" si="453"/>
        <v/>
      </c>
      <c r="FB181" s="74" t="str">
        <f>IF('Marks Entry'!BK181="","",'Marks Entry'!BK181)</f>
        <v/>
      </c>
      <c r="FC181" s="74" t="str">
        <f>IF('Marks Entry'!BL181="","",'Marks Entry'!BL181)</f>
        <v/>
      </c>
      <c r="FD181" s="74" t="str">
        <f>IF('Marks Entry'!BM181="","",'Marks Entry'!BM181)</f>
        <v/>
      </c>
      <c r="FE181" s="74" t="str">
        <f>IF('Marks Entry'!BN181="","",'Marks Entry'!BN181)</f>
        <v/>
      </c>
      <c r="FF181" s="74" t="str">
        <f>IF('Marks Entry'!BO181="","",'Marks Entry'!BO181)</f>
        <v/>
      </c>
      <c r="FG181" s="74" t="str">
        <f>IF('Marks Entry'!BP181="","",'Marks Entry'!BP181)</f>
        <v/>
      </c>
      <c r="FH181" s="527" t="str">
        <f t="shared" si="401"/>
        <v/>
      </c>
      <c r="FI181" s="74" t="str">
        <f>IF('Marks Entry'!BQ181="","",'Marks Entry'!BQ181)</f>
        <v/>
      </c>
      <c r="FJ181" s="74" t="str">
        <f>IF('Marks Entry'!BR181="","",'Marks Entry'!BR181)</f>
        <v/>
      </c>
      <c r="FK181" s="528" t="str">
        <f t="shared" si="402"/>
        <v/>
      </c>
      <c r="FL181" s="529" t="str">
        <f t="shared" si="403"/>
        <v/>
      </c>
      <c r="FM181" s="74" t="str">
        <f>IF('Marks Entry'!BS181="","",'Marks Entry'!BS181)</f>
        <v/>
      </c>
      <c r="FN181" s="74" t="str">
        <f>IF('Marks Entry'!BT181="","",'Marks Entry'!BT181)</f>
        <v/>
      </c>
      <c r="FO181" s="528" t="str">
        <f t="shared" si="404"/>
        <v/>
      </c>
      <c r="FP181" s="530" t="str">
        <f t="shared" si="405"/>
        <v/>
      </c>
      <c r="FQ181" s="368" t="str">
        <f t="shared" si="454"/>
        <v/>
      </c>
      <c r="FR181" s="65">
        <f t="shared" si="455"/>
        <v>0</v>
      </c>
      <c r="FS181" s="65">
        <f t="shared" si="456"/>
        <v>0</v>
      </c>
      <c r="FT181" s="66" t="str">
        <f t="shared" si="457"/>
        <v/>
      </c>
      <c r="FU181" s="74" t="str">
        <f>IF('Marks Entry'!BU181="","",'Marks Entry'!BU181)</f>
        <v/>
      </c>
      <c r="FV181" s="74" t="str">
        <f>IF('Marks Entry'!BV181="","",'Marks Entry'!BV181)</f>
        <v/>
      </c>
      <c r="FW181" s="74" t="str">
        <f>IF('Marks Entry'!BW181="","",'Marks Entry'!BW181)</f>
        <v/>
      </c>
      <c r="FX181" s="75" t="str">
        <f t="shared" si="406"/>
        <v/>
      </c>
      <c r="FY181" s="368" t="str">
        <f t="shared" si="458"/>
        <v/>
      </c>
      <c r="FZ181" s="65">
        <f t="shared" si="459"/>
        <v>0</v>
      </c>
      <c r="GA181" s="66">
        <f t="shared" si="460"/>
        <v>0</v>
      </c>
      <c r="GB181" s="66" t="str">
        <f t="shared" si="461"/>
        <v/>
      </c>
      <c r="GC181" s="74" t="str">
        <f>IF('Marks Entry'!BX181="","",'Marks Entry'!BX181)</f>
        <v/>
      </c>
      <c r="GD181" s="74" t="str">
        <f>IF('Marks Entry'!BY181="","",'Marks Entry'!BY181)</f>
        <v/>
      </c>
      <c r="GE181" s="74" t="str">
        <f>IF('Marks Entry'!BZ181="","",'Marks Entry'!BZ181)</f>
        <v/>
      </c>
      <c r="GF181" s="75" t="str">
        <f t="shared" si="462"/>
        <v/>
      </c>
      <c r="GG181" s="368" t="str">
        <f t="shared" si="463"/>
        <v/>
      </c>
      <c r="GH181" s="65">
        <f t="shared" si="464"/>
        <v>0</v>
      </c>
      <c r="GI181" s="66">
        <f t="shared" si="465"/>
        <v>0</v>
      </c>
      <c r="GJ181" s="66" t="str">
        <f t="shared" si="466"/>
        <v/>
      </c>
      <c r="GK181" s="100" t="str">
        <f>IF(AND(F181="",B181=""),"",IF('Student DATA Entry'!M178="","",'Student DATA Entry'!M178))</f>
        <v/>
      </c>
      <c r="GL181" s="101" t="str">
        <f>IF(AND(B181="",F181=""),"",IF('Student DATA Entry'!N178="","",'Student DATA Entry'!N178))</f>
        <v/>
      </c>
      <c r="GM181" s="581" t="str">
        <f t="shared" si="467"/>
        <v/>
      </c>
      <c r="GN181" s="94" t="str">
        <f t="shared" si="468"/>
        <v/>
      </c>
      <c r="GO181" s="94" t="str">
        <f t="shared" si="469"/>
        <v/>
      </c>
      <c r="GP181" s="102" t="str">
        <f t="shared" si="498"/>
        <v/>
      </c>
      <c r="GQ181" s="94" t="str">
        <f t="shared" si="470"/>
        <v/>
      </c>
      <c r="GR181" s="103" t="str">
        <f t="shared" si="471"/>
        <v/>
      </c>
      <c r="GS181" s="102" t="str">
        <f t="shared" si="499"/>
        <v/>
      </c>
      <c r="GT181" s="104" t="str">
        <f t="shared" si="472"/>
        <v/>
      </c>
      <c r="GU181" s="94" t="str">
        <f>IF('Marks Entry'!V181=1,GT181,"")</f>
        <v/>
      </c>
      <c r="GV181" s="94" t="str">
        <f>IF('Marks Entry'!V181=2,GT181,"")</f>
        <v/>
      </c>
      <c r="GW181" s="94" t="str">
        <f>IF('Marks Entry'!V181=3,GT181,"")</f>
        <v/>
      </c>
      <c r="GX181" s="94" t="str">
        <f>IF('Marks Entry'!V181=4,GT181,"")</f>
        <v/>
      </c>
      <c r="GY181" s="94" t="str">
        <f>IF('Marks Entry'!V181=5,GT181,"")</f>
        <v/>
      </c>
      <c r="GZ181" s="94" t="str">
        <f t="shared" si="473"/>
        <v/>
      </c>
      <c r="HA181" s="105" t="str">
        <f t="shared" si="500"/>
        <v/>
      </c>
      <c r="HB181" s="94" t="str">
        <f t="shared" si="474"/>
        <v/>
      </c>
      <c r="HC181" s="94" t="str">
        <f t="shared" si="475"/>
        <v/>
      </c>
      <c r="HD181" s="105" t="str">
        <f t="shared" si="501"/>
        <v/>
      </c>
      <c r="HE181" s="94" t="str">
        <f t="shared" si="476"/>
        <v/>
      </c>
      <c r="HF181" s="94" t="str">
        <f t="shared" si="477"/>
        <v/>
      </c>
      <c r="HG181" s="105" t="str">
        <f t="shared" si="502"/>
        <v/>
      </c>
      <c r="HH181" s="94" t="str">
        <f t="shared" si="478"/>
        <v/>
      </c>
      <c r="HI181" s="94" t="str">
        <f t="shared" si="479"/>
        <v/>
      </c>
      <c r="HJ181" s="105" t="str">
        <f t="shared" si="503"/>
        <v/>
      </c>
      <c r="HK181" s="94" t="str">
        <f t="shared" si="480"/>
        <v/>
      </c>
      <c r="HL181" s="94" t="str">
        <f t="shared" si="481"/>
        <v/>
      </c>
      <c r="HM181" s="105" t="str">
        <f t="shared" si="504"/>
        <v/>
      </c>
      <c r="HN181" s="367" t="str">
        <f t="shared" si="482"/>
        <v xml:space="preserve">      </v>
      </c>
      <c r="HO181" s="418" t="str">
        <f t="shared" si="505"/>
        <v xml:space="preserve">      </v>
      </c>
      <c r="HP181" s="367" t="str">
        <f t="shared" si="483"/>
        <v xml:space="preserve">      </v>
      </c>
      <c r="HQ181" s="107" t="str">
        <f t="shared" si="484"/>
        <v xml:space="preserve">      </v>
      </c>
      <c r="HR181" s="366" t="str">
        <f t="shared" si="485"/>
        <v xml:space="preserve">      </v>
      </c>
      <c r="HS181" s="544" t="str">
        <f t="shared" si="506"/>
        <v/>
      </c>
      <c r="HT181" s="542" t="str">
        <f t="shared" si="486"/>
        <v/>
      </c>
      <c r="HU181" s="541" t="str">
        <f t="shared" si="487"/>
        <v/>
      </c>
      <c r="HV181" s="540" t="str">
        <f t="shared" si="488"/>
        <v/>
      </c>
      <c r="HW181" s="537" t="str">
        <f t="shared" si="489"/>
        <v/>
      </c>
      <c r="HX181" s="539" t="str">
        <f t="shared" si="490"/>
        <v/>
      </c>
      <c r="HY181" s="553" t="str">
        <f>IFERROR(IF(OR(HS181="SUPPLEMENTARY",HS181="RE-EXAM"),'Supp. Result Entry'!AQ179,""),"")</f>
        <v/>
      </c>
      <c r="HZ181" s="538" t="str">
        <f t="shared" si="491"/>
        <v/>
      </c>
      <c r="IA181" s="415" t="str">
        <f t="shared" si="492"/>
        <v/>
      </c>
      <c r="IB181" s="415" t="str">
        <f>IF(AND(HZ181="",IA181=""),"",IF(OR(HS181="SUPPLEMENTARY",HS181="RE-EXAM"),'Supp. Result Entry'!AQ179,HS181))</f>
        <v/>
      </c>
      <c r="IC181" s="87"/>
      <c r="IS181" s="109" t="str">
        <f>IF('Supp. Result Entry'!T179="","",'Supp. Result Entry'!$T$4)</f>
        <v/>
      </c>
      <c r="IT181" s="110" t="str">
        <f>IF('Supp. Result Entry'!W179="","",'Supp. Result Entry'!$W$4)</f>
        <v/>
      </c>
      <c r="IU181" s="110" t="str">
        <f>IF('Supp. Result Entry'!Z179="","",'Supp. Result Entry'!$Z$4)</f>
        <v/>
      </c>
      <c r="IV181" s="110" t="str">
        <f>IF('Supp. Result Entry'!AC179="","",'Supp. Result Entry'!$AC$4)</f>
        <v/>
      </c>
      <c r="IW181" s="110" t="str">
        <f>IF('Supp. Result Entry'!AF179="","",'Supp. Result Entry'!$AF$4)</f>
        <v/>
      </c>
      <c r="IX181" s="110" t="str">
        <f>IF('Supp. Result Entry'!AI179="","",'Supp. Result Entry'!$AI$4)</f>
        <v/>
      </c>
      <c r="IY181" s="110" t="str">
        <f>IF('Supp. Result Entry'!AI179="","",'Supp. Result Entry'!$AL$4)</f>
        <v/>
      </c>
      <c r="IZ181" s="110" t="str">
        <f>IF('Supp. Result Entry'!U179="","",'Supp. Result Entry'!U179)</f>
        <v/>
      </c>
      <c r="JA181" s="110" t="str">
        <f>IF('Supp. Result Entry'!X179="","",'Supp. Result Entry'!X179)</f>
        <v/>
      </c>
      <c r="JB181" s="110" t="str">
        <f>IF('Supp. Result Entry'!AA179="","",'Supp. Result Entry'!AA179)</f>
        <v/>
      </c>
      <c r="JC181" s="110" t="str">
        <f>IF('Supp. Result Entry'!AD179="","",'Supp. Result Entry'!AD179)</f>
        <v/>
      </c>
      <c r="JD181" s="110" t="str">
        <f>IF('Supp. Result Entry'!AG179="","",'Supp. Result Entry'!AG179)</f>
        <v/>
      </c>
      <c r="JE181" s="110" t="str">
        <f>IF('Supp. Result Entry'!AJ179="","",'Supp. Result Entry'!AJ179)</f>
        <v/>
      </c>
      <c r="JF181" s="110" t="str">
        <f>IF('Supp. Result Entry'!AM179="","",'Supp. Result Entry'!AM179)</f>
        <v/>
      </c>
      <c r="JG181" s="110" t="str">
        <f>IF('Supp. Result Entry'!V179="","",'Supp. Result Entry'!V179)</f>
        <v/>
      </c>
      <c r="JH181" s="110" t="str">
        <f>IF('Supp. Result Entry'!Y179="","",'Supp. Result Entry'!Y179)</f>
        <v/>
      </c>
      <c r="JI181" s="110" t="str">
        <f>IF('Supp. Result Entry'!AB179="","",'Supp. Result Entry'!AB179)</f>
        <v/>
      </c>
      <c r="JJ181" s="110" t="str">
        <f>IF('Supp. Result Entry'!AE179="","",'Supp. Result Entry'!AE179)</f>
        <v/>
      </c>
      <c r="JK181" s="110" t="str">
        <f>IF('Supp. Result Entry'!AH179="","",'Supp. Result Entry'!AH179)</f>
        <v/>
      </c>
      <c r="JL181" s="110" t="str">
        <f>IF('Supp. Result Entry'!AK179="","",'Supp. Result Entry'!AK179)</f>
        <v/>
      </c>
      <c r="JM181" s="110" t="str">
        <f>IF('Supp. Result Entry'!AN179="","",'Supp. Result Entry'!AN179)</f>
        <v/>
      </c>
      <c r="JN181" s="110">
        <f>COUNTIF('Supp. Result Entry'!K179:Q179,"S")</f>
        <v>0</v>
      </c>
      <c r="JO181" s="110">
        <f t="shared" si="416"/>
        <v>0</v>
      </c>
      <c r="JP181" s="110">
        <f t="shared" si="493"/>
        <v>0</v>
      </c>
      <c r="JQ181" s="110" t="str">
        <f t="shared" si="417"/>
        <v/>
      </c>
      <c r="JR181" s="110" t="str">
        <f t="shared" si="418"/>
        <v/>
      </c>
      <c r="JS181" s="110" t="str">
        <f t="shared" si="419"/>
        <v/>
      </c>
      <c r="JT181" s="110" t="str">
        <f t="shared" si="420"/>
        <v/>
      </c>
      <c r="JU181" s="110" t="str">
        <f t="shared" si="421"/>
        <v/>
      </c>
      <c r="JV181" s="110" t="str">
        <f t="shared" si="422"/>
        <v/>
      </c>
      <c r="JW181" s="110" t="str">
        <f t="shared" si="423"/>
        <v/>
      </c>
      <c r="JX181" s="110" t="str">
        <f t="shared" si="494"/>
        <v/>
      </c>
      <c r="JY181" s="110" t="str">
        <f t="shared" si="495"/>
        <v/>
      </c>
      <c r="JZ181" s="110" t="str">
        <f t="shared" si="424"/>
        <v/>
      </c>
      <c r="KA181" s="108" t="str">
        <f t="shared" si="496"/>
        <v/>
      </c>
    </row>
    <row r="182" spans="1:287" s="108" customFormat="1" ht="21.95" customHeight="1">
      <c r="A182" s="89">
        <v>176</v>
      </c>
      <c r="B182" s="90" t="str">
        <f>IF('Marks Entry'!B182="","",'Marks Entry'!B182)</f>
        <v/>
      </c>
      <c r="C182" s="94" t="str">
        <f>IF('Marks Entry'!D182="","",'Marks Entry'!D182)</f>
        <v/>
      </c>
      <c r="D182" s="91" t="str">
        <f>IF('Marks Entry'!E182="","",'Marks Entry'!E182)</f>
        <v/>
      </c>
      <c r="E182" s="92" t="str">
        <f>IF('Marks Entry'!F182="","",'Marks Entry'!F182)</f>
        <v/>
      </c>
      <c r="F182" s="93" t="str">
        <f>IF('Marks Entry'!G182="","",'Marks Entry'!G182)</f>
        <v/>
      </c>
      <c r="G182" s="93" t="str">
        <f>IF('Marks Entry'!H182="","",'Marks Entry'!H182)</f>
        <v/>
      </c>
      <c r="H182" s="93" t="str">
        <f>IF('Marks Entry'!I182="","",'Marks Entry'!I182)</f>
        <v/>
      </c>
      <c r="I182" s="94" t="str">
        <f>IF('Marks Entry'!J182="","",'Marks Entry'!J182)</f>
        <v/>
      </c>
      <c r="J182" s="95" t="str">
        <f>IF('Marks Entry'!K182="","",'Marks Entry'!K182)</f>
        <v/>
      </c>
      <c r="K182" s="68" t="str">
        <f>IF('Marks Entry'!L182="","",'Marks Entry'!L182)</f>
        <v/>
      </c>
      <c r="L182" s="68" t="str">
        <f>IF('Marks Entry'!M182="","",'Marks Entry'!M182)</f>
        <v/>
      </c>
      <c r="M182" s="68" t="str">
        <f>IF('Marks Entry'!N182="","",'Marks Entry'!N182)</f>
        <v/>
      </c>
      <c r="N182" s="514" t="str">
        <f t="shared" si="425"/>
        <v/>
      </c>
      <c r="O182" s="68" t="str">
        <f>IF('Marks Entry'!O182="","",'Marks Entry'!O182)</f>
        <v/>
      </c>
      <c r="P182" s="515" t="str">
        <f t="shared" si="426"/>
        <v/>
      </c>
      <c r="Q182" s="68" t="str">
        <f>IF('Marks Entry'!P182="","",'Marks Entry'!P182)</f>
        <v/>
      </c>
      <c r="R182" s="96" t="str">
        <f t="shared" si="427"/>
        <v/>
      </c>
      <c r="S182" s="65">
        <f t="shared" si="428"/>
        <v>0</v>
      </c>
      <c r="T182" s="65">
        <f t="shared" si="429"/>
        <v>0</v>
      </c>
      <c r="U182" s="66" t="str">
        <f t="shared" si="339"/>
        <v/>
      </c>
      <c r="V182" s="65" t="str">
        <f t="shared" si="340"/>
        <v/>
      </c>
      <c r="W182" s="65" t="str">
        <f t="shared" si="430"/>
        <v/>
      </c>
      <c r="X182" s="65" t="str">
        <f t="shared" si="341"/>
        <v/>
      </c>
      <c r="Y182" s="68" t="str">
        <f>IF('Marks Entry'!Q182="","",'Marks Entry'!Q182)</f>
        <v/>
      </c>
      <c r="Z182" s="68" t="str">
        <f>IF('Marks Entry'!R182="","",'Marks Entry'!R182)</f>
        <v/>
      </c>
      <c r="AA182" s="68" t="str">
        <f>IF('Marks Entry'!S182="","",'Marks Entry'!S182)</f>
        <v/>
      </c>
      <c r="AB182" s="514" t="str">
        <f t="shared" si="342"/>
        <v/>
      </c>
      <c r="AC182" s="68" t="str">
        <f>IF('Marks Entry'!T182="","",'Marks Entry'!T182)</f>
        <v/>
      </c>
      <c r="AD182" s="515" t="str">
        <f t="shared" si="343"/>
        <v/>
      </c>
      <c r="AE182" s="68" t="str">
        <f>IF('Marks Entry'!U182="","",'Marks Entry'!U182)</f>
        <v/>
      </c>
      <c r="AF182" s="96" t="str">
        <f t="shared" si="344"/>
        <v/>
      </c>
      <c r="AG182" s="65">
        <f t="shared" si="345"/>
        <v>0</v>
      </c>
      <c r="AH182" s="65">
        <f t="shared" si="346"/>
        <v>0</v>
      </c>
      <c r="AI182" s="66" t="str">
        <f t="shared" si="347"/>
        <v/>
      </c>
      <c r="AJ182" s="65" t="str">
        <f t="shared" si="348"/>
        <v/>
      </c>
      <c r="AK182" s="65" t="str">
        <f t="shared" si="349"/>
        <v/>
      </c>
      <c r="AL182" s="65" t="str">
        <f t="shared" si="350"/>
        <v/>
      </c>
      <c r="AM182" s="524" t="str">
        <f>IF('Marks Entry'!V182="","",IF('Marks Entry'!V182=1,'School Profile'!$I$9,IF('Marks Entry'!V182=2,'School Profile'!$I$10,IF('Marks Entry'!V182=3,'School Profile'!$I$11,IF('Marks Entry'!V182=4,'School Profile'!$I$12,IF('Marks Entry'!V182=5,'School Profile'!$I$13,IF('Marks Entry'!V182=6,'School Profile'!$I$14,"")))))))</f>
        <v/>
      </c>
      <c r="AN182" s="68" t="str">
        <f>IF('Marks Entry'!W182="","",'Marks Entry'!W182)</f>
        <v/>
      </c>
      <c r="AO182" s="68" t="str">
        <f>IF('Marks Entry'!X182="","",'Marks Entry'!X182)</f>
        <v/>
      </c>
      <c r="AP182" s="68" t="str">
        <f>IF('Marks Entry'!Y182="","",'Marks Entry'!Y182)</f>
        <v/>
      </c>
      <c r="AQ182" s="514" t="str">
        <f t="shared" si="351"/>
        <v/>
      </c>
      <c r="AR182" s="68" t="str">
        <f>IF('Marks Entry'!Z182="","",'Marks Entry'!Z182)</f>
        <v/>
      </c>
      <c r="AS182" s="515" t="str">
        <f t="shared" si="352"/>
        <v/>
      </c>
      <c r="AT182" s="68" t="str">
        <f>IF('Marks Entry'!AA182="","",'Marks Entry'!AA182)</f>
        <v/>
      </c>
      <c r="AU182" s="96" t="str">
        <f t="shared" si="353"/>
        <v/>
      </c>
      <c r="AV182" s="65">
        <f t="shared" si="354"/>
        <v>0</v>
      </c>
      <c r="AW182" s="65">
        <f t="shared" si="355"/>
        <v>0</v>
      </c>
      <c r="AX182" s="66" t="str">
        <f t="shared" si="356"/>
        <v/>
      </c>
      <c r="AY182" s="65" t="str">
        <f t="shared" si="357"/>
        <v/>
      </c>
      <c r="AZ182" s="65" t="str">
        <f t="shared" si="358"/>
        <v/>
      </c>
      <c r="BA182" s="65" t="str">
        <f t="shared" si="359"/>
        <v/>
      </c>
      <c r="BB182" s="68" t="str">
        <f>IF('Marks Entry'!AB182="","",'Marks Entry'!AB182)</f>
        <v/>
      </c>
      <c r="BC182" s="68" t="str">
        <f>IF('Marks Entry'!AC182="","",'Marks Entry'!AC182)</f>
        <v/>
      </c>
      <c r="BD182" s="68" t="str">
        <f>IF('Marks Entry'!AD182="","",'Marks Entry'!AD182)</f>
        <v/>
      </c>
      <c r="BE182" s="514" t="str">
        <f t="shared" si="360"/>
        <v/>
      </c>
      <c r="BF182" s="68" t="str">
        <f>IF('Marks Entry'!AE182="","",'Marks Entry'!AE182)</f>
        <v/>
      </c>
      <c r="BG182" s="515" t="str">
        <f t="shared" si="361"/>
        <v/>
      </c>
      <c r="BH182" s="68" t="str">
        <f>IF('Marks Entry'!AF182="","",'Marks Entry'!AF182)</f>
        <v/>
      </c>
      <c r="BI182" s="96" t="str">
        <f t="shared" si="362"/>
        <v/>
      </c>
      <c r="BJ182" s="65">
        <f t="shared" si="363"/>
        <v>0</v>
      </c>
      <c r="BK182" s="65">
        <f t="shared" si="431"/>
        <v>0</v>
      </c>
      <c r="BL182" s="66" t="str">
        <f t="shared" si="364"/>
        <v/>
      </c>
      <c r="BM182" s="65" t="str">
        <f t="shared" si="365"/>
        <v/>
      </c>
      <c r="BN182" s="65" t="str">
        <f t="shared" si="366"/>
        <v/>
      </c>
      <c r="BO182" s="65" t="str">
        <f t="shared" si="367"/>
        <v/>
      </c>
      <c r="BP182" s="68" t="str">
        <f>IF('Marks Entry'!AG182="","",'Marks Entry'!AG182)</f>
        <v/>
      </c>
      <c r="BQ182" s="68" t="str">
        <f>IF('Marks Entry'!AH182="","",'Marks Entry'!AH182)</f>
        <v/>
      </c>
      <c r="BR182" s="68" t="str">
        <f>IF('Marks Entry'!AI182="","",'Marks Entry'!AI182)</f>
        <v/>
      </c>
      <c r="BS182" s="514" t="str">
        <f t="shared" si="368"/>
        <v/>
      </c>
      <c r="BT182" s="68" t="str">
        <f>IF('Marks Entry'!AJ182="","",'Marks Entry'!AJ182)</f>
        <v/>
      </c>
      <c r="BU182" s="515" t="str">
        <f t="shared" si="369"/>
        <v/>
      </c>
      <c r="BV182" s="68" t="str">
        <f>IF('Marks Entry'!AK182="","",'Marks Entry'!AK182)</f>
        <v/>
      </c>
      <c r="BW182" s="96" t="str">
        <f t="shared" si="370"/>
        <v/>
      </c>
      <c r="BX182" s="65">
        <f t="shared" si="371"/>
        <v>0</v>
      </c>
      <c r="BY182" s="65">
        <f t="shared" si="372"/>
        <v>0</v>
      </c>
      <c r="BZ182" s="66" t="str">
        <f t="shared" si="373"/>
        <v/>
      </c>
      <c r="CA182" s="65" t="str">
        <f t="shared" si="374"/>
        <v/>
      </c>
      <c r="CB182" s="65" t="str">
        <f t="shared" si="375"/>
        <v/>
      </c>
      <c r="CC182" s="65" t="str">
        <f t="shared" si="376"/>
        <v/>
      </c>
      <c r="CD182" s="66">
        <f t="shared" si="497"/>
        <v>0</v>
      </c>
      <c r="CE182" s="68" t="str">
        <f>IF('Marks Entry'!AL182="","",'Marks Entry'!AL182)</f>
        <v/>
      </c>
      <c r="CF182" s="68" t="str">
        <f>IF('Marks Entry'!AM182="","",'Marks Entry'!AM182)</f>
        <v/>
      </c>
      <c r="CG182" s="68" t="str">
        <f>IF('Marks Entry'!AN182="","",'Marks Entry'!AN182)</f>
        <v/>
      </c>
      <c r="CH182" s="514" t="str">
        <f t="shared" si="378"/>
        <v/>
      </c>
      <c r="CI182" s="68" t="str">
        <f>IF('Marks Entry'!AO182="","",'Marks Entry'!AO182)</f>
        <v/>
      </c>
      <c r="CJ182" s="515" t="str">
        <f t="shared" si="379"/>
        <v/>
      </c>
      <c r="CK182" s="68" t="str">
        <f>IF('Marks Entry'!AP182="","",'Marks Entry'!AP182)</f>
        <v/>
      </c>
      <c r="CL182" s="96" t="str">
        <f t="shared" si="380"/>
        <v/>
      </c>
      <c r="CM182" s="65">
        <f t="shared" si="381"/>
        <v>0</v>
      </c>
      <c r="CN182" s="65">
        <f t="shared" si="382"/>
        <v>0</v>
      </c>
      <c r="CO182" s="66" t="str">
        <f t="shared" si="383"/>
        <v/>
      </c>
      <c r="CP182" s="65" t="str">
        <f t="shared" si="384"/>
        <v/>
      </c>
      <c r="CQ182" s="65" t="str">
        <f t="shared" si="385"/>
        <v/>
      </c>
      <c r="CR182" s="65" t="str">
        <f t="shared" si="386"/>
        <v/>
      </c>
      <c r="CS182" s="616"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8" t="str">
        <f>IF('School Profile'!$D$20="NO","",IF('Marks Entry'!AR182="","",'Marks Entry'!AR182))</f>
        <v/>
      </c>
      <c r="CU182" s="68" t="str">
        <f>IF('School Profile'!$D$20="NO","",IF('Marks Entry'!AS182="","",'Marks Entry'!AS182))</f>
        <v/>
      </c>
      <c r="CV182" s="68" t="str">
        <f>IF('School Profile'!$D$20="NO","",IF('Marks Entry'!AT182="","",'Marks Entry'!AT182))</f>
        <v/>
      </c>
      <c r="CW182" s="514" t="str">
        <f>IF('School Profile'!$D$20="NO","",IF(AND(CT182="",CU182="",CV182=""),"",SUM(CT182:CV182)))</f>
        <v/>
      </c>
      <c r="CX182" s="68" t="str">
        <f>IF('School Profile'!$D$20="NO","",IF('Marks Entry'!AU182="","",'Marks Entry'!AU182))</f>
        <v/>
      </c>
      <c r="CY182" s="68" t="str">
        <f>IF('School Profile'!$D$20="NO","",IF('Marks Entry'!AV182="","",'Marks Entry'!AV182))</f>
        <v/>
      </c>
      <c r="CZ182" s="515" t="str">
        <f>IF('School Profile'!$D$20="NO","",IF(AND(CX182="",CY182=""),"",SUM(CX182,CY182)))</f>
        <v/>
      </c>
      <c r="DA182" s="69" t="str">
        <f>IF('School Profile'!$D$20="NO","",IF(AND(CW182="",CZ182=""),"",SUM(CW182+CZ182)))</f>
        <v/>
      </c>
      <c r="DB182" s="68" t="str">
        <f>IF('School Profile'!$D$20="NO","",IF('Marks Entry'!AW182="","",'Marks Entry'!AW182))</f>
        <v/>
      </c>
      <c r="DC182" s="68" t="str">
        <f>IF('School Profile'!$D$20="NO","",IF('Marks Entry'!AX182="","",'Marks Entry'!AX182))</f>
        <v/>
      </c>
      <c r="DD182" s="515" t="str">
        <f>IF('School Profile'!$D$20="NO","",IF(AND(DB182="",DC182=""),"",SUM(DB182,DC182)))</f>
        <v/>
      </c>
      <c r="DE182" s="96" t="str">
        <f>IF('School Profile'!$D$20="NO","",IF(AND(DA182="",DD182=""),"",SUM(DA182,DD182)))</f>
        <v/>
      </c>
      <c r="DF182" s="532">
        <f t="shared" si="387"/>
        <v>0</v>
      </c>
      <c r="DG182" s="65">
        <f t="shared" si="388"/>
        <v>0</v>
      </c>
      <c r="DH182" s="66" t="str">
        <f t="shared" si="389"/>
        <v/>
      </c>
      <c r="DI182" s="65" t="str">
        <f t="shared" si="390"/>
        <v/>
      </c>
      <c r="DJ182" s="65" t="str">
        <f t="shared" si="391"/>
        <v/>
      </c>
      <c r="DK182" s="65" t="str">
        <f t="shared" si="392"/>
        <v/>
      </c>
      <c r="DL182" s="97" t="str">
        <f t="shared" si="432"/>
        <v/>
      </c>
      <c r="DM182" s="97" t="str">
        <f t="shared" si="433"/>
        <v/>
      </c>
      <c r="DN182" s="97" t="str">
        <f t="shared" si="434"/>
        <v/>
      </c>
      <c r="DO182" s="97" t="str">
        <f t="shared" si="435"/>
        <v/>
      </c>
      <c r="DP182" s="97" t="str">
        <f t="shared" si="436"/>
        <v/>
      </c>
      <c r="DQ182" s="97" t="str">
        <f t="shared" si="437"/>
        <v/>
      </c>
      <c r="DR182" s="97" t="str">
        <f t="shared" si="438"/>
        <v/>
      </c>
      <c r="DS182" s="98">
        <f t="shared" si="439"/>
        <v>0</v>
      </c>
      <c r="DT182" s="98">
        <f t="shared" si="440"/>
        <v>0</v>
      </c>
      <c r="DU182" s="98">
        <f t="shared" si="441"/>
        <v>0</v>
      </c>
      <c r="DV182" s="98">
        <f t="shared" si="442"/>
        <v>0</v>
      </c>
      <c r="DW182" s="98">
        <f t="shared" si="443"/>
        <v>0</v>
      </c>
      <c r="DX182" s="98" t="str">
        <f t="shared" si="444"/>
        <v/>
      </c>
      <c r="DY182" s="99" t="str">
        <f t="shared" si="445"/>
        <v/>
      </c>
      <c r="DZ182" s="74" t="str">
        <f>IF('Marks Entry'!AY182="","",'Marks Entry'!AY182)</f>
        <v/>
      </c>
      <c r="EA182" s="74" t="str">
        <f>IF('Marks Entry'!AZ182="","",'Marks Entry'!AZ182)</f>
        <v/>
      </c>
      <c r="EB182" s="74" t="str">
        <f>IF('Marks Entry'!BA182="","",'Marks Entry'!BA182)</f>
        <v/>
      </c>
      <c r="EC182" s="527" t="str">
        <f t="shared" si="393"/>
        <v/>
      </c>
      <c r="ED182" s="74" t="str">
        <f>IF('Marks Entry'!BB182="","",'Marks Entry'!BB182)</f>
        <v/>
      </c>
      <c r="EE182" s="528" t="str">
        <f t="shared" si="394"/>
        <v/>
      </c>
      <c r="EF182" s="74" t="str">
        <f>IF('Marks Entry'!BC182="","",'Marks Entry'!BC182)</f>
        <v/>
      </c>
      <c r="EG182" s="530" t="str">
        <f t="shared" si="395"/>
        <v/>
      </c>
      <c r="EH182" s="368" t="str">
        <f t="shared" si="446"/>
        <v/>
      </c>
      <c r="EI182" s="65">
        <f t="shared" si="447"/>
        <v>0</v>
      </c>
      <c r="EJ182" s="65">
        <f t="shared" si="448"/>
        <v>0</v>
      </c>
      <c r="EK182" s="66" t="str">
        <f t="shared" si="449"/>
        <v/>
      </c>
      <c r="EL182" s="74" t="str">
        <f>IF('Marks Entry'!BD182="","",'Marks Entry'!BD182)</f>
        <v/>
      </c>
      <c r="EM182" s="74" t="str">
        <f>IF('Marks Entry'!BE182="","",'Marks Entry'!BE182)</f>
        <v/>
      </c>
      <c r="EN182" s="74" t="str">
        <f>IF('Marks Entry'!BF182="","",'Marks Entry'!BF182)</f>
        <v/>
      </c>
      <c r="EO182" s="527" t="str">
        <f t="shared" si="396"/>
        <v/>
      </c>
      <c r="EP182" s="74" t="str">
        <f>IF('Marks Entry'!BG182="","",'Marks Entry'!BG182)</f>
        <v/>
      </c>
      <c r="EQ182" s="74" t="str">
        <f>IF('Marks Entry'!BH182="","",'Marks Entry'!BH182)</f>
        <v/>
      </c>
      <c r="ER182" s="528" t="str">
        <f t="shared" si="397"/>
        <v/>
      </c>
      <c r="ES182" s="529" t="str">
        <f t="shared" si="398"/>
        <v/>
      </c>
      <c r="ET182" s="74" t="str">
        <f>IF('Marks Entry'!BI182="","",'Marks Entry'!BI182)</f>
        <v/>
      </c>
      <c r="EU182" s="74" t="str">
        <f>IF('Marks Entry'!BJ182="","",'Marks Entry'!BJ182)</f>
        <v/>
      </c>
      <c r="EV182" s="528" t="str">
        <f t="shared" si="399"/>
        <v/>
      </c>
      <c r="EW182" s="530" t="str">
        <f t="shared" si="400"/>
        <v/>
      </c>
      <c r="EX182" s="368" t="str">
        <f t="shared" si="450"/>
        <v/>
      </c>
      <c r="EY182" s="65">
        <f t="shared" si="451"/>
        <v>0</v>
      </c>
      <c r="EZ182" s="65">
        <f t="shared" si="452"/>
        <v>0</v>
      </c>
      <c r="FA182" s="66" t="str">
        <f t="shared" si="453"/>
        <v/>
      </c>
      <c r="FB182" s="74" t="str">
        <f>IF('Marks Entry'!BK182="","",'Marks Entry'!BK182)</f>
        <v/>
      </c>
      <c r="FC182" s="74" t="str">
        <f>IF('Marks Entry'!BL182="","",'Marks Entry'!BL182)</f>
        <v/>
      </c>
      <c r="FD182" s="74" t="str">
        <f>IF('Marks Entry'!BM182="","",'Marks Entry'!BM182)</f>
        <v/>
      </c>
      <c r="FE182" s="74" t="str">
        <f>IF('Marks Entry'!BN182="","",'Marks Entry'!BN182)</f>
        <v/>
      </c>
      <c r="FF182" s="74" t="str">
        <f>IF('Marks Entry'!BO182="","",'Marks Entry'!BO182)</f>
        <v/>
      </c>
      <c r="FG182" s="74" t="str">
        <f>IF('Marks Entry'!BP182="","",'Marks Entry'!BP182)</f>
        <v/>
      </c>
      <c r="FH182" s="527" t="str">
        <f t="shared" si="401"/>
        <v/>
      </c>
      <c r="FI182" s="74" t="str">
        <f>IF('Marks Entry'!BQ182="","",'Marks Entry'!BQ182)</f>
        <v/>
      </c>
      <c r="FJ182" s="74" t="str">
        <f>IF('Marks Entry'!BR182="","",'Marks Entry'!BR182)</f>
        <v/>
      </c>
      <c r="FK182" s="528" t="str">
        <f t="shared" si="402"/>
        <v/>
      </c>
      <c r="FL182" s="529" t="str">
        <f t="shared" si="403"/>
        <v/>
      </c>
      <c r="FM182" s="74" t="str">
        <f>IF('Marks Entry'!BS182="","",'Marks Entry'!BS182)</f>
        <v/>
      </c>
      <c r="FN182" s="74" t="str">
        <f>IF('Marks Entry'!BT182="","",'Marks Entry'!BT182)</f>
        <v/>
      </c>
      <c r="FO182" s="528" t="str">
        <f t="shared" si="404"/>
        <v/>
      </c>
      <c r="FP182" s="530" t="str">
        <f t="shared" si="405"/>
        <v/>
      </c>
      <c r="FQ182" s="368" t="str">
        <f t="shared" si="454"/>
        <v/>
      </c>
      <c r="FR182" s="65">
        <f t="shared" si="455"/>
        <v>0</v>
      </c>
      <c r="FS182" s="65">
        <f t="shared" si="456"/>
        <v>0</v>
      </c>
      <c r="FT182" s="66" t="str">
        <f t="shared" si="457"/>
        <v/>
      </c>
      <c r="FU182" s="74" t="str">
        <f>IF('Marks Entry'!BU182="","",'Marks Entry'!BU182)</f>
        <v/>
      </c>
      <c r="FV182" s="74" t="str">
        <f>IF('Marks Entry'!BV182="","",'Marks Entry'!BV182)</f>
        <v/>
      </c>
      <c r="FW182" s="74" t="str">
        <f>IF('Marks Entry'!BW182="","",'Marks Entry'!BW182)</f>
        <v/>
      </c>
      <c r="FX182" s="75" t="str">
        <f t="shared" si="406"/>
        <v/>
      </c>
      <c r="FY182" s="368" t="str">
        <f t="shared" si="458"/>
        <v/>
      </c>
      <c r="FZ182" s="65">
        <f t="shared" si="459"/>
        <v>0</v>
      </c>
      <c r="GA182" s="66">
        <f t="shared" si="460"/>
        <v>0</v>
      </c>
      <c r="GB182" s="66" t="str">
        <f t="shared" si="461"/>
        <v/>
      </c>
      <c r="GC182" s="74" t="str">
        <f>IF('Marks Entry'!BX182="","",'Marks Entry'!BX182)</f>
        <v/>
      </c>
      <c r="GD182" s="74" t="str">
        <f>IF('Marks Entry'!BY182="","",'Marks Entry'!BY182)</f>
        <v/>
      </c>
      <c r="GE182" s="74" t="str">
        <f>IF('Marks Entry'!BZ182="","",'Marks Entry'!BZ182)</f>
        <v/>
      </c>
      <c r="GF182" s="75" t="str">
        <f t="shared" si="462"/>
        <v/>
      </c>
      <c r="GG182" s="368" t="str">
        <f t="shared" si="463"/>
        <v/>
      </c>
      <c r="GH182" s="65">
        <f t="shared" si="464"/>
        <v>0</v>
      </c>
      <c r="GI182" s="66">
        <f t="shared" si="465"/>
        <v>0</v>
      </c>
      <c r="GJ182" s="66" t="str">
        <f t="shared" si="466"/>
        <v/>
      </c>
      <c r="GK182" s="100" t="str">
        <f>IF(AND(F182="",B182=""),"",IF('Student DATA Entry'!M179="","",'Student DATA Entry'!M179))</f>
        <v/>
      </c>
      <c r="GL182" s="101" t="str">
        <f>IF(AND(B182="",F182=""),"",IF('Student DATA Entry'!N179="","",'Student DATA Entry'!N179))</f>
        <v/>
      </c>
      <c r="GM182" s="581" t="str">
        <f t="shared" si="467"/>
        <v/>
      </c>
      <c r="GN182" s="94" t="str">
        <f t="shared" si="468"/>
        <v/>
      </c>
      <c r="GO182" s="94" t="str">
        <f t="shared" si="469"/>
        <v/>
      </c>
      <c r="GP182" s="102" t="str">
        <f t="shared" si="498"/>
        <v/>
      </c>
      <c r="GQ182" s="94" t="str">
        <f t="shared" si="470"/>
        <v/>
      </c>
      <c r="GR182" s="103" t="str">
        <f t="shared" si="471"/>
        <v/>
      </c>
      <c r="GS182" s="102" t="str">
        <f t="shared" si="499"/>
        <v/>
      </c>
      <c r="GT182" s="104" t="str">
        <f t="shared" si="472"/>
        <v/>
      </c>
      <c r="GU182" s="94" t="str">
        <f>IF('Marks Entry'!V182=1,GT182,"")</f>
        <v/>
      </c>
      <c r="GV182" s="94" t="str">
        <f>IF('Marks Entry'!V182=2,GT182,"")</f>
        <v/>
      </c>
      <c r="GW182" s="94" t="str">
        <f>IF('Marks Entry'!V182=3,GT182,"")</f>
        <v/>
      </c>
      <c r="GX182" s="94" t="str">
        <f>IF('Marks Entry'!V182=4,GT182,"")</f>
        <v/>
      </c>
      <c r="GY182" s="94" t="str">
        <f>IF('Marks Entry'!V182=5,GT182,"")</f>
        <v/>
      </c>
      <c r="GZ182" s="94" t="str">
        <f t="shared" si="473"/>
        <v/>
      </c>
      <c r="HA182" s="105" t="str">
        <f t="shared" si="500"/>
        <v/>
      </c>
      <c r="HB182" s="94" t="str">
        <f t="shared" si="474"/>
        <v/>
      </c>
      <c r="HC182" s="94" t="str">
        <f t="shared" si="475"/>
        <v/>
      </c>
      <c r="HD182" s="105" t="str">
        <f t="shared" si="501"/>
        <v/>
      </c>
      <c r="HE182" s="94" t="str">
        <f t="shared" si="476"/>
        <v/>
      </c>
      <c r="HF182" s="94" t="str">
        <f t="shared" si="477"/>
        <v/>
      </c>
      <c r="HG182" s="105" t="str">
        <f t="shared" si="502"/>
        <v/>
      </c>
      <c r="HH182" s="94" t="str">
        <f t="shared" si="478"/>
        <v/>
      </c>
      <c r="HI182" s="94" t="str">
        <f t="shared" si="479"/>
        <v/>
      </c>
      <c r="HJ182" s="105" t="str">
        <f t="shared" si="503"/>
        <v/>
      </c>
      <c r="HK182" s="94" t="str">
        <f t="shared" si="480"/>
        <v/>
      </c>
      <c r="HL182" s="94" t="str">
        <f t="shared" si="481"/>
        <v/>
      </c>
      <c r="HM182" s="105" t="str">
        <f t="shared" si="504"/>
        <v/>
      </c>
      <c r="HN182" s="367" t="str">
        <f t="shared" si="482"/>
        <v xml:space="preserve">      </v>
      </c>
      <c r="HO182" s="418" t="str">
        <f t="shared" si="505"/>
        <v xml:space="preserve">      </v>
      </c>
      <c r="HP182" s="367" t="str">
        <f t="shared" si="483"/>
        <v xml:space="preserve">      </v>
      </c>
      <c r="HQ182" s="107" t="str">
        <f t="shared" si="484"/>
        <v xml:space="preserve">      </v>
      </c>
      <c r="HR182" s="366" t="str">
        <f t="shared" si="485"/>
        <v xml:space="preserve">      </v>
      </c>
      <c r="HS182" s="544" t="str">
        <f t="shared" si="506"/>
        <v/>
      </c>
      <c r="HT182" s="542" t="str">
        <f t="shared" si="486"/>
        <v/>
      </c>
      <c r="HU182" s="541" t="str">
        <f t="shared" si="487"/>
        <v/>
      </c>
      <c r="HV182" s="540" t="str">
        <f t="shared" si="488"/>
        <v/>
      </c>
      <c r="HW182" s="537" t="str">
        <f t="shared" si="489"/>
        <v/>
      </c>
      <c r="HX182" s="539" t="str">
        <f t="shared" si="490"/>
        <v/>
      </c>
      <c r="HY182" s="553" t="str">
        <f>IFERROR(IF(OR(HS182="SUPPLEMENTARY",HS182="RE-EXAM"),'Supp. Result Entry'!AQ180,""),"")</f>
        <v/>
      </c>
      <c r="HZ182" s="538" t="str">
        <f t="shared" si="491"/>
        <v/>
      </c>
      <c r="IA182" s="415" t="str">
        <f t="shared" si="492"/>
        <v/>
      </c>
      <c r="IB182" s="415" t="str">
        <f>IF(AND(HZ182="",IA182=""),"",IF(OR(HS182="SUPPLEMENTARY",HS182="RE-EXAM"),'Supp. Result Entry'!AQ180,HS182))</f>
        <v/>
      </c>
      <c r="IC182" s="87"/>
      <c r="IS182" s="109" t="str">
        <f>IF('Supp. Result Entry'!T180="","",'Supp. Result Entry'!$T$4)</f>
        <v/>
      </c>
      <c r="IT182" s="110" t="str">
        <f>IF('Supp. Result Entry'!W180="","",'Supp. Result Entry'!$W$4)</f>
        <v/>
      </c>
      <c r="IU182" s="110" t="str">
        <f>IF('Supp. Result Entry'!Z180="","",'Supp. Result Entry'!$Z$4)</f>
        <v/>
      </c>
      <c r="IV182" s="110" t="str">
        <f>IF('Supp. Result Entry'!AC180="","",'Supp. Result Entry'!$AC$4)</f>
        <v/>
      </c>
      <c r="IW182" s="110" t="str">
        <f>IF('Supp. Result Entry'!AF180="","",'Supp. Result Entry'!$AF$4)</f>
        <v/>
      </c>
      <c r="IX182" s="110" t="str">
        <f>IF('Supp. Result Entry'!AI180="","",'Supp. Result Entry'!$AI$4)</f>
        <v/>
      </c>
      <c r="IY182" s="110" t="str">
        <f>IF('Supp. Result Entry'!AI180="","",'Supp. Result Entry'!$AL$4)</f>
        <v/>
      </c>
      <c r="IZ182" s="110" t="str">
        <f>IF('Supp. Result Entry'!U180="","",'Supp. Result Entry'!U180)</f>
        <v/>
      </c>
      <c r="JA182" s="110" t="str">
        <f>IF('Supp. Result Entry'!X180="","",'Supp. Result Entry'!X180)</f>
        <v/>
      </c>
      <c r="JB182" s="110" t="str">
        <f>IF('Supp. Result Entry'!AA180="","",'Supp. Result Entry'!AA180)</f>
        <v/>
      </c>
      <c r="JC182" s="110" t="str">
        <f>IF('Supp. Result Entry'!AD180="","",'Supp. Result Entry'!AD180)</f>
        <v/>
      </c>
      <c r="JD182" s="110" t="str">
        <f>IF('Supp. Result Entry'!AG180="","",'Supp. Result Entry'!AG180)</f>
        <v/>
      </c>
      <c r="JE182" s="110" t="str">
        <f>IF('Supp. Result Entry'!AJ180="","",'Supp. Result Entry'!AJ180)</f>
        <v/>
      </c>
      <c r="JF182" s="110" t="str">
        <f>IF('Supp. Result Entry'!AM180="","",'Supp. Result Entry'!AM180)</f>
        <v/>
      </c>
      <c r="JG182" s="110" t="str">
        <f>IF('Supp. Result Entry'!V180="","",'Supp. Result Entry'!V180)</f>
        <v/>
      </c>
      <c r="JH182" s="110" t="str">
        <f>IF('Supp. Result Entry'!Y180="","",'Supp. Result Entry'!Y180)</f>
        <v/>
      </c>
      <c r="JI182" s="110" t="str">
        <f>IF('Supp. Result Entry'!AB180="","",'Supp. Result Entry'!AB180)</f>
        <v/>
      </c>
      <c r="JJ182" s="110" t="str">
        <f>IF('Supp. Result Entry'!AE180="","",'Supp. Result Entry'!AE180)</f>
        <v/>
      </c>
      <c r="JK182" s="110" t="str">
        <f>IF('Supp. Result Entry'!AH180="","",'Supp. Result Entry'!AH180)</f>
        <v/>
      </c>
      <c r="JL182" s="110" t="str">
        <f>IF('Supp. Result Entry'!AK180="","",'Supp. Result Entry'!AK180)</f>
        <v/>
      </c>
      <c r="JM182" s="110" t="str">
        <f>IF('Supp. Result Entry'!AN180="","",'Supp. Result Entry'!AN180)</f>
        <v/>
      </c>
      <c r="JN182" s="110">
        <f>COUNTIF('Supp. Result Entry'!K180:Q180,"S")</f>
        <v>0</v>
      </c>
      <c r="JO182" s="110">
        <f t="shared" si="416"/>
        <v>0</v>
      </c>
      <c r="JP182" s="110">
        <f t="shared" si="493"/>
        <v>0</v>
      </c>
      <c r="JQ182" s="110" t="str">
        <f t="shared" si="417"/>
        <v/>
      </c>
      <c r="JR182" s="110" t="str">
        <f t="shared" si="418"/>
        <v/>
      </c>
      <c r="JS182" s="110" t="str">
        <f t="shared" si="419"/>
        <v/>
      </c>
      <c r="JT182" s="110" t="str">
        <f t="shared" si="420"/>
        <v/>
      </c>
      <c r="JU182" s="110" t="str">
        <f t="shared" si="421"/>
        <v/>
      </c>
      <c r="JV182" s="110" t="str">
        <f t="shared" si="422"/>
        <v/>
      </c>
      <c r="JW182" s="110" t="str">
        <f t="shared" si="423"/>
        <v/>
      </c>
      <c r="JX182" s="110" t="str">
        <f t="shared" si="494"/>
        <v/>
      </c>
      <c r="JY182" s="110" t="str">
        <f t="shared" si="495"/>
        <v/>
      </c>
      <c r="JZ182" s="110" t="str">
        <f t="shared" si="424"/>
        <v/>
      </c>
      <c r="KA182" s="108" t="str">
        <f t="shared" si="496"/>
        <v/>
      </c>
    </row>
    <row r="183" spans="1:287" s="108" customFormat="1" ht="21.95" customHeight="1">
      <c r="A183" s="89">
        <v>177</v>
      </c>
      <c r="B183" s="90" t="str">
        <f>IF('Marks Entry'!B183="","",'Marks Entry'!B183)</f>
        <v/>
      </c>
      <c r="C183" s="94" t="str">
        <f>IF('Marks Entry'!D183="","",'Marks Entry'!D183)</f>
        <v/>
      </c>
      <c r="D183" s="91" t="str">
        <f>IF('Marks Entry'!E183="","",'Marks Entry'!E183)</f>
        <v/>
      </c>
      <c r="E183" s="92" t="str">
        <f>IF('Marks Entry'!F183="","",'Marks Entry'!F183)</f>
        <v/>
      </c>
      <c r="F183" s="93" t="str">
        <f>IF('Marks Entry'!G183="","",'Marks Entry'!G183)</f>
        <v/>
      </c>
      <c r="G183" s="93" t="str">
        <f>IF('Marks Entry'!H183="","",'Marks Entry'!H183)</f>
        <v/>
      </c>
      <c r="H183" s="93" t="str">
        <f>IF('Marks Entry'!I183="","",'Marks Entry'!I183)</f>
        <v/>
      </c>
      <c r="I183" s="94" t="str">
        <f>IF('Marks Entry'!J183="","",'Marks Entry'!J183)</f>
        <v/>
      </c>
      <c r="J183" s="95" t="str">
        <f>IF('Marks Entry'!K183="","",'Marks Entry'!K183)</f>
        <v/>
      </c>
      <c r="K183" s="68" t="str">
        <f>IF('Marks Entry'!L183="","",'Marks Entry'!L183)</f>
        <v/>
      </c>
      <c r="L183" s="68" t="str">
        <f>IF('Marks Entry'!M183="","",'Marks Entry'!M183)</f>
        <v/>
      </c>
      <c r="M183" s="68" t="str">
        <f>IF('Marks Entry'!N183="","",'Marks Entry'!N183)</f>
        <v/>
      </c>
      <c r="N183" s="514" t="str">
        <f t="shared" si="425"/>
        <v/>
      </c>
      <c r="O183" s="68" t="str">
        <f>IF('Marks Entry'!O183="","",'Marks Entry'!O183)</f>
        <v/>
      </c>
      <c r="P183" s="515" t="str">
        <f t="shared" si="426"/>
        <v/>
      </c>
      <c r="Q183" s="68" t="str">
        <f>IF('Marks Entry'!P183="","",'Marks Entry'!P183)</f>
        <v/>
      </c>
      <c r="R183" s="96" t="str">
        <f t="shared" si="427"/>
        <v/>
      </c>
      <c r="S183" s="65">
        <f t="shared" si="428"/>
        <v>0</v>
      </c>
      <c r="T183" s="65">
        <f t="shared" si="429"/>
        <v>0</v>
      </c>
      <c r="U183" s="66" t="str">
        <f t="shared" si="339"/>
        <v/>
      </c>
      <c r="V183" s="65" t="str">
        <f t="shared" si="340"/>
        <v/>
      </c>
      <c r="W183" s="65" t="str">
        <f t="shared" si="430"/>
        <v/>
      </c>
      <c r="X183" s="65" t="str">
        <f t="shared" si="341"/>
        <v/>
      </c>
      <c r="Y183" s="68" t="str">
        <f>IF('Marks Entry'!Q183="","",'Marks Entry'!Q183)</f>
        <v/>
      </c>
      <c r="Z183" s="68" t="str">
        <f>IF('Marks Entry'!R183="","",'Marks Entry'!R183)</f>
        <v/>
      </c>
      <c r="AA183" s="68" t="str">
        <f>IF('Marks Entry'!S183="","",'Marks Entry'!S183)</f>
        <v/>
      </c>
      <c r="AB183" s="514" t="str">
        <f t="shared" si="342"/>
        <v/>
      </c>
      <c r="AC183" s="68" t="str">
        <f>IF('Marks Entry'!T183="","",'Marks Entry'!T183)</f>
        <v/>
      </c>
      <c r="AD183" s="515" t="str">
        <f t="shared" si="343"/>
        <v/>
      </c>
      <c r="AE183" s="68" t="str">
        <f>IF('Marks Entry'!U183="","",'Marks Entry'!U183)</f>
        <v/>
      </c>
      <c r="AF183" s="96" t="str">
        <f t="shared" si="344"/>
        <v/>
      </c>
      <c r="AG183" s="65">
        <f t="shared" si="345"/>
        <v>0</v>
      </c>
      <c r="AH183" s="65">
        <f t="shared" si="346"/>
        <v>0</v>
      </c>
      <c r="AI183" s="66" t="str">
        <f t="shared" si="347"/>
        <v/>
      </c>
      <c r="AJ183" s="65" t="str">
        <f t="shared" si="348"/>
        <v/>
      </c>
      <c r="AK183" s="65" t="str">
        <f t="shared" si="349"/>
        <v/>
      </c>
      <c r="AL183" s="65" t="str">
        <f t="shared" si="350"/>
        <v/>
      </c>
      <c r="AM183" s="524" t="str">
        <f>IF('Marks Entry'!V183="","",IF('Marks Entry'!V183=1,'School Profile'!$I$9,IF('Marks Entry'!V183=2,'School Profile'!$I$10,IF('Marks Entry'!V183=3,'School Profile'!$I$11,IF('Marks Entry'!V183=4,'School Profile'!$I$12,IF('Marks Entry'!V183=5,'School Profile'!$I$13,IF('Marks Entry'!V183=6,'School Profile'!$I$14,"")))))))</f>
        <v/>
      </c>
      <c r="AN183" s="68" t="str">
        <f>IF('Marks Entry'!W183="","",'Marks Entry'!W183)</f>
        <v/>
      </c>
      <c r="AO183" s="68" t="str">
        <f>IF('Marks Entry'!X183="","",'Marks Entry'!X183)</f>
        <v/>
      </c>
      <c r="AP183" s="68" t="str">
        <f>IF('Marks Entry'!Y183="","",'Marks Entry'!Y183)</f>
        <v/>
      </c>
      <c r="AQ183" s="514" t="str">
        <f t="shared" si="351"/>
        <v/>
      </c>
      <c r="AR183" s="68" t="str">
        <f>IF('Marks Entry'!Z183="","",'Marks Entry'!Z183)</f>
        <v/>
      </c>
      <c r="AS183" s="515" t="str">
        <f t="shared" si="352"/>
        <v/>
      </c>
      <c r="AT183" s="68" t="str">
        <f>IF('Marks Entry'!AA183="","",'Marks Entry'!AA183)</f>
        <v/>
      </c>
      <c r="AU183" s="96" t="str">
        <f t="shared" si="353"/>
        <v/>
      </c>
      <c r="AV183" s="65">
        <f t="shared" si="354"/>
        <v>0</v>
      </c>
      <c r="AW183" s="65">
        <f t="shared" si="355"/>
        <v>0</v>
      </c>
      <c r="AX183" s="66" t="str">
        <f t="shared" si="356"/>
        <v/>
      </c>
      <c r="AY183" s="65" t="str">
        <f t="shared" si="357"/>
        <v/>
      </c>
      <c r="AZ183" s="65" t="str">
        <f t="shared" si="358"/>
        <v/>
      </c>
      <c r="BA183" s="65" t="str">
        <f t="shared" si="359"/>
        <v/>
      </c>
      <c r="BB183" s="68" t="str">
        <f>IF('Marks Entry'!AB183="","",'Marks Entry'!AB183)</f>
        <v/>
      </c>
      <c r="BC183" s="68" t="str">
        <f>IF('Marks Entry'!AC183="","",'Marks Entry'!AC183)</f>
        <v/>
      </c>
      <c r="BD183" s="68" t="str">
        <f>IF('Marks Entry'!AD183="","",'Marks Entry'!AD183)</f>
        <v/>
      </c>
      <c r="BE183" s="514" t="str">
        <f t="shared" si="360"/>
        <v/>
      </c>
      <c r="BF183" s="68" t="str">
        <f>IF('Marks Entry'!AE183="","",'Marks Entry'!AE183)</f>
        <v/>
      </c>
      <c r="BG183" s="515" t="str">
        <f t="shared" si="361"/>
        <v/>
      </c>
      <c r="BH183" s="68" t="str">
        <f>IF('Marks Entry'!AF183="","",'Marks Entry'!AF183)</f>
        <v/>
      </c>
      <c r="BI183" s="96" t="str">
        <f t="shared" si="362"/>
        <v/>
      </c>
      <c r="BJ183" s="65">
        <f t="shared" si="363"/>
        <v>0</v>
      </c>
      <c r="BK183" s="65">
        <f t="shared" si="431"/>
        <v>0</v>
      </c>
      <c r="BL183" s="66" t="str">
        <f t="shared" si="364"/>
        <v/>
      </c>
      <c r="BM183" s="65" t="str">
        <f t="shared" si="365"/>
        <v/>
      </c>
      <c r="BN183" s="65" t="str">
        <f t="shared" si="366"/>
        <v/>
      </c>
      <c r="BO183" s="65" t="str">
        <f t="shared" si="367"/>
        <v/>
      </c>
      <c r="BP183" s="68" t="str">
        <f>IF('Marks Entry'!AG183="","",'Marks Entry'!AG183)</f>
        <v/>
      </c>
      <c r="BQ183" s="68" t="str">
        <f>IF('Marks Entry'!AH183="","",'Marks Entry'!AH183)</f>
        <v/>
      </c>
      <c r="BR183" s="68" t="str">
        <f>IF('Marks Entry'!AI183="","",'Marks Entry'!AI183)</f>
        <v/>
      </c>
      <c r="BS183" s="514" t="str">
        <f t="shared" si="368"/>
        <v/>
      </c>
      <c r="BT183" s="68" t="str">
        <f>IF('Marks Entry'!AJ183="","",'Marks Entry'!AJ183)</f>
        <v/>
      </c>
      <c r="BU183" s="515" t="str">
        <f t="shared" si="369"/>
        <v/>
      </c>
      <c r="BV183" s="68" t="str">
        <f>IF('Marks Entry'!AK183="","",'Marks Entry'!AK183)</f>
        <v/>
      </c>
      <c r="BW183" s="96" t="str">
        <f t="shared" si="370"/>
        <v/>
      </c>
      <c r="BX183" s="65">
        <f t="shared" si="371"/>
        <v>0</v>
      </c>
      <c r="BY183" s="65">
        <f t="shared" si="372"/>
        <v>0</v>
      </c>
      <c r="BZ183" s="66" t="str">
        <f t="shared" si="373"/>
        <v/>
      </c>
      <c r="CA183" s="65" t="str">
        <f t="shared" si="374"/>
        <v/>
      </c>
      <c r="CB183" s="65" t="str">
        <f t="shared" si="375"/>
        <v/>
      </c>
      <c r="CC183" s="65" t="str">
        <f t="shared" si="376"/>
        <v/>
      </c>
      <c r="CD183" s="66">
        <f t="shared" si="497"/>
        <v>0</v>
      </c>
      <c r="CE183" s="68" t="str">
        <f>IF('Marks Entry'!AL183="","",'Marks Entry'!AL183)</f>
        <v/>
      </c>
      <c r="CF183" s="68" t="str">
        <f>IF('Marks Entry'!AM183="","",'Marks Entry'!AM183)</f>
        <v/>
      </c>
      <c r="CG183" s="68" t="str">
        <f>IF('Marks Entry'!AN183="","",'Marks Entry'!AN183)</f>
        <v/>
      </c>
      <c r="CH183" s="514" t="str">
        <f t="shared" si="378"/>
        <v/>
      </c>
      <c r="CI183" s="68" t="str">
        <f>IF('Marks Entry'!AO183="","",'Marks Entry'!AO183)</f>
        <v/>
      </c>
      <c r="CJ183" s="515" t="str">
        <f t="shared" si="379"/>
        <v/>
      </c>
      <c r="CK183" s="68" t="str">
        <f>IF('Marks Entry'!AP183="","",'Marks Entry'!AP183)</f>
        <v/>
      </c>
      <c r="CL183" s="96" t="str">
        <f t="shared" si="380"/>
        <v/>
      </c>
      <c r="CM183" s="65">
        <f t="shared" si="381"/>
        <v>0</v>
      </c>
      <c r="CN183" s="65">
        <f t="shared" si="382"/>
        <v>0</v>
      </c>
      <c r="CO183" s="66" t="str">
        <f t="shared" si="383"/>
        <v/>
      </c>
      <c r="CP183" s="65" t="str">
        <f t="shared" si="384"/>
        <v/>
      </c>
      <c r="CQ183" s="65" t="str">
        <f t="shared" si="385"/>
        <v/>
      </c>
      <c r="CR183" s="65" t="str">
        <f t="shared" si="386"/>
        <v/>
      </c>
      <c r="CS183" s="616"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8" t="str">
        <f>IF('School Profile'!$D$20="NO","",IF('Marks Entry'!AR183="","",'Marks Entry'!AR183))</f>
        <v/>
      </c>
      <c r="CU183" s="68" t="str">
        <f>IF('School Profile'!$D$20="NO","",IF('Marks Entry'!AS183="","",'Marks Entry'!AS183))</f>
        <v/>
      </c>
      <c r="CV183" s="68" t="str">
        <f>IF('School Profile'!$D$20="NO","",IF('Marks Entry'!AT183="","",'Marks Entry'!AT183))</f>
        <v/>
      </c>
      <c r="CW183" s="514" t="str">
        <f>IF('School Profile'!$D$20="NO","",IF(AND(CT183="",CU183="",CV183=""),"",SUM(CT183:CV183)))</f>
        <v/>
      </c>
      <c r="CX183" s="68" t="str">
        <f>IF('School Profile'!$D$20="NO","",IF('Marks Entry'!AU183="","",'Marks Entry'!AU183))</f>
        <v/>
      </c>
      <c r="CY183" s="68" t="str">
        <f>IF('School Profile'!$D$20="NO","",IF('Marks Entry'!AV183="","",'Marks Entry'!AV183))</f>
        <v/>
      </c>
      <c r="CZ183" s="515" t="str">
        <f>IF('School Profile'!$D$20="NO","",IF(AND(CX183="",CY183=""),"",SUM(CX183,CY183)))</f>
        <v/>
      </c>
      <c r="DA183" s="69" t="str">
        <f>IF('School Profile'!$D$20="NO","",IF(AND(CW183="",CZ183=""),"",SUM(CW183+CZ183)))</f>
        <v/>
      </c>
      <c r="DB183" s="68" t="str">
        <f>IF('School Profile'!$D$20="NO","",IF('Marks Entry'!AW183="","",'Marks Entry'!AW183))</f>
        <v/>
      </c>
      <c r="DC183" s="68" t="str">
        <f>IF('School Profile'!$D$20="NO","",IF('Marks Entry'!AX183="","",'Marks Entry'!AX183))</f>
        <v/>
      </c>
      <c r="DD183" s="515" t="str">
        <f>IF('School Profile'!$D$20="NO","",IF(AND(DB183="",DC183=""),"",SUM(DB183,DC183)))</f>
        <v/>
      </c>
      <c r="DE183" s="96" t="str">
        <f>IF('School Profile'!$D$20="NO","",IF(AND(DA183="",DD183=""),"",SUM(DA183,DD183)))</f>
        <v/>
      </c>
      <c r="DF183" s="532">
        <f t="shared" si="387"/>
        <v>0</v>
      </c>
      <c r="DG183" s="65">
        <f t="shared" si="388"/>
        <v>0</v>
      </c>
      <c r="DH183" s="66" t="str">
        <f t="shared" si="389"/>
        <v/>
      </c>
      <c r="DI183" s="65" t="str">
        <f t="shared" si="390"/>
        <v/>
      </c>
      <c r="DJ183" s="65" t="str">
        <f t="shared" si="391"/>
        <v/>
      </c>
      <c r="DK183" s="65" t="str">
        <f t="shared" si="392"/>
        <v/>
      </c>
      <c r="DL183" s="97" t="str">
        <f t="shared" si="432"/>
        <v/>
      </c>
      <c r="DM183" s="97" t="str">
        <f t="shared" si="433"/>
        <v/>
      </c>
      <c r="DN183" s="97" t="str">
        <f t="shared" si="434"/>
        <v/>
      </c>
      <c r="DO183" s="97" t="str">
        <f t="shared" si="435"/>
        <v/>
      </c>
      <c r="DP183" s="97" t="str">
        <f t="shared" si="436"/>
        <v/>
      </c>
      <c r="DQ183" s="97" t="str">
        <f t="shared" si="437"/>
        <v/>
      </c>
      <c r="DR183" s="97" t="str">
        <f t="shared" si="438"/>
        <v/>
      </c>
      <c r="DS183" s="98">
        <f t="shared" si="439"/>
        <v>0</v>
      </c>
      <c r="DT183" s="98">
        <f t="shared" si="440"/>
        <v>0</v>
      </c>
      <c r="DU183" s="98">
        <f t="shared" si="441"/>
        <v>0</v>
      </c>
      <c r="DV183" s="98">
        <f t="shared" si="442"/>
        <v>0</v>
      </c>
      <c r="DW183" s="98">
        <f t="shared" si="443"/>
        <v>0</v>
      </c>
      <c r="DX183" s="98" t="str">
        <f t="shared" si="444"/>
        <v/>
      </c>
      <c r="DY183" s="99" t="str">
        <f t="shared" si="445"/>
        <v/>
      </c>
      <c r="DZ183" s="74" t="str">
        <f>IF('Marks Entry'!AY183="","",'Marks Entry'!AY183)</f>
        <v/>
      </c>
      <c r="EA183" s="74" t="str">
        <f>IF('Marks Entry'!AZ183="","",'Marks Entry'!AZ183)</f>
        <v/>
      </c>
      <c r="EB183" s="74" t="str">
        <f>IF('Marks Entry'!BA183="","",'Marks Entry'!BA183)</f>
        <v/>
      </c>
      <c r="EC183" s="527" t="str">
        <f t="shared" si="393"/>
        <v/>
      </c>
      <c r="ED183" s="74" t="str">
        <f>IF('Marks Entry'!BB183="","",'Marks Entry'!BB183)</f>
        <v/>
      </c>
      <c r="EE183" s="528" t="str">
        <f t="shared" si="394"/>
        <v/>
      </c>
      <c r="EF183" s="74" t="str">
        <f>IF('Marks Entry'!BC183="","",'Marks Entry'!BC183)</f>
        <v/>
      </c>
      <c r="EG183" s="530" t="str">
        <f t="shared" si="395"/>
        <v/>
      </c>
      <c r="EH183" s="368" t="str">
        <f t="shared" si="446"/>
        <v/>
      </c>
      <c r="EI183" s="65">
        <f t="shared" si="447"/>
        <v>0</v>
      </c>
      <c r="EJ183" s="65">
        <f t="shared" si="448"/>
        <v>0</v>
      </c>
      <c r="EK183" s="66" t="str">
        <f t="shared" si="449"/>
        <v/>
      </c>
      <c r="EL183" s="74" t="str">
        <f>IF('Marks Entry'!BD183="","",'Marks Entry'!BD183)</f>
        <v/>
      </c>
      <c r="EM183" s="74" t="str">
        <f>IF('Marks Entry'!BE183="","",'Marks Entry'!BE183)</f>
        <v/>
      </c>
      <c r="EN183" s="74" t="str">
        <f>IF('Marks Entry'!BF183="","",'Marks Entry'!BF183)</f>
        <v/>
      </c>
      <c r="EO183" s="527" t="str">
        <f t="shared" si="396"/>
        <v/>
      </c>
      <c r="EP183" s="74" t="str">
        <f>IF('Marks Entry'!BG183="","",'Marks Entry'!BG183)</f>
        <v/>
      </c>
      <c r="EQ183" s="74" t="str">
        <f>IF('Marks Entry'!BH183="","",'Marks Entry'!BH183)</f>
        <v/>
      </c>
      <c r="ER183" s="528" t="str">
        <f t="shared" si="397"/>
        <v/>
      </c>
      <c r="ES183" s="529" t="str">
        <f t="shared" si="398"/>
        <v/>
      </c>
      <c r="ET183" s="74" t="str">
        <f>IF('Marks Entry'!BI183="","",'Marks Entry'!BI183)</f>
        <v/>
      </c>
      <c r="EU183" s="74" t="str">
        <f>IF('Marks Entry'!BJ183="","",'Marks Entry'!BJ183)</f>
        <v/>
      </c>
      <c r="EV183" s="528" t="str">
        <f t="shared" si="399"/>
        <v/>
      </c>
      <c r="EW183" s="530" t="str">
        <f t="shared" si="400"/>
        <v/>
      </c>
      <c r="EX183" s="368" t="str">
        <f t="shared" si="450"/>
        <v/>
      </c>
      <c r="EY183" s="65">
        <f t="shared" si="451"/>
        <v>0</v>
      </c>
      <c r="EZ183" s="65">
        <f t="shared" si="452"/>
        <v>0</v>
      </c>
      <c r="FA183" s="66" t="str">
        <f t="shared" si="453"/>
        <v/>
      </c>
      <c r="FB183" s="74" t="str">
        <f>IF('Marks Entry'!BK183="","",'Marks Entry'!BK183)</f>
        <v/>
      </c>
      <c r="FC183" s="74" t="str">
        <f>IF('Marks Entry'!BL183="","",'Marks Entry'!BL183)</f>
        <v/>
      </c>
      <c r="FD183" s="74" t="str">
        <f>IF('Marks Entry'!BM183="","",'Marks Entry'!BM183)</f>
        <v/>
      </c>
      <c r="FE183" s="74" t="str">
        <f>IF('Marks Entry'!BN183="","",'Marks Entry'!BN183)</f>
        <v/>
      </c>
      <c r="FF183" s="74" t="str">
        <f>IF('Marks Entry'!BO183="","",'Marks Entry'!BO183)</f>
        <v/>
      </c>
      <c r="FG183" s="74" t="str">
        <f>IF('Marks Entry'!BP183="","",'Marks Entry'!BP183)</f>
        <v/>
      </c>
      <c r="FH183" s="527" t="str">
        <f t="shared" si="401"/>
        <v/>
      </c>
      <c r="FI183" s="74" t="str">
        <f>IF('Marks Entry'!BQ183="","",'Marks Entry'!BQ183)</f>
        <v/>
      </c>
      <c r="FJ183" s="74" t="str">
        <f>IF('Marks Entry'!BR183="","",'Marks Entry'!BR183)</f>
        <v/>
      </c>
      <c r="FK183" s="528" t="str">
        <f t="shared" si="402"/>
        <v/>
      </c>
      <c r="FL183" s="529" t="str">
        <f t="shared" si="403"/>
        <v/>
      </c>
      <c r="FM183" s="74" t="str">
        <f>IF('Marks Entry'!BS183="","",'Marks Entry'!BS183)</f>
        <v/>
      </c>
      <c r="FN183" s="74" t="str">
        <f>IF('Marks Entry'!BT183="","",'Marks Entry'!BT183)</f>
        <v/>
      </c>
      <c r="FO183" s="528" t="str">
        <f t="shared" si="404"/>
        <v/>
      </c>
      <c r="FP183" s="530" t="str">
        <f t="shared" si="405"/>
        <v/>
      </c>
      <c r="FQ183" s="368" t="str">
        <f t="shared" si="454"/>
        <v/>
      </c>
      <c r="FR183" s="65">
        <f t="shared" si="455"/>
        <v>0</v>
      </c>
      <c r="FS183" s="65">
        <f t="shared" si="456"/>
        <v>0</v>
      </c>
      <c r="FT183" s="66" t="str">
        <f t="shared" si="457"/>
        <v/>
      </c>
      <c r="FU183" s="74" t="str">
        <f>IF('Marks Entry'!BU183="","",'Marks Entry'!BU183)</f>
        <v/>
      </c>
      <c r="FV183" s="74" t="str">
        <f>IF('Marks Entry'!BV183="","",'Marks Entry'!BV183)</f>
        <v/>
      </c>
      <c r="FW183" s="74" t="str">
        <f>IF('Marks Entry'!BW183="","",'Marks Entry'!BW183)</f>
        <v/>
      </c>
      <c r="FX183" s="75" t="str">
        <f t="shared" si="406"/>
        <v/>
      </c>
      <c r="FY183" s="368" t="str">
        <f t="shared" si="458"/>
        <v/>
      </c>
      <c r="FZ183" s="65">
        <f t="shared" si="459"/>
        <v>0</v>
      </c>
      <c r="GA183" s="66">
        <f t="shared" si="460"/>
        <v>0</v>
      </c>
      <c r="GB183" s="66" t="str">
        <f t="shared" si="461"/>
        <v/>
      </c>
      <c r="GC183" s="74" t="str">
        <f>IF('Marks Entry'!BX183="","",'Marks Entry'!BX183)</f>
        <v/>
      </c>
      <c r="GD183" s="74" t="str">
        <f>IF('Marks Entry'!BY183="","",'Marks Entry'!BY183)</f>
        <v/>
      </c>
      <c r="GE183" s="74" t="str">
        <f>IF('Marks Entry'!BZ183="","",'Marks Entry'!BZ183)</f>
        <v/>
      </c>
      <c r="GF183" s="75" t="str">
        <f t="shared" si="462"/>
        <v/>
      </c>
      <c r="GG183" s="368" t="str">
        <f t="shared" si="463"/>
        <v/>
      </c>
      <c r="GH183" s="65">
        <f t="shared" si="464"/>
        <v>0</v>
      </c>
      <c r="GI183" s="66">
        <f t="shared" si="465"/>
        <v>0</v>
      </c>
      <c r="GJ183" s="66" t="str">
        <f t="shared" si="466"/>
        <v/>
      </c>
      <c r="GK183" s="100" t="str">
        <f>IF(AND(F183="",B183=""),"",IF('Student DATA Entry'!M180="","",'Student DATA Entry'!M180))</f>
        <v/>
      </c>
      <c r="GL183" s="101" t="str">
        <f>IF(AND(B183="",F183=""),"",IF('Student DATA Entry'!N180="","",'Student DATA Entry'!N180))</f>
        <v/>
      </c>
      <c r="GM183" s="581" t="str">
        <f t="shared" si="467"/>
        <v/>
      </c>
      <c r="GN183" s="94" t="str">
        <f t="shared" si="468"/>
        <v/>
      </c>
      <c r="GO183" s="94" t="str">
        <f t="shared" si="469"/>
        <v/>
      </c>
      <c r="GP183" s="102" t="str">
        <f t="shared" si="498"/>
        <v/>
      </c>
      <c r="GQ183" s="94" t="str">
        <f t="shared" si="470"/>
        <v/>
      </c>
      <c r="GR183" s="103" t="str">
        <f t="shared" si="471"/>
        <v/>
      </c>
      <c r="GS183" s="102" t="str">
        <f t="shared" si="499"/>
        <v/>
      </c>
      <c r="GT183" s="104" t="str">
        <f t="shared" si="472"/>
        <v/>
      </c>
      <c r="GU183" s="94" t="str">
        <f>IF('Marks Entry'!V183=1,GT183,"")</f>
        <v/>
      </c>
      <c r="GV183" s="94" t="str">
        <f>IF('Marks Entry'!V183=2,GT183,"")</f>
        <v/>
      </c>
      <c r="GW183" s="94" t="str">
        <f>IF('Marks Entry'!V183=3,GT183,"")</f>
        <v/>
      </c>
      <c r="GX183" s="94" t="str">
        <f>IF('Marks Entry'!V183=4,GT183,"")</f>
        <v/>
      </c>
      <c r="GY183" s="94" t="str">
        <f>IF('Marks Entry'!V183=5,GT183,"")</f>
        <v/>
      </c>
      <c r="GZ183" s="94" t="str">
        <f t="shared" si="473"/>
        <v/>
      </c>
      <c r="HA183" s="105" t="str">
        <f t="shared" si="500"/>
        <v/>
      </c>
      <c r="HB183" s="94" t="str">
        <f t="shared" si="474"/>
        <v/>
      </c>
      <c r="HC183" s="94" t="str">
        <f t="shared" si="475"/>
        <v/>
      </c>
      <c r="HD183" s="105" t="str">
        <f t="shared" si="501"/>
        <v/>
      </c>
      <c r="HE183" s="94" t="str">
        <f t="shared" si="476"/>
        <v/>
      </c>
      <c r="HF183" s="94" t="str">
        <f t="shared" si="477"/>
        <v/>
      </c>
      <c r="HG183" s="105" t="str">
        <f t="shared" si="502"/>
        <v/>
      </c>
      <c r="HH183" s="94" t="str">
        <f t="shared" si="478"/>
        <v/>
      </c>
      <c r="HI183" s="94" t="str">
        <f t="shared" si="479"/>
        <v/>
      </c>
      <c r="HJ183" s="105" t="str">
        <f t="shared" si="503"/>
        <v/>
      </c>
      <c r="HK183" s="94" t="str">
        <f t="shared" si="480"/>
        <v/>
      </c>
      <c r="HL183" s="94" t="str">
        <f t="shared" si="481"/>
        <v/>
      </c>
      <c r="HM183" s="105" t="str">
        <f t="shared" si="504"/>
        <v/>
      </c>
      <c r="HN183" s="367" t="str">
        <f t="shared" si="482"/>
        <v xml:space="preserve">      </v>
      </c>
      <c r="HO183" s="418" t="str">
        <f t="shared" si="505"/>
        <v xml:space="preserve">      </v>
      </c>
      <c r="HP183" s="367" t="str">
        <f t="shared" si="483"/>
        <v xml:space="preserve">      </v>
      </c>
      <c r="HQ183" s="107" t="str">
        <f t="shared" si="484"/>
        <v xml:space="preserve">      </v>
      </c>
      <c r="HR183" s="366" t="str">
        <f t="shared" si="485"/>
        <v xml:space="preserve">      </v>
      </c>
      <c r="HS183" s="544" t="str">
        <f t="shared" si="506"/>
        <v/>
      </c>
      <c r="HT183" s="542" t="str">
        <f t="shared" si="486"/>
        <v/>
      </c>
      <c r="HU183" s="541" t="str">
        <f t="shared" si="487"/>
        <v/>
      </c>
      <c r="HV183" s="540" t="str">
        <f t="shared" si="488"/>
        <v/>
      </c>
      <c r="HW183" s="537" t="str">
        <f t="shared" si="489"/>
        <v/>
      </c>
      <c r="HX183" s="539" t="str">
        <f t="shared" si="490"/>
        <v/>
      </c>
      <c r="HY183" s="553" t="str">
        <f>IFERROR(IF(OR(HS183="SUPPLEMENTARY",HS183="RE-EXAM"),'Supp. Result Entry'!AQ181,""),"")</f>
        <v/>
      </c>
      <c r="HZ183" s="538" t="str">
        <f t="shared" si="491"/>
        <v/>
      </c>
      <c r="IA183" s="415" t="str">
        <f t="shared" si="492"/>
        <v/>
      </c>
      <c r="IB183" s="415" t="str">
        <f>IF(AND(HZ183="",IA183=""),"",IF(OR(HS183="SUPPLEMENTARY",HS183="RE-EXAM"),'Supp. Result Entry'!AQ181,HS183))</f>
        <v/>
      </c>
      <c r="IC183" s="87"/>
      <c r="IS183" s="109" t="str">
        <f>IF('Supp. Result Entry'!T181="","",'Supp. Result Entry'!$T$4)</f>
        <v/>
      </c>
      <c r="IT183" s="110" t="str">
        <f>IF('Supp. Result Entry'!W181="","",'Supp. Result Entry'!$W$4)</f>
        <v/>
      </c>
      <c r="IU183" s="110" t="str">
        <f>IF('Supp. Result Entry'!Z181="","",'Supp. Result Entry'!$Z$4)</f>
        <v/>
      </c>
      <c r="IV183" s="110" t="str">
        <f>IF('Supp. Result Entry'!AC181="","",'Supp. Result Entry'!$AC$4)</f>
        <v/>
      </c>
      <c r="IW183" s="110" t="str">
        <f>IF('Supp. Result Entry'!AF181="","",'Supp. Result Entry'!$AF$4)</f>
        <v/>
      </c>
      <c r="IX183" s="110" t="str">
        <f>IF('Supp. Result Entry'!AI181="","",'Supp. Result Entry'!$AI$4)</f>
        <v/>
      </c>
      <c r="IY183" s="110" t="str">
        <f>IF('Supp. Result Entry'!AI181="","",'Supp. Result Entry'!$AL$4)</f>
        <v/>
      </c>
      <c r="IZ183" s="110" t="str">
        <f>IF('Supp. Result Entry'!U181="","",'Supp. Result Entry'!U181)</f>
        <v/>
      </c>
      <c r="JA183" s="110" t="str">
        <f>IF('Supp. Result Entry'!X181="","",'Supp. Result Entry'!X181)</f>
        <v/>
      </c>
      <c r="JB183" s="110" t="str">
        <f>IF('Supp. Result Entry'!AA181="","",'Supp. Result Entry'!AA181)</f>
        <v/>
      </c>
      <c r="JC183" s="110" t="str">
        <f>IF('Supp. Result Entry'!AD181="","",'Supp. Result Entry'!AD181)</f>
        <v/>
      </c>
      <c r="JD183" s="110" t="str">
        <f>IF('Supp. Result Entry'!AG181="","",'Supp. Result Entry'!AG181)</f>
        <v/>
      </c>
      <c r="JE183" s="110" t="str">
        <f>IF('Supp. Result Entry'!AJ181="","",'Supp. Result Entry'!AJ181)</f>
        <v/>
      </c>
      <c r="JF183" s="110" t="str">
        <f>IF('Supp. Result Entry'!AM181="","",'Supp. Result Entry'!AM181)</f>
        <v/>
      </c>
      <c r="JG183" s="110" t="str">
        <f>IF('Supp. Result Entry'!V181="","",'Supp. Result Entry'!V181)</f>
        <v/>
      </c>
      <c r="JH183" s="110" t="str">
        <f>IF('Supp. Result Entry'!Y181="","",'Supp. Result Entry'!Y181)</f>
        <v/>
      </c>
      <c r="JI183" s="110" t="str">
        <f>IF('Supp. Result Entry'!AB181="","",'Supp. Result Entry'!AB181)</f>
        <v/>
      </c>
      <c r="JJ183" s="110" t="str">
        <f>IF('Supp. Result Entry'!AE181="","",'Supp. Result Entry'!AE181)</f>
        <v/>
      </c>
      <c r="JK183" s="110" t="str">
        <f>IF('Supp. Result Entry'!AH181="","",'Supp. Result Entry'!AH181)</f>
        <v/>
      </c>
      <c r="JL183" s="110" t="str">
        <f>IF('Supp. Result Entry'!AK181="","",'Supp. Result Entry'!AK181)</f>
        <v/>
      </c>
      <c r="JM183" s="110" t="str">
        <f>IF('Supp. Result Entry'!AN181="","",'Supp. Result Entry'!AN181)</f>
        <v/>
      </c>
      <c r="JN183" s="110">
        <f>COUNTIF('Supp. Result Entry'!K181:Q181,"S")</f>
        <v>0</v>
      </c>
      <c r="JO183" s="110">
        <f t="shared" si="416"/>
        <v>0</v>
      </c>
      <c r="JP183" s="110">
        <f t="shared" si="493"/>
        <v>0</v>
      </c>
      <c r="JQ183" s="110" t="str">
        <f t="shared" si="417"/>
        <v/>
      </c>
      <c r="JR183" s="110" t="str">
        <f t="shared" si="418"/>
        <v/>
      </c>
      <c r="JS183" s="110" t="str">
        <f t="shared" si="419"/>
        <v/>
      </c>
      <c r="JT183" s="110" t="str">
        <f t="shared" si="420"/>
        <v/>
      </c>
      <c r="JU183" s="110" t="str">
        <f t="shared" si="421"/>
        <v/>
      </c>
      <c r="JV183" s="110" t="str">
        <f t="shared" si="422"/>
        <v/>
      </c>
      <c r="JW183" s="110" t="str">
        <f t="shared" si="423"/>
        <v/>
      </c>
      <c r="JX183" s="110" t="str">
        <f t="shared" si="494"/>
        <v/>
      </c>
      <c r="JY183" s="110" t="str">
        <f t="shared" si="495"/>
        <v/>
      </c>
      <c r="JZ183" s="110" t="str">
        <f t="shared" si="424"/>
        <v/>
      </c>
      <c r="KA183" s="108" t="str">
        <f t="shared" si="496"/>
        <v/>
      </c>
    </row>
    <row r="184" spans="1:287" s="108" customFormat="1" ht="21.95" customHeight="1">
      <c r="A184" s="89">
        <v>178</v>
      </c>
      <c r="B184" s="90" t="str">
        <f>IF('Marks Entry'!B184="","",'Marks Entry'!B184)</f>
        <v/>
      </c>
      <c r="C184" s="94" t="str">
        <f>IF('Marks Entry'!D184="","",'Marks Entry'!D184)</f>
        <v/>
      </c>
      <c r="D184" s="91" t="str">
        <f>IF('Marks Entry'!E184="","",'Marks Entry'!E184)</f>
        <v/>
      </c>
      <c r="E184" s="92" t="str">
        <f>IF('Marks Entry'!F184="","",'Marks Entry'!F184)</f>
        <v/>
      </c>
      <c r="F184" s="93" t="str">
        <f>IF('Marks Entry'!G184="","",'Marks Entry'!G184)</f>
        <v/>
      </c>
      <c r="G184" s="93" t="str">
        <f>IF('Marks Entry'!H184="","",'Marks Entry'!H184)</f>
        <v/>
      </c>
      <c r="H184" s="93" t="str">
        <f>IF('Marks Entry'!I184="","",'Marks Entry'!I184)</f>
        <v/>
      </c>
      <c r="I184" s="94" t="str">
        <f>IF('Marks Entry'!J184="","",'Marks Entry'!J184)</f>
        <v/>
      </c>
      <c r="J184" s="95" t="str">
        <f>IF('Marks Entry'!K184="","",'Marks Entry'!K184)</f>
        <v/>
      </c>
      <c r="K184" s="68" t="str">
        <f>IF('Marks Entry'!L184="","",'Marks Entry'!L184)</f>
        <v/>
      </c>
      <c r="L184" s="68" t="str">
        <f>IF('Marks Entry'!M184="","",'Marks Entry'!M184)</f>
        <v/>
      </c>
      <c r="M184" s="68" t="str">
        <f>IF('Marks Entry'!N184="","",'Marks Entry'!N184)</f>
        <v/>
      </c>
      <c r="N184" s="514" t="str">
        <f t="shared" si="425"/>
        <v/>
      </c>
      <c r="O184" s="68" t="str">
        <f>IF('Marks Entry'!O184="","",'Marks Entry'!O184)</f>
        <v/>
      </c>
      <c r="P184" s="515" t="str">
        <f t="shared" si="426"/>
        <v/>
      </c>
      <c r="Q184" s="68" t="str">
        <f>IF('Marks Entry'!P184="","",'Marks Entry'!P184)</f>
        <v/>
      </c>
      <c r="R184" s="96" t="str">
        <f t="shared" si="427"/>
        <v/>
      </c>
      <c r="S184" s="65">
        <f t="shared" si="428"/>
        <v>0</v>
      </c>
      <c r="T184" s="65">
        <f t="shared" si="429"/>
        <v>0</v>
      </c>
      <c r="U184" s="66" t="str">
        <f t="shared" si="339"/>
        <v/>
      </c>
      <c r="V184" s="65" t="str">
        <f t="shared" si="340"/>
        <v/>
      </c>
      <c r="W184" s="65" t="str">
        <f t="shared" si="430"/>
        <v/>
      </c>
      <c r="X184" s="65" t="str">
        <f t="shared" si="341"/>
        <v/>
      </c>
      <c r="Y184" s="68" t="str">
        <f>IF('Marks Entry'!Q184="","",'Marks Entry'!Q184)</f>
        <v/>
      </c>
      <c r="Z184" s="68" t="str">
        <f>IF('Marks Entry'!R184="","",'Marks Entry'!R184)</f>
        <v/>
      </c>
      <c r="AA184" s="68" t="str">
        <f>IF('Marks Entry'!S184="","",'Marks Entry'!S184)</f>
        <v/>
      </c>
      <c r="AB184" s="514" t="str">
        <f t="shared" si="342"/>
        <v/>
      </c>
      <c r="AC184" s="68" t="str">
        <f>IF('Marks Entry'!T184="","",'Marks Entry'!T184)</f>
        <v/>
      </c>
      <c r="AD184" s="515" t="str">
        <f t="shared" si="343"/>
        <v/>
      </c>
      <c r="AE184" s="68" t="str">
        <f>IF('Marks Entry'!U184="","",'Marks Entry'!U184)</f>
        <v/>
      </c>
      <c r="AF184" s="96" t="str">
        <f t="shared" si="344"/>
        <v/>
      </c>
      <c r="AG184" s="65">
        <f t="shared" si="345"/>
        <v>0</v>
      </c>
      <c r="AH184" s="65">
        <f t="shared" si="346"/>
        <v>0</v>
      </c>
      <c r="AI184" s="66" t="str">
        <f t="shared" si="347"/>
        <v/>
      </c>
      <c r="AJ184" s="65" t="str">
        <f t="shared" si="348"/>
        <v/>
      </c>
      <c r="AK184" s="65" t="str">
        <f t="shared" si="349"/>
        <v/>
      </c>
      <c r="AL184" s="65" t="str">
        <f t="shared" si="350"/>
        <v/>
      </c>
      <c r="AM184" s="524" t="str">
        <f>IF('Marks Entry'!V184="","",IF('Marks Entry'!V184=1,'School Profile'!$I$9,IF('Marks Entry'!V184=2,'School Profile'!$I$10,IF('Marks Entry'!V184=3,'School Profile'!$I$11,IF('Marks Entry'!V184=4,'School Profile'!$I$12,IF('Marks Entry'!V184=5,'School Profile'!$I$13,IF('Marks Entry'!V184=6,'School Profile'!$I$14,"")))))))</f>
        <v/>
      </c>
      <c r="AN184" s="68" t="str">
        <f>IF('Marks Entry'!W184="","",'Marks Entry'!W184)</f>
        <v/>
      </c>
      <c r="AO184" s="68" t="str">
        <f>IF('Marks Entry'!X184="","",'Marks Entry'!X184)</f>
        <v/>
      </c>
      <c r="AP184" s="68" t="str">
        <f>IF('Marks Entry'!Y184="","",'Marks Entry'!Y184)</f>
        <v/>
      </c>
      <c r="AQ184" s="514" t="str">
        <f t="shared" si="351"/>
        <v/>
      </c>
      <c r="AR184" s="68" t="str">
        <f>IF('Marks Entry'!Z184="","",'Marks Entry'!Z184)</f>
        <v/>
      </c>
      <c r="AS184" s="515" t="str">
        <f t="shared" si="352"/>
        <v/>
      </c>
      <c r="AT184" s="68" t="str">
        <f>IF('Marks Entry'!AA184="","",'Marks Entry'!AA184)</f>
        <v/>
      </c>
      <c r="AU184" s="96" t="str">
        <f t="shared" si="353"/>
        <v/>
      </c>
      <c r="AV184" s="65">
        <f t="shared" si="354"/>
        <v>0</v>
      </c>
      <c r="AW184" s="65">
        <f t="shared" si="355"/>
        <v>0</v>
      </c>
      <c r="AX184" s="66" t="str">
        <f t="shared" si="356"/>
        <v/>
      </c>
      <c r="AY184" s="65" t="str">
        <f t="shared" si="357"/>
        <v/>
      </c>
      <c r="AZ184" s="65" t="str">
        <f t="shared" si="358"/>
        <v/>
      </c>
      <c r="BA184" s="65" t="str">
        <f t="shared" si="359"/>
        <v/>
      </c>
      <c r="BB184" s="68" t="str">
        <f>IF('Marks Entry'!AB184="","",'Marks Entry'!AB184)</f>
        <v/>
      </c>
      <c r="BC184" s="68" t="str">
        <f>IF('Marks Entry'!AC184="","",'Marks Entry'!AC184)</f>
        <v/>
      </c>
      <c r="BD184" s="68" t="str">
        <f>IF('Marks Entry'!AD184="","",'Marks Entry'!AD184)</f>
        <v/>
      </c>
      <c r="BE184" s="514" t="str">
        <f t="shared" si="360"/>
        <v/>
      </c>
      <c r="BF184" s="68" t="str">
        <f>IF('Marks Entry'!AE184="","",'Marks Entry'!AE184)</f>
        <v/>
      </c>
      <c r="BG184" s="515" t="str">
        <f t="shared" si="361"/>
        <v/>
      </c>
      <c r="BH184" s="68" t="str">
        <f>IF('Marks Entry'!AF184="","",'Marks Entry'!AF184)</f>
        <v/>
      </c>
      <c r="BI184" s="96" t="str">
        <f t="shared" si="362"/>
        <v/>
      </c>
      <c r="BJ184" s="65">
        <f t="shared" si="363"/>
        <v>0</v>
      </c>
      <c r="BK184" s="65">
        <f t="shared" si="431"/>
        <v>0</v>
      </c>
      <c r="BL184" s="66" t="str">
        <f t="shared" si="364"/>
        <v/>
      </c>
      <c r="BM184" s="65" t="str">
        <f t="shared" si="365"/>
        <v/>
      </c>
      <c r="BN184" s="65" t="str">
        <f t="shared" si="366"/>
        <v/>
      </c>
      <c r="BO184" s="65" t="str">
        <f t="shared" si="367"/>
        <v/>
      </c>
      <c r="BP184" s="68" t="str">
        <f>IF('Marks Entry'!AG184="","",'Marks Entry'!AG184)</f>
        <v/>
      </c>
      <c r="BQ184" s="68" t="str">
        <f>IF('Marks Entry'!AH184="","",'Marks Entry'!AH184)</f>
        <v/>
      </c>
      <c r="BR184" s="68" t="str">
        <f>IF('Marks Entry'!AI184="","",'Marks Entry'!AI184)</f>
        <v/>
      </c>
      <c r="BS184" s="514" t="str">
        <f t="shared" si="368"/>
        <v/>
      </c>
      <c r="BT184" s="68" t="str">
        <f>IF('Marks Entry'!AJ184="","",'Marks Entry'!AJ184)</f>
        <v/>
      </c>
      <c r="BU184" s="515" t="str">
        <f t="shared" si="369"/>
        <v/>
      </c>
      <c r="BV184" s="68" t="str">
        <f>IF('Marks Entry'!AK184="","",'Marks Entry'!AK184)</f>
        <v/>
      </c>
      <c r="BW184" s="96" t="str">
        <f t="shared" si="370"/>
        <v/>
      </c>
      <c r="BX184" s="65">
        <f t="shared" si="371"/>
        <v>0</v>
      </c>
      <c r="BY184" s="65">
        <f t="shared" si="372"/>
        <v>0</v>
      </c>
      <c r="BZ184" s="66" t="str">
        <f t="shared" si="373"/>
        <v/>
      </c>
      <c r="CA184" s="65" t="str">
        <f t="shared" si="374"/>
        <v/>
      </c>
      <c r="CB184" s="65" t="str">
        <f t="shared" si="375"/>
        <v/>
      </c>
      <c r="CC184" s="65" t="str">
        <f t="shared" si="376"/>
        <v/>
      </c>
      <c r="CD184" s="66">
        <f t="shared" si="497"/>
        <v>0</v>
      </c>
      <c r="CE184" s="68" t="str">
        <f>IF('Marks Entry'!AL184="","",'Marks Entry'!AL184)</f>
        <v/>
      </c>
      <c r="CF184" s="68" t="str">
        <f>IF('Marks Entry'!AM184="","",'Marks Entry'!AM184)</f>
        <v/>
      </c>
      <c r="CG184" s="68" t="str">
        <f>IF('Marks Entry'!AN184="","",'Marks Entry'!AN184)</f>
        <v/>
      </c>
      <c r="CH184" s="514" t="str">
        <f t="shared" si="378"/>
        <v/>
      </c>
      <c r="CI184" s="68" t="str">
        <f>IF('Marks Entry'!AO184="","",'Marks Entry'!AO184)</f>
        <v/>
      </c>
      <c r="CJ184" s="515" t="str">
        <f t="shared" si="379"/>
        <v/>
      </c>
      <c r="CK184" s="68" t="str">
        <f>IF('Marks Entry'!AP184="","",'Marks Entry'!AP184)</f>
        <v/>
      </c>
      <c r="CL184" s="96" t="str">
        <f t="shared" si="380"/>
        <v/>
      </c>
      <c r="CM184" s="65">
        <f t="shared" si="381"/>
        <v>0</v>
      </c>
      <c r="CN184" s="65">
        <f t="shared" si="382"/>
        <v>0</v>
      </c>
      <c r="CO184" s="66" t="str">
        <f t="shared" si="383"/>
        <v/>
      </c>
      <c r="CP184" s="65" t="str">
        <f t="shared" si="384"/>
        <v/>
      </c>
      <c r="CQ184" s="65" t="str">
        <f t="shared" si="385"/>
        <v/>
      </c>
      <c r="CR184" s="65" t="str">
        <f t="shared" si="386"/>
        <v/>
      </c>
      <c r="CS184" s="616"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8" t="str">
        <f>IF('School Profile'!$D$20="NO","",IF('Marks Entry'!AR184="","",'Marks Entry'!AR184))</f>
        <v/>
      </c>
      <c r="CU184" s="68" t="str">
        <f>IF('School Profile'!$D$20="NO","",IF('Marks Entry'!AS184="","",'Marks Entry'!AS184))</f>
        <v/>
      </c>
      <c r="CV184" s="68" t="str">
        <f>IF('School Profile'!$D$20="NO","",IF('Marks Entry'!AT184="","",'Marks Entry'!AT184))</f>
        <v/>
      </c>
      <c r="CW184" s="514" t="str">
        <f>IF('School Profile'!$D$20="NO","",IF(AND(CT184="",CU184="",CV184=""),"",SUM(CT184:CV184)))</f>
        <v/>
      </c>
      <c r="CX184" s="68" t="str">
        <f>IF('School Profile'!$D$20="NO","",IF('Marks Entry'!AU184="","",'Marks Entry'!AU184))</f>
        <v/>
      </c>
      <c r="CY184" s="68" t="str">
        <f>IF('School Profile'!$D$20="NO","",IF('Marks Entry'!AV184="","",'Marks Entry'!AV184))</f>
        <v/>
      </c>
      <c r="CZ184" s="515" t="str">
        <f>IF('School Profile'!$D$20="NO","",IF(AND(CX184="",CY184=""),"",SUM(CX184,CY184)))</f>
        <v/>
      </c>
      <c r="DA184" s="69" t="str">
        <f>IF('School Profile'!$D$20="NO","",IF(AND(CW184="",CZ184=""),"",SUM(CW184+CZ184)))</f>
        <v/>
      </c>
      <c r="DB184" s="68" t="str">
        <f>IF('School Profile'!$D$20="NO","",IF('Marks Entry'!AW184="","",'Marks Entry'!AW184))</f>
        <v/>
      </c>
      <c r="DC184" s="68" t="str">
        <f>IF('School Profile'!$D$20="NO","",IF('Marks Entry'!AX184="","",'Marks Entry'!AX184))</f>
        <v/>
      </c>
      <c r="DD184" s="515" t="str">
        <f>IF('School Profile'!$D$20="NO","",IF(AND(DB184="",DC184=""),"",SUM(DB184,DC184)))</f>
        <v/>
      </c>
      <c r="DE184" s="96" t="str">
        <f>IF('School Profile'!$D$20="NO","",IF(AND(DA184="",DD184=""),"",SUM(DA184,DD184)))</f>
        <v/>
      </c>
      <c r="DF184" s="532">
        <f t="shared" si="387"/>
        <v>0</v>
      </c>
      <c r="DG184" s="65">
        <f t="shared" si="388"/>
        <v>0</v>
      </c>
      <c r="DH184" s="66" t="str">
        <f t="shared" si="389"/>
        <v/>
      </c>
      <c r="DI184" s="65" t="str">
        <f t="shared" si="390"/>
        <v/>
      </c>
      <c r="DJ184" s="65" t="str">
        <f t="shared" si="391"/>
        <v/>
      </c>
      <c r="DK184" s="65" t="str">
        <f t="shared" si="392"/>
        <v/>
      </c>
      <c r="DL184" s="97" t="str">
        <f t="shared" si="432"/>
        <v/>
      </c>
      <c r="DM184" s="97" t="str">
        <f t="shared" si="433"/>
        <v/>
      </c>
      <c r="DN184" s="97" t="str">
        <f t="shared" si="434"/>
        <v/>
      </c>
      <c r="DO184" s="97" t="str">
        <f t="shared" si="435"/>
        <v/>
      </c>
      <c r="DP184" s="97" t="str">
        <f t="shared" si="436"/>
        <v/>
      </c>
      <c r="DQ184" s="97" t="str">
        <f t="shared" si="437"/>
        <v/>
      </c>
      <c r="DR184" s="97" t="str">
        <f t="shared" si="438"/>
        <v/>
      </c>
      <c r="DS184" s="98">
        <f t="shared" si="439"/>
        <v>0</v>
      </c>
      <c r="DT184" s="98">
        <f t="shared" si="440"/>
        <v>0</v>
      </c>
      <c r="DU184" s="98">
        <f t="shared" si="441"/>
        <v>0</v>
      </c>
      <c r="DV184" s="98">
        <f t="shared" si="442"/>
        <v>0</v>
      </c>
      <c r="DW184" s="98">
        <f t="shared" si="443"/>
        <v>0</v>
      </c>
      <c r="DX184" s="98" t="str">
        <f t="shared" si="444"/>
        <v/>
      </c>
      <c r="DY184" s="99" t="str">
        <f t="shared" si="445"/>
        <v/>
      </c>
      <c r="DZ184" s="74" t="str">
        <f>IF('Marks Entry'!AY184="","",'Marks Entry'!AY184)</f>
        <v/>
      </c>
      <c r="EA184" s="74" t="str">
        <f>IF('Marks Entry'!AZ184="","",'Marks Entry'!AZ184)</f>
        <v/>
      </c>
      <c r="EB184" s="74" t="str">
        <f>IF('Marks Entry'!BA184="","",'Marks Entry'!BA184)</f>
        <v/>
      </c>
      <c r="EC184" s="527" t="str">
        <f t="shared" si="393"/>
        <v/>
      </c>
      <c r="ED184" s="74" t="str">
        <f>IF('Marks Entry'!BB184="","",'Marks Entry'!BB184)</f>
        <v/>
      </c>
      <c r="EE184" s="528" t="str">
        <f t="shared" si="394"/>
        <v/>
      </c>
      <c r="EF184" s="74" t="str">
        <f>IF('Marks Entry'!BC184="","",'Marks Entry'!BC184)</f>
        <v/>
      </c>
      <c r="EG184" s="530" t="str">
        <f t="shared" si="395"/>
        <v/>
      </c>
      <c r="EH184" s="368" t="str">
        <f t="shared" si="446"/>
        <v/>
      </c>
      <c r="EI184" s="65">
        <f t="shared" si="447"/>
        <v>0</v>
      </c>
      <c r="EJ184" s="65">
        <f t="shared" si="448"/>
        <v>0</v>
      </c>
      <c r="EK184" s="66" t="str">
        <f t="shared" si="449"/>
        <v/>
      </c>
      <c r="EL184" s="74" t="str">
        <f>IF('Marks Entry'!BD184="","",'Marks Entry'!BD184)</f>
        <v/>
      </c>
      <c r="EM184" s="74" t="str">
        <f>IF('Marks Entry'!BE184="","",'Marks Entry'!BE184)</f>
        <v/>
      </c>
      <c r="EN184" s="74" t="str">
        <f>IF('Marks Entry'!BF184="","",'Marks Entry'!BF184)</f>
        <v/>
      </c>
      <c r="EO184" s="527" t="str">
        <f t="shared" si="396"/>
        <v/>
      </c>
      <c r="EP184" s="74" t="str">
        <f>IF('Marks Entry'!BG184="","",'Marks Entry'!BG184)</f>
        <v/>
      </c>
      <c r="EQ184" s="74" t="str">
        <f>IF('Marks Entry'!BH184="","",'Marks Entry'!BH184)</f>
        <v/>
      </c>
      <c r="ER184" s="528" t="str">
        <f t="shared" si="397"/>
        <v/>
      </c>
      <c r="ES184" s="529" t="str">
        <f t="shared" si="398"/>
        <v/>
      </c>
      <c r="ET184" s="74" t="str">
        <f>IF('Marks Entry'!BI184="","",'Marks Entry'!BI184)</f>
        <v/>
      </c>
      <c r="EU184" s="74" t="str">
        <f>IF('Marks Entry'!BJ184="","",'Marks Entry'!BJ184)</f>
        <v/>
      </c>
      <c r="EV184" s="528" t="str">
        <f t="shared" si="399"/>
        <v/>
      </c>
      <c r="EW184" s="530" t="str">
        <f t="shared" si="400"/>
        <v/>
      </c>
      <c r="EX184" s="368" t="str">
        <f t="shared" si="450"/>
        <v/>
      </c>
      <c r="EY184" s="65">
        <f t="shared" si="451"/>
        <v>0</v>
      </c>
      <c r="EZ184" s="65">
        <f t="shared" si="452"/>
        <v>0</v>
      </c>
      <c r="FA184" s="66" t="str">
        <f t="shared" si="453"/>
        <v/>
      </c>
      <c r="FB184" s="74" t="str">
        <f>IF('Marks Entry'!BK184="","",'Marks Entry'!BK184)</f>
        <v/>
      </c>
      <c r="FC184" s="74" t="str">
        <f>IF('Marks Entry'!BL184="","",'Marks Entry'!BL184)</f>
        <v/>
      </c>
      <c r="FD184" s="74" t="str">
        <f>IF('Marks Entry'!BM184="","",'Marks Entry'!BM184)</f>
        <v/>
      </c>
      <c r="FE184" s="74" t="str">
        <f>IF('Marks Entry'!BN184="","",'Marks Entry'!BN184)</f>
        <v/>
      </c>
      <c r="FF184" s="74" t="str">
        <f>IF('Marks Entry'!BO184="","",'Marks Entry'!BO184)</f>
        <v/>
      </c>
      <c r="FG184" s="74" t="str">
        <f>IF('Marks Entry'!BP184="","",'Marks Entry'!BP184)</f>
        <v/>
      </c>
      <c r="FH184" s="527" t="str">
        <f t="shared" si="401"/>
        <v/>
      </c>
      <c r="FI184" s="74" t="str">
        <f>IF('Marks Entry'!BQ184="","",'Marks Entry'!BQ184)</f>
        <v/>
      </c>
      <c r="FJ184" s="74" t="str">
        <f>IF('Marks Entry'!BR184="","",'Marks Entry'!BR184)</f>
        <v/>
      </c>
      <c r="FK184" s="528" t="str">
        <f t="shared" si="402"/>
        <v/>
      </c>
      <c r="FL184" s="529" t="str">
        <f t="shared" si="403"/>
        <v/>
      </c>
      <c r="FM184" s="74" t="str">
        <f>IF('Marks Entry'!BS184="","",'Marks Entry'!BS184)</f>
        <v/>
      </c>
      <c r="FN184" s="74" t="str">
        <f>IF('Marks Entry'!BT184="","",'Marks Entry'!BT184)</f>
        <v/>
      </c>
      <c r="FO184" s="528" t="str">
        <f t="shared" si="404"/>
        <v/>
      </c>
      <c r="FP184" s="530" t="str">
        <f t="shared" si="405"/>
        <v/>
      </c>
      <c r="FQ184" s="368" t="str">
        <f t="shared" si="454"/>
        <v/>
      </c>
      <c r="FR184" s="65">
        <f t="shared" si="455"/>
        <v>0</v>
      </c>
      <c r="FS184" s="65">
        <f t="shared" si="456"/>
        <v>0</v>
      </c>
      <c r="FT184" s="66" t="str">
        <f t="shared" si="457"/>
        <v/>
      </c>
      <c r="FU184" s="74" t="str">
        <f>IF('Marks Entry'!BU184="","",'Marks Entry'!BU184)</f>
        <v/>
      </c>
      <c r="FV184" s="74" t="str">
        <f>IF('Marks Entry'!BV184="","",'Marks Entry'!BV184)</f>
        <v/>
      </c>
      <c r="FW184" s="74" t="str">
        <f>IF('Marks Entry'!BW184="","",'Marks Entry'!BW184)</f>
        <v/>
      </c>
      <c r="FX184" s="75" t="str">
        <f t="shared" si="406"/>
        <v/>
      </c>
      <c r="FY184" s="368" t="str">
        <f t="shared" si="458"/>
        <v/>
      </c>
      <c r="FZ184" s="65">
        <f t="shared" si="459"/>
        <v>0</v>
      </c>
      <c r="GA184" s="66">
        <f t="shared" si="460"/>
        <v>0</v>
      </c>
      <c r="GB184" s="66" t="str">
        <f t="shared" si="461"/>
        <v/>
      </c>
      <c r="GC184" s="74" t="str">
        <f>IF('Marks Entry'!BX184="","",'Marks Entry'!BX184)</f>
        <v/>
      </c>
      <c r="GD184" s="74" t="str">
        <f>IF('Marks Entry'!BY184="","",'Marks Entry'!BY184)</f>
        <v/>
      </c>
      <c r="GE184" s="74" t="str">
        <f>IF('Marks Entry'!BZ184="","",'Marks Entry'!BZ184)</f>
        <v/>
      </c>
      <c r="GF184" s="75" t="str">
        <f t="shared" si="462"/>
        <v/>
      </c>
      <c r="GG184" s="368" t="str">
        <f t="shared" si="463"/>
        <v/>
      </c>
      <c r="GH184" s="65">
        <f t="shared" si="464"/>
        <v>0</v>
      </c>
      <c r="GI184" s="66">
        <f t="shared" si="465"/>
        <v>0</v>
      </c>
      <c r="GJ184" s="66" t="str">
        <f t="shared" si="466"/>
        <v/>
      </c>
      <c r="GK184" s="100" t="str">
        <f>IF(AND(F184="",B184=""),"",IF('Student DATA Entry'!M181="","",'Student DATA Entry'!M181))</f>
        <v/>
      </c>
      <c r="GL184" s="101" t="str">
        <f>IF(AND(B184="",F184=""),"",IF('Student DATA Entry'!N181="","",'Student DATA Entry'!N181))</f>
        <v/>
      </c>
      <c r="GM184" s="581" t="str">
        <f t="shared" si="467"/>
        <v/>
      </c>
      <c r="GN184" s="94" t="str">
        <f t="shared" si="468"/>
        <v/>
      </c>
      <c r="GO184" s="94" t="str">
        <f t="shared" si="469"/>
        <v/>
      </c>
      <c r="GP184" s="102" t="str">
        <f t="shared" si="498"/>
        <v/>
      </c>
      <c r="GQ184" s="94" t="str">
        <f t="shared" si="470"/>
        <v/>
      </c>
      <c r="GR184" s="103" t="str">
        <f t="shared" si="471"/>
        <v/>
      </c>
      <c r="GS184" s="102" t="str">
        <f t="shared" si="499"/>
        <v/>
      </c>
      <c r="GT184" s="104" t="str">
        <f t="shared" si="472"/>
        <v/>
      </c>
      <c r="GU184" s="94" t="str">
        <f>IF('Marks Entry'!V184=1,GT184,"")</f>
        <v/>
      </c>
      <c r="GV184" s="94" t="str">
        <f>IF('Marks Entry'!V184=2,GT184,"")</f>
        <v/>
      </c>
      <c r="GW184" s="94" t="str">
        <f>IF('Marks Entry'!V184=3,GT184,"")</f>
        <v/>
      </c>
      <c r="GX184" s="94" t="str">
        <f>IF('Marks Entry'!V184=4,GT184,"")</f>
        <v/>
      </c>
      <c r="GY184" s="94" t="str">
        <f>IF('Marks Entry'!V184=5,GT184,"")</f>
        <v/>
      </c>
      <c r="GZ184" s="94" t="str">
        <f t="shared" si="473"/>
        <v/>
      </c>
      <c r="HA184" s="105" t="str">
        <f t="shared" si="500"/>
        <v/>
      </c>
      <c r="HB184" s="94" t="str">
        <f t="shared" si="474"/>
        <v/>
      </c>
      <c r="HC184" s="94" t="str">
        <f t="shared" si="475"/>
        <v/>
      </c>
      <c r="HD184" s="105" t="str">
        <f t="shared" si="501"/>
        <v/>
      </c>
      <c r="HE184" s="94" t="str">
        <f t="shared" si="476"/>
        <v/>
      </c>
      <c r="HF184" s="94" t="str">
        <f t="shared" si="477"/>
        <v/>
      </c>
      <c r="HG184" s="105" t="str">
        <f t="shared" si="502"/>
        <v/>
      </c>
      <c r="HH184" s="94" t="str">
        <f t="shared" si="478"/>
        <v/>
      </c>
      <c r="HI184" s="94" t="str">
        <f t="shared" si="479"/>
        <v/>
      </c>
      <c r="HJ184" s="105" t="str">
        <f t="shared" si="503"/>
        <v/>
      </c>
      <c r="HK184" s="94" t="str">
        <f t="shared" si="480"/>
        <v/>
      </c>
      <c r="HL184" s="94" t="str">
        <f t="shared" si="481"/>
        <v/>
      </c>
      <c r="HM184" s="105" t="str">
        <f t="shared" si="504"/>
        <v/>
      </c>
      <c r="HN184" s="367" t="str">
        <f t="shared" si="482"/>
        <v xml:space="preserve">      </v>
      </c>
      <c r="HO184" s="418" t="str">
        <f t="shared" si="505"/>
        <v xml:space="preserve">      </v>
      </c>
      <c r="HP184" s="367" t="str">
        <f t="shared" si="483"/>
        <v xml:space="preserve">      </v>
      </c>
      <c r="HQ184" s="107" t="str">
        <f t="shared" si="484"/>
        <v xml:space="preserve">      </v>
      </c>
      <c r="HR184" s="366" t="str">
        <f t="shared" si="485"/>
        <v xml:space="preserve">      </v>
      </c>
      <c r="HS184" s="544" t="str">
        <f t="shared" si="506"/>
        <v/>
      </c>
      <c r="HT184" s="542" t="str">
        <f t="shared" si="486"/>
        <v/>
      </c>
      <c r="HU184" s="541" t="str">
        <f t="shared" si="487"/>
        <v/>
      </c>
      <c r="HV184" s="540" t="str">
        <f t="shared" si="488"/>
        <v/>
      </c>
      <c r="HW184" s="537" t="str">
        <f t="shared" si="489"/>
        <v/>
      </c>
      <c r="HX184" s="539" t="str">
        <f t="shared" si="490"/>
        <v/>
      </c>
      <c r="HY184" s="553" t="str">
        <f>IFERROR(IF(OR(HS184="SUPPLEMENTARY",HS184="RE-EXAM"),'Supp. Result Entry'!AQ182,""),"")</f>
        <v/>
      </c>
      <c r="HZ184" s="538" t="str">
        <f t="shared" si="491"/>
        <v/>
      </c>
      <c r="IA184" s="415" t="str">
        <f t="shared" si="492"/>
        <v/>
      </c>
      <c r="IB184" s="415" t="str">
        <f>IF(AND(HZ184="",IA184=""),"",IF(OR(HS184="SUPPLEMENTARY",HS184="RE-EXAM"),'Supp. Result Entry'!AQ182,HS184))</f>
        <v/>
      </c>
      <c r="IC184" s="87"/>
      <c r="IS184" s="109" t="str">
        <f>IF('Supp. Result Entry'!T182="","",'Supp. Result Entry'!$T$4)</f>
        <v/>
      </c>
      <c r="IT184" s="110" t="str">
        <f>IF('Supp. Result Entry'!W182="","",'Supp. Result Entry'!$W$4)</f>
        <v/>
      </c>
      <c r="IU184" s="110" t="str">
        <f>IF('Supp. Result Entry'!Z182="","",'Supp. Result Entry'!$Z$4)</f>
        <v/>
      </c>
      <c r="IV184" s="110" t="str">
        <f>IF('Supp. Result Entry'!AC182="","",'Supp. Result Entry'!$AC$4)</f>
        <v/>
      </c>
      <c r="IW184" s="110" t="str">
        <f>IF('Supp. Result Entry'!AF182="","",'Supp. Result Entry'!$AF$4)</f>
        <v/>
      </c>
      <c r="IX184" s="110" t="str">
        <f>IF('Supp. Result Entry'!AI182="","",'Supp. Result Entry'!$AI$4)</f>
        <v/>
      </c>
      <c r="IY184" s="110" t="str">
        <f>IF('Supp. Result Entry'!AI182="","",'Supp. Result Entry'!$AL$4)</f>
        <v/>
      </c>
      <c r="IZ184" s="110" t="str">
        <f>IF('Supp. Result Entry'!U182="","",'Supp. Result Entry'!U182)</f>
        <v/>
      </c>
      <c r="JA184" s="110" t="str">
        <f>IF('Supp. Result Entry'!X182="","",'Supp. Result Entry'!X182)</f>
        <v/>
      </c>
      <c r="JB184" s="110" t="str">
        <f>IF('Supp. Result Entry'!AA182="","",'Supp. Result Entry'!AA182)</f>
        <v/>
      </c>
      <c r="JC184" s="110" t="str">
        <f>IF('Supp. Result Entry'!AD182="","",'Supp. Result Entry'!AD182)</f>
        <v/>
      </c>
      <c r="JD184" s="110" t="str">
        <f>IF('Supp. Result Entry'!AG182="","",'Supp. Result Entry'!AG182)</f>
        <v/>
      </c>
      <c r="JE184" s="110" t="str">
        <f>IF('Supp. Result Entry'!AJ182="","",'Supp. Result Entry'!AJ182)</f>
        <v/>
      </c>
      <c r="JF184" s="110" t="str">
        <f>IF('Supp. Result Entry'!AM182="","",'Supp. Result Entry'!AM182)</f>
        <v/>
      </c>
      <c r="JG184" s="110" t="str">
        <f>IF('Supp. Result Entry'!V182="","",'Supp. Result Entry'!V182)</f>
        <v/>
      </c>
      <c r="JH184" s="110" t="str">
        <f>IF('Supp. Result Entry'!Y182="","",'Supp. Result Entry'!Y182)</f>
        <v/>
      </c>
      <c r="JI184" s="110" t="str">
        <f>IF('Supp. Result Entry'!AB182="","",'Supp. Result Entry'!AB182)</f>
        <v/>
      </c>
      <c r="JJ184" s="110" t="str">
        <f>IF('Supp. Result Entry'!AE182="","",'Supp. Result Entry'!AE182)</f>
        <v/>
      </c>
      <c r="JK184" s="110" t="str">
        <f>IF('Supp. Result Entry'!AH182="","",'Supp. Result Entry'!AH182)</f>
        <v/>
      </c>
      <c r="JL184" s="110" t="str">
        <f>IF('Supp. Result Entry'!AK182="","",'Supp. Result Entry'!AK182)</f>
        <v/>
      </c>
      <c r="JM184" s="110" t="str">
        <f>IF('Supp. Result Entry'!AN182="","",'Supp. Result Entry'!AN182)</f>
        <v/>
      </c>
      <c r="JN184" s="110">
        <f>COUNTIF('Supp. Result Entry'!K182:Q182,"S")</f>
        <v>0</v>
      </c>
      <c r="JO184" s="110">
        <f t="shared" si="416"/>
        <v>0</v>
      </c>
      <c r="JP184" s="110">
        <f t="shared" si="493"/>
        <v>0</v>
      </c>
      <c r="JQ184" s="110" t="str">
        <f t="shared" si="417"/>
        <v/>
      </c>
      <c r="JR184" s="110" t="str">
        <f t="shared" si="418"/>
        <v/>
      </c>
      <c r="JS184" s="110" t="str">
        <f t="shared" si="419"/>
        <v/>
      </c>
      <c r="JT184" s="110" t="str">
        <f t="shared" si="420"/>
        <v/>
      </c>
      <c r="JU184" s="110" t="str">
        <f t="shared" si="421"/>
        <v/>
      </c>
      <c r="JV184" s="110" t="str">
        <f t="shared" si="422"/>
        <v/>
      </c>
      <c r="JW184" s="110" t="str">
        <f t="shared" si="423"/>
        <v/>
      </c>
      <c r="JX184" s="110" t="str">
        <f t="shared" si="494"/>
        <v/>
      </c>
      <c r="JY184" s="110" t="str">
        <f t="shared" si="495"/>
        <v/>
      </c>
      <c r="JZ184" s="110" t="str">
        <f t="shared" si="424"/>
        <v/>
      </c>
      <c r="KA184" s="108" t="str">
        <f t="shared" si="496"/>
        <v/>
      </c>
    </row>
    <row r="185" spans="1:287" s="108" customFormat="1" ht="21.95" customHeight="1">
      <c r="A185" s="89">
        <v>179</v>
      </c>
      <c r="B185" s="90" t="str">
        <f>IF('Marks Entry'!B185="","",'Marks Entry'!B185)</f>
        <v/>
      </c>
      <c r="C185" s="94" t="str">
        <f>IF('Marks Entry'!D185="","",'Marks Entry'!D185)</f>
        <v/>
      </c>
      <c r="D185" s="91" t="str">
        <f>IF('Marks Entry'!E185="","",'Marks Entry'!E185)</f>
        <v/>
      </c>
      <c r="E185" s="92" t="str">
        <f>IF('Marks Entry'!F185="","",'Marks Entry'!F185)</f>
        <v/>
      </c>
      <c r="F185" s="93" t="str">
        <f>IF('Marks Entry'!G185="","",'Marks Entry'!G185)</f>
        <v/>
      </c>
      <c r="G185" s="93" t="str">
        <f>IF('Marks Entry'!H185="","",'Marks Entry'!H185)</f>
        <v/>
      </c>
      <c r="H185" s="93" t="str">
        <f>IF('Marks Entry'!I185="","",'Marks Entry'!I185)</f>
        <v/>
      </c>
      <c r="I185" s="94" t="str">
        <f>IF('Marks Entry'!J185="","",'Marks Entry'!J185)</f>
        <v/>
      </c>
      <c r="J185" s="95" t="str">
        <f>IF('Marks Entry'!K185="","",'Marks Entry'!K185)</f>
        <v/>
      </c>
      <c r="K185" s="68" t="str">
        <f>IF('Marks Entry'!L185="","",'Marks Entry'!L185)</f>
        <v/>
      </c>
      <c r="L185" s="68" t="str">
        <f>IF('Marks Entry'!M185="","",'Marks Entry'!M185)</f>
        <v/>
      </c>
      <c r="M185" s="68" t="str">
        <f>IF('Marks Entry'!N185="","",'Marks Entry'!N185)</f>
        <v/>
      </c>
      <c r="N185" s="514" t="str">
        <f t="shared" si="425"/>
        <v/>
      </c>
      <c r="O185" s="68" t="str">
        <f>IF('Marks Entry'!O185="","",'Marks Entry'!O185)</f>
        <v/>
      </c>
      <c r="P185" s="515" t="str">
        <f t="shared" si="426"/>
        <v/>
      </c>
      <c r="Q185" s="68" t="str">
        <f>IF('Marks Entry'!P185="","",'Marks Entry'!P185)</f>
        <v/>
      </c>
      <c r="R185" s="96" t="str">
        <f t="shared" si="427"/>
        <v/>
      </c>
      <c r="S185" s="65">
        <f t="shared" si="428"/>
        <v>0</v>
      </c>
      <c r="T185" s="65">
        <f t="shared" si="429"/>
        <v>0</v>
      </c>
      <c r="U185" s="66" t="str">
        <f t="shared" si="339"/>
        <v/>
      </c>
      <c r="V185" s="65" t="str">
        <f t="shared" si="340"/>
        <v/>
      </c>
      <c r="W185" s="65" t="str">
        <f t="shared" si="430"/>
        <v/>
      </c>
      <c r="X185" s="65" t="str">
        <f t="shared" si="341"/>
        <v/>
      </c>
      <c r="Y185" s="68" t="str">
        <f>IF('Marks Entry'!Q185="","",'Marks Entry'!Q185)</f>
        <v/>
      </c>
      <c r="Z185" s="68" t="str">
        <f>IF('Marks Entry'!R185="","",'Marks Entry'!R185)</f>
        <v/>
      </c>
      <c r="AA185" s="68" t="str">
        <f>IF('Marks Entry'!S185="","",'Marks Entry'!S185)</f>
        <v/>
      </c>
      <c r="AB185" s="514" t="str">
        <f t="shared" si="342"/>
        <v/>
      </c>
      <c r="AC185" s="68" t="str">
        <f>IF('Marks Entry'!T185="","",'Marks Entry'!T185)</f>
        <v/>
      </c>
      <c r="AD185" s="515" t="str">
        <f t="shared" si="343"/>
        <v/>
      </c>
      <c r="AE185" s="68" t="str">
        <f>IF('Marks Entry'!U185="","",'Marks Entry'!U185)</f>
        <v/>
      </c>
      <c r="AF185" s="96" t="str">
        <f t="shared" si="344"/>
        <v/>
      </c>
      <c r="AG185" s="65">
        <f t="shared" si="345"/>
        <v>0</v>
      </c>
      <c r="AH185" s="65">
        <f t="shared" si="346"/>
        <v>0</v>
      </c>
      <c r="AI185" s="66" t="str">
        <f t="shared" si="347"/>
        <v/>
      </c>
      <c r="AJ185" s="65" t="str">
        <f t="shared" si="348"/>
        <v/>
      </c>
      <c r="AK185" s="65" t="str">
        <f t="shared" si="349"/>
        <v/>
      </c>
      <c r="AL185" s="65" t="str">
        <f t="shared" si="350"/>
        <v/>
      </c>
      <c r="AM185" s="524" t="str">
        <f>IF('Marks Entry'!V185="","",IF('Marks Entry'!V185=1,'School Profile'!$I$9,IF('Marks Entry'!V185=2,'School Profile'!$I$10,IF('Marks Entry'!V185=3,'School Profile'!$I$11,IF('Marks Entry'!V185=4,'School Profile'!$I$12,IF('Marks Entry'!V185=5,'School Profile'!$I$13,IF('Marks Entry'!V185=6,'School Profile'!$I$14,"")))))))</f>
        <v/>
      </c>
      <c r="AN185" s="68" t="str">
        <f>IF('Marks Entry'!W185="","",'Marks Entry'!W185)</f>
        <v/>
      </c>
      <c r="AO185" s="68" t="str">
        <f>IF('Marks Entry'!X185="","",'Marks Entry'!X185)</f>
        <v/>
      </c>
      <c r="AP185" s="68" t="str">
        <f>IF('Marks Entry'!Y185="","",'Marks Entry'!Y185)</f>
        <v/>
      </c>
      <c r="AQ185" s="514" t="str">
        <f t="shared" si="351"/>
        <v/>
      </c>
      <c r="AR185" s="68" t="str">
        <f>IF('Marks Entry'!Z185="","",'Marks Entry'!Z185)</f>
        <v/>
      </c>
      <c r="AS185" s="515" t="str">
        <f t="shared" si="352"/>
        <v/>
      </c>
      <c r="AT185" s="68" t="str">
        <f>IF('Marks Entry'!AA185="","",'Marks Entry'!AA185)</f>
        <v/>
      </c>
      <c r="AU185" s="96" t="str">
        <f t="shared" si="353"/>
        <v/>
      </c>
      <c r="AV185" s="65">
        <f t="shared" si="354"/>
        <v>0</v>
      </c>
      <c r="AW185" s="65">
        <f t="shared" si="355"/>
        <v>0</v>
      </c>
      <c r="AX185" s="66" t="str">
        <f t="shared" si="356"/>
        <v/>
      </c>
      <c r="AY185" s="65" t="str">
        <f t="shared" si="357"/>
        <v/>
      </c>
      <c r="AZ185" s="65" t="str">
        <f t="shared" si="358"/>
        <v/>
      </c>
      <c r="BA185" s="65" t="str">
        <f t="shared" si="359"/>
        <v/>
      </c>
      <c r="BB185" s="68" t="str">
        <f>IF('Marks Entry'!AB185="","",'Marks Entry'!AB185)</f>
        <v/>
      </c>
      <c r="BC185" s="68" t="str">
        <f>IF('Marks Entry'!AC185="","",'Marks Entry'!AC185)</f>
        <v/>
      </c>
      <c r="BD185" s="68" t="str">
        <f>IF('Marks Entry'!AD185="","",'Marks Entry'!AD185)</f>
        <v/>
      </c>
      <c r="BE185" s="514" t="str">
        <f t="shared" si="360"/>
        <v/>
      </c>
      <c r="BF185" s="68" t="str">
        <f>IF('Marks Entry'!AE185="","",'Marks Entry'!AE185)</f>
        <v/>
      </c>
      <c r="BG185" s="515" t="str">
        <f t="shared" si="361"/>
        <v/>
      </c>
      <c r="BH185" s="68" t="str">
        <f>IF('Marks Entry'!AF185="","",'Marks Entry'!AF185)</f>
        <v/>
      </c>
      <c r="BI185" s="96" t="str">
        <f t="shared" si="362"/>
        <v/>
      </c>
      <c r="BJ185" s="65">
        <f t="shared" si="363"/>
        <v>0</v>
      </c>
      <c r="BK185" s="65">
        <f t="shared" si="431"/>
        <v>0</v>
      </c>
      <c r="BL185" s="66" t="str">
        <f t="shared" si="364"/>
        <v/>
      </c>
      <c r="BM185" s="65" t="str">
        <f t="shared" si="365"/>
        <v/>
      </c>
      <c r="BN185" s="65" t="str">
        <f t="shared" si="366"/>
        <v/>
      </c>
      <c r="BO185" s="65" t="str">
        <f t="shared" si="367"/>
        <v/>
      </c>
      <c r="BP185" s="68" t="str">
        <f>IF('Marks Entry'!AG185="","",'Marks Entry'!AG185)</f>
        <v/>
      </c>
      <c r="BQ185" s="68" t="str">
        <f>IF('Marks Entry'!AH185="","",'Marks Entry'!AH185)</f>
        <v/>
      </c>
      <c r="BR185" s="68" t="str">
        <f>IF('Marks Entry'!AI185="","",'Marks Entry'!AI185)</f>
        <v/>
      </c>
      <c r="BS185" s="514" t="str">
        <f t="shared" si="368"/>
        <v/>
      </c>
      <c r="BT185" s="68" t="str">
        <f>IF('Marks Entry'!AJ185="","",'Marks Entry'!AJ185)</f>
        <v/>
      </c>
      <c r="BU185" s="515" t="str">
        <f t="shared" si="369"/>
        <v/>
      </c>
      <c r="BV185" s="68" t="str">
        <f>IF('Marks Entry'!AK185="","",'Marks Entry'!AK185)</f>
        <v/>
      </c>
      <c r="BW185" s="96" t="str">
        <f t="shared" si="370"/>
        <v/>
      </c>
      <c r="BX185" s="65">
        <f t="shared" si="371"/>
        <v>0</v>
      </c>
      <c r="BY185" s="65">
        <f t="shared" si="372"/>
        <v>0</v>
      </c>
      <c r="BZ185" s="66" t="str">
        <f t="shared" si="373"/>
        <v/>
      </c>
      <c r="CA185" s="65" t="str">
        <f t="shared" si="374"/>
        <v/>
      </c>
      <c r="CB185" s="65" t="str">
        <f t="shared" si="375"/>
        <v/>
      </c>
      <c r="CC185" s="65" t="str">
        <f t="shared" si="376"/>
        <v/>
      </c>
      <c r="CD185" s="66">
        <f t="shared" si="497"/>
        <v>0</v>
      </c>
      <c r="CE185" s="68" t="str">
        <f>IF('Marks Entry'!AL185="","",'Marks Entry'!AL185)</f>
        <v/>
      </c>
      <c r="CF185" s="68" t="str">
        <f>IF('Marks Entry'!AM185="","",'Marks Entry'!AM185)</f>
        <v/>
      </c>
      <c r="CG185" s="68" t="str">
        <f>IF('Marks Entry'!AN185="","",'Marks Entry'!AN185)</f>
        <v/>
      </c>
      <c r="CH185" s="514" t="str">
        <f t="shared" si="378"/>
        <v/>
      </c>
      <c r="CI185" s="68" t="str">
        <f>IF('Marks Entry'!AO185="","",'Marks Entry'!AO185)</f>
        <v/>
      </c>
      <c r="CJ185" s="515" t="str">
        <f t="shared" si="379"/>
        <v/>
      </c>
      <c r="CK185" s="68" t="str">
        <f>IF('Marks Entry'!AP185="","",'Marks Entry'!AP185)</f>
        <v/>
      </c>
      <c r="CL185" s="96" t="str">
        <f t="shared" si="380"/>
        <v/>
      </c>
      <c r="CM185" s="65">
        <f t="shared" si="381"/>
        <v>0</v>
      </c>
      <c r="CN185" s="65">
        <f t="shared" si="382"/>
        <v>0</v>
      </c>
      <c r="CO185" s="66" t="str">
        <f t="shared" si="383"/>
        <v/>
      </c>
      <c r="CP185" s="65" t="str">
        <f t="shared" si="384"/>
        <v/>
      </c>
      <c r="CQ185" s="65" t="str">
        <f t="shared" si="385"/>
        <v/>
      </c>
      <c r="CR185" s="65" t="str">
        <f t="shared" si="386"/>
        <v/>
      </c>
      <c r="CS185" s="616"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8" t="str">
        <f>IF('School Profile'!$D$20="NO","",IF('Marks Entry'!AR185="","",'Marks Entry'!AR185))</f>
        <v/>
      </c>
      <c r="CU185" s="68" t="str">
        <f>IF('School Profile'!$D$20="NO","",IF('Marks Entry'!AS185="","",'Marks Entry'!AS185))</f>
        <v/>
      </c>
      <c r="CV185" s="68" t="str">
        <f>IF('School Profile'!$D$20="NO","",IF('Marks Entry'!AT185="","",'Marks Entry'!AT185))</f>
        <v/>
      </c>
      <c r="CW185" s="514" t="str">
        <f>IF('School Profile'!$D$20="NO","",IF(AND(CT185="",CU185="",CV185=""),"",SUM(CT185:CV185)))</f>
        <v/>
      </c>
      <c r="CX185" s="68" t="str">
        <f>IF('School Profile'!$D$20="NO","",IF('Marks Entry'!AU185="","",'Marks Entry'!AU185))</f>
        <v/>
      </c>
      <c r="CY185" s="68" t="str">
        <f>IF('School Profile'!$D$20="NO","",IF('Marks Entry'!AV185="","",'Marks Entry'!AV185))</f>
        <v/>
      </c>
      <c r="CZ185" s="515" t="str">
        <f>IF('School Profile'!$D$20="NO","",IF(AND(CX185="",CY185=""),"",SUM(CX185,CY185)))</f>
        <v/>
      </c>
      <c r="DA185" s="69" t="str">
        <f>IF('School Profile'!$D$20="NO","",IF(AND(CW185="",CZ185=""),"",SUM(CW185+CZ185)))</f>
        <v/>
      </c>
      <c r="DB185" s="68" t="str">
        <f>IF('School Profile'!$D$20="NO","",IF('Marks Entry'!AW185="","",'Marks Entry'!AW185))</f>
        <v/>
      </c>
      <c r="DC185" s="68" t="str">
        <f>IF('School Profile'!$D$20="NO","",IF('Marks Entry'!AX185="","",'Marks Entry'!AX185))</f>
        <v/>
      </c>
      <c r="DD185" s="515" t="str">
        <f>IF('School Profile'!$D$20="NO","",IF(AND(DB185="",DC185=""),"",SUM(DB185,DC185)))</f>
        <v/>
      </c>
      <c r="DE185" s="96" t="str">
        <f>IF('School Profile'!$D$20="NO","",IF(AND(DA185="",DD185=""),"",SUM(DA185,DD185)))</f>
        <v/>
      </c>
      <c r="DF185" s="532">
        <f t="shared" si="387"/>
        <v>0</v>
      </c>
      <c r="DG185" s="65">
        <f t="shared" si="388"/>
        <v>0</v>
      </c>
      <c r="DH185" s="66" t="str">
        <f t="shared" si="389"/>
        <v/>
      </c>
      <c r="DI185" s="65" t="str">
        <f t="shared" si="390"/>
        <v/>
      </c>
      <c r="DJ185" s="65" t="str">
        <f t="shared" si="391"/>
        <v/>
      </c>
      <c r="DK185" s="65" t="str">
        <f t="shared" si="392"/>
        <v/>
      </c>
      <c r="DL185" s="97" t="str">
        <f t="shared" si="432"/>
        <v/>
      </c>
      <c r="DM185" s="97" t="str">
        <f t="shared" si="433"/>
        <v/>
      </c>
      <c r="DN185" s="97" t="str">
        <f t="shared" si="434"/>
        <v/>
      </c>
      <c r="DO185" s="97" t="str">
        <f t="shared" si="435"/>
        <v/>
      </c>
      <c r="DP185" s="97" t="str">
        <f t="shared" si="436"/>
        <v/>
      </c>
      <c r="DQ185" s="97" t="str">
        <f t="shared" si="437"/>
        <v/>
      </c>
      <c r="DR185" s="97" t="str">
        <f t="shared" si="438"/>
        <v/>
      </c>
      <c r="DS185" s="98">
        <f t="shared" si="439"/>
        <v>0</v>
      </c>
      <c r="DT185" s="98">
        <f t="shared" si="440"/>
        <v>0</v>
      </c>
      <c r="DU185" s="98">
        <f t="shared" si="441"/>
        <v>0</v>
      </c>
      <c r="DV185" s="98">
        <f t="shared" si="442"/>
        <v>0</v>
      </c>
      <c r="DW185" s="98">
        <f t="shared" si="443"/>
        <v>0</v>
      </c>
      <c r="DX185" s="98" t="str">
        <f t="shared" si="444"/>
        <v/>
      </c>
      <c r="DY185" s="99" t="str">
        <f t="shared" si="445"/>
        <v/>
      </c>
      <c r="DZ185" s="74" t="str">
        <f>IF('Marks Entry'!AY185="","",'Marks Entry'!AY185)</f>
        <v/>
      </c>
      <c r="EA185" s="74" t="str">
        <f>IF('Marks Entry'!AZ185="","",'Marks Entry'!AZ185)</f>
        <v/>
      </c>
      <c r="EB185" s="74" t="str">
        <f>IF('Marks Entry'!BA185="","",'Marks Entry'!BA185)</f>
        <v/>
      </c>
      <c r="EC185" s="527" t="str">
        <f t="shared" si="393"/>
        <v/>
      </c>
      <c r="ED185" s="74" t="str">
        <f>IF('Marks Entry'!BB185="","",'Marks Entry'!BB185)</f>
        <v/>
      </c>
      <c r="EE185" s="528" t="str">
        <f t="shared" si="394"/>
        <v/>
      </c>
      <c r="EF185" s="74" t="str">
        <f>IF('Marks Entry'!BC185="","",'Marks Entry'!BC185)</f>
        <v/>
      </c>
      <c r="EG185" s="530" t="str">
        <f t="shared" si="395"/>
        <v/>
      </c>
      <c r="EH185" s="368" t="str">
        <f t="shared" si="446"/>
        <v/>
      </c>
      <c r="EI185" s="65">
        <f t="shared" si="447"/>
        <v>0</v>
      </c>
      <c r="EJ185" s="65">
        <f t="shared" si="448"/>
        <v>0</v>
      </c>
      <c r="EK185" s="66" t="str">
        <f t="shared" si="449"/>
        <v/>
      </c>
      <c r="EL185" s="74" t="str">
        <f>IF('Marks Entry'!BD185="","",'Marks Entry'!BD185)</f>
        <v/>
      </c>
      <c r="EM185" s="74" t="str">
        <f>IF('Marks Entry'!BE185="","",'Marks Entry'!BE185)</f>
        <v/>
      </c>
      <c r="EN185" s="74" t="str">
        <f>IF('Marks Entry'!BF185="","",'Marks Entry'!BF185)</f>
        <v/>
      </c>
      <c r="EO185" s="527" t="str">
        <f t="shared" si="396"/>
        <v/>
      </c>
      <c r="EP185" s="74" t="str">
        <f>IF('Marks Entry'!BG185="","",'Marks Entry'!BG185)</f>
        <v/>
      </c>
      <c r="EQ185" s="74" t="str">
        <f>IF('Marks Entry'!BH185="","",'Marks Entry'!BH185)</f>
        <v/>
      </c>
      <c r="ER185" s="528" t="str">
        <f t="shared" si="397"/>
        <v/>
      </c>
      <c r="ES185" s="529" t="str">
        <f t="shared" si="398"/>
        <v/>
      </c>
      <c r="ET185" s="74" t="str">
        <f>IF('Marks Entry'!BI185="","",'Marks Entry'!BI185)</f>
        <v/>
      </c>
      <c r="EU185" s="74" t="str">
        <f>IF('Marks Entry'!BJ185="","",'Marks Entry'!BJ185)</f>
        <v/>
      </c>
      <c r="EV185" s="528" t="str">
        <f t="shared" si="399"/>
        <v/>
      </c>
      <c r="EW185" s="530" t="str">
        <f t="shared" si="400"/>
        <v/>
      </c>
      <c r="EX185" s="368" t="str">
        <f t="shared" si="450"/>
        <v/>
      </c>
      <c r="EY185" s="65">
        <f t="shared" si="451"/>
        <v>0</v>
      </c>
      <c r="EZ185" s="65">
        <f t="shared" si="452"/>
        <v>0</v>
      </c>
      <c r="FA185" s="66" t="str">
        <f t="shared" si="453"/>
        <v/>
      </c>
      <c r="FB185" s="74" t="str">
        <f>IF('Marks Entry'!BK185="","",'Marks Entry'!BK185)</f>
        <v/>
      </c>
      <c r="FC185" s="74" t="str">
        <f>IF('Marks Entry'!BL185="","",'Marks Entry'!BL185)</f>
        <v/>
      </c>
      <c r="FD185" s="74" t="str">
        <f>IF('Marks Entry'!BM185="","",'Marks Entry'!BM185)</f>
        <v/>
      </c>
      <c r="FE185" s="74" t="str">
        <f>IF('Marks Entry'!BN185="","",'Marks Entry'!BN185)</f>
        <v/>
      </c>
      <c r="FF185" s="74" t="str">
        <f>IF('Marks Entry'!BO185="","",'Marks Entry'!BO185)</f>
        <v/>
      </c>
      <c r="FG185" s="74" t="str">
        <f>IF('Marks Entry'!BP185="","",'Marks Entry'!BP185)</f>
        <v/>
      </c>
      <c r="FH185" s="527" t="str">
        <f t="shared" si="401"/>
        <v/>
      </c>
      <c r="FI185" s="74" t="str">
        <f>IF('Marks Entry'!BQ185="","",'Marks Entry'!BQ185)</f>
        <v/>
      </c>
      <c r="FJ185" s="74" t="str">
        <f>IF('Marks Entry'!BR185="","",'Marks Entry'!BR185)</f>
        <v/>
      </c>
      <c r="FK185" s="528" t="str">
        <f t="shared" si="402"/>
        <v/>
      </c>
      <c r="FL185" s="529" t="str">
        <f t="shared" si="403"/>
        <v/>
      </c>
      <c r="FM185" s="74" t="str">
        <f>IF('Marks Entry'!BS185="","",'Marks Entry'!BS185)</f>
        <v/>
      </c>
      <c r="FN185" s="74" t="str">
        <f>IF('Marks Entry'!BT185="","",'Marks Entry'!BT185)</f>
        <v/>
      </c>
      <c r="FO185" s="528" t="str">
        <f t="shared" si="404"/>
        <v/>
      </c>
      <c r="FP185" s="530" t="str">
        <f t="shared" si="405"/>
        <v/>
      </c>
      <c r="FQ185" s="368" t="str">
        <f t="shared" si="454"/>
        <v/>
      </c>
      <c r="FR185" s="65">
        <f t="shared" si="455"/>
        <v>0</v>
      </c>
      <c r="FS185" s="65">
        <f t="shared" si="456"/>
        <v>0</v>
      </c>
      <c r="FT185" s="66" t="str">
        <f t="shared" si="457"/>
        <v/>
      </c>
      <c r="FU185" s="74" t="str">
        <f>IF('Marks Entry'!BU185="","",'Marks Entry'!BU185)</f>
        <v/>
      </c>
      <c r="FV185" s="74" t="str">
        <f>IF('Marks Entry'!BV185="","",'Marks Entry'!BV185)</f>
        <v/>
      </c>
      <c r="FW185" s="74" t="str">
        <f>IF('Marks Entry'!BW185="","",'Marks Entry'!BW185)</f>
        <v/>
      </c>
      <c r="FX185" s="75" t="str">
        <f t="shared" si="406"/>
        <v/>
      </c>
      <c r="FY185" s="368" t="str">
        <f t="shared" si="458"/>
        <v/>
      </c>
      <c r="FZ185" s="65">
        <f t="shared" si="459"/>
        <v>0</v>
      </c>
      <c r="GA185" s="66">
        <f t="shared" si="460"/>
        <v>0</v>
      </c>
      <c r="GB185" s="66" t="str">
        <f t="shared" si="461"/>
        <v/>
      </c>
      <c r="GC185" s="74" t="str">
        <f>IF('Marks Entry'!BX185="","",'Marks Entry'!BX185)</f>
        <v/>
      </c>
      <c r="GD185" s="74" t="str">
        <f>IF('Marks Entry'!BY185="","",'Marks Entry'!BY185)</f>
        <v/>
      </c>
      <c r="GE185" s="74" t="str">
        <f>IF('Marks Entry'!BZ185="","",'Marks Entry'!BZ185)</f>
        <v/>
      </c>
      <c r="GF185" s="75" t="str">
        <f t="shared" si="462"/>
        <v/>
      </c>
      <c r="GG185" s="368" t="str">
        <f t="shared" si="463"/>
        <v/>
      </c>
      <c r="GH185" s="65">
        <f t="shared" si="464"/>
        <v>0</v>
      </c>
      <c r="GI185" s="66">
        <f t="shared" si="465"/>
        <v>0</v>
      </c>
      <c r="GJ185" s="66" t="str">
        <f t="shared" si="466"/>
        <v/>
      </c>
      <c r="GK185" s="100" t="str">
        <f>IF(AND(F185="",B185=""),"",IF('Student DATA Entry'!M182="","",'Student DATA Entry'!M182))</f>
        <v/>
      </c>
      <c r="GL185" s="101" t="str">
        <f>IF(AND(B185="",F185=""),"",IF('Student DATA Entry'!N182="","",'Student DATA Entry'!N182))</f>
        <v/>
      </c>
      <c r="GM185" s="581" t="str">
        <f t="shared" si="467"/>
        <v/>
      </c>
      <c r="GN185" s="94" t="str">
        <f t="shared" si="468"/>
        <v/>
      </c>
      <c r="GO185" s="94" t="str">
        <f t="shared" si="469"/>
        <v/>
      </c>
      <c r="GP185" s="102" t="str">
        <f t="shared" si="498"/>
        <v/>
      </c>
      <c r="GQ185" s="94" t="str">
        <f t="shared" si="470"/>
        <v/>
      </c>
      <c r="GR185" s="103" t="str">
        <f t="shared" si="471"/>
        <v/>
      </c>
      <c r="GS185" s="102" t="str">
        <f t="shared" si="499"/>
        <v/>
      </c>
      <c r="GT185" s="104" t="str">
        <f t="shared" si="472"/>
        <v/>
      </c>
      <c r="GU185" s="94" t="str">
        <f>IF('Marks Entry'!V185=1,GT185,"")</f>
        <v/>
      </c>
      <c r="GV185" s="94" t="str">
        <f>IF('Marks Entry'!V185=2,GT185,"")</f>
        <v/>
      </c>
      <c r="GW185" s="94" t="str">
        <f>IF('Marks Entry'!V185=3,GT185,"")</f>
        <v/>
      </c>
      <c r="GX185" s="94" t="str">
        <f>IF('Marks Entry'!V185=4,GT185,"")</f>
        <v/>
      </c>
      <c r="GY185" s="94" t="str">
        <f>IF('Marks Entry'!V185=5,GT185,"")</f>
        <v/>
      </c>
      <c r="GZ185" s="94" t="str">
        <f t="shared" si="473"/>
        <v/>
      </c>
      <c r="HA185" s="105" t="str">
        <f t="shared" si="500"/>
        <v/>
      </c>
      <c r="HB185" s="94" t="str">
        <f t="shared" si="474"/>
        <v/>
      </c>
      <c r="HC185" s="94" t="str">
        <f t="shared" si="475"/>
        <v/>
      </c>
      <c r="HD185" s="105" t="str">
        <f t="shared" si="501"/>
        <v/>
      </c>
      <c r="HE185" s="94" t="str">
        <f t="shared" si="476"/>
        <v/>
      </c>
      <c r="HF185" s="94" t="str">
        <f t="shared" si="477"/>
        <v/>
      </c>
      <c r="HG185" s="105" t="str">
        <f t="shared" si="502"/>
        <v/>
      </c>
      <c r="HH185" s="94" t="str">
        <f t="shared" si="478"/>
        <v/>
      </c>
      <c r="HI185" s="94" t="str">
        <f t="shared" si="479"/>
        <v/>
      </c>
      <c r="HJ185" s="105" t="str">
        <f t="shared" si="503"/>
        <v/>
      </c>
      <c r="HK185" s="94" t="str">
        <f t="shared" si="480"/>
        <v/>
      </c>
      <c r="HL185" s="94" t="str">
        <f t="shared" si="481"/>
        <v/>
      </c>
      <c r="HM185" s="105" t="str">
        <f t="shared" si="504"/>
        <v/>
      </c>
      <c r="HN185" s="367" t="str">
        <f t="shared" si="482"/>
        <v xml:space="preserve">      </v>
      </c>
      <c r="HO185" s="418" t="str">
        <f t="shared" si="505"/>
        <v xml:space="preserve">      </v>
      </c>
      <c r="HP185" s="367" t="str">
        <f t="shared" si="483"/>
        <v xml:space="preserve">      </v>
      </c>
      <c r="HQ185" s="107" t="str">
        <f t="shared" si="484"/>
        <v xml:space="preserve">      </v>
      </c>
      <c r="HR185" s="366" t="str">
        <f t="shared" si="485"/>
        <v xml:space="preserve">      </v>
      </c>
      <c r="HS185" s="544" t="str">
        <f t="shared" si="506"/>
        <v/>
      </c>
      <c r="HT185" s="542" t="str">
        <f t="shared" si="486"/>
        <v/>
      </c>
      <c r="HU185" s="541" t="str">
        <f t="shared" si="487"/>
        <v/>
      </c>
      <c r="HV185" s="540" t="str">
        <f t="shared" si="488"/>
        <v/>
      </c>
      <c r="HW185" s="537" t="str">
        <f t="shared" si="489"/>
        <v/>
      </c>
      <c r="HX185" s="539" t="str">
        <f t="shared" si="490"/>
        <v/>
      </c>
      <c r="HY185" s="553" t="str">
        <f>IFERROR(IF(OR(HS185="SUPPLEMENTARY",HS185="RE-EXAM"),'Supp. Result Entry'!AQ183,""),"")</f>
        <v/>
      </c>
      <c r="HZ185" s="538" t="str">
        <f t="shared" si="491"/>
        <v/>
      </c>
      <c r="IA185" s="415" t="str">
        <f t="shared" si="492"/>
        <v/>
      </c>
      <c r="IB185" s="415" t="str">
        <f>IF(AND(HZ185="",IA185=""),"",IF(OR(HS185="SUPPLEMENTARY",HS185="RE-EXAM"),'Supp. Result Entry'!AQ183,HS185))</f>
        <v/>
      </c>
      <c r="IC185" s="87"/>
      <c r="IS185" s="109" t="str">
        <f>IF('Supp. Result Entry'!T183="","",'Supp. Result Entry'!$T$4)</f>
        <v/>
      </c>
      <c r="IT185" s="110" t="str">
        <f>IF('Supp. Result Entry'!W183="","",'Supp. Result Entry'!$W$4)</f>
        <v/>
      </c>
      <c r="IU185" s="110" t="str">
        <f>IF('Supp. Result Entry'!Z183="","",'Supp. Result Entry'!$Z$4)</f>
        <v/>
      </c>
      <c r="IV185" s="110" t="str">
        <f>IF('Supp. Result Entry'!AC183="","",'Supp. Result Entry'!$AC$4)</f>
        <v/>
      </c>
      <c r="IW185" s="110" t="str">
        <f>IF('Supp. Result Entry'!AF183="","",'Supp. Result Entry'!$AF$4)</f>
        <v/>
      </c>
      <c r="IX185" s="110" t="str">
        <f>IF('Supp. Result Entry'!AI183="","",'Supp. Result Entry'!$AI$4)</f>
        <v/>
      </c>
      <c r="IY185" s="110" t="str">
        <f>IF('Supp. Result Entry'!AI183="","",'Supp. Result Entry'!$AL$4)</f>
        <v/>
      </c>
      <c r="IZ185" s="110" t="str">
        <f>IF('Supp. Result Entry'!U183="","",'Supp. Result Entry'!U183)</f>
        <v/>
      </c>
      <c r="JA185" s="110" t="str">
        <f>IF('Supp. Result Entry'!X183="","",'Supp. Result Entry'!X183)</f>
        <v/>
      </c>
      <c r="JB185" s="110" t="str">
        <f>IF('Supp. Result Entry'!AA183="","",'Supp. Result Entry'!AA183)</f>
        <v/>
      </c>
      <c r="JC185" s="110" t="str">
        <f>IF('Supp. Result Entry'!AD183="","",'Supp. Result Entry'!AD183)</f>
        <v/>
      </c>
      <c r="JD185" s="110" t="str">
        <f>IF('Supp. Result Entry'!AG183="","",'Supp. Result Entry'!AG183)</f>
        <v/>
      </c>
      <c r="JE185" s="110" t="str">
        <f>IF('Supp. Result Entry'!AJ183="","",'Supp. Result Entry'!AJ183)</f>
        <v/>
      </c>
      <c r="JF185" s="110" t="str">
        <f>IF('Supp. Result Entry'!AM183="","",'Supp. Result Entry'!AM183)</f>
        <v/>
      </c>
      <c r="JG185" s="110" t="str">
        <f>IF('Supp. Result Entry'!V183="","",'Supp. Result Entry'!V183)</f>
        <v/>
      </c>
      <c r="JH185" s="110" t="str">
        <f>IF('Supp. Result Entry'!Y183="","",'Supp. Result Entry'!Y183)</f>
        <v/>
      </c>
      <c r="JI185" s="110" t="str">
        <f>IF('Supp. Result Entry'!AB183="","",'Supp. Result Entry'!AB183)</f>
        <v/>
      </c>
      <c r="JJ185" s="110" t="str">
        <f>IF('Supp. Result Entry'!AE183="","",'Supp. Result Entry'!AE183)</f>
        <v/>
      </c>
      <c r="JK185" s="110" t="str">
        <f>IF('Supp. Result Entry'!AH183="","",'Supp. Result Entry'!AH183)</f>
        <v/>
      </c>
      <c r="JL185" s="110" t="str">
        <f>IF('Supp. Result Entry'!AK183="","",'Supp. Result Entry'!AK183)</f>
        <v/>
      </c>
      <c r="JM185" s="110" t="str">
        <f>IF('Supp. Result Entry'!AN183="","",'Supp. Result Entry'!AN183)</f>
        <v/>
      </c>
      <c r="JN185" s="110">
        <f>COUNTIF('Supp. Result Entry'!K183:Q183,"S")</f>
        <v>0</v>
      </c>
      <c r="JO185" s="110">
        <f t="shared" si="416"/>
        <v>0</v>
      </c>
      <c r="JP185" s="110">
        <f t="shared" si="493"/>
        <v>0</v>
      </c>
      <c r="JQ185" s="110" t="str">
        <f t="shared" si="417"/>
        <v/>
      </c>
      <c r="JR185" s="110" t="str">
        <f t="shared" si="418"/>
        <v/>
      </c>
      <c r="JS185" s="110" t="str">
        <f t="shared" si="419"/>
        <v/>
      </c>
      <c r="JT185" s="110" t="str">
        <f t="shared" si="420"/>
        <v/>
      </c>
      <c r="JU185" s="110" t="str">
        <f t="shared" si="421"/>
        <v/>
      </c>
      <c r="JV185" s="110" t="str">
        <f t="shared" si="422"/>
        <v/>
      </c>
      <c r="JW185" s="110" t="str">
        <f t="shared" si="423"/>
        <v/>
      </c>
      <c r="JX185" s="110" t="str">
        <f t="shared" si="494"/>
        <v/>
      </c>
      <c r="JY185" s="110" t="str">
        <f t="shared" si="495"/>
        <v/>
      </c>
      <c r="JZ185" s="110" t="str">
        <f t="shared" si="424"/>
        <v/>
      </c>
      <c r="KA185" s="108" t="str">
        <f t="shared" si="496"/>
        <v/>
      </c>
    </row>
    <row r="186" spans="1:287" s="108" customFormat="1" ht="21.95" customHeight="1">
      <c r="A186" s="89">
        <v>180</v>
      </c>
      <c r="B186" s="90" t="str">
        <f>IF('Marks Entry'!B186="","",'Marks Entry'!B186)</f>
        <v/>
      </c>
      <c r="C186" s="94" t="str">
        <f>IF('Marks Entry'!D186="","",'Marks Entry'!D186)</f>
        <v/>
      </c>
      <c r="D186" s="91" t="str">
        <f>IF('Marks Entry'!E186="","",'Marks Entry'!E186)</f>
        <v/>
      </c>
      <c r="E186" s="92" t="str">
        <f>IF('Marks Entry'!F186="","",'Marks Entry'!F186)</f>
        <v/>
      </c>
      <c r="F186" s="93" t="str">
        <f>IF('Marks Entry'!G186="","",'Marks Entry'!G186)</f>
        <v/>
      </c>
      <c r="G186" s="93" t="str">
        <f>IF('Marks Entry'!H186="","",'Marks Entry'!H186)</f>
        <v/>
      </c>
      <c r="H186" s="93" t="str">
        <f>IF('Marks Entry'!I186="","",'Marks Entry'!I186)</f>
        <v/>
      </c>
      <c r="I186" s="94" t="str">
        <f>IF('Marks Entry'!J186="","",'Marks Entry'!J186)</f>
        <v/>
      </c>
      <c r="J186" s="95" t="str">
        <f>IF('Marks Entry'!K186="","",'Marks Entry'!K186)</f>
        <v/>
      </c>
      <c r="K186" s="68" t="str">
        <f>IF('Marks Entry'!L186="","",'Marks Entry'!L186)</f>
        <v/>
      </c>
      <c r="L186" s="68" t="str">
        <f>IF('Marks Entry'!M186="","",'Marks Entry'!M186)</f>
        <v/>
      </c>
      <c r="M186" s="68" t="str">
        <f>IF('Marks Entry'!N186="","",'Marks Entry'!N186)</f>
        <v/>
      </c>
      <c r="N186" s="514" t="str">
        <f t="shared" si="425"/>
        <v/>
      </c>
      <c r="O186" s="68" t="str">
        <f>IF('Marks Entry'!O186="","",'Marks Entry'!O186)</f>
        <v/>
      </c>
      <c r="P186" s="515" t="str">
        <f t="shared" si="426"/>
        <v/>
      </c>
      <c r="Q186" s="68" t="str">
        <f>IF('Marks Entry'!P186="","",'Marks Entry'!P186)</f>
        <v/>
      </c>
      <c r="R186" s="96" t="str">
        <f t="shared" si="427"/>
        <v/>
      </c>
      <c r="S186" s="65">
        <f t="shared" si="428"/>
        <v>0</v>
      </c>
      <c r="T186" s="65">
        <f t="shared" si="429"/>
        <v>0</v>
      </c>
      <c r="U186" s="66" t="str">
        <f t="shared" si="339"/>
        <v/>
      </c>
      <c r="V186" s="65" t="str">
        <f t="shared" si="340"/>
        <v/>
      </c>
      <c r="W186" s="65" t="str">
        <f t="shared" si="430"/>
        <v/>
      </c>
      <c r="X186" s="65" t="str">
        <f t="shared" si="341"/>
        <v/>
      </c>
      <c r="Y186" s="68" t="str">
        <f>IF('Marks Entry'!Q186="","",'Marks Entry'!Q186)</f>
        <v/>
      </c>
      <c r="Z186" s="68" t="str">
        <f>IF('Marks Entry'!R186="","",'Marks Entry'!R186)</f>
        <v/>
      </c>
      <c r="AA186" s="68" t="str">
        <f>IF('Marks Entry'!S186="","",'Marks Entry'!S186)</f>
        <v/>
      </c>
      <c r="AB186" s="514" t="str">
        <f t="shared" si="342"/>
        <v/>
      </c>
      <c r="AC186" s="68" t="str">
        <f>IF('Marks Entry'!T186="","",'Marks Entry'!T186)</f>
        <v/>
      </c>
      <c r="AD186" s="515" t="str">
        <f t="shared" si="343"/>
        <v/>
      </c>
      <c r="AE186" s="68" t="str">
        <f>IF('Marks Entry'!U186="","",'Marks Entry'!U186)</f>
        <v/>
      </c>
      <c r="AF186" s="96" t="str">
        <f t="shared" si="344"/>
        <v/>
      </c>
      <c r="AG186" s="65">
        <f t="shared" si="345"/>
        <v>0</v>
      </c>
      <c r="AH186" s="65">
        <f t="shared" si="346"/>
        <v>0</v>
      </c>
      <c r="AI186" s="66" t="str">
        <f t="shared" si="347"/>
        <v/>
      </c>
      <c r="AJ186" s="65" t="str">
        <f t="shared" si="348"/>
        <v/>
      </c>
      <c r="AK186" s="65" t="str">
        <f t="shared" si="349"/>
        <v/>
      </c>
      <c r="AL186" s="65" t="str">
        <f t="shared" si="350"/>
        <v/>
      </c>
      <c r="AM186" s="524" t="str">
        <f>IF('Marks Entry'!V186="","",IF('Marks Entry'!V186=1,'School Profile'!$I$9,IF('Marks Entry'!V186=2,'School Profile'!$I$10,IF('Marks Entry'!V186=3,'School Profile'!$I$11,IF('Marks Entry'!V186=4,'School Profile'!$I$12,IF('Marks Entry'!V186=5,'School Profile'!$I$13,IF('Marks Entry'!V186=6,'School Profile'!$I$14,"")))))))</f>
        <v/>
      </c>
      <c r="AN186" s="68" t="str">
        <f>IF('Marks Entry'!W186="","",'Marks Entry'!W186)</f>
        <v/>
      </c>
      <c r="AO186" s="68" t="str">
        <f>IF('Marks Entry'!X186="","",'Marks Entry'!X186)</f>
        <v/>
      </c>
      <c r="AP186" s="68" t="str">
        <f>IF('Marks Entry'!Y186="","",'Marks Entry'!Y186)</f>
        <v/>
      </c>
      <c r="AQ186" s="514" t="str">
        <f t="shared" si="351"/>
        <v/>
      </c>
      <c r="AR186" s="68" t="str">
        <f>IF('Marks Entry'!Z186="","",'Marks Entry'!Z186)</f>
        <v/>
      </c>
      <c r="AS186" s="515" t="str">
        <f t="shared" si="352"/>
        <v/>
      </c>
      <c r="AT186" s="68" t="str">
        <f>IF('Marks Entry'!AA186="","",'Marks Entry'!AA186)</f>
        <v/>
      </c>
      <c r="AU186" s="96" t="str">
        <f t="shared" si="353"/>
        <v/>
      </c>
      <c r="AV186" s="65">
        <f t="shared" si="354"/>
        <v>0</v>
      </c>
      <c r="AW186" s="65">
        <f t="shared" si="355"/>
        <v>0</v>
      </c>
      <c r="AX186" s="66" t="str">
        <f t="shared" si="356"/>
        <v/>
      </c>
      <c r="AY186" s="65" t="str">
        <f t="shared" si="357"/>
        <v/>
      </c>
      <c r="AZ186" s="65" t="str">
        <f t="shared" si="358"/>
        <v/>
      </c>
      <c r="BA186" s="65" t="str">
        <f t="shared" si="359"/>
        <v/>
      </c>
      <c r="BB186" s="68" t="str">
        <f>IF('Marks Entry'!AB186="","",'Marks Entry'!AB186)</f>
        <v/>
      </c>
      <c r="BC186" s="68" t="str">
        <f>IF('Marks Entry'!AC186="","",'Marks Entry'!AC186)</f>
        <v/>
      </c>
      <c r="BD186" s="68" t="str">
        <f>IF('Marks Entry'!AD186="","",'Marks Entry'!AD186)</f>
        <v/>
      </c>
      <c r="BE186" s="514" t="str">
        <f t="shared" si="360"/>
        <v/>
      </c>
      <c r="BF186" s="68" t="str">
        <f>IF('Marks Entry'!AE186="","",'Marks Entry'!AE186)</f>
        <v/>
      </c>
      <c r="BG186" s="515" t="str">
        <f t="shared" si="361"/>
        <v/>
      </c>
      <c r="BH186" s="68" t="str">
        <f>IF('Marks Entry'!AF186="","",'Marks Entry'!AF186)</f>
        <v/>
      </c>
      <c r="BI186" s="96" t="str">
        <f t="shared" si="362"/>
        <v/>
      </c>
      <c r="BJ186" s="65">
        <f t="shared" si="363"/>
        <v>0</v>
      </c>
      <c r="BK186" s="65">
        <f t="shared" si="431"/>
        <v>0</v>
      </c>
      <c r="BL186" s="66" t="str">
        <f t="shared" si="364"/>
        <v/>
      </c>
      <c r="BM186" s="65" t="str">
        <f t="shared" si="365"/>
        <v/>
      </c>
      <c r="BN186" s="65" t="str">
        <f t="shared" si="366"/>
        <v/>
      </c>
      <c r="BO186" s="65" t="str">
        <f t="shared" si="367"/>
        <v/>
      </c>
      <c r="BP186" s="68" t="str">
        <f>IF('Marks Entry'!AG186="","",'Marks Entry'!AG186)</f>
        <v/>
      </c>
      <c r="BQ186" s="68" t="str">
        <f>IF('Marks Entry'!AH186="","",'Marks Entry'!AH186)</f>
        <v/>
      </c>
      <c r="BR186" s="68" t="str">
        <f>IF('Marks Entry'!AI186="","",'Marks Entry'!AI186)</f>
        <v/>
      </c>
      <c r="BS186" s="514" t="str">
        <f t="shared" si="368"/>
        <v/>
      </c>
      <c r="BT186" s="68" t="str">
        <f>IF('Marks Entry'!AJ186="","",'Marks Entry'!AJ186)</f>
        <v/>
      </c>
      <c r="BU186" s="515" t="str">
        <f t="shared" si="369"/>
        <v/>
      </c>
      <c r="BV186" s="68" t="str">
        <f>IF('Marks Entry'!AK186="","",'Marks Entry'!AK186)</f>
        <v/>
      </c>
      <c r="BW186" s="96" t="str">
        <f t="shared" si="370"/>
        <v/>
      </c>
      <c r="BX186" s="65">
        <f t="shared" si="371"/>
        <v>0</v>
      </c>
      <c r="BY186" s="65">
        <f t="shared" si="372"/>
        <v>0</v>
      </c>
      <c r="BZ186" s="66" t="str">
        <f t="shared" si="373"/>
        <v/>
      </c>
      <c r="CA186" s="65" t="str">
        <f t="shared" si="374"/>
        <v/>
      </c>
      <c r="CB186" s="65" t="str">
        <f t="shared" si="375"/>
        <v/>
      </c>
      <c r="CC186" s="65" t="str">
        <f t="shared" si="376"/>
        <v/>
      </c>
      <c r="CD186" s="66">
        <f t="shared" si="497"/>
        <v>0</v>
      </c>
      <c r="CE186" s="68" t="str">
        <f>IF('Marks Entry'!AL186="","",'Marks Entry'!AL186)</f>
        <v/>
      </c>
      <c r="CF186" s="68" t="str">
        <f>IF('Marks Entry'!AM186="","",'Marks Entry'!AM186)</f>
        <v/>
      </c>
      <c r="CG186" s="68" t="str">
        <f>IF('Marks Entry'!AN186="","",'Marks Entry'!AN186)</f>
        <v/>
      </c>
      <c r="CH186" s="514" t="str">
        <f t="shared" si="378"/>
        <v/>
      </c>
      <c r="CI186" s="68" t="str">
        <f>IF('Marks Entry'!AO186="","",'Marks Entry'!AO186)</f>
        <v/>
      </c>
      <c r="CJ186" s="515" t="str">
        <f t="shared" si="379"/>
        <v/>
      </c>
      <c r="CK186" s="68" t="str">
        <f>IF('Marks Entry'!AP186="","",'Marks Entry'!AP186)</f>
        <v/>
      </c>
      <c r="CL186" s="96" t="str">
        <f t="shared" si="380"/>
        <v/>
      </c>
      <c r="CM186" s="65">
        <f t="shared" si="381"/>
        <v>0</v>
      </c>
      <c r="CN186" s="65">
        <f t="shared" si="382"/>
        <v>0</v>
      </c>
      <c r="CO186" s="66" t="str">
        <f t="shared" si="383"/>
        <v/>
      </c>
      <c r="CP186" s="65" t="str">
        <f t="shared" si="384"/>
        <v/>
      </c>
      <c r="CQ186" s="65" t="str">
        <f t="shared" si="385"/>
        <v/>
      </c>
      <c r="CR186" s="65" t="str">
        <f t="shared" si="386"/>
        <v/>
      </c>
      <c r="CS186" s="616"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8" t="str">
        <f>IF('School Profile'!$D$20="NO","",IF('Marks Entry'!AR186="","",'Marks Entry'!AR186))</f>
        <v/>
      </c>
      <c r="CU186" s="68" t="str">
        <f>IF('School Profile'!$D$20="NO","",IF('Marks Entry'!AS186="","",'Marks Entry'!AS186))</f>
        <v/>
      </c>
      <c r="CV186" s="68" t="str">
        <f>IF('School Profile'!$D$20="NO","",IF('Marks Entry'!AT186="","",'Marks Entry'!AT186))</f>
        <v/>
      </c>
      <c r="CW186" s="514" t="str">
        <f>IF('School Profile'!$D$20="NO","",IF(AND(CT186="",CU186="",CV186=""),"",SUM(CT186:CV186)))</f>
        <v/>
      </c>
      <c r="CX186" s="68" t="str">
        <f>IF('School Profile'!$D$20="NO","",IF('Marks Entry'!AU186="","",'Marks Entry'!AU186))</f>
        <v/>
      </c>
      <c r="CY186" s="68" t="str">
        <f>IF('School Profile'!$D$20="NO","",IF('Marks Entry'!AV186="","",'Marks Entry'!AV186))</f>
        <v/>
      </c>
      <c r="CZ186" s="515" t="str">
        <f>IF('School Profile'!$D$20="NO","",IF(AND(CX186="",CY186=""),"",SUM(CX186,CY186)))</f>
        <v/>
      </c>
      <c r="DA186" s="69" t="str">
        <f>IF('School Profile'!$D$20="NO","",IF(AND(CW186="",CZ186=""),"",SUM(CW186+CZ186)))</f>
        <v/>
      </c>
      <c r="DB186" s="68" t="str">
        <f>IF('School Profile'!$D$20="NO","",IF('Marks Entry'!AW186="","",'Marks Entry'!AW186))</f>
        <v/>
      </c>
      <c r="DC186" s="68" t="str">
        <f>IF('School Profile'!$D$20="NO","",IF('Marks Entry'!AX186="","",'Marks Entry'!AX186))</f>
        <v/>
      </c>
      <c r="DD186" s="515" t="str">
        <f>IF('School Profile'!$D$20="NO","",IF(AND(DB186="",DC186=""),"",SUM(DB186,DC186)))</f>
        <v/>
      </c>
      <c r="DE186" s="96" t="str">
        <f>IF('School Profile'!$D$20="NO","",IF(AND(DA186="",DD186=""),"",SUM(DA186,DD186)))</f>
        <v/>
      </c>
      <c r="DF186" s="532">
        <f t="shared" si="387"/>
        <v>0</v>
      </c>
      <c r="DG186" s="65">
        <f t="shared" si="388"/>
        <v>0</v>
      </c>
      <c r="DH186" s="66" t="str">
        <f t="shared" si="389"/>
        <v/>
      </c>
      <c r="DI186" s="65" t="str">
        <f t="shared" si="390"/>
        <v/>
      </c>
      <c r="DJ186" s="65" t="str">
        <f t="shared" si="391"/>
        <v/>
      </c>
      <c r="DK186" s="65" t="str">
        <f t="shared" si="392"/>
        <v/>
      </c>
      <c r="DL186" s="97" t="str">
        <f t="shared" si="432"/>
        <v/>
      </c>
      <c r="DM186" s="97" t="str">
        <f t="shared" si="433"/>
        <v/>
      </c>
      <c r="DN186" s="97" t="str">
        <f t="shared" si="434"/>
        <v/>
      </c>
      <c r="DO186" s="97" t="str">
        <f t="shared" si="435"/>
        <v/>
      </c>
      <c r="DP186" s="97" t="str">
        <f t="shared" si="436"/>
        <v/>
      </c>
      <c r="DQ186" s="97" t="str">
        <f t="shared" si="437"/>
        <v/>
      </c>
      <c r="DR186" s="97" t="str">
        <f t="shared" si="438"/>
        <v/>
      </c>
      <c r="DS186" s="98">
        <f t="shared" si="439"/>
        <v>0</v>
      </c>
      <c r="DT186" s="98">
        <f t="shared" si="440"/>
        <v>0</v>
      </c>
      <c r="DU186" s="98">
        <f t="shared" si="441"/>
        <v>0</v>
      </c>
      <c r="DV186" s="98">
        <f t="shared" si="442"/>
        <v>0</v>
      </c>
      <c r="DW186" s="98">
        <f t="shared" si="443"/>
        <v>0</v>
      </c>
      <c r="DX186" s="98" t="str">
        <f t="shared" si="444"/>
        <v/>
      </c>
      <c r="DY186" s="99" t="str">
        <f t="shared" si="445"/>
        <v/>
      </c>
      <c r="DZ186" s="74" t="str">
        <f>IF('Marks Entry'!AY186="","",'Marks Entry'!AY186)</f>
        <v/>
      </c>
      <c r="EA186" s="74" t="str">
        <f>IF('Marks Entry'!AZ186="","",'Marks Entry'!AZ186)</f>
        <v/>
      </c>
      <c r="EB186" s="74" t="str">
        <f>IF('Marks Entry'!BA186="","",'Marks Entry'!BA186)</f>
        <v/>
      </c>
      <c r="EC186" s="527" t="str">
        <f t="shared" si="393"/>
        <v/>
      </c>
      <c r="ED186" s="74" t="str">
        <f>IF('Marks Entry'!BB186="","",'Marks Entry'!BB186)</f>
        <v/>
      </c>
      <c r="EE186" s="528" t="str">
        <f t="shared" si="394"/>
        <v/>
      </c>
      <c r="EF186" s="74" t="str">
        <f>IF('Marks Entry'!BC186="","",'Marks Entry'!BC186)</f>
        <v/>
      </c>
      <c r="EG186" s="530" t="str">
        <f t="shared" si="395"/>
        <v/>
      </c>
      <c r="EH186" s="368" t="str">
        <f t="shared" si="446"/>
        <v/>
      </c>
      <c r="EI186" s="65">
        <f t="shared" si="447"/>
        <v>0</v>
      </c>
      <c r="EJ186" s="65">
        <f t="shared" si="448"/>
        <v>0</v>
      </c>
      <c r="EK186" s="66" t="str">
        <f t="shared" si="449"/>
        <v/>
      </c>
      <c r="EL186" s="74" t="str">
        <f>IF('Marks Entry'!BD186="","",'Marks Entry'!BD186)</f>
        <v/>
      </c>
      <c r="EM186" s="74" t="str">
        <f>IF('Marks Entry'!BE186="","",'Marks Entry'!BE186)</f>
        <v/>
      </c>
      <c r="EN186" s="74" t="str">
        <f>IF('Marks Entry'!BF186="","",'Marks Entry'!BF186)</f>
        <v/>
      </c>
      <c r="EO186" s="527" t="str">
        <f t="shared" si="396"/>
        <v/>
      </c>
      <c r="EP186" s="74" t="str">
        <f>IF('Marks Entry'!BG186="","",'Marks Entry'!BG186)</f>
        <v/>
      </c>
      <c r="EQ186" s="74" t="str">
        <f>IF('Marks Entry'!BH186="","",'Marks Entry'!BH186)</f>
        <v/>
      </c>
      <c r="ER186" s="528" t="str">
        <f t="shared" si="397"/>
        <v/>
      </c>
      <c r="ES186" s="529" t="str">
        <f t="shared" si="398"/>
        <v/>
      </c>
      <c r="ET186" s="74" t="str">
        <f>IF('Marks Entry'!BI186="","",'Marks Entry'!BI186)</f>
        <v/>
      </c>
      <c r="EU186" s="74" t="str">
        <f>IF('Marks Entry'!BJ186="","",'Marks Entry'!BJ186)</f>
        <v/>
      </c>
      <c r="EV186" s="528" t="str">
        <f t="shared" si="399"/>
        <v/>
      </c>
      <c r="EW186" s="530" t="str">
        <f t="shared" si="400"/>
        <v/>
      </c>
      <c r="EX186" s="368" t="str">
        <f t="shared" si="450"/>
        <v/>
      </c>
      <c r="EY186" s="65">
        <f t="shared" si="451"/>
        <v>0</v>
      </c>
      <c r="EZ186" s="65">
        <f t="shared" si="452"/>
        <v>0</v>
      </c>
      <c r="FA186" s="66" t="str">
        <f t="shared" si="453"/>
        <v/>
      </c>
      <c r="FB186" s="74" t="str">
        <f>IF('Marks Entry'!BK186="","",'Marks Entry'!BK186)</f>
        <v/>
      </c>
      <c r="FC186" s="74" t="str">
        <f>IF('Marks Entry'!BL186="","",'Marks Entry'!BL186)</f>
        <v/>
      </c>
      <c r="FD186" s="74" t="str">
        <f>IF('Marks Entry'!BM186="","",'Marks Entry'!BM186)</f>
        <v/>
      </c>
      <c r="FE186" s="74" t="str">
        <f>IF('Marks Entry'!BN186="","",'Marks Entry'!BN186)</f>
        <v/>
      </c>
      <c r="FF186" s="74" t="str">
        <f>IF('Marks Entry'!BO186="","",'Marks Entry'!BO186)</f>
        <v/>
      </c>
      <c r="FG186" s="74" t="str">
        <f>IF('Marks Entry'!BP186="","",'Marks Entry'!BP186)</f>
        <v/>
      </c>
      <c r="FH186" s="527" t="str">
        <f t="shared" si="401"/>
        <v/>
      </c>
      <c r="FI186" s="74" t="str">
        <f>IF('Marks Entry'!BQ186="","",'Marks Entry'!BQ186)</f>
        <v/>
      </c>
      <c r="FJ186" s="74" t="str">
        <f>IF('Marks Entry'!BR186="","",'Marks Entry'!BR186)</f>
        <v/>
      </c>
      <c r="FK186" s="528" t="str">
        <f t="shared" si="402"/>
        <v/>
      </c>
      <c r="FL186" s="529" t="str">
        <f t="shared" si="403"/>
        <v/>
      </c>
      <c r="FM186" s="74" t="str">
        <f>IF('Marks Entry'!BS186="","",'Marks Entry'!BS186)</f>
        <v/>
      </c>
      <c r="FN186" s="74" t="str">
        <f>IF('Marks Entry'!BT186="","",'Marks Entry'!BT186)</f>
        <v/>
      </c>
      <c r="FO186" s="528" t="str">
        <f t="shared" si="404"/>
        <v/>
      </c>
      <c r="FP186" s="530" t="str">
        <f t="shared" si="405"/>
        <v/>
      </c>
      <c r="FQ186" s="368" t="str">
        <f t="shared" si="454"/>
        <v/>
      </c>
      <c r="FR186" s="65">
        <f t="shared" si="455"/>
        <v>0</v>
      </c>
      <c r="FS186" s="65">
        <f t="shared" si="456"/>
        <v>0</v>
      </c>
      <c r="FT186" s="66" t="str">
        <f t="shared" si="457"/>
        <v/>
      </c>
      <c r="FU186" s="74" t="str">
        <f>IF('Marks Entry'!BU186="","",'Marks Entry'!BU186)</f>
        <v/>
      </c>
      <c r="FV186" s="74" t="str">
        <f>IF('Marks Entry'!BV186="","",'Marks Entry'!BV186)</f>
        <v/>
      </c>
      <c r="FW186" s="74" t="str">
        <f>IF('Marks Entry'!BW186="","",'Marks Entry'!BW186)</f>
        <v/>
      </c>
      <c r="FX186" s="75" t="str">
        <f t="shared" si="406"/>
        <v/>
      </c>
      <c r="FY186" s="368" t="str">
        <f t="shared" si="458"/>
        <v/>
      </c>
      <c r="FZ186" s="65">
        <f t="shared" si="459"/>
        <v>0</v>
      </c>
      <c r="GA186" s="66">
        <f t="shared" si="460"/>
        <v>0</v>
      </c>
      <c r="GB186" s="66" t="str">
        <f t="shared" si="461"/>
        <v/>
      </c>
      <c r="GC186" s="74" t="str">
        <f>IF('Marks Entry'!BX186="","",'Marks Entry'!BX186)</f>
        <v/>
      </c>
      <c r="GD186" s="74" t="str">
        <f>IF('Marks Entry'!BY186="","",'Marks Entry'!BY186)</f>
        <v/>
      </c>
      <c r="GE186" s="74" t="str">
        <f>IF('Marks Entry'!BZ186="","",'Marks Entry'!BZ186)</f>
        <v/>
      </c>
      <c r="GF186" s="75" t="str">
        <f t="shared" si="462"/>
        <v/>
      </c>
      <c r="GG186" s="368" t="str">
        <f t="shared" si="463"/>
        <v/>
      </c>
      <c r="GH186" s="65">
        <f t="shared" si="464"/>
        <v>0</v>
      </c>
      <c r="GI186" s="66">
        <f t="shared" si="465"/>
        <v>0</v>
      </c>
      <c r="GJ186" s="66" t="str">
        <f t="shared" si="466"/>
        <v/>
      </c>
      <c r="GK186" s="100" t="str">
        <f>IF(AND(F186="",B186=""),"",IF('Student DATA Entry'!M183="","",'Student DATA Entry'!M183))</f>
        <v/>
      </c>
      <c r="GL186" s="101" t="str">
        <f>IF(AND(B186="",F186=""),"",IF('Student DATA Entry'!N183="","",'Student DATA Entry'!N183))</f>
        <v/>
      </c>
      <c r="GM186" s="581" t="str">
        <f t="shared" si="467"/>
        <v/>
      </c>
      <c r="GN186" s="94" t="str">
        <f t="shared" si="468"/>
        <v/>
      </c>
      <c r="GO186" s="94" t="str">
        <f t="shared" si="469"/>
        <v/>
      </c>
      <c r="GP186" s="102" t="str">
        <f t="shared" si="498"/>
        <v/>
      </c>
      <c r="GQ186" s="94" t="str">
        <f t="shared" si="470"/>
        <v/>
      </c>
      <c r="GR186" s="103" t="str">
        <f t="shared" si="471"/>
        <v/>
      </c>
      <c r="GS186" s="102" t="str">
        <f t="shared" si="499"/>
        <v/>
      </c>
      <c r="GT186" s="104" t="str">
        <f t="shared" si="472"/>
        <v/>
      </c>
      <c r="GU186" s="94" t="str">
        <f>IF('Marks Entry'!V186=1,GT186,"")</f>
        <v/>
      </c>
      <c r="GV186" s="94" t="str">
        <f>IF('Marks Entry'!V186=2,GT186,"")</f>
        <v/>
      </c>
      <c r="GW186" s="94" t="str">
        <f>IF('Marks Entry'!V186=3,GT186,"")</f>
        <v/>
      </c>
      <c r="GX186" s="94" t="str">
        <f>IF('Marks Entry'!V186=4,GT186,"")</f>
        <v/>
      </c>
      <c r="GY186" s="94" t="str">
        <f>IF('Marks Entry'!V186=5,GT186,"")</f>
        <v/>
      </c>
      <c r="GZ186" s="94" t="str">
        <f t="shared" si="473"/>
        <v/>
      </c>
      <c r="HA186" s="105" t="str">
        <f t="shared" si="500"/>
        <v/>
      </c>
      <c r="HB186" s="94" t="str">
        <f t="shared" si="474"/>
        <v/>
      </c>
      <c r="HC186" s="94" t="str">
        <f t="shared" si="475"/>
        <v/>
      </c>
      <c r="HD186" s="105" t="str">
        <f t="shared" si="501"/>
        <v/>
      </c>
      <c r="HE186" s="94" t="str">
        <f t="shared" si="476"/>
        <v/>
      </c>
      <c r="HF186" s="94" t="str">
        <f t="shared" si="477"/>
        <v/>
      </c>
      <c r="HG186" s="105" t="str">
        <f t="shared" si="502"/>
        <v/>
      </c>
      <c r="HH186" s="94" t="str">
        <f t="shared" si="478"/>
        <v/>
      </c>
      <c r="HI186" s="94" t="str">
        <f t="shared" si="479"/>
        <v/>
      </c>
      <c r="HJ186" s="105" t="str">
        <f t="shared" si="503"/>
        <v/>
      </c>
      <c r="HK186" s="94" t="str">
        <f t="shared" si="480"/>
        <v/>
      </c>
      <c r="HL186" s="94" t="str">
        <f t="shared" si="481"/>
        <v/>
      </c>
      <c r="HM186" s="105" t="str">
        <f t="shared" si="504"/>
        <v/>
      </c>
      <c r="HN186" s="367" t="str">
        <f t="shared" si="482"/>
        <v xml:space="preserve">      </v>
      </c>
      <c r="HO186" s="418" t="str">
        <f t="shared" si="505"/>
        <v xml:space="preserve">      </v>
      </c>
      <c r="HP186" s="367" t="str">
        <f t="shared" si="483"/>
        <v xml:space="preserve">      </v>
      </c>
      <c r="HQ186" s="107" t="str">
        <f t="shared" si="484"/>
        <v xml:space="preserve">      </v>
      </c>
      <c r="HR186" s="366" t="str">
        <f t="shared" si="485"/>
        <v xml:space="preserve">      </v>
      </c>
      <c r="HS186" s="544" t="str">
        <f t="shared" si="506"/>
        <v/>
      </c>
      <c r="HT186" s="542" t="str">
        <f t="shared" si="486"/>
        <v/>
      </c>
      <c r="HU186" s="541" t="str">
        <f t="shared" si="487"/>
        <v/>
      </c>
      <c r="HV186" s="540" t="str">
        <f t="shared" si="488"/>
        <v/>
      </c>
      <c r="HW186" s="537" t="str">
        <f t="shared" si="489"/>
        <v/>
      </c>
      <c r="HX186" s="539" t="str">
        <f t="shared" si="490"/>
        <v/>
      </c>
      <c r="HY186" s="553" t="str">
        <f>IFERROR(IF(OR(HS186="SUPPLEMENTARY",HS186="RE-EXAM"),'Supp. Result Entry'!AQ184,""),"")</f>
        <v/>
      </c>
      <c r="HZ186" s="538" t="str">
        <f t="shared" si="491"/>
        <v/>
      </c>
      <c r="IA186" s="415" t="str">
        <f t="shared" si="492"/>
        <v/>
      </c>
      <c r="IB186" s="415" t="str">
        <f>IF(AND(HZ186="",IA186=""),"",IF(OR(HS186="SUPPLEMENTARY",HS186="RE-EXAM"),'Supp. Result Entry'!AQ184,HS186))</f>
        <v/>
      </c>
      <c r="IC186" s="87"/>
      <c r="IS186" s="109" t="str">
        <f>IF('Supp. Result Entry'!T184="","",'Supp. Result Entry'!$T$4)</f>
        <v/>
      </c>
      <c r="IT186" s="110" t="str">
        <f>IF('Supp. Result Entry'!W184="","",'Supp. Result Entry'!$W$4)</f>
        <v/>
      </c>
      <c r="IU186" s="110" t="str">
        <f>IF('Supp. Result Entry'!Z184="","",'Supp. Result Entry'!$Z$4)</f>
        <v/>
      </c>
      <c r="IV186" s="110" t="str">
        <f>IF('Supp. Result Entry'!AC184="","",'Supp. Result Entry'!$AC$4)</f>
        <v/>
      </c>
      <c r="IW186" s="110" t="str">
        <f>IF('Supp. Result Entry'!AF184="","",'Supp. Result Entry'!$AF$4)</f>
        <v/>
      </c>
      <c r="IX186" s="110" t="str">
        <f>IF('Supp. Result Entry'!AI184="","",'Supp. Result Entry'!$AI$4)</f>
        <v/>
      </c>
      <c r="IY186" s="110" t="str">
        <f>IF('Supp. Result Entry'!AI184="","",'Supp. Result Entry'!$AL$4)</f>
        <v/>
      </c>
      <c r="IZ186" s="110" t="str">
        <f>IF('Supp. Result Entry'!U184="","",'Supp. Result Entry'!U184)</f>
        <v/>
      </c>
      <c r="JA186" s="110" t="str">
        <f>IF('Supp. Result Entry'!X184="","",'Supp. Result Entry'!X184)</f>
        <v/>
      </c>
      <c r="JB186" s="110" t="str">
        <f>IF('Supp. Result Entry'!AA184="","",'Supp. Result Entry'!AA184)</f>
        <v/>
      </c>
      <c r="JC186" s="110" t="str">
        <f>IF('Supp. Result Entry'!AD184="","",'Supp. Result Entry'!AD184)</f>
        <v/>
      </c>
      <c r="JD186" s="110" t="str">
        <f>IF('Supp. Result Entry'!AG184="","",'Supp. Result Entry'!AG184)</f>
        <v/>
      </c>
      <c r="JE186" s="110" t="str">
        <f>IF('Supp. Result Entry'!AJ184="","",'Supp. Result Entry'!AJ184)</f>
        <v/>
      </c>
      <c r="JF186" s="110" t="str">
        <f>IF('Supp. Result Entry'!AM184="","",'Supp. Result Entry'!AM184)</f>
        <v/>
      </c>
      <c r="JG186" s="110" t="str">
        <f>IF('Supp. Result Entry'!V184="","",'Supp. Result Entry'!V184)</f>
        <v/>
      </c>
      <c r="JH186" s="110" t="str">
        <f>IF('Supp. Result Entry'!Y184="","",'Supp. Result Entry'!Y184)</f>
        <v/>
      </c>
      <c r="JI186" s="110" t="str">
        <f>IF('Supp. Result Entry'!AB184="","",'Supp. Result Entry'!AB184)</f>
        <v/>
      </c>
      <c r="JJ186" s="110" t="str">
        <f>IF('Supp. Result Entry'!AE184="","",'Supp. Result Entry'!AE184)</f>
        <v/>
      </c>
      <c r="JK186" s="110" t="str">
        <f>IF('Supp. Result Entry'!AH184="","",'Supp. Result Entry'!AH184)</f>
        <v/>
      </c>
      <c r="JL186" s="110" t="str">
        <f>IF('Supp. Result Entry'!AK184="","",'Supp. Result Entry'!AK184)</f>
        <v/>
      </c>
      <c r="JM186" s="110" t="str">
        <f>IF('Supp. Result Entry'!AN184="","",'Supp. Result Entry'!AN184)</f>
        <v/>
      </c>
      <c r="JN186" s="110">
        <f>COUNTIF('Supp. Result Entry'!K184:Q184,"S")</f>
        <v>0</v>
      </c>
      <c r="JO186" s="110">
        <f t="shared" si="416"/>
        <v>0</v>
      </c>
      <c r="JP186" s="110">
        <f t="shared" si="493"/>
        <v>0</v>
      </c>
      <c r="JQ186" s="110" t="str">
        <f t="shared" si="417"/>
        <v/>
      </c>
      <c r="JR186" s="110" t="str">
        <f t="shared" si="418"/>
        <v/>
      </c>
      <c r="JS186" s="110" t="str">
        <f t="shared" si="419"/>
        <v/>
      </c>
      <c r="JT186" s="110" t="str">
        <f t="shared" si="420"/>
        <v/>
      </c>
      <c r="JU186" s="110" t="str">
        <f t="shared" si="421"/>
        <v/>
      </c>
      <c r="JV186" s="110" t="str">
        <f t="shared" si="422"/>
        <v/>
      </c>
      <c r="JW186" s="110" t="str">
        <f t="shared" si="423"/>
        <v/>
      </c>
      <c r="JX186" s="110" t="str">
        <f t="shared" si="494"/>
        <v/>
      </c>
      <c r="JY186" s="110" t="str">
        <f t="shared" si="495"/>
        <v/>
      </c>
      <c r="JZ186" s="110" t="str">
        <f t="shared" si="424"/>
        <v/>
      </c>
      <c r="KA186" s="108" t="str">
        <f t="shared" si="496"/>
        <v/>
      </c>
    </row>
    <row r="187" spans="1:287" s="108" customFormat="1" ht="21.95" customHeight="1">
      <c r="A187" s="89">
        <v>181</v>
      </c>
      <c r="B187" s="90" t="str">
        <f>IF('Marks Entry'!B187="","",'Marks Entry'!B187)</f>
        <v/>
      </c>
      <c r="C187" s="94" t="str">
        <f>IF('Marks Entry'!D187="","",'Marks Entry'!D187)</f>
        <v/>
      </c>
      <c r="D187" s="91" t="str">
        <f>IF('Marks Entry'!E187="","",'Marks Entry'!E187)</f>
        <v/>
      </c>
      <c r="E187" s="92" t="str">
        <f>IF('Marks Entry'!F187="","",'Marks Entry'!F187)</f>
        <v/>
      </c>
      <c r="F187" s="93" t="str">
        <f>IF('Marks Entry'!G187="","",'Marks Entry'!G187)</f>
        <v/>
      </c>
      <c r="G187" s="93" t="str">
        <f>IF('Marks Entry'!H187="","",'Marks Entry'!H187)</f>
        <v/>
      </c>
      <c r="H187" s="93" t="str">
        <f>IF('Marks Entry'!I187="","",'Marks Entry'!I187)</f>
        <v/>
      </c>
      <c r="I187" s="94" t="str">
        <f>IF('Marks Entry'!J187="","",'Marks Entry'!J187)</f>
        <v/>
      </c>
      <c r="J187" s="95" t="str">
        <f>IF('Marks Entry'!K187="","",'Marks Entry'!K187)</f>
        <v/>
      </c>
      <c r="K187" s="68" t="str">
        <f>IF('Marks Entry'!L187="","",'Marks Entry'!L187)</f>
        <v/>
      </c>
      <c r="L187" s="68" t="str">
        <f>IF('Marks Entry'!M187="","",'Marks Entry'!M187)</f>
        <v/>
      </c>
      <c r="M187" s="68" t="str">
        <f>IF('Marks Entry'!N187="","",'Marks Entry'!N187)</f>
        <v/>
      </c>
      <c r="N187" s="514" t="str">
        <f t="shared" si="425"/>
        <v/>
      </c>
      <c r="O187" s="68" t="str">
        <f>IF('Marks Entry'!O187="","",'Marks Entry'!O187)</f>
        <v/>
      </c>
      <c r="P187" s="515" t="str">
        <f t="shared" si="426"/>
        <v/>
      </c>
      <c r="Q187" s="68" t="str">
        <f>IF('Marks Entry'!P187="","",'Marks Entry'!P187)</f>
        <v/>
      </c>
      <c r="R187" s="96" t="str">
        <f t="shared" si="427"/>
        <v/>
      </c>
      <c r="S187" s="65">
        <f t="shared" si="428"/>
        <v>0</v>
      </c>
      <c r="T187" s="65">
        <f t="shared" si="429"/>
        <v>0</v>
      </c>
      <c r="U187" s="66" t="str">
        <f t="shared" si="339"/>
        <v/>
      </c>
      <c r="V187" s="65" t="str">
        <f t="shared" si="340"/>
        <v/>
      </c>
      <c r="W187" s="65" t="str">
        <f t="shared" si="430"/>
        <v/>
      </c>
      <c r="X187" s="65" t="str">
        <f t="shared" si="341"/>
        <v/>
      </c>
      <c r="Y187" s="68" t="str">
        <f>IF('Marks Entry'!Q187="","",'Marks Entry'!Q187)</f>
        <v/>
      </c>
      <c r="Z187" s="68" t="str">
        <f>IF('Marks Entry'!R187="","",'Marks Entry'!R187)</f>
        <v/>
      </c>
      <c r="AA187" s="68" t="str">
        <f>IF('Marks Entry'!S187="","",'Marks Entry'!S187)</f>
        <v/>
      </c>
      <c r="AB187" s="514" t="str">
        <f t="shared" si="342"/>
        <v/>
      </c>
      <c r="AC187" s="68" t="str">
        <f>IF('Marks Entry'!T187="","",'Marks Entry'!T187)</f>
        <v/>
      </c>
      <c r="AD187" s="515" t="str">
        <f t="shared" si="343"/>
        <v/>
      </c>
      <c r="AE187" s="68" t="str">
        <f>IF('Marks Entry'!U187="","",'Marks Entry'!U187)</f>
        <v/>
      </c>
      <c r="AF187" s="96" t="str">
        <f t="shared" si="344"/>
        <v/>
      </c>
      <c r="AG187" s="65">
        <f t="shared" si="345"/>
        <v>0</v>
      </c>
      <c r="AH187" s="65">
        <f t="shared" si="346"/>
        <v>0</v>
      </c>
      <c r="AI187" s="66" t="str">
        <f t="shared" si="347"/>
        <v/>
      </c>
      <c r="AJ187" s="65" t="str">
        <f t="shared" si="348"/>
        <v/>
      </c>
      <c r="AK187" s="65" t="str">
        <f t="shared" si="349"/>
        <v/>
      </c>
      <c r="AL187" s="65" t="str">
        <f t="shared" si="350"/>
        <v/>
      </c>
      <c r="AM187" s="524" t="str">
        <f>IF('Marks Entry'!V187="","",IF('Marks Entry'!V187=1,'School Profile'!$I$9,IF('Marks Entry'!V187=2,'School Profile'!$I$10,IF('Marks Entry'!V187=3,'School Profile'!$I$11,IF('Marks Entry'!V187=4,'School Profile'!$I$12,IF('Marks Entry'!V187=5,'School Profile'!$I$13,IF('Marks Entry'!V187=6,'School Profile'!$I$14,"")))))))</f>
        <v/>
      </c>
      <c r="AN187" s="68" t="str">
        <f>IF('Marks Entry'!W187="","",'Marks Entry'!W187)</f>
        <v/>
      </c>
      <c r="AO187" s="68" t="str">
        <f>IF('Marks Entry'!X187="","",'Marks Entry'!X187)</f>
        <v/>
      </c>
      <c r="AP187" s="68" t="str">
        <f>IF('Marks Entry'!Y187="","",'Marks Entry'!Y187)</f>
        <v/>
      </c>
      <c r="AQ187" s="514" t="str">
        <f t="shared" si="351"/>
        <v/>
      </c>
      <c r="AR187" s="68" t="str">
        <f>IF('Marks Entry'!Z187="","",'Marks Entry'!Z187)</f>
        <v/>
      </c>
      <c r="AS187" s="515" t="str">
        <f t="shared" si="352"/>
        <v/>
      </c>
      <c r="AT187" s="68" t="str">
        <f>IF('Marks Entry'!AA187="","",'Marks Entry'!AA187)</f>
        <v/>
      </c>
      <c r="AU187" s="96" t="str">
        <f t="shared" si="353"/>
        <v/>
      </c>
      <c r="AV187" s="65">
        <f t="shared" si="354"/>
        <v>0</v>
      </c>
      <c r="AW187" s="65">
        <f t="shared" si="355"/>
        <v>0</v>
      </c>
      <c r="AX187" s="66" t="str">
        <f t="shared" si="356"/>
        <v/>
      </c>
      <c r="AY187" s="65" t="str">
        <f t="shared" si="357"/>
        <v/>
      </c>
      <c r="AZ187" s="65" t="str">
        <f t="shared" si="358"/>
        <v/>
      </c>
      <c r="BA187" s="65" t="str">
        <f t="shared" si="359"/>
        <v/>
      </c>
      <c r="BB187" s="68" t="str">
        <f>IF('Marks Entry'!AB187="","",'Marks Entry'!AB187)</f>
        <v/>
      </c>
      <c r="BC187" s="68" t="str">
        <f>IF('Marks Entry'!AC187="","",'Marks Entry'!AC187)</f>
        <v/>
      </c>
      <c r="BD187" s="68" t="str">
        <f>IF('Marks Entry'!AD187="","",'Marks Entry'!AD187)</f>
        <v/>
      </c>
      <c r="BE187" s="514" t="str">
        <f t="shared" si="360"/>
        <v/>
      </c>
      <c r="BF187" s="68" t="str">
        <f>IF('Marks Entry'!AE187="","",'Marks Entry'!AE187)</f>
        <v/>
      </c>
      <c r="BG187" s="515" t="str">
        <f t="shared" si="361"/>
        <v/>
      </c>
      <c r="BH187" s="68" t="str">
        <f>IF('Marks Entry'!AF187="","",'Marks Entry'!AF187)</f>
        <v/>
      </c>
      <c r="BI187" s="96" t="str">
        <f t="shared" si="362"/>
        <v/>
      </c>
      <c r="BJ187" s="65">
        <f t="shared" si="363"/>
        <v>0</v>
      </c>
      <c r="BK187" s="65">
        <f t="shared" si="431"/>
        <v>0</v>
      </c>
      <c r="BL187" s="66" t="str">
        <f t="shared" si="364"/>
        <v/>
      </c>
      <c r="BM187" s="65" t="str">
        <f t="shared" si="365"/>
        <v/>
      </c>
      <c r="BN187" s="65" t="str">
        <f t="shared" si="366"/>
        <v/>
      </c>
      <c r="BO187" s="65" t="str">
        <f t="shared" si="367"/>
        <v/>
      </c>
      <c r="BP187" s="68" t="str">
        <f>IF('Marks Entry'!AG187="","",'Marks Entry'!AG187)</f>
        <v/>
      </c>
      <c r="BQ187" s="68" t="str">
        <f>IF('Marks Entry'!AH187="","",'Marks Entry'!AH187)</f>
        <v/>
      </c>
      <c r="BR187" s="68" t="str">
        <f>IF('Marks Entry'!AI187="","",'Marks Entry'!AI187)</f>
        <v/>
      </c>
      <c r="BS187" s="514" t="str">
        <f t="shared" si="368"/>
        <v/>
      </c>
      <c r="BT187" s="68" t="str">
        <f>IF('Marks Entry'!AJ187="","",'Marks Entry'!AJ187)</f>
        <v/>
      </c>
      <c r="BU187" s="515" t="str">
        <f t="shared" si="369"/>
        <v/>
      </c>
      <c r="BV187" s="68" t="str">
        <f>IF('Marks Entry'!AK187="","",'Marks Entry'!AK187)</f>
        <v/>
      </c>
      <c r="BW187" s="96" t="str">
        <f t="shared" si="370"/>
        <v/>
      </c>
      <c r="BX187" s="65">
        <f t="shared" si="371"/>
        <v>0</v>
      </c>
      <c r="BY187" s="65">
        <f t="shared" si="372"/>
        <v>0</v>
      </c>
      <c r="BZ187" s="66" t="str">
        <f t="shared" si="373"/>
        <v/>
      </c>
      <c r="CA187" s="65" t="str">
        <f t="shared" si="374"/>
        <v/>
      </c>
      <c r="CB187" s="65" t="str">
        <f t="shared" si="375"/>
        <v/>
      </c>
      <c r="CC187" s="65" t="str">
        <f t="shared" si="376"/>
        <v/>
      </c>
      <c r="CD187" s="66">
        <f t="shared" si="497"/>
        <v>0</v>
      </c>
      <c r="CE187" s="68" t="str">
        <f>IF('Marks Entry'!AL187="","",'Marks Entry'!AL187)</f>
        <v/>
      </c>
      <c r="CF187" s="68" t="str">
        <f>IF('Marks Entry'!AM187="","",'Marks Entry'!AM187)</f>
        <v/>
      </c>
      <c r="CG187" s="68" t="str">
        <f>IF('Marks Entry'!AN187="","",'Marks Entry'!AN187)</f>
        <v/>
      </c>
      <c r="CH187" s="514" t="str">
        <f t="shared" si="378"/>
        <v/>
      </c>
      <c r="CI187" s="68" t="str">
        <f>IF('Marks Entry'!AO187="","",'Marks Entry'!AO187)</f>
        <v/>
      </c>
      <c r="CJ187" s="515" t="str">
        <f t="shared" si="379"/>
        <v/>
      </c>
      <c r="CK187" s="68" t="str">
        <f>IF('Marks Entry'!AP187="","",'Marks Entry'!AP187)</f>
        <v/>
      </c>
      <c r="CL187" s="96" t="str">
        <f t="shared" si="380"/>
        <v/>
      </c>
      <c r="CM187" s="65">
        <f t="shared" si="381"/>
        <v>0</v>
      </c>
      <c r="CN187" s="65">
        <f t="shared" si="382"/>
        <v>0</v>
      </c>
      <c r="CO187" s="66" t="str">
        <f t="shared" si="383"/>
        <v/>
      </c>
      <c r="CP187" s="65" t="str">
        <f t="shared" si="384"/>
        <v/>
      </c>
      <c r="CQ187" s="65" t="str">
        <f t="shared" si="385"/>
        <v/>
      </c>
      <c r="CR187" s="65" t="str">
        <f t="shared" si="386"/>
        <v/>
      </c>
      <c r="CS187" s="616"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8" t="str">
        <f>IF('School Profile'!$D$20="NO","",IF('Marks Entry'!AR187="","",'Marks Entry'!AR187))</f>
        <v/>
      </c>
      <c r="CU187" s="68" t="str">
        <f>IF('School Profile'!$D$20="NO","",IF('Marks Entry'!AS187="","",'Marks Entry'!AS187))</f>
        <v/>
      </c>
      <c r="CV187" s="68" t="str">
        <f>IF('School Profile'!$D$20="NO","",IF('Marks Entry'!AT187="","",'Marks Entry'!AT187))</f>
        <v/>
      </c>
      <c r="CW187" s="514" t="str">
        <f>IF('School Profile'!$D$20="NO","",IF(AND(CT187="",CU187="",CV187=""),"",SUM(CT187:CV187)))</f>
        <v/>
      </c>
      <c r="CX187" s="68" t="str">
        <f>IF('School Profile'!$D$20="NO","",IF('Marks Entry'!AU187="","",'Marks Entry'!AU187))</f>
        <v/>
      </c>
      <c r="CY187" s="68" t="str">
        <f>IF('School Profile'!$D$20="NO","",IF('Marks Entry'!AV187="","",'Marks Entry'!AV187))</f>
        <v/>
      </c>
      <c r="CZ187" s="515" t="str">
        <f>IF('School Profile'!$D$20="NO","",IF(AND(CX187="",CY187=""),"",SUM(CX187,CY187)))</f>
        <v/>
      </c>
      <c r="DA187" s="69" t="str">
        <f>IF('School Profile'!$D$20="NO","",IF(AND(CW187="",CZ187=""),"",SUM(CW187+CZ187)))</f>
        <v/>
      </c>
      <c r="DB187" s="68" t="str">
        <f>IF('School Profile'!$D$20="NO","",IF('Marks Entry'!AW187="","",'Marks Entry'!AW187))</f>
        <v/>
      </c>
      <c r="DC187" s="68" t="str">
        <f>IF('School Profile'!$D$20="NO","",IF('Marks Entry'!AX187="","",'Marks Entry'!AX187))</f>
        <v/>
      </c>
      <c r="DD187" s="515" t="str">
        <f>IF('School Profile'!$D$20="NO","",IF(AND(DB187="",DC187=""),"",SUM(DB187,DC187)))</f>
        <v/>
      </c>
      <c r="DE187" s="96" t="str">
        <f>IF('School Profile'!$D$20="NO","",IF(AND(DA187="",DD187=""),"",SUM(DA187,DD187)))</f>
        <v/>
      </c>
      <c r="DF187" s="532">
        <f t="shared" si="387"/>
        <v>0</v>
      </c>
      <c r="DG187" s="65">
        <f t="shared" si="388"/>
        <v>0</v>
      </c>
      <c r="DH187" s="66" t="str">
        <f t="shared" si="389"/>
        <v/>
      </c>
      <c r="DI187" s="65" t="str">
        <f t="shared" si="390"/>
        <v/>
      </c>
      <c r="DJ187" s="65" t="str">
        <f t="shared" si="391"/>
        <v/>
      </c>
      <c r="DK187" s="65" t="str">
        <f t="shared" si="392"/>
        <v/>
      </c>
      <c r="DL187" s="97" t="str">
        <f t="shared" si="432"/>
        <v/>
      </c>
      <c r="DM187" s="97" t="str">
        <f t="shared" si="433"/>
        <v/>
      </c>
      <c r="DN187" s="97" t="str">
        <f t="shared" si="434"/>
        <v/>
      </c>
      <c r="DO187" s="97" t="str">
        <f t="shared" si="435"/>
        <v/>
      </c>
      <c r="DP187" s="97" t="str">
        <f t="shared" si="436"/>
        <v/>
      </c>
      <c r="DQ187" s="97" t="str">
        <f t="shared" si="437"/>
        <v/>
      </c>
      <c r="DR187" s="97" t="str">
        <f t="shared" si="438"/>
        <v/>
      </c>
      <c r="DS187" s="98">
        <f t="shared" si="439"/>
        <v>0</v>
      </c>
      <c r="DT187" s="98">
        <f t="shared" si="440"/>
        <v>0</v>
      </c>
      <c r="DU187" s="98">
        <f t="shared" si="441"/>
        <v>0</v>
      </c>
      <c r="DV187" s="98">
        <f t="shared" si="442"/>
        <v>0</v>
      </c>
      <c r="DW187" s="98">
        <f t="shared" si="443"/>
        <v>0</v>
      </c>
      <c r="DX187" s="98" t="str">
        <f t="shared" si="444"/>
        <v/>
      </c>
      <c r="DY187" s="99" t="str">
        <f t="shared" si="445"/>
        <v/>
      </c>
      <c r="DZ187" s="74" t="str">
        <f>IF('Marks Entry'!AY187="","",'Marks Entry'!AY187)</f>
        <v/>
      </c>
      <c r="EA187" s="74" t="str">
        <f>IF('Marks Entry'!AZ187="","",'Marks Entry'!AZ187)</f>
        <v/>
      </c>
      <c r="EB187" s="74" t="str">
        <f>IF('Marks Entry'!BA187="","",'Marks Entry'!BA187)</f>
        <v/>
      </c>
      <c r="EC187" s="527" t="str">
        <f t="shared" si="393"/>
        <v/>
      </c>
      <c r="ED187" s="74" t="str">
        <f>IF('Marks Entry'!BB187="","",'Marks Entry'!BB187)</f>
        <v/>
      </c>
      <c r="EE187" s="528" t="str">
        <f t="shared" si="394"/>
        <v/>
      </c>
      <c r="EF187" s="74" t="str">
        <f>IF('Marks Entry'!BC187="","",'Marks Entry'!BC187)</f>
        <v/>
      </c>
      <c r="EG187" s="530" t="str">
        <f t="shared" si="395"/>
        <v/>
      </c>
      <c r="EH187" s="368" t="str">
        <f t="shared" si="446"/>
        <v/>
      </c>
      <c r="EI187" s="65">
        <f t="shared" si="447"/>
        <v>0</v>
      </c>
      <c r="EJ187" s="65">
        <f t="shared" si="448"/>
        <v>0</v>
      </c>
      <c r="EK187" s="66" t="str">
        <f t="shared" si="449"/>
        <v/>
      </c>
      <c r="EL187" s="74" t="str">
        <f>IF('Marks Entry'!BD187="","",'Marks Entry'!BD187)</f>
        <v/>
      </c>
      <c r="EM187" s="74" t="str">
        <f>IF('Marks Entry'!BE187="","",'Marks Entry'!BE187)</f>
        <v/>
      </c>
      <c r="EN187" s="74" t="str">
        <f>IF('Marks Entry'!BF187="","",'Marks Entry'!BF187)</f>
        <v/>
      </c>
      <c r="EO187" s="527" t="str">
        <f t="shared" si="396"/>
        <v/>
      </c>
      <c r="EP187" s="74" t="str">
        <f>IF('Marks Entry'!BG187="","",'Marks Entry'!BG187)</f>
        <v/>
      </c>
      <c r="EQ187" s="74" t="str">
        <f>IF('Marks Entry'!BH187="","",'Marks Entry'!BH187)</f>
        <v/>
      </c>
      <c r="ER187" s="528" t="str">
        <f t="shared" si="397"/>
        <v/>
      </c>
      <c r="ES187" s="529" t="str">
        <f t="shared" si="398"/>
        <v/>
      </c>
      <c r="ET187" s="74" t="str">
        <f>IF('Marks Entry'!BI187="","",'Marks Entry'!BI187)</f>
        <v/>
      </c>
      <c r="EU187" s="74" t="str">
        <f>IF('Marks Entry'!BJ187="","",'Marks Entry'!BJ187)</f>
        <v/>
      </c>
      <c r="EV187" s="528" t="str">
        <f t="shared" si="399"/>
        <v/>
      </c>
      <c r="EW187" s="530" t="str">
        <f t="shared" si="400"/>
        <v/>
      </c>
      <c r="EX187" s="368" t="str">
        <f t="shared" si="450"/>
        <v/>
      </c>
      <c r="EY187" s="65">
        <f t="shared" si="451"/>
        <v>0</v>
      </c>
      <c r="EZ187" s="65">
        <f t="shared" si="452"/>
        <v>0</v>
      </c>
      <c r="FA187" s="66" t="str">
        <f t="shared" si="453"/>
        <v/>
      </c>
      <c r="FB187" s="74" t="str">
        <f>IF('Marks Entry'!BK187="","",'Marks Entry'!BK187)</f>
        <v/>
      </c>
      <c r="FC187" s="74" t="str">
        <f>IF('Marks Entry'!BL187="","",'Marks Entry'!BL187)</f>
        <v/>
      </c>
      <c r="FD187" s="74" t="str">
        <f>IF('Marks Entry'!BM187="","",'Marks Entry'!BM187)</f>
        <v/>
      </c>
      <c r="FE187" s="74" t="str">
        <f>IF('Marks Entry'!BN187="","",'Marks Entry'!BN187)</f>
        <v/>
      </c>
      <c r="FF187" s="74" t="str">
        <f>IF('Marks Entry'!BO187="","",'Marks Entry'!BO187)</f>
        <v/>
      </c>
      <c r="FG187" s="74" t="str">
        <f>IF('Marks Entry'!BP187="","",'Marks Entry'!BP187)</f>
        <v/>
      </c>
      <c r="FH187" s="527" t="str">
        <f t="shared" si="401"/>
        <v/>
      </c>
      <c r="FI187" s="74" t="str">
        <f>IF('Marks Entry'!BQ187="","",'Marks Entry'!BQ187)</f>
        <v/>
      </c>
      <c r="FJ187" s="74" t="str">
        <f>IF('Marks Entry'!BR187="","",'Marks Entry'!BR187)</f>
        <v/>
      </c>
      <c r="FK187" s="528" t="str">
        <f t="shared" si="402"/>
        <v/>
      </c>
      <c r="FL187" s="529" t="str">
        <f t="shared" si="403"/>
        <v/>
      </c>
      <c r="FM187" s="74" t="str">
        <f>IF('Marks Entry'!BS187="","",'Marks Entry'!BS187)</f>
        <v/>
      </c>
      <c r="FN187" s="74" t="str">
        <f>IF('Marks Entry'!BT187="","",'Marks Entry'!BT187)</f>
        <v/>
      </c>
      <c r="FO187" s="528" t="str">
        <f t="shared" si="404"/>
        <v/>
      </c>
      <c r="FP187" s="530" t="str">
        <f t="shared" si="405"/>
        <v/>
      </c>
      <c r="FQ187" s="368" t="str">
        <f t="shared" si="454"/>
        <v/>
      </c>
      <c r="FR187" s="65">
        <f t="shared" si="455"/>
        <v>0</v>
      </c>
      <c r="FS187" s="65">
        <f t="shared" si="456"/>
        <v>0</v>
      </c>
      <c r="FT187" s="66" t="str">
        <f t="shared" si="457"/>
        <v/>
      </c>
      <c r="FU187" s="74" t="str">
        <f>IF('Marks Entry'!BU187="","",'Marks Entry'!BU187)</f>
        <v/>
      </c>
      <c r="FV187" s="74" t="str">
        <f>IF('Marks Entry'!BV187="","",'Marks Entry'!BV187)</f>
        <v/>
      </c>
      <c r="FW187" s="74" t="str">
        <f>IF('Marks Entry'!BW187="","",'Marks Entry'!BW187)</f>
        <v/>
      </c>
      <c r="FX187" s="75" t="str">
        <f t="shared" si="406"/>
        <v/>
      </c>
      <c r="FY187" s="368" t="str">
        <f t="shared" si="458"/>
        <v/>
      </c>
      <c r="FZ187" s="65">
        <f t="shared" si="459"/>
        <v>0</v>
      </c>
      <c r="GA187" s="66">
        <f t="shared" si="460"/>
        <v>0</v>
      </c>
      <c r="GB187" s="66" t="str">
        <f t="shared" si="461"/>
        <v/>
      </c>
      <c r="GC187" s="74" t="str">
        <f>IF('Marks Entry'!BX187="","",'Marks Entry'!BX187)</f>
        <v/>
      </c>
      <c r="GD187" s="74" t="str">
        <f>IF('Marks Entry'!BY187="","",'Marks Entry'!BY187)</f>
        <v/>
      </c>
      <c r="GE187" s="74" t="str">
        <f>IF('Marks Entry'!BZ187="","",'Marks Entry'!BZ187)</f>
        <v/>
      </c>
      <c r="GF187" s="75" t="str">
        <f t="shared" si="462"/>
        <v/>
      </c>
      <c r="GG187" s="368" t="str">
        <f t="shared" si="463"/>
        <v/>
      </c>
      <c r="GH187" s="65">
        <f t="shared" si="464"/>
        <v>0</v>
      </c>
      <c r="GI187" s="66">
        <f t="shared" si="465"/>
        <v>0</v>
      </c>
      <c r="GJ187" s="66" t="str">
        <f t="shared" si="466"/>
        <v/>
      </c>
      <c r="GK187" s="100" t="str">
        <f>IF(AND(F187="",B187=""),"",IF('Student DATA Entry'!M184="","",'Student DATA Entry'!M184))</f>
        <v/>
      </c>
      <c r="GL187" s="101" t="str">
        <f>IF(AND(B187="",F187=""),"",IF('Student DATA Entry'!N184="","",'Student DATA Entry'!N184))</f>
        <v/>
      </c>
      <c r="GM187" s="581" t="str">
        <f t="shared" si="467"/>
        <v/>
      </c>
      <c r="GN187" s="94" t="str">
        <f t="shared" si="468"/>
        <v/>
      </c>
      <c r="GO187" s="94" t="str">
        <f t="shared" si="469"/>
        <v/>
      </c>
      <c r="GP187" s="102" t="str">
        <f t="shared" si="498"/>
        <v/>
      </c>
      <c r="GQ187" s="94" t="str">
        <f t="shared" si="470"/>
        <v/>
      </c>
      <c r="GR187" s="103" t="str">
        <f t="shared" si="471"/>
        <v/>
      </c>
      <c r="GS187" s="102" t="str">
        <f t="shared" si="499"/>
        <v/>
      </c>
      <c r="GT187" s="104" t="str">
        <f t="shared" si="472"/>
        <v/>
      </c>
      <c r="GU187" s="94" t="str">
        <f>IF('Marks Entry'!V187=1,GT187,"")</f>
        <v/>
      </c>
      <c r="GV187" s="94" t="str">
        <f>IF('Marks Entry'!V187=2,GT187,"")</f>
        <v/>
      </c>
      <c r="GW187" s="94" t="str">
        <f>IF('Marks Entry'!V187=3,GT187,"")</f>
        <v/>
      </c>
      <c r="GX187" s="94" t="str">
        <f>IF('Marks Entry'!V187=4,GT187,"")</f>
        <v/>
      </c>
      <c r="GY187" s="94" t="str">
        <f>IF('Marks Entry'!V187=5,GT187,"")</f>
        <v/>
      </c>
      <c r="GZ187" s="94" t="str">
        <f t="shared" si="473"/>
        <v/>
      </c>
      <c r="HA187" s="105" t="str">
        <f t="shared" si="500"/>
        <v/>
      </c>
      <c r="HB187" s="94" t="str">
        <f t="shared" si="474"/>
        <v/>
      </c>
      <c r="HC187" s="94" t="str">
        <f t="shared" si="475"/>
        <v/>
      </c>
      <c r="HD187" s="105" t="str">
        <f t="shared" si="501"/>
        <v/>
      </c>
      <c r="HE187" s="94" t="str">
        <f t="shared" si="476"/>
        <v/>
      </c>
      <c r="HF187" s="94" t="str">
        <f t="shared" si="477"/>
        <v/>
      </c>
      <c r="HG187" s="105" t="str">
        <f t="shared" si="502"/>
        <v/>
      </c>
      <c r="HH187" s="94" t="str">
        <f t="shared" si="478"/>
        <v/>
      </c>
      <c r="HI187" s="94" t="str">
        <f t="shared" si="479"/>
        <v/>
      </c>
      <c r="HJ187" s="105" t="str">
        <f t="shared" si="503"/>
        <v/>
      </c>
      <c r="HK187" s="94" t="str">
        <f t="shared" si="480"/>
        <v/>
      </c>
      <c r="HL187" s="94" t="str">
        <f t="shared" si="481"/>
        <v/>
      </c>
      <c r="HM187" s="105" t="str">
        <f t="shared" si="504"/>
        <v/>
      </c>
      <c r="HN187" s="367" t="str">
        <f t="shared" si="482"/>
        <v xml:space="preserve">      </v>
      </c>
      <c r="HO187" s="418" t="str">
        <f t="shared" si="505"/>
        <v xml:space="preserve">      </v>
      </c>
      <c r="HP187" s="367" t="str">
        <f t="shared" si="483"/>
        <v xml:space="preserve">      </v>
      </c>
      <c r="HQ187" s="107" t="str">
        <f t="shared" si="484"/>
        <v xml:space="preserve">      </v>
      </c>
      <c r="HR187" s="366" t="str">
        <f t="shared" si="485"/>
        <v xml:space="preserve">      </v>
      </c>
      <c r="HS187" s="544" t="str">
        <f t="shared" si="506"/>
        <v/>
      </c>
      <c r="HT187" s="542" t="str">
        <f t="shared" si="486"/>
        <v/>
      </c>
      <c r="HU187" s="541" t="str">
        <f t="shared" si="487"/>
        <v/>
      </c>
      <c r="HV187" s="540" t="str">
        <f t="shared" si="488"/>
        <v/>
      </c>
      <c r="HW187" s="537" t="str">
        <f t="shared" si="489"/>
        <v/>
      </c>
      <c r="HX187" s="539" t="str">
        <f t="shared" si="490"/>
        <v/>
      </c>
      <c r="HY187" s="553" t="str">
        <f>IFERROR(IF(OR(HS187="SUPPLEMENTARY",HS187="RE-EXAM"),'Supp. Result Entry'!AQ185,""),"")</f>
        <v/>
      </c>
      <c r="HZ187" s="538" t="str">
        <f t="shared" si="491"/>
        <v/>
      </c>
      <c r="IA187" s="415" t="str">
        <f t="shared" si="492"/>
        <v/>
      </c>
      <c r="IB187" s="415" t="str">
        <f>IF(AND(HZ187="",IA187=""),"",IF(OR(HS187="SUPPLEMENTARY",HS187="RE-EXAM"),'Supp. Result Entry'!AQ185,HS187))</f>
        <v/>
      </c>
      <c r="IC187" s="87"/>
      <c r="IS187" s="109" t="str">
        <f>IF('Supp. Result Entry'!T185="","",'Supp. Result Entry'!$T$4)</f>
        <v/>
      </c>
      <c r="IT187" s="110" t="str">
        <f>IF('Supp. Result Entry'!W185="","",'Supp. Result Entry'!$W$4)</f>
        <v/>
      </c>
      <c r="IU187" s="110" t="str">
        <f>IF('Supp. Result Entry'!Z185="","",'Supp. Result Entry'!$Z$4)</f>
        <v/>
      </c>
      <c r="IV187" s="110" t="str">
        <f>IF('Supp. Result Entry'!AC185="","",'Supp. Result Entry'!$AC$4)</f>
        <v/>
      </c>
      <c r="IW187" s="110" t="str">
        <f>IF('Supp. Result Entry'!AF185="","",'Supp. Result Entry'!$AF$4)</f>
        <v/>
      </c>
      <c r="IX187" s="110" t="str">
        <f>IF('Supp. Result Entry'!AI185="","",'Supp. Result Entry'!$AI$4)</f>
        <v/>
      </c>
      <c r="IY187" s="110" t="str">
        <f>IF('Supp. Result Entry'!AI185="","",'Supp. Result Entry'!$AL$4)</f>
        <v/>
      </c>
      <c r="IZ187" s="110" t="str">
        <f>IF('Supp. Result Entry'!U185="","",'Supp. Result Entry'!U185)</f>
        <v/>
      </c>
      <c r="JA187" s="110" t="str">
        <f>IF('Supp. Result Entry'!X185="","",'Supp. Result Entry'!X185)</f>
        <v/>
      </c>
      <c r="JB187" s="110" t="str">
        <f>IF('Supp. Result Entry'!AA185="","",'Supp. Result Entry'!AA185)</f>
        <v/>
      </c>
      <c r="JC187" s="110" t="str">
        <f>IF('Supp. Result Entry'!AD185="","",'Supp. Result Entry'!AD185)</f>
        <v/>
      </c>
      <c r="JD187" s="110" t="str">
        <f>IF('Supp. Result Entry'!AG185="","",'Supp. Result Entry'!AG185)</f>
        <v/>
      </c>
      <c r="JE187" s="110" t="str">
        <f>IF('Supp. Result Entry'!AJ185="","",'Supp. Result Entry'!AJ185)</f>
        <v/>
      </c>
      <c r="JF187" s="110" t="str">
        <f>IF('Supp. Result Entry'!AM185="","",'Supp. Result Entry'!AM185)</f>
        <v/>
      </c>
      <c r="JG187" s="110" t="str">
        <f>IF('Supp. Result Entry'!V185="","",'Supp. Result Entry'!V185)</f>
        <v/>
      </c>
      <c r="JH187" s="110" t="str">
        <f>IF('Supp. Result Entry'!Y185="","",'Supp. Result Entry'!Y185)</f>
        <v/>
      </c>
      <c r="JI187" s="110" t="str">
        <f>IF('Supp. Result Entry'!AB185="","",'Supp. Result Entry'!AB185)</f>
        <v/>
      </c>
      <c r="JJ187" s="110" t="str">
        <f>IF('Supp. Result Entry'!AE185="","",'Supp. Result Entry'!AE185)</f>
        <v/>
      </c>
      <c r="JK187" s="110" t="str">
        <f>IF('Supp. Result Entry'!AH185="","",'Supp. Result Entry'!AH185)</f>
        <v/>
      </c>
      <c r="JL187" s="110" t="str">
        <f>IF('Supp. Result Entry'!AK185="","",'Supp. Result Entry'!AK185)</f>
        <v/>
      </c>
      <c r="JM187" s="110" t="str">
        <f>IF('Supp. Result Entry'!AN185="","",'Supp. Result Entry'!AN185)</f>
        <v/>
      </c>
      <c r="JN187" s="110">
        <f>COUNTIF('Supp. Result Entry'!K185:Q185,"S")</f>
        <v>0</v>
      </c>
      <c r="JO187" s="110">
        <f t="shared" si="416"/>
        <v>0</v>
      </c>
      <c r="JP187" s="110">
        <f t="shared" si="493"/>
        <v>0</v>
      </c>
      <c r="JQ187" s="110" t="str">
        <f t="shared" si="417"/>
        <v/>
      </c>
      <c r="JR187" s="110" t="str">
        <f t="shared" si="418"/>
        <v/>
      </c>
      <c r="JS187" s="110" t="str">
        <f t="shared" si="419"/>
        <v/>
      </c>
      <c r="JT187" s="110" t="str">
        <f t="shared" si="420"/>
        <v/>
      </c>
      <c r="JU187" s="110" t="str">
        <f t="shared" si="421"/>
        <v/>
      </c>
      <c r="JV187" s="110" t="str">
        <f t="shared" si="422"/>
        <v/>
      </c>
      <c r="JW187" s="110" t="str">
        <f t="shared" si="423"/>
        <v/>
      </c>
      <c r="JX187" s="110" t="str">
        <f t="shared" si="494"/>
        <v/>
      </c>
      <c r="JY187" s="110" t="str">
        <f t="shared" si="495"/>
        <v/>
      </c>
      <c r="JZ187" s="110" t="str">
        <f t="shared" si="424"/>
        <v/>
      </c>
      <c r="KA187" s="108" t="str">
        <f t="shared" si="496"/>
        <v/>
      </c>
    </row>
    <row r="188" spans="1:287" s="108" customFormat="1" ht="21.95" customHeight="1">
      <c r="A188" s="89">
        <v>182</v>
      </c>
      <c r="B188" s="90" t="str">
        <f>IF('Marks Entry'!B188="","",'Marks Entry'!B188)</f>
        <v/>
      </c>
      <c r="C188" s="94" t="str">
        <f>IF('Marks Entry'!D188="","",'Marks Entry'!D188)</f>
        <v/>
      </c>
      <c r="D188" s="91" t="str">
        <f>IF('Marks Entry'!E188="","",'Marks Entry'!E188)</f>
        <v/>
      </c>
      <c r="E188" s="92" t="str">
        <f>IF('Marks Entry'!F188="","",'Marks Entry'!F188)</f>
        <v/>
      </c>
      <c r="F188" s="93" t="str">
        <f>IF('Marks Entry'!G188="","",'Marks Entry'!G188)</f>
        <v/>
      </c>
      <c r="G188" s="93" t="str">
        <f>IF('Marks Entry'!H188="","",'Marks Entry'!H188)</f>
        <v/>
      </c>
      <c r="H188" s="93" t="str">
        <f>IF('Marks Entry'!I188="","",'Marks Entry'!I188)</f>
        <v/>
      </c>
      <c r="I188" s="94" t="str">
        <f>IF('Marks Entry'!J188="","",'Marks Entry'!J188)</f>
        <v/>
      </c>
      <c r="J188" s="95" t="str">
        <f>IF('Marks Entry'!K188="","",'Marks Entry'!K188)</f>
        <v/>
      </c>
      <c r="K188" s="68" t="str">
        <f>IF('Marks Entry'!L188="","",'Marks Entry'!L188)</f>
        <v/>
      </c>
      <c r="L188" s="68" t="str">
        <f>IF('Marks Entry'!M188="","",'Marks Entry'!M188)</f>
        <v/>
      </c>
      <c r="M188" s="68" t="str">
        <f>IF('Marks Entry'!N188="","",'Marks Entry'!N188)</f>
        <v/>
      </c>
      <c r="N188" s="514" t="str">
        <f t="shared" si="425"/>
        <v/>
      </c>
      <c r="O188" s="68" t="str">
        <f>IF('Marks Entry'!O188="","",'Marks Entry'!O188)</f>
        <v/>
      </c>
      <c r="P188" s="515" t="str">
        <f t="shared" si="426"/>
        <v/>
      </c>
      <c r="Q188" s="68" t="str">
        <f>IF('Marks Entry'!P188="","",'Marks Entry'!P188)</f>
        <v/>
      </c>
      <c r="R188" s="96" t="str">
        <f t="shared" si="427"/>
        <v/>
      </c>
      <c r="S188" s="65">
        <f t="shared" si="428"/>
        <v>0</v>
      </c>
      <c r="T188" s="65">
        <f t="shared" si="429"/>
        <v>0</v>
      </c>
      <c r="U188" s="66" t="str">
        <f t="shared" si="339"/>
        <v/>
      </c>
      <c r="V188" s="65" t="str">
        <f t="shared" si="340"/>
        <v/>
      </c>
      <c r="W188" s="65" t="str">
        <f t="shared" si="430"/>
        <v/>
      </c>
      <c r="X188" s="65" t="str">
        <f t="shared" si="341"/>
        <v/>
      </c>
      <c r="Y188" s="68" t="str">
        <f>IF('Marks Entry'!Q188="","",'Marks Entry'!Q188)</f>
        <v/>
      </c>
      <c r="Z188" s="68" t="str">
        <f>IF('Marks Entry'!R188="","",'Marks Entry'!R188)</f>
        <v/>
      </c>
      <c r="AA188" s="68" t="str">
        <f>IF('Marks Entry'!S188="","",'Marks Entry'!S188)</f>
        <v/>
      </c>
      <c r="AB188" s="514" t="str">
        <f t="shared" si="342"/>
        <v/>
      </c>
      <c r="AC188" s="68" t="str">
        <f>IF('Marks Entry'!T188="","",'Marks Entry'!T188)</f>
        <v/>
      </c>
      <c r="AD188" s="515" t="str">
        <f t="shared" si="343"/>
        <v/>
      </c>
      <c r="AE188" s="68" t="str">
        <f>IF('Marks Entry'!U188="","",'Marks Entry'!U188)</f>
        <v/>
      </c>
      <c r="AF188" s="96" t="str">
        <f t="shared" si="344"/>
        <v/>
      </c>
      <c r="AG188" s="65">
        <f t="shared" si="345"/>
        <v>0</v>
      </c>
      <c r="AH188" s="65">
        <f t="shared" si="346"/>
        <v>0</v>
      </c>
      <c r="AI188" s="66" t="str">
        <f t="shared" si="347"/>
        <v/>
      </c>
      <c r="AJ188" s="65" t="str">
        <f t="shared" si="348"/>
        <v/>
      </c>
      <c r="AK188" s="65" t="str">
        <f t="shared" si="349"/>
        <v/>
      </c>
      <c r="AL188" s="65" t="str">
        <f t="shared" si="350"/>
        <v/>
      </c>
      <c r="AM188" s="524" t="str">
        <f>IF('Marks Entry'!V188="","",IF('Marks Entry'!V188=1,'School Profile'!$I$9,IF('Marks Entry'!V188=2,'School Profile'!$I$10,IF('Marks Entry'!V188=3,'School Profile'!$I$11,IF('Marks Entry'!V188=4,'School Profile'!$I$12,IF('Marks Entry'!V188=5,'School Profile'!$I$13,IF('Marks Entry'!V188=6,'School Profile'!$I$14,"")))))))</f>
        <v/>
      </c>
      <c r="AN188" s="68" t="str">
        <f>IF('Marks Entry'!W188="","",'Marks Entry'!W188)</f>
        <v/>
      </c>
      <c r="AO188" s="68" t="str">
        <f>IF('Marks Entry'!X188="","",'Marks Entry'!X188)</f>
        <v/>
      </c>
      <c r="AP188" s="68" t="str">
        <f>IF('Marks Entry'!Y188="","",'Marks Entry'!Y188)</f>
        <v/>
      </c>
      <c r="AQ188" s="514" t="str">
        <f t="shared" si="351"/>
        <v/>
      </c>
      <c r="AR188" s="68" t="str">
        <f>IF('Marks Entry'!Z188="","",'Marks Entry'!Z188)</f>
        <v/>
      </c>
      <c r="AS188" s="515" t="str">
        <f t="shared" si="352"/>
        <v/>
      </c>
      <c r="AT188" s="68" t="str">
        <f>IF('Marks Entry'!AA188="","",'Marks Entry'!AA188)</f>
        <v/>
      </c>
      <c r="AU188" s="96" t="str">
        <f t="shared" si="353"/>
        <v/>
      </c>
      <c r="AV188" s="65">
        <f t="shared" si="354"/>
        <v>0</v>
      </c>
      <c r="AW188" s="65">
        <f t="shared" si="355"/>
        <v>0</v>
      </c>
      <c r="AX188" s="66" t="str">
        <f t="shared" si="356"/>
        <v/>
      </c>
      <c r="AY188" s="65" t="str">
        <f t="shared" si="357"/>
        <v/>
      </c>
      <c r="AZ188" s="65" t="str">
        <f t="shared" si="358"/>
        <v/>
      </c>
      <c r="BA188" s="65" t="str">
        <f t="shared" si="359"/>
        <v/>
      </c>
      <c r="BB188" s="68" t="str">
        <f>IF('Marks Entry'!AB188="","",'Marks Entry'!AB188)</f>
        <v/>
      </c>
      <c r="BC188" s="68" t="str">
        <f>IF('Marks Entry'!AC188="","",'Marks Entry'!AC188)</f>
        <v/>
      </c>
      <c r="BD188" s="68" t="str">
        <f>IF('Marks Entry'!AD188="","",'Marks Entry'!AD188)</f>
        <v/>
      </c>
      <c r="BE188" s="514" t="str">
        <f t="shared" si="360"/>
        <v/>
      </c>
      <c r="BF188" s="68" t="str">
        <f>IF('Marks Entry'!AE188="","",'Marks Entry'!AE188)</f>
        <v/>
      </c>
      <c r="BG188" s="515" t="str">
        <f t="shared" si="361"/>
        <v/>
      </c>
      <c r="BH188" s="68" t="str">
        <f>IF('Marks Entry'!AF188="","",'Marks Entry'!AF188)</f>
        <v/>
      </c>
      <c r="BI188" s="96" t="str">
        <f t="shared" si="362"/>
        <v/>
      </c>
      <c r="BJ188" s="65">
        <f t="shared" si="363"/>
        <v>0</v>
      </c>
      <c r="BK188" s="65">
        <f t="shared" si="431"/>
        <v>0</v>
      </c>
      <c r="BL188" s="66" t="str">
        <f t="shared" si="364"/>
        <v/>
      </c>
      <c r="BM188" s="65" t="str">
        <f t="shared" si="365"/>
        <v/>
      </c>
      <c r="BN188" s="65" t="str">
        <f t="shared" si="366"/>
        <v/>
      </c>
      <c r="BO188" s="65" t="str">
        <f t="shared" si="367"/>
        <v/>
      </c>
      <c r="BP188" s="68" t="str">
        <f>IF('Marks Entry'!AG188="","",'Marks Entry'!AG188)</f>
        <v/>
      </c>
      <c r="BQ188" s="68" t="str">
        <f>IF('Marks Entry'!AH188="","",'Marks Entry'!AH188)</f>
        <v/>
      </c>
      <c r="BR188" s="68" t="str">
        <f>IF('Marks Entry'!AI188="","",'Marks Entry'!AI188)</f>
        <v/>
      </c>
      <c r="BS188" s="514" t="str">
        <f t="shared" si="368"/>
        <v/>
      </c>
      <c r="BT188" s="68" t="str">
        <f>IF('Marks Entry'!AJ188="","",'Marks Entry'!AJ188)</f>
        <v/>
      </c>
      <c r="BU188" s="515" t="str">
        <f t="shared" si="369"/>
        <v/>
      </c>
      <c r="BV188" s="68" t="str">
        <f>IF('Marks Entry'!AK188="","",'Marks Entry'!AK188)</f>
        <v/>
      </c>
      <c r="BW188" s="96" t="str">
        <f t="shared" si="370"/>
        <v/>
      </c>
      <c r="BX188" s="65">
        <f t="shared" si="371"/>
        <v>0</v>
      </c>
      <c r="BY188" s="65">
        <f t="shared" si="372"/>
        <v>0</v>
      </c>
      <c r="BZ188" s="66" t="str">
        <f t="shared" si="373"/>
        <v/>
      </c>
      <c r="CA188" s="65" t="str">
        <f t="shared" si="374"/>
        <v/>
      </c>
      <c r="CB188" s="65" t="str">
        <f t="shared" si="375"/>
        <v/>
      </c>
      <c r="CC188" s="65" t="str">
        <f t="shared" si="376"/>
        <v/>
      </c>
      <c r="CD188" s="66">
        <f t="shared" si="497"/>
        <v>0</v>
      </c>
      <c r="CE188" s="68" t="str">
        <f>IF('Marks Entry'!AL188="","",'Marks Entry'!AL188)</f>
        <v/>
      </c>
      <c r="CF188" s="68" t="str">
        <f>IF('Marks Entry'!AM188="","",'Marks Entry'!AM188)</f>
        <v/>
      </c>
      <c r="CG188" s="68" t="str">
        <f>IF('Marks Entry'!AN188="","",'Marks Entry'!AN188)</f>
        <v/>
      </c>
      <c r="CH188" s="514" t="str">
        <f t="shared" si="378"/>
        <v/>
      </c>
      <c r="CI188" s="68" t="str">
        <f>IF('Marks Entry'!AO188="","",'Marks Entry'!AO188)</f>
        <v/>
      </c>
      <c r="CJ188" s="515" t="str">
        <f t="shared" si="379"/>
        <v/>
      </c>
      <c r="CK188" s="68" t="str">
        <f>IF('Marks Entry'!AP188="","",'Marks Entry'!AP188)</f>
        <v/>
      </c>
      <c r="CL188" s="96" t="str">
        <f t="shared" si="380"/>
        <v/>
      </c>
      <c r="CM188" s="65">
        <f t="shared" si="381"/>
        <v>0</v>
      </c>
      <c r="CN188" s="65">
        <f t="shared" si="382"/>
        <v>0</v>
      </c>
      <c r="CO188" s="66" t="str">
        <f t="shared" si="383"/>
        <v/>
      </c>
      <c r="CP188" s="65" t="str">
        <f t="shared" si="384"/>
        <v/>
      </c>
      <c r="CQ188" s="65" t="str">
        <f t="shared" si="385"/>
        <v/>
      </c>
      <c r="CR188" s="65" t="str">
        <f t="shared" si="386"/>
        <v/>
      </c>
      <c r="CS188" s="616"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8" t="str">
        <f>IF('School Profile'!$D$20="NO","",IF('Marks Entry'!AR188="","",'Marks Entry'!AR188))</f>
        <v/>
      </c>
      <c r="CU188" s="68" t="str">
        <f>IF('School Profile'!$D$20="NO","",IF('Marks Entry'!AS188="","",'Marks Entry'!AS188))</f>
        <v/>
      </c>
      <c r="CV188" s="68" t="str">
        <f>IF('School Profile'!$D$20="NO","",IF('Marks Entry'!AT188="","",'Marks Entry'!AT188))</f>
        <v/>
      </c>
      <c r="CW188" s="514" t="str">
        <f>IF('School Profile'!$D$20="NO","",IF(AND(CT188="",CU188="",CV188=""),"",SUM(CT188:CV188)))</f>
        <v/>
      </c>
      <c r="CX188" s="68" t="str">
        <f>IF('School Profile'!$D$20="NO","",IF('Marks Entry'!AU188="","",'Marks Entry'!AU188))</f>
        <v/>
      </c>
      <c r="CY188" s="68" t="str">
        <f>IF('School Profile'!$D$20="NO","",IF('Marks Entry'!AV188="","",'Marks Entry'!AV188))</f>
        <v/>
      </c>
      <c r="CZ188" s="515" t="str">
        <f>IF('School Profile'!$D$20="NO","",IF(AND(CX188="",CY188=""),"",SUM(CX188,CY188)))</f>
        <v/>
      </c>
      <c r="DA188" s="69" t="str">
        <f>IF('School Profile'!$D$20="NO","",IF(AND(CW188="",CZ188=""),"",SUM(CW188+CZ188)))</f>
        <v/>
      </c>
      <c r="DB188" s="68" t="str">
        <f>IF('School Profile'!$D$20="NO","",IF('Marks Entry'!AW188="","",'Marks Entry'!AW188))</f>
        <v/>
      </c>
      <c r="DC188" s="68" t="str">
        <f>IF('School Profile'!$D$20="NO","",IF('Marks Entry'!AX188="","",'Marks Entry'!AX188))</f>
        <v/>
      </c>
      <c r="DD188" s="515" t="str">
        <f>IF('School Profile'!$D$20="NO","",IF(AND(DB188="",DC188=""),"",SUM(DB188,DC188)))</f>
        <v/>
      </c>
      <c r="DE188" s="96" t="str">
        <f>IF('School Profile'!$D$20="NO","",IF(AND(DA188="",DD188=""),"",SUM(DA188,DD188)))</f>
        <v/>
      </c>
      <c r="DF188" s="532">
        <f t="shared" si="387"/>
        <v>0</v>
      </c>
      <c r="DG188" s="65">
        <f t="shared" si="388"/>
        <v>0</v>
      </c>
      <c r="DH188" s="66" t="str">
        <f t="shared" si="389"/>
        <v/>
      </c>
      <c r="DI188" s="65" t="str">
        <f t="shared" si="390"/>
        <v/>
      </c>
      <c r="DJ188" s="65" t="str">
        <f t="shared" si="391"/>
        <v/>
      </c>
      <c r="DK188" s="65" t="str">
        <f t="shared" si="392"/>
        <v/>
      </c>
      <c r="DL188" s="97" t="str">
        <f t="shared" si="432"/>
        <v/>
      </c>
      <c r="DM188" s="97" t="str">
        <f t="shared" si="433"/>
        <v/>
      </c>
      <c r="DN188" s="97" t="str">
        <f t="shared" si="434"/>
        <v/>
      </c>
      <c r="DO188" s="97" t="str">
        <f t="shared" si="435"/>
        <v/>
      </c>
      <c r="DP188" s="97" t="str">
        <f t="shared" si="436"/>
        <v/>
      </c>
      <c r="DQ188" s="97" t="str">
        <f t="shared" si="437"/>
        <v/>
      </c>
      <c r="DR188" s="97" t="str">
        <f t="shared" si="438"/>
        <v/>
      </c>
      <c r="DS188" s="98">
        <f t="shared" si="439"/>
        <v>0</v>
      </c>
      <c r="DT188" s="98">
        <f t="shared" si="440"/>
        <v>0</v>
      </c>
      <c r="DU188" s="98">
        <f t="shared" si="441"/>
        <v>0</v>
      </c>
      <c r="DV188" s="98">
        <f t="shared" si="442"/>
        <v>0</v>
      </c>
      <c r="DW188" s="98">
        <f t="shared" si="443"/>
        <v>0</v>
      </c>
      <c r="DX188" s="98" t="str">
        <f t="shared" si="444"/>
        <v/>
      </c>
      <c r="DY188" s="99" t="str">
        <f t="shared" si="445"/>
        <v/>
      </c>
      <c r="DZ188" s="74" t="str">
        <f>IF('Marks Entry'!AY188="","",'Marks Entry'!AY188)</f>
        <v/>
      </c>
      <c r="EA188" s="74" t="str">
        <f>IF('Marks Entry'!AZ188="","",'Marks Entry'!AZ188)</f>
        <v/>
      </c>
      <c r="EB188" s="74" t="str">
        <f>IF('Marks Entry'!BA188="","",'Marks Entry'!BA188)</f>
        <v/>
      </c>
      <c r="EC188" s="527" t="str">
        <f t="shared" si="393"/>
        <v/>
      </c>
      <c r="ED188" s="74" t="str">
        <f>IF('Marks Entry'!BB188="","",'Marks Entry'!BB188)</f>
        <v/>
      </c>
      <c r="EE188" s="528" t="str">
        <f t="shared" si="394"/>
        <v/>
      </c>
      <c r="EF188" s="74" t="str">
        <f>IF('Marks Entry'!BC188="","",'Marks Entry'!BC188)</f>
        <v/>
      </c>
      <c r="EG188" s="530" t="str">
        <f t="shared" si="395"/>
        <v/>
      </c>
      <c r="EH188" s="368" t="str">
        <f t="shared" si="446"/>
        <v/>
      </c>
      <c r="EI188" s="65">
        <f t="shared" si="447"/>
        <v>0</v>
      </c>
      <c r="EJ188" s="65">
        <f t="shared" si="448"/>
        <v>0</v>
      </c>
      <c r="EK188" s="66" t="str">
        <f t="shared" si="449"/>
        <v/>
      </c>
      <c r="EL188" s="74" t="str">
        <f>IF('Marks Entry'!BD188="","",'Marks Entry'!BD188)</f>
        <v/>
      </c>
      <c r="EM188" s="74" t="str">
        <f>IF('Marks Entry'!BE188="","",'Marks Entry'!BE188)</f>
        <v/>
      </c>
      <c r="EN188" s="74" t="str">
        <f>IF('Marks Entry'!BF188="","",'Marks Entry'!BF188)</f>
        <v/>
      </c>
      <c r="EO188" s="527" t="str">
        <f t="shared" si="396"/>
        <v/>
      </c>
      <c r="EP188" s="74" t="str">
        <f>IF('Marks Entry'!BG188="","",'Marks Entry'!BG188)</f>
        <v/>
      </c>
      <c r="EQ188" s="74" t="str">
        <f>IF('Marks Entry'!BH188="","",'Marks Entry'!BH188)</f>
        <v/>
      </c>
      <c r="ER188" s="528" t="str">
        <f t="shared" si="397"/>
        <v/>
      </c>
      <c r="ES188" s="529" t="str">
        <f t="shared" si="398"/>
        <v/>
      </c>
      <c r="ET188" s="74" t="str">
        <f>IF('Marks Entry'!BI188="","",'Marks Entry'!BI188)</f>
        <v/>
      </c>
      <c r="EU188" s="74" t="str">
        <f>IF('Marks Entry'!BJ188="","",'Marks Entry'!BJ188)</f>
        <v/>
      </c>
      <c r="EV188" s="528" t="str">
        <f t="shared" si="399"/>
        <v/>
      </c>
      <c r="EW188" s="530" t="str">
        <f t="shared" si="400"/>
        <v/>
      </c>
      <c r="EX188" s="368" t="str">
        <f t="shared" si="450"/>
        <v/>
      </c>
      <c r="EY188" s="65">
        <f t="shared" si="451"/>
        <v>0</v>
      </c>
      <c r="EZ188" s="65">
        <f t="shared" si="452"/>
        <v>0</v>
      </c>
      <c r="FA188" s="66" t="str">
        <f t="shared" si="453"/>
        <v/>
      </c>
      <c r="FB188" s="74" t="str">
        <f>IF('Marks Entry'!BK188="","",'Marks Entry'!BK188)</f>
        <v/>
      </c>
      <c r="FC188" s="74" t="str">
        <f>IF('Marks Entry'!BL188="","",'Marks Entry'!BL188)</f>
        <v/>
      </c>
      <c r="FD188" s="74" t="str">
        <f>IF('Marks Entry'!BM188="","",'Marks Entry'!BM188)</f>
        <v/>
      </c>
      <c r="FE188" s="74" t="str">
        <f>IF('Marks Entry'!BN188="","",'Marks Entry'!BN188)</f>
        <v/>
      </c>
      <c r="FF188" s="74" t="str">
        <f>IF('Marks Entry'!BO188="","",'Marks Entry'!BO188)</f>
        <v/>
      </c>
      <c r="FG188" s="74" t="str">
        <f>IF('Marks Entry'!BP188="","",'Marks Entry'!BP188)</f>
        <v/>
      </c>
      <c r="FH188" s="527" t="str">
        <f t="shared" si="401"/>
        <v/>
      </c>
      <c r="FI188" s="74" t="str">
        <f>IF('Marks Entry'!BQ188="","",'Marks Entry'!BQ188)</f>
        <v/>
      </c>
      <c r="FJ188" s="74" t="str">
        <f>IF('Marks Entry'!BR188="","",'Marks Entry'!BR188)</f>
        <v/>
      </c>
      <c r="FK188" s="528" t="str">
        <f t="shared" si="402"/>
        <v/>
      </c>
      <c r="FL188" s="529" t="str">
        <f t="shared" si="403"/>
        <v/>
      </c>
      <c r="FM188" s="74" t="str">
        <f>IF('Marks Entry'!BS188="","",'Marks Entry'!BS188)</f>
        <v/>
      </c>
      <c r="FN188" s="74" t="str">
        <f>IF('Marks Entry'!BT188="","",'Marks Entry'!BT188)</f>
        <v/>
      </c>
      <c r="FO188" s="528" t="str">
        <f t="shared" si="404"/>
        <v/>
      </c>
      <c r="FP188" s="530" t="str">
        <f t="shared" si="405"/>
        <v/>
      </c>
      <c r="FQ188" s="368" t="str">
        <f t="shared" si="454"/>
        <v/>
      </c>
      <c r="FR188" s="65">
        <f t="shared" si="455"/>
        <v>0</v>
      </c>
      <c r="FS188" s="65">
        <f t="shared" si="456"/>
        <v>0</v>
      </c>
      <c r="FT188" s="66" t="str">
        <f t="shared" si="457"/>
        <v/>
      </c>
      <c r="FU188" s="74" t="str">
        <f>IF('Marks Entry'!BU188="","",'Marks Entry'!BU188)</f>
        <v/>
      </c>
      <c r="FV188" s="74" t="str">
        <f>IF('Marks Entry'!BV188="","",'Marks Entry'!BV188)</f>
        <v/>
      </c>
      <c r="FW188" s="74" t="str">
        <f>IF('Marks Entry'!BW188="","",'Marks Entry'!BW188)</f>
        <v/>
      </c>
      <c r="FX188" s="75" t="str">
        <f t="shared" si="406"/>
        <v/>
      </c>
      <c r="FY188" s="368" t="str">
        <f t="shared" si="458"/>
        <v/>
      </c>
      <c r="FZ188" s="65">
        <f t="shared" si="459"/>
        <v>0</v>
      </c>
      <c r="GA188" s="66">
        <f t="shared" si="460"/>
        <v>0</v>
      </c>
      <c r="GB188" s="66" t="str">
        <f t="shared" si="461"/>
        <v/>
      </c>
      <c r="GC188" s="74" t="str">
        <f>IF('Marks Entry'!BX188="","",'Marks Entry'!BX188)</f>
        <v/>
      </c>
      <c r="GD188" s="74" t="str">
        <f>IF('Marks Entry'!BY188="","",'Marks Entry'!BY188)</f>
        <v/>
      </c>
      <c r="GE188" s="74" t="str">
        <f>IF('Marks Entry'!BZ188="","",'Marks Entry'!BZ188)</f>
        <v/>
      </c>
      <c r="GF188" s="75" t="str">
        <f t="shared" si="462"/>
        <v/>
      </c>
      <c r="GG188" s="368" t="str">
        <f t="shared" si="463"/>
        <v/>
      </c>
      <c r="GH188" s="65">
        <f t="shared" si="464"/>
        <v>0</v>
      </c>
      <c r="GI188" s="66">
        <f t="shared" si="465"/>
        <v>0</v>
      </c>
      <c r="GJ188" s="66" t="str">
        <f t="shared" si="466"/>
        <v/>
      </c>
      <c r="GK188" s="100" t="str">
        <f>IF(AND(F188="",B188=""),"",IF('Student DATA Entry'!M185="","",'Student DATA Entry'!M185))</f>
        <v/>
      </c>
      <c r="GL188" s="101" t="str">
        <f>IF(AND(B188="",F188=""),"",IF('Student DATA Entry'!N185="","",'Student DATA Entry'!N185))</f>
        <v/>
      </c>
      <c r="GM188" s="581" t="str">
        <f t="shared" si="467"/>
        <v/>
      </c>
      <c r="GN188" s="94" t="str">
        <f t="shared" si="468"/>
        <v/>
      </c>
      <c r="GO188" s="94" t="str">
        <f t="shared" si="469"/>
        <v/>
      </c>
      <c r="GP188" s="102" t="str">
        <f t="shared" si="498"/>
        <v/>
      </c>
      <c r="GQ188" s="94" t="str">
        <f t="shared" si="470"/>
        <v/>
      </c>
      <c r="GR188" s="103" t="str">
        <f t="shared" si="471"/>
        <v/>
      </c>
      <c r="GS188" s="102" t="str">
        <f t="shared" si="499"/>
        <v/>
      </c>
      <c r="GT188" s="104" t="str">
        <f t="shared" si="472"/>
        <v/>
      </c>
      <c r="GU188" s="94" t="str">
        <f>IF('Marks Entry'!V188=1,GT188,"")</f>
        <v/>
      </c>
      <c r="GV188" s="94" t="str">
        <f>IF('Marks Entry'!V188=2,GT188,"")</f>
        <v/>
      </c>
      <c r="GW188" s="94" t="str">
        <f>IF('Marks Entry'!V188=3,GT188,"")</f>
        <v/>
      </c>
      <c r="GX188" s="94" t="str">
        <f>IF('Marks Entry'!V188=4,GT188,"")</f>
        <v/>
      </c>
      <c r="GY188" s="94" t="str">
        <f>IF('Marks Entry'!V188=5,GT188,"")</f>
        <v/>
      </c>
      <c r="GZ188" s="94" t="str">
        <f t="shared" si="473"/>
        <v/>
      </c>
      <c r="HA188" s="105" t="str">
        <f t="shared" si="500"/>
        <v/>
      </c>
      <c r="HB188" s="94" t="str">
        <f t="shared" si="474"/>
        <v/>
      </c>
      <c r="HC188" s="94" t="str">
        <f t="shared" si="475"/>
        <v/>
      </c>
      <c r="HD188" s="105" t="str">
        <f t="shared" si="501"/>
        <v/>
      </c>
      <c r="HE188" s="94" t="str">
        <f t="shared" si="476"/>
        <v/>
      </c>
      <c r="HF188" s="94" t="str">
        <f t="shared" si="477"/>
        <v/>
      </c>
      <c r="HG188" s="105" t="str">
        <f t="shared" si="502"/>
        <v/>
      </c>
      <c r="HH188" s="94" t="str">
        <f t="shared" si="478"/>
        <v/>
      </c>
      <c r="HI188" s="94" t="str">
        <f t="shared" si="479"/>
        <v/>
      </c>
      <c r="HJ188" s="105" t="str">
        <f t="shared" si="503"/>
        <v/>
      </c>
      <c r="HK188" s="94" t="str">
        <f t="shared" si="480"/>
        <v/>
      </c>
      <c r="HL188" s="94" t="str">
        <f t="shared" si="481"/>
        <v/>
      </c>
      <c r="HM188" s="105" t="str">
        <f t="shared" si="504"/>
        <v/>
      </c>
      <c r="HN188" s="367" t="str">
        <f t="shared" si="482"/>
        <v xml:space="preserve">      </v>
      </c>
      <c r="HO188" s="418" t="str">
        <f t="shared" si="505"/>
        <v xml:space="preserve">      </v>
      </c>
      <c r="HP188" s="367" t="str">
        <f t="shared" si="483"/>
        <v xml:space="preserve">      </v>
      </c>
      <c r="HQ188" s="107" t="str">
        <f t="shared" si="484"/>
        <v xml:space="preserve">      </v>
      </c>
      <c r="HR188" s="366" t="str">
        <f t="shared" si="485"/>
        <v xml:space="preserve">      </v>
      </c>
      <c r="HS188" s="544" t="str">
        <f t="shared" si="506"/>
        <v/>
      </c>
      <c r="HT188" s="542" t="str">
        <f t="shared" si="486"/>
        <v/>
      </c>
      <c r="HU188" s="541" t="str">
        <f t="shared" si="487"/>
        <v/>
      </c>
      <c r="HV188" s="540" t="str">
        <f t="shared" si="488"/>
        <v/>
      </c>
      <c r="HW188" s="537" t="str">
        <f t="shared" si="489"/>
        <v/>
      </c>
      <c r="HX188" s="539" t="str">
        <f t="shared" si="490"/>
        <v/>
      </c>
      <c r="HY188" s="553" t="str">
        <f>IFERROR(IF(OR(HS188="SUPPLEMENTARY",HS188="RE-EXAM"),'Supp. Result Entry'!AQ186,""),"")</f>
        <v/>
      </c>
      <c r="HZ188" s="538" t="str">
        <f t="shared" si="491"/>
        <v/>
      </c>
      <c r="IA188" s="415" t="str">
        <f t="shared" si="492"/>
        <v/>
      </c>
      <c r="IB188" s="415" t="str">
        <f>IF(AND(HZ188="",IA188=""),"",IF(OR(HS188="SUPPLEMENTARY",HS188="RE-EXAM"),'Supp. Result Entry'!AQ186,HS188))</f>
        <v/>
      </c>
      <c r="IC188" s="87"/>
      <c r="IS188" s="109" t="str">
        <f>IF('Supp. Result Entry'!T186="","",'Supp. Result Entry'!$T$4)</f>
        <v/>
      </c>
      <c r="IT188" s="110" t="str">
        <f>IF('Supp. Result Entry'!W186="","",'Supp. Result Entry'!$W$4)</f>
        <v/>
      </c>
      <c r="IU188" s="110" t="str">
        <f>IF('Supp. Result Entry'!Z186="","",'Supp. Result Entry'!$Z$4)</f>
        <v/>
      </c>
      <c r="IV188" s="110" t="str">
        <f>IF('Supp. Result Entry'!AC186="","",'Supp. Result Entry'!$AC$4)</f>
        <v/>
      </c>
      <c r="IW188" s="110" t="str">
        <f>IF('Supp. Result Entry'!AF186="","",'Supp. Result Entry'!$AF$4)</f>
        <v/>
      </c>
      <c r="IX188" s="110" t="str">
        <f>IF('Supp. Result Entry'!AI186="","",'Supp. Result Entry'!$AI$4)</f>
        <v/>
      </c>
      <c r="IY188" s="110" t="str">
        <f>IF('Supp. Result Entry'!AI186="","",'Supp. Result Entry'!$AL$4)</f>
        <v/>
      </c>
      <c r="IZ188" s="110" t="str">
        <f>IF('Supp. Result Entry'!U186="","",'Supp. Result Entry'!U186)</f>
        <v/>
      </c>
      <c r="JA188" s="110" t="str">
        <f>IF('Supp. Result Entry'!X186="","",'Supp. Result Entry'!X186)</f>
        <v/>
      </c>
      <c r="JB188" s="110" t="str">
        <f>IF('Supp. Result Entry'!AA186="","",'Supp. Result Entry'!AA186)</f>
        <v/>
      </c>
      <c r="JC188" s="110" t="str">
        <f>IF('Supp. Result Entry'!AD186="","",'Supp. Result Entry'!AD186)</f>
        <v/>
      </c>
      <c r="JD188" s="110" t="str">
        <f>IF('Supp. Result Entry'!AG186="","",'Supp. Result Entry'!AG186)</f>
        <v/>
      </c>
      <c r="JE188" s="110" t="str">
        <f>IF('Supp. Result Entry'!AJ186="","",'Supp. Result Entry'!AJ186)</f>
        <v/>
      </c>
      <c r="JF188" s="110" t="str">
        <f>IF('Supp. Result Entry'!AM186="","",'Supp. Result Entry'!AM186)</f>
        <v/>
      </c>
      <c r="JG188" s="110" t="str">
        <f>IF('Supp. Result Entry'!V186="","",'Supp. Result Entry'!V186)</f>
        <v/>
      </c>
      <c r="JH188" s="110" t="str">
        <f>IF('Supp. Result Entry'!Y186="","",'Supp. Result Entry'!Y186)</f>
        <v/>
      </c>
      <c r="JI188" s="110" t="str">
        <f>IF('Supp. Result Entry'!AB186="","",'Supp. Result Entry'!AB186)</f>
        <v/>
      </c>
      <c r="JJ188" s="110" t="str">
        <f>IF('Supp. Result Entry'!AE186="","",'Supp. Result Entry'!AE186)</f>
        <v/>
      </c>
      <c r="JK188" s="110" t="str">
        <f>IF('Supp. Result Entry'!AH186="","",'Supp. Result Entry'!AH186)</f>
        <v/>
      </c>
      <c r="JL188" s="110" t="str">
        <f>IF('Supp. Result Entry'!AK186="","",'Supp. Result Entry'!AK186)</f>
        <v/>
      </c>
      <c r="JM188" s="110" t="str">
        <f>IF('Supp. Result Entry'!AN186="","",'Supp. Result Entry'!AN186)</f>
        <v/>
      </c>
      <c r="JN188" s="110">
        <f>COUNTIF('Supp. Result Entry'!K186:Q186,"S")</f>
        <v>0</v>
      </c>
      <c r="JO188" s="110">
        <f t="shared" si="416"/>
        <v>0</v>
      </c>
      <c r="JP188" s="110">
        <f t="shared" si="493"/>
        <v>0</v>
      </c>
      <c r="JQ188" s="110" t="str">
        <f t="shared" si="417"/>
        <v/>
      </c>
      <c r="JR188" s="110" t="str">
        <f t="shared" si="418"/>
        <v/>
      </c>
      <c r="JS188" s="110" t="str">
        <f t="shared" si="419"/>
        <v/>
      </c>
      <c r="JT188" s="110" t="str">
        <f t="shared" si="420"/>
        <v/>
      </c>
      <c r="JU188" s="110" t="str">
        <f t="shared" si="421"/>
        <v/>
      </c>
      <c r="JV188" s="110" t="str">
        <f t="shared" si="422"/>
        <v/>
      </c>
      <c r="JW188" s="110" t="str">
        <f t="shared" si="423"/>
        <v/>
      </c>
      <c r="JX188" s="110" t="str">
        <f t="shared" si="494"/>
        <v/>
      </c>
      <c r="JY188" s="110" t="str">
        <f t="shared" si="495"/>
        <v/>
      </c>
      <c r="JZ188" s="110" t="str">
        <f t="shared" si="424"/>
        <v/>
      </c>
      <c r="KA188" s="108" t="str">
        <f t="shared" si="496"/>
        <v/>
      </c>
    </row>
    <row r="189" spans="1:287" s="108" customFormat="1" ht="21.95" customHeight="1">
      <c r="A189" s="89">
        <v>183</v>
      </c>
      <c r="B189" s="90" t="str">
        <f>IF('Marks Entry'!B189="","",'Marks Entry'!B189)</f>
        <v/>
      </c>
      <c r="C189" s="94" t="str">
        <f>IF('Marks Entry'!D189="","",'Marks Entry'!D189)</f>
        <v/>
      </c>
      <c r="D189" s="91" t="str">
        <f>IF('Marks Entry'!E189="","",'Marks Entry'!E189)</f>
        <v/>
      </c>
      <c r="E189" s="92" t="str">
        <f>IF('Marks Entry'!F189="","",'Marks Entry'!F189)</f>
        <v/>
      </c>
      <c r="F189" s="93" t="str">
        <f>IF('Marks Entry'!G189="","",'Marks Entry'!G189)</f>
        <v/>
      </c>
      <c r="G189" s="93" t="str">
        <f>IF('Marks Entry'!H189="","",'Marks Entry'!H189)</f>
        <v/>
      </c>
      <c r="H189" s="93" t="str">
        <f>IF('Marks Entry'!I189="","",'Marks Entry'!I189)</f>
        <v/>
      </c>
      <c r="I189" s="94" t="str">
        <f>IF('Marks Entry'!J189="","",'Marks Entry'!J189)</f>
        <v/>
      </c>
      <c r="J189" s="95" t="str">
        <f>IF('Marks Entry'!K189="","",'Marks Entry'!K189)</f>
        <v/>
      </c>
      <c r="K189" s="68" t="str">
        <f>IF('Marks Entry'!L189="","",'Marks Entry'!L189)</f>
        <v/>
      </c>
      <c r="L189" s="68" t="str">
        <f>IF('Marks Entry'!M189="","",'Marks Entry'!M189)</f>
        <v/>
      </c>
      <c r="M189" s="68" t="str">
        <f>IF('Marks Entry'!N189="","",'Marks Entry'!N189)</f>
        <v/>
      </c>
      <c r="N189" s="514" t="str">
        <f t="shared" si="425"/>
        <v/>
      </c>
      <c r="O189" s="68" t="str">
        <f>IF('Marks Entry'!O189="","",'Marks Entry'!O189)</f>
        <v/>
      </c>
      <c r="P189" s="515" t="str">
        <f t="shared" si="426"/>
        <v/>
      </c>
      <c r="Q189" s="68" t="str">
        <f>IF('Marks Entry'!P189="","",'Marks Entry'!P189)</f>
        <v/>
      </c>
      <c r="R189" s="96" t="str">
        <f t="shared" si="427"/>
        <v/>
      </c>
      <c r="S189" s="65">
        <f t="shared" si="428"/>
        <v>0</v>
      </c>
      <c r="T189" s="65">
        <f t="shared" si="429"/>
        <v>0</v>
      </c>
      <c r="U189" s="66" t="str">
        <f t="shared" si="339"/>
        <v/>
      </c>
      <c r="V189" s="65" t="str">
        <f t="shared" si="340"/>
        <v/>
      </c>
      <c r="W189" s="65" t="str">
        <f t="shared" si="430"/>
        <v/>
      </c>
      <c r="X189" s="65" t="str">
        <f t="shared" si="341"/>
        <v/>
      </c>
      <c r="Y189" s="68" t="str">
        <f>IF('Marks Entry'!Q189="","",'Marks Entry'!Q189)</f>
        <v/>
      </c>
      <c r="Z189" s="68" t="str">
        <f>IF('Marks Entry'!R189="","",'Marks Entry'!R189)</f>
        <v/>
      </c>
      <c r="AA189" s="68" t="str">
        <f>IF('Marks Entry'!S189="","",'Marks Entry'!S189)</f>
        <v/>
      </c>
      <c r="AB189" s="514" t="str">
        <f t="shared" si="342"/>
        <v/>
      </c>
      <c r="AC189" s="68" t="str">
        <f>IF('Marks Entry'!T189="","",'Marks Entry'!T189)</f>
        <v/>
      </c>
      <c r="AD189" s="515" t="str">
        <f t="shared" si="343"/>
        <v/>
      </c>
      <c r="AE189" s="68" t="str">
        <f>IF('Marks Entry'!U189="","",'Marks Entry'!U189)</f>
        <v/>
      </c>
      <c r="AF189" s="96" t="str">
        <f t="shared" si="344"/>
        <v/>
      </c>
      <c r="AG189" s="65">
        <f t="shared" si="345"/>
        <v>0</v>
      </c>
      <c r="AH189" s="65">
        <f t="shared" si="346"/>
        <v>0</v>
      </c>
      <c r="AI189" s="66" t="str">
        <f t="shared" si="347"/>
        <v/>
      </c>
      <c r="AJ189" s="65" t="str">
        <f t="shared" si="348"/>
        <v/>
      </c>
      <c r="AK189" s="65" t="str">
        <f t="shared" si="349"/>
        <v/>
      </c>
      <c r="AL189" s="65" t="str">
        <f t="shared" si="350"/>
        <v/>
      </c>
      <c r="AM189" s="524" t="str">
        <f>IF('Marks Entry'!V189="","",IF('Marks Entry'!V189=1,'School Profile'!$I$9,IF('Marks Entry'!V189=2,'School Profile'!$I$10,IF('Marks Entry'!V189=3,'School Profile'!$I$11,IF('Marks Entry'!V189=4,'School Profile'!$I$12,IF('Marks Entry'!V189=5,'School Profile'!$I$13,IF('Marks Entry'!V189=6,'School Profile'!$I$14,"")))))))</f>
        <v/>
      </c>
      <c r="AN189" s="68" t="str">
        <f>IF('Marks Entry'!W189="","",'Marks Entry'!W189)</f>
        <v/>
      </c>
      <c r="AO189" s="68" t="str">
        <f>IF('Marks Entry'!X189="","",'Marks Entry'!X189)</f>
        <v/>
      </c>
      <c r="AP189" s="68" t="str">
        <f>IF('Marks Entry'!Y189="","",'Marks Entry'!Y189)</f>
        <v/>
      </c>
      <c r="AQ189" s="514" t="str">
        <f t="shared" si="351"/>
        <v/>
      </c>
      <c r="AR189" s="68" t="str">
        <f>IF('Marks Entry'!Z189="","",'Marks Entry'!Z189)</f>
        <v/>
      </c>
      <c r="AS189" s="515" t="str">
        <f t="shared" si="352"/>
        <v/>
      </c>
      <c r="AT189" s="68" t="str">
        <f>IF('Marks Entry'!AA189="","",'Marks Entry'!AA189)</f>
        <v/>
      </c>
      <c r="AU189" s="96" t="str">
        <f t="shared" si="353"/>
        <v/>
      </c>
      <c r="AV189" s="65">
        <f t="shared" si="354"/>
        <v>0</v>
      </c>
      <c r="AW189" s="65">
        <f t="shared" si="355"/>
        <v>0</v>
      </c>
      <c r="AX189" s="66" t="str">
        <f t="shared" si="356"/>
        <v/>
      </c>
      <c r="AY189" s="65" t="str">
        <f t="shared" si="357"/>
        <v/>
      </c>
      <c r="AZ189" s="65" t="str">
        <f t="shared" si="358"/>
        <v/>
      </c>
      <c r="BA189" s="65" t="str">
        <f t="shared" si="359"/>
        <v/>
      </c>
      <c r="BB189" s="68" t="str">
        <f>IF('Marks Entry'!AB189="","",'Marks Entry'!AB189)</f>
        <v/>
      </c>
      <c r="BC189" s="68" t="str">
        <f>IF('Marks Entry'!AC189="","",'Marks Entry'!AC189)</f>
        <v/>
      </c>
      <c r="BD189" s="68" t="str">
        <f>IF('Marks Entry'!AD189="","",'Marks Entry'!AD189)</f>
        <v/>
      </c>
      <c r="BE189" s="514" t="str">
        <f t="shared" si="360"/>
        <v/>
      </c>
      <c r="BF189" s="68" t="str">
        <f>IF('Marks Entry'!AE189="","",'Marks Entry'!AE189)</f>
        <v/>
      </c>
      <c r="BG189" s="515" t="str">
        <f t="shared" si="361"/>
        <v/>
      </c>
      <c r="BH189" s="68" t="str">
        <f>IF('Marks Entry'!AF189="","",'Marks Entry'!AF189)</f>
        <v/>
      </c>
      <c r="BI189" s="96" t="str">
        <f t="shared" si="362"/>
        <v/>
      </c>
      <c r="BJ189" s="65">
        <f t="shared" si="363"/>
        <v>0</v>
      </c>
      <c r="BK189" s="65">
        <f t="shared" si="431"/>
        <v>0</v>
      </c>
      <c r="BL189" s="66" t="str">
        <f t="shared" si="364"/>
        <v/>
      </c>
      <c r="BM189" s="65" t="str">
        <f t="shared" si="365"/>
        <v/>
      </c>
      <c r="BN189" s="65" t="str">
        <f t="shared" si="366"/>
        <v/>
      </c>
      <c r="BO189" s="65" t="str">
        <f t="shared" si="367"/>
        <v/>
      </c>
      <c r="BP189" s="68" t="str">
        <f>IF('Marks Entry'!AG189="","",'Marks Entry'!AG189)</f>
        <v/>
      </c>
      <c r="BQ189" s="68" t="str">
        <f>IF('Marks Entry'!AH189="","",'Marks Entry'!AH189)</f>
        <v/>
      </c>
      <c r="BR189" s="68" t="str">
        <f>IF('Marks Entry'!AI189="","",'Marks Entry'!AI189)</f>
        <v/>
      </c>
      <c r="BS189" s="514" t="str">
        <f t="shared" si="368"/>
        <v/>
      </c>
      <c r="BT189" s="68" t="str">
        <f>IF('Marks Entry'!AJ189="","",'Marks Entry'!AJ189)</f>
        <v/>
      </c>
      <c r="BU189" s="515" t="str">
        <f t="shared" si="369"/>
        <v/>
      </c>
      <c r="BV189" s="68" t="str">
        <f>IF('Marks Entry'!AK189="","",'Marks Entry'!AK189)</f>
        <v/>
      </c>
      <c r="BW189" s="96" t="str">
        <f t="shared" si="370"/>
        <v/>
      </c>
      <c r="BX189" s="65">
        <f t="shared" si="371"/>
        <v>0</v>
      </c>
      <c r="BY189" s="65">
        <f t="shared" si="372"/>
        <v>0</v>
      </c>
      <c r="BZ189" s="66" t="str">
        <f t="shared" si="373"/>
        <v/>
      </c>
      <c r="CA189" s="65" t="str">
        <f t="shared" si="374"/>
        <v/>
      </c>
      <c r="CB189" s="65" t="str">
        <f t="shared" si="375"/>
        <v/>
      </c>
      <c r="CC189" s="65" t="str">
        <f t="shared" si="376"/>
        <v/>
      </c>
      <c r="CD189" s="66">
        <f t="shared" si="497"/>
        <v>0</v>
      </c>
      <c r="CE189" s="68" t="str">
        <f>IF('Marks Entry'!AL189="","",'Marks Entry'!AL189)</f>
        <v/>
      </c>
      <c r="CF189" s="68" t="str">
        <f>IF('Marks Entry'!AM189="","",'Marks Entry'!AM189)</f>
        <v/>
      </c>
      <c r="CG189" s="68" t="str">
        <f>IF('Marks Entry'!AN189="","",'Marks Entry'!AN189)</f>
        <v/>
      </c>
      <c r="CH189" s="514" t="str">
        <f t="shared" si="378"/>
        <v/>
      </c>
      <c r="CI189" s="68" t="str">
        <f>IF('Marks Entry'!AO189="","",'Marks Entry'!AO189)</f>
        <v/>
      </c>
      <c r="CJ189" s="515" t="str">
        <f t="shared" si="379"/>
        <v/>
      </c>
      <c r="CK189" s="68" t="str">
        <f>IF('Marks Entry'!AP189="","",'Marks Entry'!AP189)</f>
        <v/>
      </c>
      <c r="CL189" s="96" t="str">
        <f t="shared" si="380"/>
        <v/>
      </c>
      <c r="CM189" s="65">
        <f t="shared" si="381"/>
        <v>0</v>
      </c>
      <c r="CN189" s="65">
        <f t="shared" si="382"/>
        <v>0</v>
      </c>
      <c r="CO189" s="66" t="str">
        <f t="shared" si="383"/>
        <v/>
      </c>
      <c r="CP189" s="65" t="str">
        <f t="shared" si="384"/>
        <v/>
      </c>
      <c r="CQ189" s="65" t="str">
        <f t="shared" si="385"/>
        <v/>
      </c>
      <c r="CR189" s="65" t="str">
        <f t="shared" si="386"/>
        <v/>
      </c>
      <c r="CS189" s="616"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8" t="str">
        <f>IF('School Profile'!$D$20="NO","",IF('Marks Entry'!AR189="","",'Marks Entry'!AR189))</f>
        <v/>
      </c>
      <c r="CU189" s="68" t="str">
        <f>IF('School Profile'!$D$20="NO","",IF('Marks Entry'!AS189="","",'Marks Entry'!AS189))</f>
        <v/>
      </c>
      <c r="CV189" s="68" t="str">
        <f>IF('School Profile'!$D$20="NO","",IF('Marks Entry'!AT189="","",'Marks Entry'!AT189))</f>
        <v/>
      </c>
      <c r="CW189" s="514" t="str">
        <f>IF('School Profile'!$D$20="NO","",IF(AND(CT189="",CU189="",CV189=""),"",SUM(CT189:CV189)))</f>
        <v/>
      </c>
      <c r="CX189" s="68" t="str">
        <f>IF('School Profile'!$D$20="NO","",IF('Marks Entry'!AU189="","",'Marks Entry'!AU189))</f>
        <v/>
      </c>
      <c r="CY189" s="68" t="str">
        <f>IF('School Profile'!$D$20="NO","",IF('Marks Entry'!AV189="","",'Marks Entry'!AV189))</f>
        <v/>
      </c>
      <c r="CZ189" s="515" t="str">
        <f>IF('School Profile'!$D$20="NO","",IF(AND(CX189="",CY189=""),"",SUM(CX189,CY189)))</f>
        <v/>
      </c>
      <c r="DA189" s="69" t="str">
        <f>IF('School Profile'!$D$20="NO","",IF(AND(CW189="",CZ189=""),"",SUM(CW189+CZ189)))</f>
        <v/>
      </c>
      <c r="DB189" s="68" t="str">
        <f>IF('School Profile'!$D$20="NO","",IF('Marks Entry'!AW189="","",'Marks Entry'!AW189))</f>
        <v/>
      </c>
      <c r="DC189" s="68" t="str">
        <f>IF('School Profile'!$D$20="NO","",IF('Marks Entry'!AX189="","",'Marks Entry'!AX189))</f>
        <v/>
      </c>
      <c r="DD189" s="515" t="str">
        <f>IF('School Profile'!$D$20="NO","",IF(AND(DB189="",DC189=""),"",SUM(DB189,DC189)))</f>
        <v/>
      </c>
      <c r="DE189" s="96" t="str">
        <f>IF('School Profile'!$D$20="NO","",IF(AND(DA189="",DD189=""),"",SUM(DA189,DD189)))</f>
        <v/>
      </c>
      <c r="DF189" s="532">
        <f t="shared" si="387"/>
        <v>0</v>
      </c>
      <c r="DG189" s="65">
        <f t="shared" si="388"/>
        <v>0</v>
      </c>
      <c r="DH189" s="66" t="str">
        <f t="shared" si="389"/>
        <v/>
      </c>
      <c r="DI189" s="65" t="str">
        <f t="shared" si="390"/>
        <v/>
      </c>
      <c r="DJ189" s="65" t="str">
        <f t="shared" si="391"/>
        <v/>
      </c>
      <c r="DK189" s="65" t="str">
        <f t="shared" si="392"/>
        <v/>
      </c>
      <c r="DL189" s="97" t="str">
        <f t="shared" si="432"/>
        <v/>
      </c>
      <c r="DM189" s="97" t="str">
        <f t="shared" si="433"/>
        <v/>
      </c>
      <c r="DN189" s="97" t="str">
        <f t="shared" si="434"/>
        <v/>
      </c>
      <c r="DO189" s="97" t="str">
        <f t="shared" si="435"/>
        <v/>
      </c>
      <c r="DP189" s="97" t="str">
        <f t="shared" si="436"/>
        <v/>
      </c>
      <c r="DQ189" s="97" t="str">
        <f t="shared" si="437"/>
        <v/>
      </c>
      <c r="DR189" s="97" t="str">
        <f t="shared" si="438"/>
        <v/>
      </c>
      <c r="DS189" s="98">
        <f t="shared" si="439"/>
        <v>0</v>
      </c>
      <c r="DT189" s="98">
        <f t="shared" si="440"/>
        <v>0</v>
      </c>
      <c r="DU189" s="98">
        <f t="shared" si="441"/>
        <v>0</v>
      </c>
      <c r="DV189" s="98">
        <f t="shared" si="442"/>
        <v>0</v>
      </c>
      <c r="DW189" s="98">
        <f t="shared" si="443"/>
        <v>0</v>
      </c>
      <c r="DX189" s="98" t="str">
        <f t="shared" si="444"/>
        <v/>
      </c>
      <c r="DY189" s="99" t="str">
        <f t="shared" si="445"/>
        <v/>
      </c>
      <c r="DZ189" s="74" t="str">
        <f>IF('Marks Entry'!AY189="","",'Marks Entry'!AY189)</f>
        <v/>
      </c>
      <c r="EA189" s="74" t="str">
        <f>IF('Marks Entry'!AZ189="","",'Marks Entry'!AZ189)</f>
        <v/>
      </c>
      <c r="EB189" s="74" t="str">
        <f>IF('Marks Entry'!BA189="","",'Marks Entry'!BA189)</f>
        <v/>
      </c>
      <c r="EC189" s="527" t="str">
        <f t="shared" si="393"/>
        <v/>
      </c>
      <c r="ED189" s="74" t="str">
        <f>IF('Marks Entry'!BB189="","",'Marks Entry'!BB189)</f>
        <v/>
      </c>
      <c r="EE189" s="528" t="str">
        <f t="shared" si="394"/>
        <v/>
      </c>
      <c r="EF189" s="74" t="str">
        <f>IF('Marks Entry'!BC189="","",'Marks Entry'!BC189)</f>
        <v/>
      </c>
      <c r="EG189" s="530" t="str">
        <f t="shared" si="395"/>
        <v/>
      </c>
      <c r="EH189" s="368" t="str">
        <f t="shared" si="446"/>
        <v/>
      </c>
      <c r="EI189" s="65">
        <f t="shared" si="447"/>
        <v>0</v>
      </c>
      <c r="EJ189" s="65">
        <f t="shared" si="448"/>
        <v>0</v>
      </c>
      <c r="EK189" s="66" t="str">
        <f t="shared" si="449"/>
        <v/>
      </c>
      <c r="EL189" s="74" t="str">
        <f>IF('Marks Entry'!BD189="","",'Marks Entry'!BD189)</f>
        <v/>
      </c>
      <c r="EM189" s="74" t="str">
        <f>IF('Marks Entry'!BE189="","",'Marks Entry'!BE189)</f>
        <v/>
      </c>
      <c r="EN189" s="74" t="str">
        <f>IF('Marks Entry'!BF189="","",'Marks Entry'!BF189)</f>
        <v/>
      </c>
      <c r="EO189" s="527" t="str">
        <f t="shared" si="396"/>
        <v/>
      </c>
      <c r="EP189" s="74" t="str">
        <f>IF('Marks Entry'!BG189="","",'Marks Entry'!BG189)</f>
        <v/>
      </c>
      <c r="EQ189" s="74" t="str">
        <f>IF('Marks Entry'!BH189="","",'Marks Entry'!BH189)</f>
        <v/>
      </c>
      <c r="ER189" s="528" t="str">
        <f t="shared" si="397"/>
        <v/>
      </c>
      <c r="ES189" s="529" t="str">
        <f t="shared" si="398"/>
        <v/>
      </c>
      <c r="ET189" s="74" t="str">
        <f>IF('Marks Entry'!BI189="","",'Marks Entry'!BI189)</f>
        <v/>
      </c>
      <c r="EU189" s="74" t="str">
        <f>IF('Marks Entry'!BJ189="","",'Marks Entry'!BJ189)</f>
        <v/>
      </c>
      <c r="EV189" s="528" t="str">
        <f t="shared" si="399"/>
        <v/>
      </c>
      <c r="EW189" s="530" t="str">
        <f t="shared" si="400"/>
        <v/>
      </c>
      <c r="EX189" s="368" t="str">
        <f t="shared" si="450"/>
        <v/>
      </c>
      <c r="EY189" s="65">
        <f t="shared" si="451"/>
        <v>0</v>
      </c>
      <c r="EZ189" s="65">
        <f t="shared" si="452"/>
        <v>0</v>
      </c>
      <c r="FA189" s="66" t="str">
        <f t="shared" si="453"/>
        <v/>
      </c>
      <c r="FB189" s="74" t="str">
        <f>IF('Marks Entry'!BK189="","",'Marks Entry'!BK189)</f>
        <v/>
      </c>
      <c r="FC189" s="74" t="str">
        <f>IF('Marks Entry'!BL189="","",'Marks Entry'!BL189)</f>
        <v/>
      </c>
      <c r="FD189" s="74" t="str">
        <f>IF('Marks Entry'!BM189="","",'Marks Entry'!BM189)</f>
        <v/>
      </c>
      <c r="FE189" s="74" t="str">
        <f>IF('Marks Entry'!BN189="","",'Marks Entry'!BN189)</f>
        <v/>
      </c>
      <c r="FF189" s="74" t="str">
        <f>IF('Marks Entry'!BO189="","",'Marks Entry'!BO189)</f>
        <v/>
      </c>
      <c r="FG189" s="74" t="str">
        <f>IF('Marks Entry'!BP189="","",'Marks Entry'!BP189)</f>
        <v/>
      </c>
      <c r="FH189" s="527" t="str">
        <f t="shared" si="401"/>
        <v/>
      </c>
      <c r="FI189" s="74" t="str">
        <f>IF('Marks Entry'!BQ189="","",'Marks Entry'!BQ189)</f>
        <v/>
      </c>
      <c r="FJ189" s="74" t="str">
        <f>IF('Marks Entry'!BR189="","",'Marks Entry'!BR189)</f>
        <v/>
      </c>
      <c r="FK189" s="528" t="str">
        <f t="shared" si="402"/>
        <v/>
      </c>
      <c r="FL189" s="529" t="str">
        <f t="shared" si="403"/>
        <v/>
      </c>
      <c r="FM189" s="74" t="str">
        <f>IF('Marks Entry'!BS189="","",'Marks Entry'!BS189)</f>
        <v/>
      </c>
      <c r="FN189" s="74" t="str">
        <f>IF('Marks Entry'!BT189="","",'Marks Entry'!BT189)</f>
        <v/>
      </c>
      <c r="FO189" s="528" t="str">
        <f t="shared" si="404"/>
        <v/>
      </c>
      <c r="FP189" s="530" t="str">
        <f t="shared" si="405"/>
        <v/>
      </c>
      <c r="FQ189" s="368" t="str">
        <f t="shared" si="454"/>
        <v/>
      </c>
      <c r="FR189" s="65">
        <f t="shared" si="455"/>
        <v>0</v>
      </c>
      <c r="FS189" s="65">
        <f t="shared" si="456"/>
        <v>0</v>
      </c>
      <c r="FT189" s="66" t="str">
        <f t="shared" si="457"/>
        <v/>
      </c>
      <c r="FU189" s="74" t="str">
        <f>IF('Marks Entry'!BU189="","",'Marks Entry'!BU189)</f>
        <v/>
      </c>
      <c r="FV189" s="74" t="str">
        <f>IF('Marks Entry'!BV189="","",'Marks Entry'!BV189)</f>
        <v/>
      </c>
      <c r="FW189" s="74" t="str">
        <f>IF('Marks Entry'!BW189="","",'Marks Entry'!BW189)</f>
        <v/>
      </c>
      <c r="FX189" s="75" t="str">
        <f t="shared" si="406"/>
        <v/>
      </c>
      <c r="FY189" s="368" t="str">
        <f t="shared" si="458"/>
        <v/>
      </c>
      <c r="FZ189" s="65">
        <f t="shared" si="459"/>
        <v>0</v>
      </c>
      <c r="GA189" s="66">
        <f t="shared" si="460"/>
        <v>0</v>
      </c>
      <c r="GB189" s="66" t="str">
        <f t="shared" si="461"/>
        <v/>
      </c>
      <c r="GC189" s="74" t="str">
        <f>IF('Marks Entry'!BX189="","",'Marks Entry'!BX189)</f>
        <v/>
      </c>
      <c r="GD189" s="74" t="str">
        <f>IF('Marks Entry'!BY189="","",'Marks Entry'!BY189)</f>
        <v/>
      </c>
      <c r="GE189" s="74" t="str">
        <f>IF('Marks Entry'!BZ189="","",'Marks Entry'!BZ189)</f>
        <v/>
      </c>
      <c r="GF189" s="75" t="str">
        <f t="shared" si="462"/>
        <v/>
      </c>
      <c r="GG189" s="368" t="str">
        <f t="shared" si="463"/>
        <v/>
      </c>
      <c r="GH189" s="65">
        <f t="shared" si="464"/>
        <v>0</v>
      </c>
      <c r="GI189" s="66">
        <f t="shared" si="465"/>
        <v>0</v>
      </c>
      <c r="GJ189" s="66" t="str">
        <f t="shared" si="466"/>
        <v/>
      </c>
      <c r="GK189" s="100" t="str">
        <f>IF(AND(F189="",B189=""),"",IF('Student DATA Entry'!M186="","",'Student DATA Entry'!M186))</f>
        <v/>
      </c>
      <c r="GL189" s="101" t="str">
        <f>IF(AND(B189="",F189=""),"",IF('Student DATA Entry'!N186="","",'Student DATA Entry'!N186))</f>
        <v/>
      </c>
      <c r="GM189" s="581" t="str">
        <f t="shared" si="467"/>
        <v/>
      </c>
      <c r="GN189" s="94" t="str">
        <f t="shared" si="468"/>
        <v/>
      </c>
      <c r="GO189" s="94" t="str">
        <f t="shared" si="469"/>
        <v/>
      </c>
      <c r="GP189" s="102" t="str">
        <f t="shared" si="498"/>
        <v/>
      </c>
      <c r="GQ189" s="94" t="str">
        <f t="shared" si="470"/>
        <v/>
      </c>
      <c r="GR189" s="103" t="str">
        <f t="shared" si="471"/>
        <v/>
      </c>
      <c r="GS189" s="102" t="str">
        <f t="shared" si="499"/>
        <v/>
      </c>
      <c r="GT189" s="104" t="str">
        <f t="shared" si="472"/>
        <v/>
      </c>
      <c r="GU189" s="94" t="str">
        <f>IF('Marks Entry'!V189=1,GT189,"")</f>
        <v/>
      </c>
      <c r="GV189" s="94" t="str">
        <f>IF('Marks Entry'!V189=2,GT189,"")</f>
        <v/>
      </c>
      <c r="GW189" s="94" t="str">
        <f>IF('Marks Entry'!V189=3,GT189,"")</f>
        <v/>
      </c>
      <c r="GX189" s="94" t="str">
        <f>IF('Marks Entry'!V189=4,GT189,"")</f>
        <v/>
      </c>
      <c r="GY189" s="94" t="str">
        <f>IF('Marks Entry'!V189=5,GT189,"")</f>
        <v/>
      </c>
      <c r="GZ189" s="94" t="str">
        <f t="shared" si="473"/>
        <v/>
      </c>
      <c r="HA189" s="105" t="str">
        <f t="shared" si="500"/>
        <v/>
      </c>
      <c r="HB189" s="94" t="str">
        <f t="shared" si="474"/>
        <v/>
      </c>
      <c r="HC189" s="94" t="str">
        <f t="shared" si="475"/>
        <v/>
      </c>
      <c r="HD189" s="105" t="str">
        <f t="shared" si="501"/>
        <v/>
      </c>
      <c r="HE189" s="94" t="str">
        <f t="shared" si="476"/>
        <v/>
      </c>
      <c r="HF189" s="94" t="str">
        <f t="shared" si="477"/>
        <v/>
      </c>
      <c r="HG189" s="105" t="str">
        <f t="shared" si="502"/>
        <v/>
      </c>
      <c r="HH189" s="94" t="str">
        <f t="shared" si="478"/>
        <v/>
      </c>
      <c r="HI189" s="94" t="str">
        <f t="shared" si="479"/>
        <v/>
      </c>
      <c r="HJ189" s="105" t="str">
        <f t="shared" si="503"/>
        <v/>
      </c>
      <c r="HK189" s="94" t="str">
        <f t="shared" si="480"/>
        <v/>
      </c>
      <c r="HL189" s="94" t="str">
        <f t="shared" si="481"/>
        <v/>
      </c>
      <c r="HM189" s="105" t="str">
        <f t="shared" si="504"/>
        <v/>
      </c>
      <c r="HN189" s="367" t="str">
        <f t="shared" si="482"/>
        <v xml:space="preserve">      </v>
      </c>
      <c r="HO189" s="418" t="str">
        <f t="shared" si="505"/>
        <v xml:space="preserve">      </v>
      </c>
      <c r="HP189" s="367" t="str">
        <f t="shared" si="483"/>
        <v xml:space="preserve">      </v>
      </c>
      <c r="HQ189" s="107" t="str">
        <f t="shared" si="484"/>
        <v xml:space="preserve">      </v>
      </c>
      <c r="HR189" s="366" t="str">
        <f t="shared" si="485"/>
        <v xml:space="preserve">      </v>
      </c>
      <c r="HS189" s="544" t="str">
        <f t="shared" si="506"/>
        <v/>
      </c>
      <c r="HT189" s="542" t="str">
        <f t="shared" si="486"/>
        <v/>
      </c>
      <c r="HU189" s="541" t="str">
        <f t="shared" si="487"/>
        <v/>
      </c>
      <c r="HV189" s="540" t="str">
        <f t="shared" si="488"/>
        <v/>
      </c>
      <c r="HW189" s="537" t="str">
        <f t="shared" si="489"/>
        <v/>
      </c>
      <c r="HX189" s="539" t="str">
        <f t="shared" si="490"/>
        <v/>
      </c>
      <c r="HY189" s="553" t="str">
        <f>IFERROR(IF(OR(HS189="SUPPLEMENTARY",HS189="RE-EXAM"),'Supp. Result Entry'!AQ187,""),"")</f>
        <v/>
      </c>
      <c r="HZ189" s="538" t="str">
        <f t="shared" si="491"/>
        <v/>
      </c>
      <c r="IA189" s="415" t="str">
        <f t="shared" si="492"/>
        <v/>
      </c>
      <c r="IB189" s="415" t="str">
        <f>IF(AND(HZ189="",IA189=""),"",IF(OR(HS189="SUPPLEMENTARY",HS189="RE-EXAM"),'Supp. Result Entry'!AQ187,HS189))</f>
        <v/>
      </c>
      <c r="IC189" s="87"/>
      <c r="IS189" s="109" t="str">
        <f>IF('Supp. Result Entry'!T187="","",'Supp. Result Entry'!$T$4)</f>
        <v/>
      </c>
      <c r="IT189" s="110" t="str">
        <f>IF('Supp. Result Entry'!W187="","",'Supp. Result Entry'!$W$4)</f>
        <v/>
      </c>
      <c r="IU189" s="110" t="str">
        <f>IF('Supp. Result Entry'!Z187="","",'Supp. Result Entry'!$Z$4)</f>
        <v/>
      </c>
      <c r="IV189" s="110" t="str">
        <f>IF('Supp. Result Entry'!AC187="","",'Supp. Result Entry'!$AC$4)</f>
        <v/>
      </c>
      <c r="IW189" s="110" t="str">
        <f>IF('Supp. Result Entry'!AF187="","",'Supp. Result Entry'!$AF$4)</f>
        <v/>
      </c>
      <c r="IX189" s="110" t="str">
        <f>IF('Supp. Result Entry'!AI187="","",'Supp. Result Entry'!$AI$4)</f>
        <v/>
      </c>
      <c r="IY189" s="110" t="str">
        <f>IF('Supp. Result Entry'!AI187="","",'Supp. Result Entry'!$AL$4)</f>
        <v/>
      </c>
      <c r="IZ189" s="110" t="str">
        <f>IF('Supp. Result Entry'!U187="","",'Supp. Result Entry'!U187)</f>
        <v/>
      </c>
      <c r="JA189" s="110" t="str">
        <f>IF('Supp. Result Entry'!X187="","",'Supp. Result Entry'!X187)</f>
        <v/>
      </c>
      <c r="JB189" s="110" t="str">
        <f>IF('Supp. Result Entry'!AA187="","",'Supp. Result Entry'!AA187)</f>
        <v/>
      </c>
      <c r="JC189" s="110" t="str">
        <f>IF('Supp. Result Entry'!AD187="","",'Supp. Result Entry'!AD187)</f>
        <v/>
      </c>
      <c r="JD189" s="110" t="str">
        <f>IF('Supp. Result Entry'!AG187="","",'Supp. Result Entry'!AG187)</f>
        <v/>
      </c>
      <c r="JE189" s="110" t="str">
        <f>IF('Supp. Result Entry'!AJ187="","",'Supp. Result Entry'!AJ187)</f>
        <v/>
      </c>
      <c r="JF189" s="110" t="str">
        <f>IF('Supp. Result Entry'!AM187="","",'Supp. Result Entry'!AM187)</f>
        <v/>
      </c>
      <c r="JG189" s="110" t="str">
        <f>IF('Supp. Result Entry'!V187="","",'Supp. Result Entry'!V187)</f>
        <v/>
      </c>
      <c r="JH189" s="110" t="str">
        <f>IF('Supp. Result Entry'!Y187="","",'Supp. Result Entry'!Y187)</f>
        <v/>
      </c>
      <c r="JI189" s="110" t="str">
        <f>IF('Supp. Result Entry'!AB187="","",'Supp. Result Entry'!AB187)</f>
        <v/>
      </c>
      <c r="JJ189" s="110" t="str">
        <f>IF('Supp. Result Entry'!AE187="","",'Supp. Result Entry'!AE187)</f>
        <v/>
      </c>
      <c r="JK189" s="110" t="str">
        <f>IF('Supp. Result Entry'!AH187="","",'Supp. Result Entry'!AH187)</f>
        <v/>
      </c>
      <c r="JL189" s="110" t="str">
        <f>IF('Supp. Result Entry'!AK187="","",'Supp. Result Entry'!AK187)</f>
        <v/>
      </c>
      <c r="JM189" s="110" t="str">
        <f>IF('Supp. Result Entry'!AN187="","",'Supp. Result Entry'!AN187)</f>
        <v/>
      </c>
      <c r="JN189" s="110">
        <f>COUNTIF('Supp. Result Entry'!K187:Q187,"S")</f>
        <v>0</v>
      </c>
      <c r="JO189" s="110">
        <f t="shared" si="416"/>
        <v>0</v>
      </c>
      <c r="JP189" s="110">
        <f t="shared" si="493"/>
        <v>0</v>
      </c>
      <c r="JQ189" s="110" t="str">
        <f t="shared" si="417"/>
        <v/>
      </c>
      <c r="JR189" s="110" t="str">
        <f t="shared" si="418"/>
        <v/>
      </c>
      <c r="JS189" s="110" t="str">
        <f t="shared" si="419"/>
        <v/>
      </c>
      <c r="JT189" s="110" t="str">
        <f t="shared" si="420"/>
        <v/>
      </c>
      <c r="JU189" s="110" t="str">
        <f t="shared" si="421"/>
        <v/>
      </c>
      <c r="JV189" s="110" t="str">
        <f t="shared" si="422"/>
        <v/>
      </c>
      <c r="JW189" s="110" t="str">
        <f t="shared" si="423"/>
        <v/>
      </c>
      <c r="JX189" s="110" t="str">
        <f t="shared" si="494"/>
        <v/>
      </c>
      <c r="JY189" s="110" t="str">
        <f t="shared" si="495"/>
        <v/>
      </c>
      <c r="JZ189" s="110" t="str">
        <f t="shared" si="424"/>
        <v/>
      </c>
      <c r="KA189" s="108" t="str">
        <f t="shared" si="496"/>
        <v/>
      </c>
    </row>
    <row r="190" spans="1:287" s="108" customFormat="1" ht="21.95" customHeight="1">
      <c r="A190" s="89">
        <v>184</v>
      </c>
      <c r="B190" s="90" t="str">
        <f>IF('Marks Entry'!B190="","",'Marks Entry'!B190)</f>
        <v/>
      </c>
      <c r="C190" s="94" t="str">
        <f>IF('Marks Entry'!D190="","",'Marks Entry'!D190)</f>
        <v/>
      </c>
      <c r="D190" s="91" t="str">
        <f>IF('Marks Entry'!E190="","",'Marks Entry'!E190)</f>
        <v/>
      </c>
      <c r="E190" s="92" t="str">
        <f>IF('Marks Entry'!F190="","",'Marks Entry'!F190)</f>
        <v/>
      </c>
      <c r="F190" s="93" t="str">
        <f>IF('Marks Entry'!G190="","",'Marks Entry'!G190)</f>
        <v/>
      </c>
      <c r="G190" s="93" t="str">
        <f>IF('Marks Entry'!H190="","",'Marks Entry'!H190)</f>
        <v/>
      </c>
      <c r="H190" s="93" t="str">
        <f>IF('Marks Entry'!I190="","",'Marks Entry'!I190)</f>
        <v/>
      </c>
      <c r="I190" s="94" t="str">
        <f>IF('Marks Entry'!J190="","",'Marks Entry'!J190)</f>
        <v/>
      </c>
      <c r="J190" s="95" t="str">
        <f>IF('Marks Entry'!K190="","",'Marks Entry'!K190)</f>
        <v/>
      </c>
      <c r="K190" s="68" t="str">
        <f>IF('Marks Entry'!L190="","",'Marks Entry'!L190)</f>
        <v/>
      </c>
      <c r="L190" s="68" t="str">
        <f>IF('Marks Entry'!M190="","",'Marks Entry'!M190)</f>
        <v/>
      </c>
      <c r="M190" s="68" t="str">
        <f>IF('Marks Entry'!N190="","",'Marks Entry'!N190)</f>
        <v/>
      </c>
      <c r="N190" s="514" t="str">
        <f t="shared" si="425"/>
        <v/>
      </c>
      <c r="O190" s="68" t="str">
        <f>IF('Marks Entry'!O190="","",'Marks Entry'!O190)</f>
        <v/>
      </c>
      <c r="P190" s="515" t="str">
        <f t="shared" si="426"/>
        <v/>
      </c>
      <c r="Q190" s="68" t="str">
        <f>IF('Marks Entry'!P190="","",'Marks Entry'!P190)</f>
        <v/>
      </c>
      <c r="R190" s="96" t="str">
        <f t="shared" si="427"/>
        <v/>
      </c>
      <c r="S190" s="65">
        <f t="shared" si="428"/>
        <v>0</v>
      </c>
      <c r="T190" s="65">
        <f t="shared" si="429"/>
        <v>0</v>
      </c>
      <c r="U190" s="66" t="str">
        <f t="shared" si="339"/>
        <v/>
      </c>
      <c r="V190" s="65" t="str">
        <f t="shared" si="340"/>
        <v/>
      </c>
      <c r="W190" s="65" t="str">
        <f t="shared" si="430"/>
        <v/>
      </c>
      <c r="X190" s="65" t="str">
        <f t="shared" si="341"/>
        <v/>
      </c>
      <c r="Y190" s="68" t="str">
        <f>IF('Marks Entry'!Q190="","",'Marks Entry'!Q190)</f>
        <v/>
      </c>
      <c r="Z190" s="68" t="str">
        <f>IF('Marks Entry'!R190="","",'Marks Entry'!R190)</f>
        <v/>
      </c>
      <c r="AA190" s="68" t="str">
        <f>IF('Marks Entry'!S190="","",'Marks Entry'!S190)</f>
        <v/>
      </c>
      <c r="AB190" s="514" t="str">
        <f t="shared" si="342"/>
        <v/>
      </c>
      <c r="AC190" s="68" t="str">
        <f>IF('Marks Entry'!T190="","",'Marks Entry'!T190)</f>
        <v/>
      </c>
      <c r="AD190" s="515" t="str">
        <f t="shared" si="343"/>
        <v/>
      </c>
      <c r="AE190" s="68" t="str">
        <f>IF('Marks Entry'!U190="","",'Marks Entry'!U190)</f>
        <v/>
      </c>
      <c r="AF190" s="96" t="str">
        <f t="shared" si="344"/>
        <v/>
      </c>
      <c r="AG190" s="65">
        <f t="shared" si="345"/>
        <v>0</v>
      </c>
      <c r="AH190" s="65">
        <f t="shared" si="346"/>
        <v>0</v>
      </c>
      <c r="AI190" s="66" t="str">
        <f t="shared" si="347"/>
        <v/>
      </c>
      <c r="AJ190" s="65" t="str">
        <f t="shared" si="348"/>
        <v/>
      </c>
      <c r="AK190" s="65" t="str">
        <f t="shared" si="349"/>
        <v/>
      </c>
      <c r="AL190" s="65" t="str">
        <f t="shared" si="350"/>
        <v/>
      </c>
      <c r="AM190" s="524" t="str">
        <f>IF('Marks Entry'!V190="","",IF('Marks Entry'!V190=1,'School Profile'!$I$9,IF('Marks Entry'!V190=2,'School Profile'!$I$10,IF('Marks Entry'!V190=3,'School Profile'!$I$11,IF('Marks Entry'!V190=4,'School Profile'!$I$12,IF('Marks Entry'!V190=5,'School Profile'!$I$13,IF('Marks Entry'!V190=6,'School Profile'!$I$14,"")))))))</f>
        <v/>
      </c>
      <c r="AN190" s="68" t="str">
        <f>IF('Marks Entry'!W190="","",'Marks Entry'!W190)</f>
        <v/>
      </c>
      <c r="AO190" s="68" t="str">
        <f>IF('Marks Entry'!X190="","",'Marks Entry'!X190)</f>
        <v/>
      </c>
      <c r="AP190" s="68" t="str">
        <f>IF('Marks Entry'!Y190="","",'Marks Entry'!Y190)</f>
        <v/>
      </c>
      <c r="AQ190" s="514" t="str">
        <f t="shared" si="351"/>
        <v/>
      </c>
      <c r="AR190" s="68" t="str">
        <f>IF('Marks Entry'!Z190="","",'Marks Entry'!Z190)</f>
        <v/>
      </c>
      <c r="AS190" s="515" t="str">
        <f t="shared" si="352"/>
        <v/>
      </c>
      <c r="AT190" s="68" t="str">
        <f>IF('Marks Entry'!AA190="","",'Marks Entry'!AA190)</f>
        <v/>
      </c>
      <c r="AU190" s="96" t="str">
        <f t="shared" si="353"/>
        <v/>
      </c>
      <c r="AV190" s="65">
        <f t="shared" si="354"/>
        <v>0</v>
      </c>
      <c r="AW190" s="65">
        <f t="shared" si="355"/>
        <v>0</v>
      </c>
      <c r="AX190" s="66" t="str">
        <f t="shared" si="356"/>
        <v/>
      </c>
      <c r="AY190" s="65" t="str">
        <f t="shared" si="357"/>
        <v/>
      </c>
      <c r="AZ190" s="65" t="str">
        <f t="shared" si="358"/>
        <v/>
      </c>
      <c r="BA190" s="65" t="str">
        <f t="shared" si="359"/>
        <v/>
      </c>
      <c r="BB190" s="68" t="str">
        <f>IF('Marks Entry'!AB190="","",'Marks Entry'!AB190)</f>
        <v/>
      </c>
      <c r="BC190" s="68" t="str">
        <f>IF('Marks Entry'!AC190="","",'Marks Entry'!AC190)</f>
        <v/>
      </c>
      <c r="BD190" s="68" t="str">
        <f>IF('Marks Entry'!AD190="","",'Marks Entry'!AD190)</f>
        <v/>
      </c>
      <c r="BE190" s="514" t="str">
        <f t="shared" si="360"/>
        <v/>
      </c>
      <c r="BF190" s="68" t="str">
        <f>IF('Marks Entry'!AE190="","",'Marks Entry'!AE190)</f>
        <v/>
      </c>
      <c r="BG190" s="515" t="str">
        <f t="shared" si="361"/>
        <v/>
      </c>
      <c r="BH190" s="68" t="str">
        <f>IF('Marks Entry'!AF190="","",'Marks Entry'!AF190)</f>
        <v/>
      </c>
      <c r="BI190" s="96" t="str">
        <f t="shared" si="362"/>
        <v/>
      </c>
      <c r="BJ190" s="65">
        <f t="shared" si="363"/>
        <v>0</v>
      </c>
      <c r="BK190" s="65">
        <f t="shared" si="431"/>
        <v>0</v>
      </c>
      <c r="BL190" s="66" t="str">
        <f t="shared" si="364"/>
        <v/>
      </c>
      <c r="BM190" s="65" t="str">
        <f t="shared" si="365"/>
        <v/>
      </c>
      <c r="BN190" s="65" t="str">
        <f t="shared" si="366"/>
        <v/>
      </c>
      <c r="BO190" s="65" t="str">
        <f t="shared" si="367"/>
        <v/>
      </c>
      <c r="BP190" s="68" t="str">
        <f>IF('Marks Entry'!AG190="","",'Marks Entry'!AG190)</f>
        <v/>
      </c>
      <c r="BQ190" s="68" t="str">
        <f>IF('Marks Entry'!AH190="","",'Marks Entry'!AH190)</f>
        <v/>
      </c>
      <c r="BR190" s="68" t="str">
        <f>IF('Marks Entry'!AI190="","",'Marks Entry'!AI190)</f>
        <v/>
      </c>
      <c r="BS190" s="514" t="str">
        <f t="shared" si="368"/>
        <v/>
      </c>
      <c r="BT190" s="68" t="str">
        <f>IF('Marks Entry'!AJ190="","",'Marks Entry'!AJ190)</f>
        <v/>
      </c>
      <c r="BU190" s="515" t="str">
        <f t="shared" si="369"/>
        <v/>
      </c>
      <c r="BV190" s="68" t="str">
        <f>IF('Marks Entry'!AK190="","",'Marks Entry'!AK190)</f>
        <v/>
      </c>
      <c r="BW190" s="96" t="str">
        <f t="shared" si="370"/>
        <v/>
      </c>
      <c r="BX190" s="65">
        <f t="shared" si="371"/>
        <v>0</v>
      </c>
      <c r="BY190" s="65">
        <f t="shared" si="372"/>
        <v>0</v>
      </c>
      <c r="BZ190" s="66" t="str">
        <f t="shared" si="373"/>
        <v/>
      </c>
      <c r="CA190" s="65" t="str">
        <f t="shared" si="374"/>
        <v/>
      </c>
      <c r="CB190" s="65" t="str">
        <f t="shared" si="375"/>
        <v/>
      </c>
      <c r="CC190" s="65" t="str">
        <f t="shared" si="376"/>
        <v/>
      </c>
      <c r="CD190" s="66">
        <f t="shared" si="497"/>
        <v>0</v>
      </c>
      <c r="CE190" s="68" t="str">
        <f>IF('Marks Entry'!AL190="","",'Marks Entry'!AL190)</f>
        <v/>
      </c>
      <c r="CF190" s="68" t="str">
        <f>IF('Marks Entry'!AM190="","",'Marks Entry'!AM190)</f>
        <v/>
      </c>
      <c r="CG190" s="68" t="str">
        <f>IF('Marks Entry'!AN190="","",'Marks Entry'!AN190)</f>
        <v/>
      </c>
      <c r="CH190" s="514" t="str">
        <f t="shared" si="378"/>
        <v/>
      </c>
      <c r="CI190" s="68" t="str">
        <f>IF('Marks Entry'!AO190="","",'Marks Entry'!AO190)</f>
        <v/>
      </c>
      <c r="CJ190" s="515" t="str">
        <f t="shared" si="379"/>
        <v/>
      </c>
      <c r="CK190" s="68" t="str">
        <f>IF('Marks Entry'!AP190="","",'Marks Entry'!AP190)</f>
        <v/>
      </c>
      <c r="CL190" s="96" t="str">
        <f t="shared" si="380"/>
        <v/>
      </c>
      <c r="CM190" s="65">
        <f t="shared" si="381"/>
        <v>0</v>
      </c>
      <c r="CN190" s="65">
        <f t="shared" si="382"/>
        <v>0</v>
      </c>
      <c r="CO190" s="66" t="str">
        <f t="shared" si="383"/>
        <v/>
      </c>
      <c r="CP190" s="65" t="str">
        <f t="shared" si="384"/>
        <v/>
      </c>
      <c r="CQ190" s="65" t="str">
        <f t="shared" si="385"/>
        <v/>
      </c>
      <c r="CR190" s="65" t="str">
        <f t="shared" si="386"/>
        <v/>
      </c>
      <c r="CS190" s="616"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8" t="str">
        <f>IF('School Profile'!$D$20="NO","",IF('Marks Entry'!AR190="","",'Marks Entry'!AR190))</f>
        <v/>
      </c>
      <c r="CU190" s="68" t="str">
        <f>IF('School Profile'!$D$20="NO","",IF('Marks Entry'!AS190="","",'Marks Entry'!AS190))</f>
        <v/>
      </c>
      <c r="CV190" s="68" t="str">
        <f>IF('School Profile'!$D$20="NO","",IF('Marks Entry'!AT190="","",'Marks Entry'!AT190))</f>
        <v/>
      </c>
      <c r="CW190" s="514" t="str">
        <f>IF('School Profile'!$D$20="NO","",IF(AND(CT190="",CU190="",CV190=""),"",SUM(CT190:CV190)))</f>
        <v/>
      </c>
      <c r="CX190" s="68" t="str">
        <f>IF('School Profile'!$D$20="NO","",IF('Marks Entry'!AU190="","",'Marks Entry'!AU190))</f>
        <v/>
      </c>
      <c r="CY190" s="68" t="str">
        <f>IF('School Profile'!$D$20="NO","",IF('Marks Entry'!AV190="","",'Marks Entry'!AV190))</f>
        <v/>
      </c>
      <c r="CZ190" s="515" t="str">
        <f>IF('School Profile'!$D$20="NO","",IF(AND(CX190="",CY190=""),"",SUM(CX190,CY190)))</f>
        <v/>
      </c>
      <c r="DA190" s="69" t="str">
        <f>IF('School Profile'!$D$20="NO","",IF(AND(CW190="",CZ190=""),"",SUM(CW190+CZ190)))</f>
        <v/>
      </c>
      <c r="DB190" s="68" t="str">
        <f>IF('School Profile'!$D$20="NO","",IF('Marks Entry'!AW190="","",'Marks Entry'!AW190))</f>
        <v/>
      </c>
      <c r="DC190" s="68" t="str">
        <f>IF('School Profile'!$D$20="NO","",IF('Marks Entry'!AX190="","",'Marks Entry'!AX190))</f>
        <v/>
      </c>
      <c r="DD190" s="515" t="str">
        <f>IF('School Profile'!$D$20="NO","",IF(AND(DB190="",DC190=""),"",SUM(DB190,DC190)))</f>
        <v/>
      </c>
      <c r="DE190" s="96" t="str">
        <f>IF('School Profile'!$D$20="NO","",IF(AND(DA190="",DD190=""),"",SUM(DA190,DD190)))</f>
        <v/>
      </c>
      <c r="DF190" s="532">
        <f t="shared" si="387"/>
        <v>0</v>
      </c>
      <c r="DG190" s="65">
        <f t="shared" si="388"/>
        <v>0</v>
      </c>
      <c r="DH190" s="66" t="str">
        <f t="shared" si="389"/>
        <v/>
      </c>
      <c r="DI190" s="65" t="str">
        <f t="shared" si="390"/>
        <v/>
      </c>
      <c r="DJ190" s="65" t="str">
        <f t="shared" si="391"/>
        <v/>
      </c>
      <c r="DK190" s="65" t="str">
        <f t="shared" si="392"/>
        <v/>
      </c>
      <c r="DL190" s="97" t="str">
        <f t="shared" si="432"/>
        <v/>
      </c>
      <c r="DM190" s="97" t="str">
        <f t="shared" si="433"/>
        <v/>
      </c>
      <c r="DN190" s="97" t="str">
        <f t="shared" si="434"/>
        <v/>
      </c>
      <c r="DO190" s="97" t="str">
        <f t="shared" si="435"/>
        <v/>
      </c>
      <c r="DP190" s="97" t="str">
        <f t="shared" si="436"/>
        <v/>
      </c>
      <c r="DQ190" s="97" t="str">
        <f t="shared" si="437"/>
        <v/>
      </c>
      <c r="DR190" s="97" t="str">
        <f t="shared" si="438"/>
        <v/>
      </c>
      <c r="DS190" s="98">
        <f t="shared" si="439"/>
        <v>0</v>
      </c>
      <c r="DT190" s="98">
        <f t="shared" si="440"/>
        <v>0</v>
      </c>
      <c r="DU190" s="98">
        <f t="shared" si="441"/>
        <v>0</v>
      </c>
      <c r="DV190" s="98">
        <f t="shared" si="442"/>
        <v>0</v>
      </c>
      <c r="DW190" s="98">
        <f t="shared" si="443"/>
        <v>0</v>
      </c>
      <c r="DX190" s="98" t="str">
        <f t="shared" si="444"/>
        <v/>
      </c>
      <c r="DY190" s="99" t="str">
        <f t="shared" si="445"/>
        <v/>
      </c>
      <c r="DZ190" s="74" t="str">
        <f>IF('Marks Entry'!AY190="","",'Marks Entry'!AY190)</f>
        <v/>
      </c>
      <c r="EA190" s="74" t="str">
        <f>IF('Marks Entry'!AZ190="","",'Marks Entry'!AZ190)</f>
        <v/>
      </c>
      <c r="EB190" s="74" t="str">
        <f>IF('Marks Entry'!BA190="","",'Marks Entry'!BA190)</f>
        <v/>
      </c>
      <c r="EC190" s="527" t="str">
        <f t="shared" si="393"/>
        <v/>
      </c>
      <c r="ED190" s="74" t="str">
        <f>IF('Marks Entry'!BB190="","",'Marks Entry'!BB190)</f>
        <v/>
      </c>
      <c r="EE190" s="528" t="str">
        <f t="shared" si="394"/>
        <v/>
      </c>
      <c r="EF190" s="74" t="str">
        <f>IF('Marks Entry'!BC190="","",'Marks Entry'!BC190)</f>
        <v/>
      </c>
      <c r="EG190" s="530" t="str">
        <f t="shared" si="395"/>
        <v/>
      </c>
      <c r="EH190" s="368" t="str">
        <f t="shared" si="446"/>
        <v/>
      </c>
      <c r="EI190" s="65">
        <f t="shared" si="447"/>
        <v>0</v>
      </c>
      <c r="EJ190" s="65">
        <f t="shared" si="448"/>
        <v>0</v>
      </c>
      <c r="EK190" s="66" t="str">
        <f t="shared" si="449"/>
        <v/>
      </c>
      <c r="EL190" s="74" t="str">
        <f>IF('Marks Entry'!BD190="","",'Marks Entry'!BD190)</f>
        <v/>
      </c>
      <c r="EM190" s="74" t="str">
        <f>IF('Marks Entry'!BE190="","",'Marks Entry'!BE190)</f>
        <v/>
      </c>
      <c r="EN190" s="74" t="str">
        <f>IF('Marks Entry'!BF190="","",'Marks Entry'!BF190)</f>
        <v/>
      </c>
      <c r="EO190" s="527" t="str">
        <f t="shared" si="396"/>
        <v/>
      </c>
      <c r="EP190" s="74" t="str">
        <f>IF('Marks Entry'!BG190="","",'Marks Entry'!BG190)</f>
        <v/>
      </c>
      <c r="EQ190" s="74" t="str">
        <f>IF('Marks Entry'!BH190="","",'Marks Entry'!BH190)</f>
        <v/>
      </c>
      <c r="ER190" s="528" t="str">
        <f t="shared" si="397"/>
        <v/>
      </c>
      <c r="ES190" s="529" t="str">
        <f t="shared" si="398"/>
        <v/>
      </c>
      <c r="ET190" s="74" t="str">
        <f>IF('Marks Entry'!BI190="","",'Marks Entry'!BI190)</f>
        <v/>
      </c>
      <c r="EU190" s="74" t="str">
        <f>IF('Marks Entry'!BJ190="","",'Marks Entry'!BJ190)</f>
        <v/>
      </c>
      <c r="EV190" s="528" t="str">
        <f t="shared" si="399"/>
        <v/>
      </c>
      <c r="EW190" s="530" t="str">
        <f t="shared" si="400"/>
        <v/>
      </c>
      <c r="EX190" s="368" t="str">
        <f t="shared" si="450"/>
        <v/>
      </c>
      <c r="EY190" s="65">
        <f t="shared" si="451"/>
        <v>0</v>
      </c>
      <c r="EZ190" s="65">
        <f t="shared" si="452"/>
        <v>0</v>
      </c>
      <c r="FA190" s="66" t="str">
        <f t="shared" si="453"/>
        <v/>
      </c>
      <c r="FB190" s="74" t="str">
        <f>IF('Marks Entry'!BK190="","",'Marks Entry'!BK190)</f>
        <v/>
      </c>
      <c r="FC190" s="74" t="str">
        <f>IF('Marks Entry'!BL190="","",'Marks Entry'!BL190)</f>
        <v/>
      </c>
      <c r="FD190" s="74" t="str">
        <f>IF('Marks Entry'!BM190="","",'Marks Entry'!BM190)</f>
        <v/>
      </c>
      <c r="FE190" s="74" t="str">
        <f>IF('Marks Entry'!BN190="","",'Marks Entry'!BN190)</f>
        <v/>
      </c>
      <c r="FF190" s="74" t="str">
        <f>IF('Marks Entry'!BO190="","",'Marks Entry'!BO190)</f>
        <v/>
      </c>
      <c r="FG190" s="74" t="str">
        <f>IF('Marks Entry'!BP190="","",'Marks Entry'!BP190)</f>
        <v/>
      </c>
      <c r="FH190" s="527" t="str">
        <f t="shared" si="401"/>
        <v/>
      </c>
      <c r="FI190" s="74" t="str">
        <f>IF('Marks Entry'!BQ190="","",'Marks Entry'!BQ190)</f>
        <v/>
      </c>
      <c r="FJ190" s="74" t="str">
        <f>IF('Marks Entry'!BR190="","",'Marks Entry'!BR190)</f>
        <v/>
      </c>
      <c r="FK190" s="528" t="str">
        <f t="shared" si="402"/>
        <v/>
      </c>
      <c r="FL190" s="529" t="str">
        <f t="shared" si="403"/>
        <v/>
      </c>
      <c r="FM190" s="74" t="str">
        <f>IF('Marks Entry'!BS190="","",'Marks Entry'!BS190)</f>
        <v/>
      </c>
      <c r="FN190" s="74" t="str">
        <f>IF('Marks Entry'!BT190="","",'Marks Entry'!BT190)</f>
        <v/>
      </c>
      <c r="FO190" s="528" t="str">
        <f t="shared" si="404"/>
        <v/>
      </c>
      <c r="FP190" s="530" t="str">
        <f t="shared" si="405"/>
        <v/>
      </c>
      <c r="FQ190" s="368" t="str">
        <f t="shared" si="454"/>
        <v/>
      </c>
      <c r="FR190" s="65">
        <f t="shared" si="455"/>
        <v>0</v>
      </c>
      <c r="FS190" s="65">
        <f t="shared" si="456"/>
        <v>0</v>
      </c>
      <c r="FT190" s="66" t="str">
        <f t="shared" si="457"/>
        <v/>
      </c>
      <c r="FU190" s="74" t="str">
        <f>IF('Marks Entry'!BU190="","",'Marks Entry'!BU190)</f>
        <v/>
      </c>
      <c r="FV190" s="74" t="str">
        <f>IF('Marks Entry'!BV190="","",'Marks Entry'!BV190)</f>
        <v/>
      </c>
      <c r="FW190" s="74" t="str">
        <f>IF('Marks Entry'!BW190="","",'Marks Entry'!BW190)</f>
        <v/>
      </c>
      <c r="FX190" s="75" t="str">
        <f t="shared" si="406"/>
        <v/>
      </c>
      <c r="FY190" s="368" t="str">
        <f t="shared" si="458"/>
        <v/>
      </c>
      <c r="FZ190" s="65">
        <f t="shared" si="459"/>
        <v>0</v>
      </c>
      <c r="GA190" s="66">
        <f t="shared" si="460"/>
        <v>0</v>
      </c>
      <c r="GB190" s="66" t="str">
        <f t="shared" si="461"/>
        <v/>
      </c>
      <c r="GC190" s="74" t="str">
        <f>IF('Marks Entry'!BX190="","",'Marks Entry'!BX190)</f>
        <v/>
      </c>
      <c r="GD190" s="74" t="str">
        <f>IF('Marks Entry'!BY190="","",'Marks Entry'!BY190)</f>
        <v/>
      </c>
      <c r="GE190" s="74" t="str">
        <f>IF('Marks Entry'!BZ190="","",'Marks Entry'!BZ190)</f>
        <v/>
      </c>
      <c r="GF190" s="75" t="str">
        <f t="shared" si="462"/>
        <v/>
      </c>
      <c r="GG190" s="368" t="str">
        <f t="shared" si="463"/>
        <v/>
      </c>
      <c r="GH190" s="65">
        <f t="shared" si="464"/>
        <v>0</v>
      </c>
      <c r="GI190" s="66">
        <f t="shared" si="465"/>
        <v>0</v>
      </c>
      <c r="GJ190" s="66" t="str">
        <f t="shared" si="466"/>
        <v/>
      </c>
      <c r="GK190" s="100" t="str">
        <f>IF(AND(F190="",B190=""),"",IF('Student DATA Entry'!M187="","",'Student DATA Entry'!M187))</f>
        <v/>
      </c>
      <c r="GL190" s="101" t="str">
        <f>IF(AND(B190="",F190=""),"",IF('Student DATA Entry'!N187="","",'Student DATA Entry'!N187))</f>
        <v/>
      </c>
      <c r="GM190" s="581" t="str">
        <f t="shared" si="467"/>
        <v/>
      </c>
      <c r="GN190" s="94" t="str">
        <f t="shared" si="468"/>
        <v/>
      </c>
      <c r="GO190" s="94" t="str">
        <f t="shared" si="469"/>
        <v/>
      </c>
      <c r="GP190" s="102" t="str">
        <f t="shared" si="498"/>
        <v/>
      </c>
      <c r="GQ190" s="94" t="str">
        <f t="shared" si="470"/>
        <v/>
      </c>
      <c r="GR190" s="103" t="str">
        <f t="shared" si="471"/>
        <v/>
      </c>
      <c r="GS190" s="102" t="str">
        <f t="shared" si="499"/>
        <v/>
      </c>
      <c r="GT190" s="104" t="str">
        <f t="shared" si="472"/>
        <v/>
      </c>
      <c r="GU190" s="94" t="str">
        <f>IF('Marks Entry'!V190=1,GT190,"")</f>
        <v/>
      </c>
      <c r="GV190" s="94" t="str">
        <f>IF('Marks Entry'!V190=2,GT190,"")</f>
        <v/>
      </c>
      <c r="GW190" s="94" t="str">
        <f>IF('Marks Entry'!V190=3,GT190,"")</f>
        <v/>
      </c>
      <c r="GX190" s="94" t="str">
        <f>IF('Marks Entry'!V190=4,GT190,"")</f>
        <v/>
      </c>
      <c r="GY190" s="94" t="str">
        <f>IF('Marks Entry'!V190=5,GT190,"")</f>
        <v/>
      </c>
      <c r="GZ190" s="94" t="str">
        <f t="shared" si="473"/>
        <v/>
      </c>
      <c r="HA190" s="105" t="str">
        <f t="shared" si="500"/>
        <v/>
      </c>
      <c r="HB190" s="94" t="str">
        <f t="shared" si="474"/>
        <v/>
      </c>
      <c r="HC190" s="94" t="str">
        <f t="shared" si="475"/>
        <v/>
      </c>
      <c r="HD190" s="105" t="str">
        <f t="shared" si="501"/>
        <v/>
      </c>
      <c r="HE190" s="94" t="str">
        <f t="shared" si="476"/>
        <v/>
      </c>
      <c r="HF190" s="94" t="str">
        <f t="shared" si="477"/>
        <v/>
      </c>
      <c r="HG190" s="105" t="str">
        <f t="shared" si="502"/>
        <v/>
      </c>
      <c r="HH190" s="94" t="str">
        <f t="shared" si="478"/>
        <v/>
      </c>
      <c r="HI190" s="94" t="str">
        <f t="shared" si="479"/>
        <v/>
      </c>
      <c r="HJ190" s="105" t="str">
        <f t="shared" si="503"/>
        <v/>
      </c>
      <c r="HK190" s="94" t="str">
        <f t="shared" si="480"/>
        <v/>
      </c>
      <c r="HL190" s="94" t="str">
        <f t="shared" si="481"/>
        <v/>
      </c>
      <c r="HM190" s="105" t="str">
        <f t="shared" si="504"/>
        <v/>
      </c>
      <c r="HN190" s="367" t="str">
        <f t="shared" si="482"/>
        <v xml:space="preserve">      </v>
      </c>
      <c r="HO190" s="418" t="str">
        <f t="shared" si="505"/>
        <v xml:space="preserve">      </v>
      </c>
      <c r="HP190" s="367" t="str">
        <f t="shared" si="483"/>
        <v xml:space="preserve">      </v>
      </c>
      <c r="HQ190" s="107" t="str">
        <f t="shared" si="484"/>
        <v xml:space="preserve">      </v>
      </c>
      <c r="HR190" s="366" t="str">
        <f t="shared" si="485"/>
        <v xml:space="preserve">      </v>
      </c>
      <c r="HS190" s="544" t="str">
        <f t="shared" si="506"/>
        <v/>
      </c>
      <c r="HT190" s="542" t="str">
        <f t="shared" si="486"/>
        <v/>
      </c>
      <c r="HU190" s="541" t="str">
        <f t="shared" si="487"/>
        <v/>
      </c>
      <c r="HV190" s="540" t="str">
        <f t="shared" si="488"/>
        <v/>
      </c>
      <c r="HW190" s="537" t="str">
        <f t="shared" si="489"/>
        <v/>
      </c>
      <c r="HX190" s="539" t="str">
        <f t="shared" si="490"/>
        <v/>
      </c>
      <c r="HY190" s="553" t="str">
        <f>IFERROR(IF(OR(HS190="SUPPLEMENTARY",HS190="RE-EXAM"),'Supp. Result Entry'!AQ188,""),"")</f>
        <v/>
      </c>
      <c r="HZ190" s="538" t="str">
        <f t="shared" si="491"/>
        <v/>
      </c>
      <c r="IA190" s="415" t="str">
        <f t="shared" si="492"/>
        <v/>
      </c>
      <c r="IB190" s="415" t="str">
        <f>IF(AND(HZ190="",IA190=""),"",IF(OR(HS190="SUPPLEMENTARY",HS190="RE-EXAM"),'Supp. Result Entry'!AQ188,HS190))</f>
        <v/>
      </c>
      <c r="IC190" s="87"/>
      <c r="IS190" s="109" t="str">
        <f>IF('Supp. Result Entry'!T188="","",'Supp. Result Entry'!$T$4)</f>
        <v/>
      </c>
      <c r="IT190" s="110" t="str">
        <f>IF('Supp. Result Entry'!W188="","",'Supp. Result Entry'!$W$4)</f>
        <v/>
      </c>
      <c r="IU190" s="110" t="str">
        <f>IF('Supp. Result Entry'!Z188="","",'Supp. Result Entry'!$Z$4)</f>
        <v/>
      </c>
      <c r="IV190" s="110" t="str">
        <f>IF('Supp. Result Entry'!AC188="","",'Supp. Result Entry'!$AC$4)</f>
        <v/>
      </c>
      <c r="IW190" s="110" t="str">
        <f>IF('Supp. Result Entry'!AF188="","",'Supp. Result Entry'!$AF$4)</f>
        <v/>
      </c>
      <c r="IX190" s="110" t="str">
        <f>IF('Supp. Result Entry'!AI188="","",'Supp. Result Entry'!$AI$4)</f>
        <v/>
      </c>
      <c r="IY190" s="110" t="str">
        <f>IF('Supp. Result Entry'!AI188="","",'Supp. Result Entry'!$AL$4)</f>
        <v/>
      </c>
      <c r="IZ190" s="110" t="str">
        <f>IF('Supp. Result Entry'!U188="","",'Supp. Result Entry'!U188)</f>
        <v/>
      </c>
      <c r="JA190" s="110" t="str">
        <f>IF('Supp. Result Entry'!X188="","",'Supp. Result Entry'!X188)</f>
        <v/>
      </c>
      <c r="JB190" s="110" t="str">
        <f>IF('Supp. Result Entry'!AA188="","",'Supp. Result Entry'!AA188)</f>
        <v/>
      </c>
      <c r="JC190" s="110" t="str">
        <f>IF('Supp. Result Entry'!AD188="","",'Supp. Result Entry'!AD188)</f>
        <v/>
      </c>
      <c r="JD190" s="110" t="str">
        <f>IF('Supp. Result Entry'!AG188="","",'Supp. Result Entry'!AG188)</f>
        <v/>
      </c>
      <c r="JE190" s="110" t="str">
        <f>IF('Supp. Result Entry'!AJ188="","",'Supp. Result Entry'!AJ188)</f>
        <v/>
      </c>
      <c r="JF190" s="110" t="str">
        <f>IF('Supp. Result Entry'!AM188="","",'Supp. Result Entry'!AM188)</f>
        <v/>
      </c>
      <c r="JG190" s="110" t="str">
        <f>IF('Supp. Result Entry'!V188="","",'Supp. Result Entry'!V188)</f>
        <v/>
      </c>
      <c r="JH190" s="110" t="str">
        <f>IF('Supp. Result Entry'!Y188="","",'Supp. Result Entry'!Y188)</f>
        <v/>
      </c>
      <c r="JI190" s="110" t="str">
        <f>IF('Supp. Result Entry'!AB188="","",'Supp. Result Entry'!AB188)</f>
        <v/>
      </c>
      <c r="JJ190" s="110" t="str">
        <f>IF('Supp. Result Entry'!AE188="","",'Supp. Result Entry'!AE188)</f>
        <v/>
      </c>
      <c r="JK190" s="110" t="str">
        <f>IF('Supp. Result Entry'!AH188="","",'Supp. Result Entry'!AH188)</f>
        <v/>
      </c>
      <c r="JL190" s="110" t="str">
        <f>IF('Supp. Result Entry'!AK188="","",'Supp. Result Entry'!AK188)</f>
        <v/>
      </c>
      <c r="JM190" s="110" t="str">
        <f>IF('Supp. Result Entry'!AN188="","",'Supp. Result Entry'!AN188)</f>
        <v/>
      </c>
      <c r="JN190" s="110">
        <f>COUNTIF('Supp. Result Entry'!K188:Q188,"S")</f>
        <v>0</v>
      </c>
      <c r="JO190" s="110">
        <f t="shared" si="416"/>
        <v>0</v>
      </c>
      <c r="JP190" s="110">
        <f t="shared" si="493"/>
        <v>0</v>
      </c>
      <c r="JQ190" s="110" t="str">
        <f t="shared" si="417"/>
        <v/>
      </c>
      <c r="JR190" s="110" t="str">
        <f t="shared" si="418"/>
        <v/>
      </c>
      <c r="JS190" s="110" t="str">
        <f t="shared" si="419"/>
        <v/>
      </c>
      <c r="JT190" s="110" t="str">
        <f t="shared" si="420"/>
        <v/>
      </c>
      <c r="JU190" s="110" t="str">
        <f t="shared" si="421"/>
        <v/>
      </c>
      <c r="JV190" s="110" t="str">
        <f t="shared" si="422"/>
        <v/>
      </c>
      <c r="JW190" s="110" t="str">
        <f t="shared" si="423"/>
        <v/>
      </c>
      <c r="JX190" s="110" t="str">
        <f t="shared" si="494"/>
        <v/>
      </c>
      <c r="JY190" s="110" t="str">
        <f t="shared" si="495"/>
        <v/>
      </c>
      <c r="JZ190" s="110" t="str">
        <f t="shared" si="424"/>
        <v/>
      </c>
      <c r="KA190" s="108" t="str">
        <f t="shared" si="496"/>
        <v/>
      </c>
    </row>
    <row r="191" spans="1:287" s="108" customFormat="1" ht="21.95" customHeight="1">
      <c r="A191" s="89">
        <v>185</v>
      </c>
      <c r="B191" s="90" t="str">
        <f>IF('Marks Entry'!B191="","",'Marks Entry'!B191)</f>
        <v/>
      </c>
      <c r="C191" s="94" t="str">
        <f>IF('Marks Entry'!D191="","",'Marks Entry'!D191)</f>
        <v/>
      </c>
      <c r="D191" s="91" t="str">
        <f>IF('Marks Entry'!E191="","",'Marks Entry'!E191)</f>
        <v/>
      </c>
      <c r="E191" s="92" t="str">
        <f>IF('Marks Entry'!F191="","",'Marks Entry'!F191)</f>
        <v/>
      </c>
      <c r="F191" s="93" t="str">
        <f>IF('Marks Entry'!G191="","",'Marks Entry'!G191)</f>
        <v/>
      </c>
      <c r="G191" s="93" t="str">
        <f>IF('Marks Entry'!H191="","",'Marks Entry'!H191)</f>
        <v/>
      </c>
      <c r="H191" s="93" t="str">
        <f>IF('Marks Entry'!I191="","",'Marks Entry'!I191)</f>
        <v/>
      </c>
      <c r="I191" s="94" t="str">
        <f>IF('Marks Entry'!J191="","",'Marks Entry'!J191)</f>
        <v/>
      </c>
      <c r="J191" s="95" t="str">
        <f>IF('Marks Entry'!K191="","",'Marks Entry'!K191)</f>
        <v/>
      </c>
      <c r="K191" s="68" t="str">
        <f>IF('Marks Entry'!L191="","",'Marks Entry'!L191)</f>
        <v/>
      </c>
      <c r="L191" s="68" t="str">
        <f>IF('Marks Entry'!M191="","",'Marks Entry'!M191)</f>
        <v/>
      </c>
      <c r="M191" s="68" t="str">
        <f>IF('Marks Entry'!N191="","",'Marks Entry'!N191)</f>
        <v/>
      </c>
      <c r="N191" s="514" t="str">
        <f t="shared" si="425"/>
        <v/>
      </c>
      <c r="O191" s="68" t="str">
        <f>IF('Marks Entry'!O191="","",'Marks Entry'!O191)</f>
        <v/>
      </c>
      <c r="P191" s="515" t="str">
        <f t="shared" si="426"/>
        <v/>
      </c>
      <c r="Q191" s="68" t="str">
        <f>IF('Marks Entry'!P191="","",'Marks Entry'!P191)</f>
        <v/>
      </c>
      <c r="R191" s="96" t="str">
        <f t="shared" si="427"/>
        <v/>
      </c>
      <c r="S191" s="65">
        <f t="shared" si="428"/>
        <v>0</v>
      </c>
      <c r="T191" s="65">
        <f t="shared" si="429"/>
        <v>0</v>
      </c>
      <c r="U191" s="66" t="str">
        <f t="shared" si="339"/>
        <v/>
      </c>
      <c r="V191" s="65" t="str">
        <f t="shared" si="340"/>
        <v/>
      </c>
      <c r="W191" s="65" t="str">
        <f t="shared" si="430"/>
        <v/>
      </c>
      <c r="X191" s="65" t="str">
        <f t="shared" si="341"/>
        <v/>
      </c>
      <c r="Y191" s="68" t="str">
        <f>IF('Marks Entry'!Q191="","",'Marks Entry'!Q191)</f>
        <v/>
      </c>
      <c r="Z191" s="68" t="str">
        <f>IF('Marks Entry'!R191="","",'Marks Entry'!R191)</f>
        <v/>
      </c>
      <c r="AA191" s="68" t="str">
        <f>IF('Marks Entry'!S191="","",'Marks Entry'!S191)</f>
        <v/>
      </c>
      <c r="AB191" s="514" t="str">
        <f t="shared" si="342"/>
        <v/>
      </c>
      <c r="AC191" s="68" t="str">
        <f>IF('Marks Entry'!T191="","",'Marks Entry'!T191)</f>
        <v/>
      </c>
      <c r="AD191" s="515" t="str">
        <f t="shared" si="343"/>
        <v/>
      </c>
      <c r="AE191" s="68" t="str">
        <f>IF('Marks Entry'!U191="","",'Marks Entry'!U191)</f>
        <v/>
      </c>
      <c r="AF191" s="96" t="str">
        <f t="shared" si="344"/>
        <v/>
      </c>
      <c r="AG191" s="65">
        <f t="shared" si="345"/>
        <v>0</v>
      </c>
      <c r="AH191" s="65">
        <f t="shared" si="346"/>
        <v>0</v>
      </c>
      <c r="AI191" s="66" t="str">
        <f t="shared" si="347"/>
        <v/>
      </c>
      <c r="AJ191" s="65" t="str">
        <f t="shared" si="348"/>
        <v/>
      </c>
      <c r="AK191" s="65" t="str">
        <f t="shared" si="349"/>
        <v/>
      </c>
      <c r="AL191" s="65" t="str">
        <f t="shared" si="350"/>
        <v/>
      </c>
      <c r="AM191" s="524" t="str">
        <f>IF('Marks Entry'!V191="","",IF('Marks Entry'!V191=1,'School Profile'!$I$9,IF('Marks Entry'!V191=2,'School Profile'!$I$10,IF('Marks Entry'!V191=3,'School Profile'!$I$11,IF('Marks Entry'!V191=4,'School Profile'!$I$12,IF('Marks Entry'!V191=5,'School Profile'!$I$13,IF('Marks Entry'!V191=6,'School Profile'!$I$14,"")))))))</f>
        <v/>
      </c>
      <c r="AN191" s="68" t="str">
        <f>IF('Marks Entry'!W191="","",'Marks Entry'!W191)</f>
        <v/>
      </c>
      <c r="AO191" s="68" t="str">
        <f>IF('Marks Entry'!X191="","",'Marks Entry'!X191)</f>
        <v/>
      </c>
      <c r="AP191" s="68" t="str">
        <f>IF('Marks Entry'!Y191="","",'Marks Entry'!Y191)</f>
        <v/>
      </c>
      <c r="AQ191" s="514" t="str">
        <f t="shared" si="351"/>
        <v/>
      </c>
      <c r="AR191" s="68" t="str">
        <f>IF('Marks Entry'!Z191="","",'Marks Entry'!Z191)</f>
        <v/>
      </c>
      <c r="AS191" s="515" t="str">
        <f t="shared" si="352"/>
        <v/>
      </c>
      <c r="AT191" s="68" t="str">
        <f>IF('Marks Entry'!AA191="","",'Marks Entry'!AA191)</f>
        <v/>
      </c>
      <c r="AU191" s="96" t="str">
        <f t="shared" si="353"/>
        <v/>
      </c>
      <c r="AV191" s="65">
        <f t="shared" si="354"/>
        <v>0</v>
      </c>
      <c r="AW191" s="65">
        <f t="shared" si="355"/>
        <v>0</v>
      </c>
      <c r="AX191" s="66" t="str">
        <f t="shared" si="356"/>
        <v/>
      </c>
      <c r="AY191" s="65" t="str">
        <f t="shared" si="357"/>
        <v/>
      </c>
      <c r="AZ191" s="65" t="str">
        <f t="shared" si="358"/>
        <v/>
      </c>
      <c r="BA191" s="65" t="str">
        <f t="shared" si="359"/>
        <v/>
      </c>
      <c r="BB191" s="68" t="str">
        <f>IF('Marks Entry'!AB191="","",'Marks Entry'!AB191)</f>
        <v/>
      </c>
      <c r="BC191" s="68" t="str">
        <f>IF('Marks Entry'!AC191="","",'Marks Entry'!AC191)</f>
        <v/>
      </c>
      <c r="BD191" s="68" t="str">
        <f>IF('Marks Entry'!AD191="","",'Marks Entry'!AD191)</f>
        <v/>
      </c>
      <c r="BE191" s="514" t="str">
        <f t="shared" si="360"/>
        <v/>
      </c>
      <c r="BF191" s="68" t="str">
        <f>IF('Marks Entry'!AE191="","",'Marks Entry'!AE191)</f>
        <v/>
      </c>
      <c r="BG191" s="515" t="str">
        <f t="shared" si="361"/>
        <v/>
      </c>
      <c r="BH191" s="68" t="str">
        <f>IF('Marks Entry'!AF191="","",'Marks Entry'!AF191)</f>
        <v/>
      </c>
      <c r="BI191" s="96" t="str">
        <f t="shared" si="362"/>
        <v/>
      </c>
      <c r="BJ191" s="65">
        <f t="shared" si="363"/>
        <v>0</v>
      </c>
      <c r="BK191" s="65">
        <f t="shared" si="431"/>
        <v>0</v>
      </c>
      <c r="BL191" s="66" t="str">
        <f t="shared" si="364"/>
        <v/>
      </c>
      <c r="BM191" s="65" t="str">
        <f t="shared" si="365"/>
        <v/>
      </c>
      <c r="BN191" s="65" t="str">
        <f t="shared" si="366"/>
        <v/>
      </c>
      <c r="BO191" s="65" t="str">
        <f t="shared" si="367"/>
        <v/>
      </c>
      <c r="BP191" s="68" t="str">
        <f>IF('Marks Entry'!AG191="","",'Marks Entry'!AG191)</f>
        <v/>
      </c>
      <c r="BQ191" s="68" t="str">
        <f>IF('Marks Entry'!AH191="","",'Marks Entry'!AH191)</f>
        <v/>
      </c>
      <c r="BR191" s="68" t="str">
        <f>IF('Marks Entry'!AI191="","",'Marks Entry'!AI191)</f>
        <v/>
      </c>
      <c r="BS191" s="514" t="str">
        <f t="shared" si="368"/>
        <v/>
      </c>
      <c r="BT191" s="68" t="str">
        <f>IF('Marks Entry'!AJ191="","",'Marks Entry'!AJ191)</f>
        <v/>
      </c>
      <c r="BU191" s="515" t="str">
        <f t="shared" si="369"/>
        <v/>
      </c>
      <c r="BV191" s="68" t="str">
        <f>IF('Marks Entry'!AK191="","",'Marks Entry'!AK191)</f>
        <v/>
      </c>
      <c r="BW191" s="96" t="str">
        <f t="shared" si="370"/>
        <v/>
      </c>
      <c r="BX191" s="65">
        <f t="shared" si="371"/>
        <v>0</v>
      </c>
      <c r="BY191" s="65">
        <f t="shared" si="372"/>
        <v>0</v>
      </c>
      <c r="BZ191" s="66" t="str">
        <f t="shared" si="373"/>
        <v/>
      </c>
      <c r="CA191" s="65" t="str">
        <f t="shared" si="374"/>
        <v/>
      </c>
      <c r="CB191" s="65" t="str">
        <f t="shared" si="375"/>
        <v/>
      </c>
      <c r="CC191" s="65" t="str">
        <f t="shared" si="376"/>
        <v/>
      </c>
      <c r="CD191" s="66">
        <f t="shared" si="497"/>
        <v>0</v>
      </c>
      <c r="CE191" s="68" t="str">
        <f>IF('Marks Entry'!AL191="","",'Marks Entry'!AL191)</f>
        <v/>
      </c>
      <c r="CF191" s="68" t="str">
        <f>IF('Marks Entry'!AM191="","",'Marks Entry'!AM191)</f>
        <v/>
      </c>
      <c r="CG191" s="68" t="str">
        <f>IF('Marks Entry'!AN191="","",'Marks Entry'!AN191)</f>
        <v/>
      </c>
      <c r="CH191" s="514" t="str">
        <f t="shared" si="378"/>
        <v/>
      </c>
      <c r="CI191" s="68" t="str">
        <f>IF('Marks Entry'!AO191="","",'Marks Entry'!AO191)</f>
        <v/>
      </c>
      <c r="CJ191" s="515" t="str">
        <f t="shared" si="379"/>
        <v/>
      </c>
      <c r="CK191" s="68" t="str">
        <f>IF('Marks Entry'!AP191="","",'Marks Entry'!AP191)</f>
        <v/>
      </c>
      <c r="CL191" s="96" t="str">
        <f t="shared" si="380"/>
        <v/>
      </c>
      <c r="CM191" s="65">
        <f t="shared" si="381"/>
        <v>0</v>
      </c>
      <c r="CN191" s="65">
        <f t="shared" si="382"/>
        <v>0</v>
      </c>
      <c r="CO191" s="66" t="str">
        <f t="shared" si="383"/>
        <v/>
      </c>
      <c r="CP191" s="65" t="str">
        <f t="shared" si="384"/>
        <v/>
      </c>
      <c r="CQ191" s="65" t="str">
        <f t="shared" si="385"/>
        <v/>
      </c>
      <c r="CR191" s="65" t="str">
        <f t="shared" si="386"/>
        <v/>
      </c>
      <c r="CS191" s="616"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8" t="str">
        <f>IF('School Profile'!$D$20="NO","",IF('Marks Entry'!AR191="","",'Marks Entry'!AR191))</f>
        <v/>
      </c>
      <c r="CU191" s="68" t="str">
        <f>IF('School Profile'!$D$20="NO","",IF('Marks Entry'!AS191="","",'Marks Entry'!AS191))</f>
        <v/>
      </c>
      <c r="CV191" s="68" t="str">
        <f>IF('School Profile'!$D$20="NO","",IF('Marks Entry'!AT191="","",'Marks Entry'!AT191))</f>
        <v/>
      </c>
      <c r="CW191" s="514" t="str">
        <f>IF('School Profile'!$D$20="NO","",IF(AND(CT191="",CU191="",CV191=""),"",SUM(CT191:CV191)))</f>
        <v/>
      </c>
      <c r="CX191" s="68" t="str">
        <f>IF('School Profile'!$D$20="NO","",IF('Marks Entry'!AU191="","",'Marks Entry'!AU191))</f>
        <v/>
      </c>
      <c r="CY191" s="68" t="str">
        <f>IF('School Profile'!$D$20="NO","",IF('Marks Entry'!AV191="","",'Marks Entry'!AV191))</f>
        <v/>
      </c>
      <c r="CZ191" s="515" t="str">
        <f>IF('School Profile'!$D$20="NO","",IF(AND(CX191="",CY191=""),"",SUM(CX191,CY191)))</f>
        <v/>
      </c>
      <c r="DA191" s="69" t="str">
        <f>IF('School Profile'!$D$20="NO","",IF(AND(CW191="",CZ191=""),"",SUM(CW191+CZ191)))</f>
        <v/>
      </c>
      <c r="DB191" s="68" t="str">
        <f>IF('School Profile'!$D$20="NO","",IF('Marks Entry'!AW191="","",'Marks Entry'!AW191))</f>
        <v/>
      </c>
      <c r="DC191" s="68" t="str">
        <f>IF('School Profile'!$D$20="NO","",IF('Marks Entry'!AX191="","",'Marks Entry'!AX191))</f>
        <v/>
      </c>
      <c r="DD191" s="515" t="str">
        <f>IF('School Profile'!$D$20="NO","",IF(AND(DB191="",DC191=""),"",SUM(DB191,DC191)))</f>
        <v/>
      </c>
      <c r="DE191" s="96" t="str">
        <f>IF('School Profile'!$D$20="NO","",IF(AND(DA191="",DD191=""),"",SUM(DA191,DD191)))</f>
        <v/>
      </c>
      <c r="DF191" s="532">
        <f t="shared" si="387"/>
        <v>0</v>
      </c>
      <c r="DG191" s="65">
        <f t="shared" si="388"/>
        <v>0</v>
      </c>
      <c r="DH191" s="66" t="str">
        <f t="shared" si="389"/>
        <v/>
      </c>
      <c r="DI191" s="65" t="str">
        <f t="shared" si="390"/>
        <v/>
      </c>
      <c r="DJ191" s="65" t="str">
        <f t="shared" si="391"/>
        <v/>
      </c>
      <c r="DK191" s="65" t="str">
        <f t="shared" si="392"/>
        <v/>
      </c>
      <c r="DL191" s="97" t="str">
        <f t="shared" si="432"/>
        <v/>
      </c>
      <c r="DM191" s="97" t="str">
        <f t="shared" si="433"/>
        <v/>
      </c>
      <c r="DN191" s="97" t="str">
        <f t="shared" si="434"/>
        <v/>
      </c>
      <c r="DO191" s="97" t="str">
        <f t="shared" si="435"/>
        <v/>
      </c>
      <c r="DP191" s="97" t="str">
        <f t="shared" si="436"/>
        <v/>
      </c>
      <c r="DQ191" s="97" t="str">
        <f t="shared" si="437"/>
        <v/>
      </c>
      <c r="DR191" s="97" t="str">
        <f t="shared" si="438"/>
        <v/>
      </c>
      <c r="DS191" s="98">
        <f t="shared" si="439"/>
        <v>0</v>
      </c>
      <c r="DT191" s="98">
        <f t="shared" si="440"/>
        <v>0</v>
      </c>
      <c r="DU191" s="98">
        <f t="shared" si="441"/>
        <v>0</v>
      </c>
      <c r="DV191" s="98">
        <f t="shared" si="442"/>
        <v>0</v>
      </c>
      <c r="DW191" s="98">
        <f t="shared" si="443"/>
        <v>0</v>
      </c>
      <c r="DX191" s="98" t="str">
        <f t="shared" si="444"/>
        <v/>
      </c>
      <c r="DY191" s="99" t="str">
        <f t="shared" si="445"/>
        <v/>
      </c>
      <c r="DZ191" s="74" t="str">
        <f>IF('Marks Entry'!AY191="","",'Marks Entry'!AY191)</f>
        <v/>
      </c>
      <c r="EA191" s="74" t="str">
        <f>IF('Marks Entry'!AZ191="","",'Marks Entry'!AZ191)</f>
        <v/>
      </c>
      <c r="EB191" s="74" t="str">
        <f>IF('Marks Entry'!BA191="","",'Marks Entry'!BA191)</f>
        <v/>
      </c>
      <c r="EC191" s="527" t="str">
        <f t="shared" si="393"/>
        <v/>
      </c>
      <c r="ED191" s="74" t="str">
        <f>IF('Marks Entry'!BB191="","",'Marks Entry'!BB191)</f>
        <v/>
      </c>
      <c r="EE191" s="528" t="str">
        <f t="shared" si="394"/>
        <v/>
      </c>
      <c r="EF191" s="74" t="str">
        <f>IF('Marks Entry'!BC191="","",'Marks Entry'!BC191)</f>
        <v/>
      </c>
      <c r="EG191" s="530" t="str">
        <f t="shared" si="395"/>
        <v/>
      </c>
      <c r="EH191" s="368" t="str">
        <f t="shared" si="446"/>
        <v/>
      </c>
      <c r="EI191" s="65">
        <f t="shared" si="447"/>
        <v>0</v>
      </c>
      <c r="EJ191" s="65">
        <f t="shared" si="448"/>
        <v>0</v>
      </c>
      <c r="EK191" s="66" t="str">
        <f t="shared" si="449"/>
        <v/>
      </c>
      <c r="EL191" s="74" t="str">
        <f>IF('Marks Entry'!BD191="","",'Marks Entry'!BD191)</f>
        <v/>
      </c>
      <c r="EM191" s="74" t="str">
        <f>IF('Marks Entry'!BE191="","",'Marks Entry'!BE191)</f>
        <v/>
      </c>
      <c r="EN191" s="74" t="str">
        <f>IF('Marks Entry'!BF191="","",'Marks Entry'!BF191)</f>
        <v/>
      </c>
      <c r="EO191" s="527" t="str">
        <f t="shared" si="396"/>
        <v/>
      </c>
      <c r="EP191" s="74" t="str">
        <f>IF('Marks Entry'!BG191="","",'Marks Entry'!BG191)</f>
        <v/>
      </c>
      <c r="EQ191" s="74" t="str">
        <f>IF('Marks Entry'!BH191="","",'Marks Entry'!BH191)</f>
        <v/>
      </c>
      <c r="ER191" s="528" t="str">
        <f t="shared" si="397"/>
        <v/>
      </c>
      <c r="ES191" s="529" t="str">
        <f t="shared" si="398"/>
        <v/>
      </c>
      <c r="ET191" s="74" t="str">
        <f>IF('Marks Entry'!BI191="","",'Marks Entry'!BI191)</f>
        <v/>
      </c>
      <c r="EU191" s="74" t="str">
        <f>IF('Marks Entry'!BJ191="","",'Marks Entry'!BJ191)</f>
        <v/>
      </c>
      <c r="EV191" s="528" t="str">
        <f t="shared" si="399"/>
        <v/>
      </c>
      <c r="EW191" s="530" t="str">
        <f t="shared" si="400"/>
        <v/>
      </c>
      <c r="EX191" s="368" t="str">
        <f t="shared" si="450"/>
        <v/>
      </c>
      <c r="EY191" s="65">
        <f t="shared" si="451"/>
        <v>0</v>
      </c>
      <c r="EZ191" s="65">
        <f t="shared" si="452"/>
        <v>0</v>
      </c>
      <c r="FA191" s="66" t="str">
        <f t="shared" si="453"/>
        <v/>
      </c>
      <c r="FB191" s="74" t="str">
        <f>IF('Marks Entry'!BK191="","",'Marks Entry'!BK191)</f>
        <v/>
      </c>
      <c r="FC191" s="74" t="str">
        <f>IF('Marks Entry'!BL191="","",'Marks Entry'!BL191)</f>
        <v/>
      </c>
      <c r="FD191" s="74" t="str">
        <f>IF('Marks Entry'!BM191="","",'Marks Entry'!BM191)</f>
        <v/>
      </c>
      <c r="FE191" s="74" t="str">
        <f>IF('Marks Entry'!BN191="","",'Marks Entry'!BN191)</f>
        <v/>
      </c>
      <c r="FF191" s="74" t="str">
        <f>IF('Marks Entry'!BO191="","",'Marks Entry'!BO191)</f>
        <v/>
      </c>
      <c r="FG191" s="74" t="str">
        <f>IF('Marks Entry'!BP191="","",'Marks Entry'!BP191)</f>
        <v/>
      </c>
      <c r="FH191" s="527" t="str">
        <f t="shared" si="401"/>
        <v/>
      </c>
      <c r="FI191" s="74" t="str">
        <f>IF('Marks Entry'!BQ191="","",'Marks Entry'!BQ191)</f>
        <v/>
      </c>
      <c r="FJ191" s="74" t="str">
        <f>IF('Marks Entry'!BR191="","",'Marks Entry'!BR191)</f>
        <v/>
      </c>
      <c r="FK191" s="528" t="str">
        <f t="shared" si="402"/>
        <v/>
      </c>
      <c r="FL191" s="529" t="str">
        <f t="shared" si="403"/>
        <v/>
      </c>
      <c r="FM191" s="74" t="str">
        <f>IF('Marks Entry'!BS191="","",'Marks Entry'!BS191)</f>
        <v/>
      </c>
      <c r="FN191" s="74" t="str">
        <f>IF('Marks Entry'!BT191="","",'Marks Entry'!BT191)</f>
        <v/>
      </c>
      <c r="FO191" s="528" t="str">
        <f t="shared" si="404"/>
        <v/>
      </c>
      <c r="FP191" s="530" t="str">
        <f t="shared" si="405"/>
        <v/>
      </c>
      <c r="FQ191" s="368" t="str">
        <f t="shared" si="454"/>
        <v/>
      </c>
      <c r="FR191" s="65">
        <f t="shared" si="455"/>
        <v>0</v>
      </c>
      <c r="FS191" s="65">
        <f t="shared" si="456"/>
        <v>0</v>
      </c>
      <c r="FT191" s="66" t="str">
        <f t="shared" si="457"/>
        <v/>
      </c>
      <c r="FU191" s="74" t="str">
        <f>IF('Marks Entry'!BU191="","",'Marks Entry'!BU191)</f>
        <v/>
      </c>
      <c r="FV191" s="74" t="str">
        <f>IF('Marks Entry'!BV191="","",'Marks Entry'!BV191)</f>
        <v/>
      </c>
      <c r="FW191" s="74" t="str">
        <f>IF('Marks Entry'!BW191="","",'Marks Entry'!BW191)</f>
        <v/>
      </c>
      <c r="FX191" s="75" t="str">
        <f t="shared" si="406"/>
        <v/>
      </c>
      <c r="FY191" s="368" t="str">
        <f t="shared" si="458"/>
        <v/>
      </c>
      <c r="FZ191" s="65">
        <f t="shared" si="459"/>
        <v>0</v>
      </c>
      <c r="GA191" s="66">
        <f t="shared" si="460"/>
        <v>0</v>
      </c>
      <c r="GB191" s="66" t="str">
        <f t="shared" si="461"/>
        <v/>
      </c>
      <c r="GC191" s="74" t="str">
        <f>IF('Marks Entry'!BX191="","",'Marks Entry'!BX191)</f>
        <v/>
      </c>
      <c r="GD191" s="74" t="str">
        <f>IF('Marks Entry'!BY191="","",'Marks Entry'!BY191)</f>
        <v/>
      </c>
      <c r="GE191" s="74" t="str">
        <f>IF('Marks Entry'!BZ191="","",'Marks Entry'!BZ191)</f>
        <v/>
      </c>
      <c r="GF191" s="75" t="str">
        <f t="shared" si="462"/>
        <v/>
      </c>
      <c r="GG191" s="368" t="str">
        <f t="shared" si="463"/>
        <v/>
      </c>
      <c r="GH191" s="65">
        <f t="shared" si="464"/>
        <v>0</v>
      </c>
      <c r="GI191" s="66">
        <f t="shared" si="465"/>
        <v>0</v>
      </c>
      <c r="GJ191" s="66" t="str">
        <f t="shared" si="466"/>
        <v/>
      </c>
      <c r="GK191" s="100" t="str">
        <f>IF(AND(F191="",B191=""),"",IF('Student DATA Entry'!M188="","",'Student DATA Entry'!M188))</f>
        <v/>
      </c>
      <c r="GL191" s="101" t="str">
        <f>IF(AND(B191="",F191=""),"",IF('Student DATA Entry'!N188="","",'Student DATA Entry'!N188))</f>
        <v/>
      </c>
      <c r="GM191" s="581" t="str">
        <f t="shared" si="467"/>
        <v/>
      </c>
      <c r="GN191" s="94" t="str">
        <f t="shared" si="468"/>
        <v/>
      </c>
      <c r="GO191" s="94" t="str">
        <f t="shared" si="469"/>
        <v/>
      </c>
      <c r="GP191" s="102" t="str">
        <f t="shared" si="498"/>
        <v/>
      </c>
      <c r="GQ191" s="94" t="str">
        <f t="shared" si="470"/>
        <v/>
      </c>
      <c r="GR191" s="103" t="str">
        <f t="shared" si="471"/>
        <v/>
      </c>
      <c r="GS191" s="102" t="str">
        <f t="shared" si="499"/>
        <v/>
      </c>
      <c r="GT191" s="104" t="str">
        <f t="shared" si="472"/>
        <v/>
      </c>
      <c r="GU191" s="94" t="str">
        <f>IF('Marks Entry'!V191=1,GT191,"")</f>
        <v/>
      </c>
      <c r="GV191" s="94" t="str">
        <f>IF('Marks Entry'!V191=2,GT191,"")</f>
        <v/>
      </c>
      <c r="GW191" s="94" t="str">
        <f>IF('Marks Entry'!V191=3,GT191,"")</f>
        <v/>
      </c>
      <c r="GX191" s="94" t="str">
        <f>IF('Marks Entry'!V191=4,GT191,"")</f>
        <v/>
      </c>
      <c r="GY191" s="94" t="str">
        <f>IF('Marks Entry'!V191=5,GT191,"")</f>
        <v/>
      </c>
      <c r="GZ191" s="94" t="str">
        <f t="shared" si="473"/>
        <v/>
      </c>
      <c r="HA191" s="105" t="str">
        <f t="shared" si="500"/>
        <v/>
      </c>
      <c r="HB191" s="94" t="str">
        <f t="shared" si="474"/>
        <v/>
      </c>
      <c r="HC191" s="94" t="str">
        <f t="shared" si="475"/>
        <v/>
      </c>
      <c r="HD191" s="105" t="str">
        <f t="shared" si="501"/>
        <v/>
      </c>
      <c r="HE191" s="94" t="str">
        <f t="shared" si="476"/>
        <v/>
      </c>
      <c r="HF191" s="94" t="str">
        <f t="shared" si="477"/>
        <v/>
      </c>
      <c r="HG191" s="105" t="str">
        <f t="shared" si="502"/>
        <v/>
      </c>
      <c r="HH191" s="94" t="str">
        <f t="shared" si="478"/>
        <v/>
      </c>
      <c r="HI191" s="94" t="str">
        <f t="shared" si="479"/>
        <v/>
      </c>
      <c r="HJ191" s="105" t="str">
        <f t="shared" si="503"/>
        <v/>
      </c>
      <c r="HK191" s="94" t="str">
        <f t="shared" si="480"/>
        <v/>
      </c>
      <c r="HL191" s="94" t="str">
        <f t="shared" si="481"/>
        <v/>
      </c>
      <c r="HM191" s="105" t="str">
        <f t="shared" si="504"/>
        <v/>
      </c>
      <c r="HN191" s="367" t="str">
        <f t="shared" si="482"/>
        <v xml:space="preserve">      </v>
      </c>
      <c r="HO191" s="418" t="str">
        <f t="shared" si="505"/>
        <v xml:space="preserve">      </v>
      </c>
      <c r="HP191" s="367" t="str">
        <f t="shared" si="483"/>
        <v xml:space="preserve">      </v>
      </c>
      <c r="HQ191" s="107" t="str">
        <f t="shared" si="484"/>
        <v xml:space="preserve">      </v>
      </c>
      <c r="HR191" s="366" t="str">
        <f t="shared" si="485"/>
        <v xml:space="preserve">      </v>
      </c>
      <c r="HS191" s="544" t="str">
        <f t="shared" si="506"/>
        <v/>
      </c>
      <c r="HT191" s="542" t="str">
        <f t="shared" si="486"/>
        <v/>
      </c>
      <c r="HU191" s="541" t="str">
        <f t="shared" si="487"/>
        <v/>
      </c>
      <c r="HV191" s="540" t="str">
        <f t="shared" si="488"/>
        <v/>
      </c>
      <c r="HW191" s="537" t="str">
        <f t="shared" si="489"/>
        <v/>
      </c>
      <c r="HX191" s="539" t="str">
        <f t="shared" si="490"/>
        <v/>
      </c>
      <c r="HY191" s="553" t="str">
        <f>IFERROR(IF(OR(HS191="SUPPLEMENTARY",HS191="RE-EXAM"),'Supp. Result Entry'!AQ189,""),"")</f>
        <v/>
      </c>
      <c r="HZ191" s="538" t="str">
        <f t="shared" si="491"/>
        <v/>
      </c>
      <c r="IA191" s="415" t="str">
        <f t="shared" si="492"/>
        <v/>
      </c>
      <c r="IB191" s="415" t="str">
        <f>IF(AND(HZ191="",IA191=""),"",IF(OR(HS191="SUPPLEMENTARY",HS191="RE-EXAM"),'Supp. Result Entry'!AQ189,HS191))</f>
        <v/>
      </c>
      <c r="IC191" s="87"/>
      <c r="IS191" s="109" t="str">
        <f>IF('Supp. Result Entry'!T189="","",'Supp. Result Entry'!$T$4)</f>
        <v/>
      </c>
      <c r="IT191" s="110" t="str">
        <f>IF('Supp. Result Entry'!W189="","",'Supp. Result Entry'!$W$4)</f>
        <v/>
      </c>
      <c r="IU191" s="110" t="str">
        <f>IF('Supp. Result Entry'!Z189="","",'Supp. Result Entry'!$Z$4)</f>
        <v/>
      </c>
      <c r="IV191" s="110" t="str">
        <f>IF('Supp. Result Entry'!AC189="","",'Supp. Result Entry'!$AC$4)</f>
        <v/>
      </c>
      <c r="IW191" s="110" t="str">
        <f>IF('Supp. Result Entry'!AF189="","",'Supp. Result Entry'!$AF$4)</f>
        <v/>
      </c>
      <c r="IX191" s="110" t="str">
        <f>IF('Supp. Result Entry'!AI189="","",'Supp. Result Entry'!$AI$4)</f>
        <v/>
      </c>
      <c r="IY191" s="110" t="str">
        <f>IF('Supp. Result Entry'!AI189="","",'Supp. Result Entry'!$AL$4)</f>
        <v/>
      </c>
      <c r="IZ191" s="110" t="str">
        <f>IF('Supp. Result Entry'!U189="","",'Supp. Result Entry'!U189)</f>
        <v/>
      </c>
      <c r="JA191" s="110" t="str">
        <f>IF('Supp. Result Entry'!X189="","",'Supp. Result Entry'!X189)</f>
        <v/>
      </c>
      <c r="JB191" s="110" t="str">
        <f>IF('Supp. Result Entry'!AA189="","",'Supp. Result Entry'!AA189)</f>
        <v/>
      </c>
      <c r="JC191" s="110" t="str">
        <f>IF('Supp. Result Entry'!AD189="","",'Supp. Result Entry'!AD189)</f>
        <v/>
      </c>
      <c r="JD191" s="110" t="str">
        <f>IF('Supp. Result Entry'!AG189="","",'Supp. Result Entry'!AG189)</f>
        <v/>
      </c>
      <c r="JE191" s="110" t="str">
        <f>IF('Supp. Result Entry'!AJ189="","",'Supp. Result Entry'!AJ189)</f>
        <v/>
      </c>
      <c r="JF191" s="110" t="str">
        <f>IF('Supp. Result Entry'!AM189="","",'Supp. Result Entry'!AM189)</f>
        <v/>
      </c>
      <c r="JG191" s="110" t="str">
        <f>IF('Supp. Result Entry'!V189="","",'Supp. Result Entry'!V189)</f>
        <v/>
      </c>
      <c r="JH191" s="110" t="str">
        <f>IF('Supp. Result Entry'!Y189="","",'Supp. Result Entry'!Y189)</f>
        <v/>
      </c>
      <c r="JI191" s="110" t="str">
        <f>IF('Supp. Result Entry'!AB189="","",'Supp. Result Entry'!AB189)</f>
        <v/>
      </c>
      <c r="JJ191" s="110" t="str">
        <f>IF('Supp. Result Entry'!AE189="","",'Supp. Result Entry'!AE189)</f>
        <v/>
      </c>
      <c r="JK191" s="110" t="str">
        <f>IF('Supp. Result Entry'!AH189="","",'Supp. Result Entry'!AH189)</f>
        <v/>
      </c>
      <c r="JL191" s="110" t="str">
        <f>IF('Supp. Result Entry'!AK189="","",'Supp. Result Entry'!AK189)</f>
        <v/>
      </c>
      <c r="JM191" s="110" t="str">
        <f>IF('Supp. Result Entry'!AN189="","",'Supp. Result Entry'!AN189)</f>
        <v/>
      </c>
      <c r="JN191" s="110">
        <f>COUNTIF('Supp. Result Entry'!K189:Q189,"S")</f>
        <v>0</v>
      </c>
      <c r="JO191" s="110">
        <f t="shared" si="416"/>
        <v>0</v>
      </c>
      <c r="JP191" s="110">
        <f t="shared" si="493"/>
        <v>0</v>
      </c>
      <c r="JQ191" s="110" t="str">
        <f t="shared" si="417"/>
        <v/>
      </c>
      <c r="JR191" s="110" t="str">
        <f t="shared" si="418"/>
        <v/>
      </c>
      <c r="JS191" s="110" t="str">
        <f t="shared" si="419"/>
        <v/>
      </c>
      <c r="JT191" s="110" t="str">
        <f t="shared" si="420"/>
        <v/>
      </c>
      <c r="JU191" s="110" t="str">
        <f t="shared" si="421"/>
        <v/>
      </c>
      <c r="JV191" s="110" t="str">
        <f t="shared" si="422"/>
        <v/>
      </c>
      <c r="JW191" s="110" t="str">
        <f t="shared" si="423"/>
        <v/>
      </c>
      <c r="JX191" s="110" t="str">
        <f t="shared" si="494"/>
        <v/>
      </c>
      <c r="JY191" s="110" t="str">
        <f t="shared" si="495"/>
        <v/>
      </c>
      <c r="JZ191" s="110" t="str">
        <f t="shared" si="424"/>
        <v/>
      </c>
      <c r="KA191" s="108" t="str">
        <f t="shared" si="496"/>
        <v/>
      </c>
    </row>
    <row r="192" spans="1:287" s="108" customFormat="1" ht="21.95" customHeight="1">
      <c r="A192" s="89">
        <v>186</v>
      </c>
      <c r="B192" s="90" t="str">
        <f>IF('Marks Entry'!B192="","",'Marks Entry'!B192)</f>
        <v/>
      </c>
      <c r="C192" s="94" t="str">
        <f>IF('Marks Entry'!D192="","",'Marks Entry'!D192)</f>
        <v/>
      </c>
      <c r="D192" s="91" t="str">
        <f>IF('Marks Entry'!E192="","",'Marks Entry'!E192)</f>
        <v/>
      </c>
      <c r="E192" s="92" t="str">
        <f>IF('Marks Entry'!F192="","",'Marks Entry'!F192)</f>
        <v/>
      </c>
      <c r="F192" s="93" t="str">
        <f>IF('Marks Entry'!G192="","",'Marks Entry'!G192)</f>
        <v/>
      </c>
      <c r="G192" s="93" t="str">
        <f>IF('Marks Entry'!H192="","",'Marks Entry'!H192)</f>
        <v/>
      </c>
      <c r="H192" s="93" t="str">
        <f>IF('Marks Entry'!I192="","",'Marks Entry'!I192)</f>
        <v/>
      </c>
      <c r="I192" s="94" t="str">
        <f>IF('Marks Entry'!J192="","",'Marks Entry'!J192)</f>
        <v/>
      </c>
      <c r="J192" s="95" t="str">
        <f>IF('Marks Entry'!K192="","",'Marks Entry'!K192)</f>
        <v/>
      </c>
      <c r="K192" s="68" t="str">
        <f>IF('Marks Entry'!L192="","",'Marks Entry'!L192)</f>
        <v/>
      </c>
      <c r="L192" s="68" t="str">
        <f>IF('Marks Entry'!M192="","",'Marks Entry'!M192)</f>
        <v/>
      </c>
      <c r="M192" s="68" t="str">
        <f>IF('Marks Entry'!N192="","",'Marks Entry'!N192)</f>
        <v/>
      </c>
      <c r="N192" s="514" t="str">
        <f t="shared" si="425"/>
        <v/>
      </c>
      <c r="O192" s="68" t="str">
        <f>IF('Marks Entry'!O192="","",'Marks Entry'!O192)</f>
        <v/>
      </c>
      <c r="P192" s="515" t="str">
        <f t="shared" si="426"/>
        <v/>
      </c>
      <c r="Q192" s="68" t="str">
        <f>IF('Marks Entry'!P192="","",'Marks Entry'!P192)</f>
        <v/>
      </c>
      <c r="R192" s="96" t="str">
        <f t="shared" si="427"/>
        <v/>
      </c>
      <c r="S192" s="65">
        <f t="shared" si="428"/>
        <v>0</v>
      </c>
      <c r="T192" s="65">
        <f t="shared" si="429"/>
        <v>0</v>
      </c>
      <c r="U192" s="66" t="str">
        <f t="shared" si="339"/>
        <v/>
      </c>
      <c r="V192" s="65" t="str">
        <f t="shared" si="340"/>
        <v/>
      </c>
      <c r="W192" s="65" t="str">
        <f t="shared" si="430"/>
        <v/>
      </c>
      <c r="X192" s="65" t="str">
        <f t="shared" si="341"/>
        <v/>
      </c>
      <c r="Y192" s="68" t="str">
        <f>IF('Marks Entry'!Q192="","",'Marks Entry'!Q192)</f>
        <v/>
      </c>
      <c r="Z192" s="68" t="str">
        <f>IF('Marks Entry'!R192="","",'Marks Entry'!R192)</f>
        <v/>
      </c>
      <c r="AA192" s="68" t="str">
        <f>IF('Marks Entry'!S192="","",'Marks Entry'!S192)</f>
        <v/>
      </c>
      <c r="AB192" s="514" t="str">
        <f t="shared" si="342"/>
        <v/>
      </c>
      <c r="AC192" s="68" t="str">
        <f>IF('Marks Entry'!T192="","",'Marks Entry'!T192)</f>
        <v/>
      </c>
      <c r="AD192" s="515" t="str">
        <f t="shared" si="343"/>
        <v/>
      </c>
      <c r="AE192" s="68" t="str">
        <f>IF('Marks Entry'!U192="","",'Marks Entry'!U192)</f>
        <v/>
      </c>
      <c r="AF192" s="96" t="str">
        <f t="shared" si="344"/>
        <v/>
      </c>
      <c r="AG192" s="65">
        <f t="shared" si="345"/>
        <v>0</v>
      </c>
      <c r="AH192" s="65">
        <f t="shared" si="346"/>
        <v>0</v>
      </c>
      <c r="AI192" s="66" t="str">
        <f t="shared" si="347"/>
        <v/>
      </c>
      <c r="AJ192" s="65" t="str">
        <f t="shared" si="348"/>
        <v/>
      </c>
      <c r="AK192" s="65" t="str">
        <f t="shared" si="349"/>
        <v/>
      </c>
      <c r="AL192" s="65" t="str">
        <f t="shared" si="350"/>
        <v/>
      </c>
      <c r="AM192" s="524" t="str">
        <f>IF('Marks Entry'!V192="","",IF('Marks Entry'!V192=1,'School Profile'!$I$9,IF('Marks Entry'!V192=2,'School Profile'!$I$10,IF('Marks Entry'!V192=3,'School Profile'!$I$11,IF('Marks Entry'!V192=4,'School Profile'!$I$12,IF('Marks Entry'!V192=5,'School Profile'!$I$13,IF('Marks Entry'!V192=6,'School Profile'!$I$14,"")))))))</f>
        <v/>
      </c>
      <c r="AN192" s="68" t="str">
        <f>IF('Marks Entry'!W192="","",'Marks Entry'!W192)</f>
        <v/>
      </c>
      <c r="AO192" s="68" t="str">
        <f>IF('Marks Entry'!X192="","",'Marks Entry'!X192)</f>
        <v/>
      </c>
      <c r="AP192" s="68" t="str">
        <f>IF('Marks Entry'!Y192="","",'Marks Entry'!Y192)</f>
        <v/>
      </c>
      <c r="AQ192" s="514" t="str">
        <f t="shared" si="351"/>
        <v/>
      </c>
      <c r="AR192" s="68" t="str">
        <f>IF('Marks Entry'!Z192="","",'Marks Entry'!Z192)</f>
        <v/>
      </c>
      <c r="AS192" s="515" t="str">
        <f t="shared" si="352"/>
        <v/>
      </c>
      <c r="AT192" s="68" t="str">
        <f>IF('Marks Entry'!AA192="","",'Marks Entry'!AA192)</f>
        <v/>
      </c>
      <c r="AU192" s="96" t="str">
        <f t="shared" si="353"/>
        <v/>
      </c>
      <c r="AV192" s="65">
        <f t="shared" si="354"/>
        <v>0</v>
      </c>
      <c r="AW192" s="65">
        <f t="shared" si="355"/>
        <v>0</v>
      </c>
      <c r="AX192" s="66" t="str">
        <f t="shared" si="356"/>
        <v/>
      </c>
      <c r="AY192" s="65" t="str">
        <f t="shared" si="357"/>
        <v/>
      </c>
      <c r="AZ192" s="65" t="str">
        <f t="shared" si="358"/>
        <v/>
      </c>
      <c r="BA192" s="65" t="str">
        <f t="shared" si="359"/>
        <v/>
      </c>
      <c r="BB192" s="68" t="str">
        <f>IF('Marks Entry'!AB192="","",'Marks Entry'!AB192)</f>
        <v/>
      </c>
      <c r="BC192" s="68" t="str">
        <f>IF('Marks Entry'!AC192="","",'Marks Entry'!AC192)</f>
        <v/>
      </c>
      <c r="BD192" s="68" t="str">
        <f>IF('Marks Entry'!AD192="","",'Marks Entry'!AD192)</f>
        <v/>
      </c>
      <c r="BE192" s="514" t="str">
        <f t="shared" si="360"/>
        <v/>
      </c>
      <c r="BF192" s="68" t="str">
        <f>IF('Marks Entry'!AE192="","",'Marks Entry'!AE192)</f>
        <v/>
      </c>
      <c r="BG192" s="515" t="str">
        <f t="shared" si="361"/>
        <v/>
      </c>
      <c r="BH192" s="68" t="str">
        <f>IF('Marks Entry'!AF192="","",'Marks Entry'!AF192)</f>
        <v/>
      </c>
      <c r="BI192" s="96" t="str">
        <f t="shared" si="362"/>
        <v/>
      </c>
      <c r="BJ192" s="65">
        <f t="shared" si="363"/>
        <v>0</v>
      </c>
      <c r="BK192" s="65">
        <f t="shared" si="431"/>
        <v>0</v>
      </c>
      <c r="BL192" s="66" t="str">
        <f t="shared" si="364"/>
        <v/>
      </c>
      <c r="BM192" s="65" t="str">
        <f t="shared" si="365"/>
        <v/>
      </c>
      <c r="BN192" s="65" t="str">
        <f t="shared" si="366"/>
        <v/>
      </c>
      <c r="BO192" s="65" t="str">
        <f t="shared" si="367"/>
        <v/>
      </c>
      <c r="BP192" s="68" t="str">
        <f>IF('Marks Entry'!AG192="","",'Marks Entry'!AG192)</f>
        <v/>
      </c>
      <c r="BQ192" s="68" t="str">
        <f>IF('Marks Entry'!AH192="","",'Marks Entry'!AH192)</f>
        <v/>
      </c>
      <c r="BR192" s="68" t="str">
        <f>IF('Marks Entry'!AI192="","",'Marks Entry'!AI192)</f>
        <v/>
      </c>
      <c r="BS192" s="514" t="str">
        <f t="shared" si="368"/>
        <v/>
      </c>
      <c r="BT192" s="68" t="str">
        <f>IF('Marks Entry'!AJ192="","",'Marks Entry'!AJ192)</f>
        <v/>
      </c>
      <c r="BU192" s="515" t="str">
        <f t="shared" si="369"/>
        <v/>
      </c>
      <c r="BV192" s="68" t="str">
        <f>IF('Marks Entry'!AK192="","",'Marks Entry'!AK192)</f>
        <v/>
      </c>
      <c r="BW192" s="96" t="str">
        <f t="shared" si="370"/>
        <v/>
      </c>
      <c r="BX192" s="65">
        <f t="shared" si="371"/>
        <v>0</v>
      </c>
      <c r="BY192" s="65">
        <f t="shared" si="372"/>
        <v>0</v>
      </c>
      <c r="BZ192" s="66" t="str">
        <f t="shared" si="373"/>
        <v/>
      </c>
      <c r="CA192" s="65" t="str">
        <f t="shared" si="374"/>
        <v/>
      </c>
      <c r="CB192" s="65" t="str">
        <f t="shared" si="375"/>
        <v/>
      </c>
      <c r="CC192" s="65" t="str">
        <f t="shared" si="376"/>
        <v/>
      </c>
      <c r="CD192" s="66">
        <f t="shared" si="497"/>
        <v>0</v>
      </c>
      <c r="CE192" s="68" t="str">
        <f>IF('Marks Entry'!AL192="","",'Marks Entry'!AL192)</f>
        <v/>
      </c>
      <c r="CF192" s="68" t="str">
        <f>IF('Marks Entry'!AM192="","",'Marks Entry'!AM192)</f>
        <v/>
      </c>
      <c r="CG192" s="68" t="str">
        <f>IF('Marks Entry'!AN192="","",'Marks Entry'!AN192)</f>
        <v/>
      </c>
      <c r="CH192" s="514" t="str">
        <f t="shared" si="378"/>
        <v/>
      </c>
      <c r="CI192" s="68" t="str">
        <f>IF('Marks Entry'!AO192="","",'Marks Entry'!AO192)</f>
        <v/>
      </c>
      <c r="CJ192" s="515" t="str">
        <f t="shared" si="379"/>
        <v/>
      </c>
      <c r="CK192" s="68" t="str">
        <f>IF('Marks Entry'!AP192="","",'Marks Entry'!AP192)</f>
        <v/>
      </c>
      <c r="CL192" s="96" t="str">
        <f t="shared" si="380"/>
        <v/>
      </c>
      <c r="CM192" s="65">
        <f t="shared" si="381"/>
        <v>0</v>
      </c>
      <c r="CN192" s="65">
        <f t="shared" si="382"/>
        <v>0</v>
      </c>
      <c r="CO192" s="66" t="str">
        <f t="shared" si="383"/>
        <v/>
      </c>
      <c r="CP192" s="65" t="str">
        <f t="shared" si="384"/>
        <v/>
      </c>
      <c r="CQ192" s="65" t="str">
        <f t="shared" si="385"/>
        <v/>
      </c>
      <c r="CR192" s="65" t="str">
        <f t="shared" si="386"/>
        <v/>
      </c>
      <c r="CS192" s="616"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8" t="str">
        <f>IF('School Profile'!$D$20="NO","",IF('Marks Entry'!AR192="","",'Marks Entry'!AR192))</f>
        <v/>
      </c>
      <c r="CU192" s="68" t="str">
        <f>IF('School Profile'!$D$20="NO","",IF('Marks Entry'!AS192="","",'Marks Entry'!AS192))</f>
        <v/>
      </c>
      <c r="CV192" s="68" t="str">
        <f>IF('School Profile'!$D$20="NO","",IF('Marks Entry'!AT192="","",'Marks Entry'!AT192))</f>
        <v/>
      </c>
      <c r="CW192" s="514" t="str">
        <f>IF('School Profile'!$D$20="NO","",IF(AND(CT192="",CU192="",CV192=""),"",SUM(CT192:CV192)))</f>
        <v/>
      </c>
      <c r="CX192" s="68" t="str">
        <f>IF('School Profile'!$D$20="NO","",IF('Marks Entry'!AU192="","",'Marks Entry'!AU192))</f>
        <v/>
      </c>
      <c r="CY192" s="68" t="str">
        <f>IF('School Profile'!$D$20="NO","",IF('Marks Entry'!AV192="","",'Marks Entry'!AV192))</f>
        <v/>
      </c>
      <c r="CZ192" s="515" t="str">
        <f>IF('School Profile'!$D$20="NO","",IF(AND(CX192="",CY192=""),"",SUM(CX192,CY192)))</f>
        <v/>
      </c>
      <c r="DA192" s="69" t="str">
        <f>IF('School Profile'!$D$20="NO","",IF(AND(CW192="",CZ192=""),"",SUM(CW192+CZ192)))</f>
        <v/>
      </c>
      <c r="DB192" s="68" t="str">
        <f>IF('School Profile'!$D$20="NO","",IF('Marks Entry'!AW192="","",'Marks Entry'!AW192))</f>
        <v/>
      </c>
      <c r="DC192" s="68" t="str">
        <f>IF('School Profile'!$D$20="NO","",IF('Marks Entry'!AX192="","",'Marks Entry'!AX192))</f>
        <v/>
      </c>
      <c r="DD192" s="515" t="str">
        <f>IF('School Profile'!$D$20="NO","",IF(AND(DB192="",DC192=""),"",SUM(DB192,DC192)))</f>
        <v/>
      </c>
      <c r="DE192" s="96" t="str">
        <f>IF('School Profile'!$D$20="NO","",IF(AND(DA192="",DD192=""),"",SUM(DA192,DD192)))</f>
        <v/>
      </c>
      <c r="DF192" s="532">
        <f t="shared" si="387"/>
        <v>0</v>
      </c>
      <c r="DG192" s="65">
        <f t="shared" si="388"/>
        <v>0</v>
      </c>
      <c r="DH192" s="66" t="str">
        <f t="shared" si="389"/>
        <v/>
      </c>
      <c r="DI192" s="65" t="str">
        <f t="shared" si="390"/>
        <v/>
      </c>
      <c r="DJ192" s="65" t="str">
        <f t="shared" si="391"/>
        <v/>
      </c>
      <c r="DK192" s="65" t="str">
        <f t="shared" si="392"/>
        <v/>
      </c>
      <c r="DL192" s="97" t="str">
        <f t="shared" si="432"/>
        <v/>
      </c>
      <c r="DM192" s="97" t="str">
        <f t="shared" si="433"/>
        <v/>
      </c>
      <c r="DN192" s="97" t="str">
        <f t="shared" si="434"/>
        <v/>
      </c>
      <c r="DO192" s="97" t="str">
        <f t="shared" si="435"/>
        <v/>
      </c>
      <c r="DP192" s="97" t="str">
        <f t="shared" si="436"/>
        <v/>
      </c>
      <c r="DQ192" s="97" t="str">
        <f t="shared" si="437"/>
        <v/>
      </c>
      <c r="DR192" s="97" t="str">
        <f t="shared" si="438"/>
        <v/>
      </c>
      <c r="DS192" s="98">
        <f t="shared" si="439"/>
        <v>0</v>
      </c>
      <c r="DT192" s="98">
        <f t="shared" si="440"/>
        <v>0</v>
      </c>
      <c r="DU192" s="98">
        <f t="shared" si="441"/>
        <v>0</v>
      </c>
      <c r="DV192" s="98">
        <f t="shared" si="442"/>
        <v>0</v>
      </c>
      <c r="DW192" s="98">
        <f t="shared" si="443"/>
        <v>0</v>
      </c>
      <c r="DX192" s="98" t="str">
        <f t="shared" si="444"/>
        <v/>
      </c>
      <c r="DY192" s="99" t="str">
        <f t="shared" si="445"/>
        <v/>
      </c>
      <c r="DZ192" s="74" t="str">
        <f>IF('Marks Entry'!AY192="","",'Marks Entry'!AY192)</f>
        <v/>
      </c>
      <c r="EA192" s="74" t="str">
        <f>IF('Marks Entry'!AZ192="","",'Marks Entry'!AZ192)</f>
        <v/>
      </c>
      <c r="EB192" s="74" t="str">
        <f>IF('Marks Entry'!BA192="","",'Marks Entry'!BA192)</f>
        <v/>
      </c>
      <c r="EC192" s="527" t="str">
        <f t="shared" si="393"/>
        <v/>
      </c>
      <c r="ED192" s="74" t="str">
        <f>IF('Marks Entry'!BB192="","",'Marks Entry'!BB192)</f>
        <v/>
      </c>
      <c r="EE192" s="528" t="str">
        <f t="shared" si="394"/>
        <v/>
      </c>
      <c r="EF192" s="74" t="str">
        <f>IF('Marks Entry'!BC192="","",'Marks Entry'!BC192)</f>
        <v/>
      </c>
      <c r="EG192" s="530" t="str">
        <f t="shared" si="395"/>
        <v/>
      </c>
      <c r="EH192" s="368" t="str">
        <f t="shared" si="446"/>
        <v/>
      </c>
      <c r="EI192" s="65">
        <f t="shared" si="447"/>
        <v>0</v>
      </c>
      <c r="EJ192" s="65">
        <f t="shared" si="448"/>
        <v>0</v>
      </c>
      <c r="EK192" s="66" t="str">
        <f t="shared" si="449"/>
        <v/>
      </c>
      <c r="EL192" s="74" t="str">
        <f>IF('Marks Entry'!BD192="","",'Marks Entry'!BD192)</f>
        <v/>
      </c>
      <c r="EM192" s="74" t="str">
        <f>IF('Marks Entry'!BE192="","",'Marks Entry'!BE192)</f>
        <v/>
      </c>
      <c r="EN192" s="74" t="str">
        <f>IF('Marks Entry'!BF192="","",'Marks Entry'!BF192)</f>
        <v/>
      </c>
      <c r="EO192" s="527" t="str">
        <f t="shared" si="396"/>
        <v/>
      </c>
      <c r="EP192" s="74" t="str">
        <f>IF('Marks Entry'!BG192="","",'Marks Entry'!BG192)</f>
        <v/>
      </c>
      <c r="EQ192" s="74" t="str">
        <f>IF('Marks Entry'!BH192="","",'Marks Entry'!BH192)</f>
        <v/>
      </c>
      <c r="ER192" s="528" t="str">
        <f t="shared" si="397"/>
        <v/>
      </c>
      <c r="ES192" s="529" t="str">
        <f t="shared" si="398"/>
        <v/>
      </c>
      <c r="ET192" s="74" t="str">
        <f>IF('Marks Entry'!BI192="","",'Marks Entry'!BI192)</f>
        <v/>
      </c>
      <c r="EU192" s="74" t="str">
        <f>IF('Marks Entry'!BJ192="","",'Marks Entry'!BJ192)</f>
        <v/>
      </c>
      <c r="EV192" s="528" t="str">
        <f t="shared" si="399"/>
        <v/>
      </c>
      <c r="EW192" s="530" t="str">
        <f t="shared" si="400"/>
        <v/>
      </c>
      <c r="EX192" s="368" t="str">
        <f t="shared" si="450"/>
        <v/>
      </c>
      <c r="EY192" s="65">
        <f t="shared" si="451"/>
        <v>0</v>
      </c>
      <c r="EZ192" s="65">
        <f t="shared" si="452"/>
        <v>0</v>
      </c>
      <c r="FA192" s="66" t="str">
        <f t="shared" si="453"/>
        <v/>
      </c>
      <c r="FB192" s="74" t="str">
        <f>IF('Marks Entry'!BK192="","",'Marks Entry'!BK192)</f>
        <v/>
      </c>
      <c r="FC192" s="74" t="str">
        <f>IF('Marks Entry'!BL192="","",'Marks Entry'!BL192)</f>
        <v/>
      </c>
      <c r="FD192" s="74" t="str">
        <f>IF('Marks Entry'!BM192="","",'Marks Entry'!BM192)</f>
        <v/>
      </c>
      <c r="FE192" s="74" t="str">
        <f>IF('Marks Entry'!BN192="","",'Marks Entry'!BN192)</f>
        <v/>
      </c>
      <c r="FF192" s="74" t="str">
        <f>IF('Marks Entry'!BO192="","",'Marks Entry'!BO192)</f>
        <v/>
      </c>
      <c r="FG192" s="74" t="str">
        <f>IF('Marks Entry'!BP192="","",'Marks Entry'!BP192)</f>
        <v/>
      </c>
      <c r="FH192" s="527" t="str">
        <f t="shared" si="401"/>
        <v/>
      </c>
      <c r="FI192" s="74" t="str">
        <f>IF('Marks Entry'!BQ192="","",'Marks Entry'!BQ192)</f>
        <v/>
      </c>
      <c r="FJ192" s="74" t="str">
        <f>IF('Marks Entry'!BR192="","",'Marks Entry'!BR192)</f>
        <v/>
      </c>
      <c r="FK192" s="528" t="str">
        <f t="shared" si="402"/>
        <v/>
      </c>
      <c r="FL192" s="529" t="str">
        <f t="shared" si="403"/>
        <v/>
      </c>
      <c r="FM192" s="74" t="str">
        <f>IF('Marks Entry'!BS192="","",'Marks Entry'!BS192)</f>
        <v/>
      </c>
      <c r="FN192" s="74" t="str">
        <f>IF('Marks Entry'!BT192="","",'Marks Entry'!BT192)</f>
        <v/>
      </c>
      <c r="FO192" s="528" t="str">
        <f t="shared" si="404"/>
        <v/>
      </c>
      <c r="FP192" s="530" t="str">
        <f t="shared" si="405"/>
        <v/>
      </c>
      <c r="FQ192" s="368" t="str">
        <f t="shared" si="454"/>
        <v/>
      </c>
      <c r="FR192" s="65">
        <f t="shared" si="455"/>
        <v>0</v>
      </c>
      <c r="FS192" s="65">
        <f t="shared" si="456"/>
        <v>0</v>
      </c>
      <c r="FT192" s="66" t="str">
        <f t="shared" si="457"/>
        <v/>
      </c>
      <c r="FU192" s="74" t="str">
        <f>IF('Marks Entry'!BU192="","",'Marks Entry'!BU192)</f>
        <v/>
      </c>
      <c r="FV192" s="74" t="str">
        <f>IF('Marks Entry'!BV192="","",'Marks Entry'!BV192)</f>
        <v/>
      </c>
      <c r="FW192" s="74" t="str">
        <f>IF('Marks Entry'!BW192="","",'Marks Entry'!BW192)</f>
        <v/>
      </c>
      <c r="FX192" s="75" t="str">
        <f t="shared" si="406"/>
        <v/>
      </c>
      <c r="FY192" s="368" t="str">
        <f t="shared" si="458"/>
        <v/>
      </c>
      <c r="FZ192" s="65">
        <f t="shared" si="459"/>
        <v>0</v>
      </c>
      <c r="GA192" s="66">
        <f t="shared" si="460"/>
        <v>0</v>
      </c>
      <c r="GB192" s="66" t="str">
        <f t="shared" si="461"/>
        <v/>
      </c>
      <c r="GC192" s="74" t="str">
        <f>IF('Marks Entry'!BX192="","",'Marks Entry'!BX192)</f>
        <v/>
      </c>
      <c r="GD192" s="74" t="str">
        <f>IF('Marks Entry'!BY192="","",'Marks Entry'!BY192)</f>
        <v/>
      </c>
      <c r="GE192" s="74" t="str">
        <f>IF('Marks Entry'!BZ192="","",'Marks Entry'!BZ192)</f>
        <v/>
      </c>
      <c r="GF192" s="75" t="str">
        <f t="shared" si="462"/>
        <v/>
      </c>
      <c r="GG192" s="368" t="str">
        <f t="shared" si="463"/>
        <v/>
      </c>
      <c r="GH192" s="65">
        <f t="shared" si="464"/>
        <v>0</v>
      </c>
      <c r="GI192" s="66">
        <f t="shared" si="465"/>
        <v>0</v>
      </c>
      <c r="GJ192" s="66" t="str">
        <f t="shared" si="466"/>
        <v/>
      </c>
      <c r="GK192" s="100" t="str">
        <f>IF(AND(F192="",B192=""),"",IF('Student DATA Entry'!M189="","",'Student DATA Entry'!M189))</f>
        <v/>
      </c>
      <c r="GL192" s="101" t="str">
        <f>IF(AND(B192="",F192=""),"",IF('Student DATA Entry'!N189="","",'Student DATA Entry'!N189))</f>
        <v/>
      </c>
      <c r="GM192" s="581" t="str">
        <f t="shared" si="467"/>
        <v/>
      </c>
      <c r="GN192" s="94" t="str">
        <f t="shared" si="468"/>
        <v/>
      </c>
      <c r="GO192" s="94" t="str">
        <f t="shared" si="469"/>
        <v/>
      </c>
      <c r="GP192" s="102" t="str">
        <f t="shared" si="498"/>
        <v/>
      </c>
      <c r="GQ192" s="94" t="str">
        <f t="shared" si="470"/>
        <v/>
      </c>
      <c r="GR192" s="103" t="str">
        <f t="shared" si="471"/>
        <v/>
      </c>
      <c r="GS192" s="102" t="str">
        <f t="shared" si="499"/>
        <v/>
      </c>
      <c r="GT192" s="104" t="str">
        <f t="shared" si="472"/>
        <v/>
      </c>
      <c r="GU192" s="94" t="str">
        <f>IF('Marks Entry'!V192=1,GT192,"")</f>
        <v/>
      </c>
      <c r="GV192" s="94" t="str">
        <f>IF('Marks Entry'!V192=2,GT192,"")</f>
        <v/>
      </c>
      <c r="GW192" s="94" t="str">
        <f>IF('Marks Entry'!V192=3,GT192,"")</f>
        <v/>
      </c>
      <c r="GX192" s="94" t="str">
        <f>IF('Marks Entry'!V192=4,GT192,"")</f>
        <v/>
      </c>
      <c r="GY192" s="94" t="str">
        <f>IF('Marks Entry'!V192=5,GT192,"")</f>
        <v/>
      </c>
      <c r="GZ192" s="94" t="str">
        <f t="shared" si="473"/>
        <v/>
      </c>
      <c r="HA192" s="105" t="str">
        <f t="shared" si="500"/>
        <v/>
      </c>
      <c r="HB192" s="94" t="str">
        <f t="shared" si="474"/>
        <v/>
      </c>
      <c r="HC192" s="94" t="str">
        <f t="shared" si="475"/>
        <v/>
      </c>
      <c r="HD192" s="105" t="str">
        <f t="shared" si="501"/>
        <v/>
      </c>
      <c r="HE192" s="94" t="str">
        <f t="shared" si="476"/>
        <v/>
      </c>
      <c r="HF192" s="94" t="str">
        <f t="shared" si="477"/>
        <v/>
      </c>
      <c r="HG192" s="105" t="str">
        <f t="shared" si="502"/>
        <v/>
      </c>
      <c r="HH192" s="94" t="str">
        <f t="shared" si="478"/>
        <v/>
      </c>
      <c r="HI192" s="94" t="str">
        <f t="shared" si="479"/>
        <v/>
      </c>
      <c r="HJ192" s="105" t="str">
        <f t="shared" si="503"/>
        <v/>
      </c>
      <c r="HK192" s="94" t="str">
        <f t="shared" si="480"/>
        <v/>
      </c>
      <c r="HL192" s="94" t="str">
        <f t="shared" si="481"/>
        <v/>
      </c>
      <c r="HM192" s="105" t="str">
        <f t="shared" si="504"/>
        <v/>
      </c>
      <c r="HN192" s="367" t="str">
        <f t="shared" si="482"/>
        <v xml:space="preserve">      </v>
      </c>
      <c r="HO192" s="418" t="str">
        <f t="shared" si="505"/>
        <v xml:space="preserve">      </v>
      </c>
      <c r="HP192" s="367" t="str">
        <f t="shared" si="483"/>
        <v xml:space="preserve">      </v>
      </c>
      <c r="HQ192" s="107" t="str">
        <f t="shared" si="484"/>
        <v xml:space="preserve">      </v>
      </c>
      <c r="HR192" s="366" t="str">
        <f t="shared" si="485"/>
        <v xml:space="preserve">      </v>
      </c>
      <c r="HS192" s="544" t="str">
        <f t="shared" si="506"/>
        <v/>
      </c>
      <c r="HT192" s="542" t="str">
        <f t="shared" si="486"/>
        <v/>
      </c>
      <c r="HU192" s="541" t="str">
        <f t="shared" si="487"/>
        <v/>
      </c>
      <c r="HV192" s="540" t="str">
        <f t="shared" si="488"/>
        <v/>
      </c>
      <c r="HW192" s="537" t="str">
        <f t="shared" si="489"/>
        <v/>
      </c>
      <c r="HX192" s="539" t="str">
        <f t="shared" si="490"/>
        <v/>
      </c>
      <c r="HY192" s="553" t="str">
        <f>IFERROR(IF(OR(HS192="SUPPLEMENTARY",HS192="RE-EXAM"),'Supp. Result Entry'!AQ190,""),"")</f>
        <v/>
      </c>
      <c r="HZ192" s="538" t="str">
        <f t="shared" si="491"/>
        <v/>
      </c>
      <c r="IA192" s="415" t="str">
        <f t="shared" si="492"/>
        <v/>
      </c>
      <c r="IB192" s="415" t="str">
        <f>IF(AND(HZ192="",IA192=""),"",IF(OR(HS192="SUPPLEMENTARY",HS192="RE-EXAM"),'Supp. Result Entry'!AQ190,HS192))</f>
        <v/>
      </c>
      <c r="IC192" s="87"/>
      <c r="IS192" s="109" t="str">
        <f>IF('Supp. Result Entry'!T190="","",'Supp. Result Entry'!$T$4)</f>
        <v/>
      </c>
      <c r="IT192" s="110" t="str">
        <f>IF('Supp. Result Entry'!W190="","",'Supp. Result Entry'!$W$4)</f>
        <v/>
      </c>
      <c r="IU192" s="110" t="str">
        <f>IF('Supp. Result Entry'!Z190="","",'Supp. Result Entry'!$Z$4)</f>
        <v/>
      </c>
      <c r="IV192" s="110" t="str">
        <f>IF('Supp. Result Entry'!AC190="","",'Supp. Result Entry'!$AC$4)</f>
        <v/>
      </c>
      <c r="IW192" s="110" t="str">
        <f>IF('Supp. Result Entry'!AF190="","",'Supp. Result Entry'!$AF$4)</f>
        <v/>
      </c>
      <c r="IX192" s="110" t="str">
        <f>IF('Supp. Result Entry'!AI190="","",'Supp. Result Entry'!$AI$4)</f>
        <v/>
      </c>
      <c r="IY192" s="110" t="str">
        <f>IF('Supp. Result Entry'!AI190="","",'Supp. Result Entry'!$AL$4)</f>
        <v/>
      </c>
      <c r="IZ192" s="110" t="str">
        <f>IF('Supp. Result Entry'!U190="","",'Supp. Result Entry'!U190)</f>
        <v/>
      </c>
      <c r="JA192" s="110" t="str">
        <f>IF('Supp. Result Entry'!X190="","",'Supp. Result Entry'!X190)</f>
        <v/>
      </c>
      <c r="JB192" s="110" t="str">
        <f>IF('Supp. Result Entry'!AA190="","",'Supp. Result Entry'!AA190)</f>
        <v/>
      </c>
      <c r="JC192" s="110" t="str">
        <f>IF('Supp. Result Entry'!AD190="","",'Supp. Result Entry'!AD190)</f>
        <v/>
      </c>
      <c r="JD192" s="110" t="str">
        <f>IF('Supp. Result Entry'!AG190="","",'Supp. Result Entry'!AG190)</f>
        <v/>
      </c>
      <c r="JE192" s="110" t="str">
        <f>IF('Supp. Result Entry'!AJ190="","",'Supp. Result Entry'!AJ190)</f>
        <v/>
      </c>
      <c r="JF192" s="110" t="str">
        <f>IF('Supp. Result Entry'!AM190="","",'Supp. Result Entry'!AM190)</f>
        <v/>
      </c>
      <c r="JG192" s="110" t="str">
        <f>IF('Supp. Result Entry'!V190="","",'Supp. Result Entry'!V190)</f>
        <v/>
      </c>
      <c r="JH192" s="110" t="str">
        <f>IF('Supp. Result Entry'!Y190="","",'Supp. Result Entry'!Y190)</f>
        <v/>
      </c>
      <c r="JI192" s="110" t="str">
        <f>IF('Supp. Result Entry'!AB190="","",'Supp. Result Entry'!AB190)</f>
        <v/>
      </c>
      <c r="JJ192" s="110" t="str">
        <f>IF('Supp. Result Entry'!AE190="","",'Supp. Result Entry'!AE190)</f>
        <v/>
      </c>
      <c r="JK192" s="110" t="str">
        <f>IF('Supp. Result Entry'!AH190="","",'Supp. Result Entry'!AH190)</f>
        <v/>
      </c>
      <c r="JL192" s="110" t="str">
        <f>IF('Supp. Result Entry'!AK190="","",'Supp. Result Entry'!AK190)</f>
        <v/>
      </c>
      <c r="JM192" s="110" t="str">
        <f>IF('Supp. Result Entry'!AN190="","",'Supp. Result Entry'!AN190)</f>
        <v/>
      </c>
      <c r="JN192" s="110">
        <f>COUNTIF('Supp. Result Entry'!K190:Q190,"S")</f>
        <v>0</v>
      </c>
      <c r="JO192" s="110">
        <f t="shared" si="416"/>
        <v>0</v>
      </c>
      <c r="JP192" s="110">
        <f t="shared" si="493"/>
        <v>0</v>
      </c>
      <c r="JQ192" s="110" t="str">
        <f t="shared" si="417"/>
        <v/>
      </c>
      <c r="JR192" s="110" t="str">
        <f t="shared" si="418"/>
        <v/>
      </c>
      <c r="JS192" s="110" t="str">
        <f t="shared" si="419"/>
        <v/>
      </c>
      <c r="JT192" s="110" t="str">
        <f t="shared" si="420"/>
        <v/>
      </c>
      <c r="JU192" s="110" t="str">
        <f t="shared" si="421"/>
        <v/>
      </c>
      <c r="JV192" s="110" t="str">
        <f t="shared" si="422"/>
        <v/>
      </c>
      <c r="JW192" s="110" t="str">
        <f t="shared" si="423"/>
        <v/>
      </c>
      <c r="JX192" s="110" t="str">
        <f t="shared" si="494"/>
        <v/>
      </c>
      <c r="JY192" s="110" t="str">
        <f t="shared" si="495"/>
        <v/>
      </c>
      <c r="JZ192" s="110" t="str">
        <f t="shared" si="424"/>
        <v/>
      </c>
      <c r="KA192" s="108" t="str">
        <f t="shared" si="496"/>
        <v/>
      </c>
    </row>
    <row r="193" spans="1:287" s="108" customFormat="1" ht="21.95" customHeight="1">
      <c r="A193" s="89">
        <v>187</v>
      </c>
      <c r="B193" s="90" t="str">
        <f>IF('Marks Entry'!B193="","",'Marks Entry'!B193)</f>
        <v/>
      </c>
      <c r="C193" s="94" t="str">
        <f>IF('Marks Entry'!D193="","",'Marks Entry'!D193)</f>
        <v/>
      </c>
      <c r="D193" s="91" t="str">
        <f>IF('Marks Entry'!E193="","",'Marks Entry'!E193)</f>
        <v/>
      </c>
      <c r="E193" s="92" t="str">
        <f>IF('Marks Entry'!F193="","",'Marks Entry'!F193)</f>
        <v/>
      </c>
      <c r="F193" s="93" t="str">
        <f>IF('Marks Entry'!G193="","",'Marks Entry'!G193)</f>
        <v/>
      </c>
      <c r="G193" s="93" t="str">
        <f>IF('Marks Entry'!H193="","",'Marks Entry'!H193)</f>
        <v/>
      </c>
      <c r="H193" s="93" t="str">
        <f>IF('Marks Entry'!I193="","",'Marks Entry'!I193)</f>
        <v/>
      </c>
      <c r="I193" s="94" t="str">
        <f>IF('Marks Entry'!J193="","",'Marks Entry'!J193)</f>
        <v/>
      </c>
      <c r="J193" s="95" t="str">
        <f>IF('Marks Entry'!K193="","",'Marks Entry'!K193)</f>
        <v/>
      </c>
      <c r="K193" s="68" t="str">
        <f>IF('Marks Entry'!L193="","",'Marks Entry'!L193)</f>
        <v/>
      </c>
      <c r="L193" s="68" t="str">
        <f>IF('Marks Entry'!M193="","",'Marks Entry'!M193)</f>
        <v/>
      </c>
      <c r="M193" s="68" t="str">
        <f>IF('Marks Entry'!N193="","",'Marks Entry'!N193)</f>
        <v/>
      </c>
      <c r="N193" s="514" t="str">
        <f t="shared" si="425"/>
        <v/>
      </c>
      <c r="O193" s="68" t="str">
        <f>IF('Marks Entry'!O193="","",'Marks Entry'!O193)</f>
        <v/>
      </c>
      <c r="P193" s="515" t="str">
        <f t="shared" si="426"/>
        <v/>
      </c>
      <c r="Q193" s="68" t="str">
        <f>IF('Marks Entry'!P193="","",'Marks Entry'!P193)</f>
        <v/>
      </c>
      <c r="R193" s="96" t="str">
        <f t="shared" si="427"/>
        <v/>
      </c>
      <c r="S193" s="65">
        <f t="shared" si="428"/>
        <v>0</v>
      </c>
      <c r="T193" s="65">
        <f t="shared" si="429"/>
        <v>0</v>
      </c>
      <c r="U193" s="66" t="str">
        <f t="shared" si="339"/>
        <v/>
      </c>
      <c r="V193" s="65" t="str">
        <f t="shared" si="340"/>
        <v/>
      </c>
      <c r="W193" s="65" t="str">
        <f t="shared" si="430"/>
        <v/>
      </c>
      <c r="X193" s="65" t="str">
        <f t="shared" si="341"/>
        <v/>
      </c>
      <c r="Y193" s="68" t="str">
        <f>IF('Marks Entry'!Q193="","",'Marks Entry'!Q193)</f>
        <v/>
      </c>
      <c r="Z193" s="68" t="str">
        <f>IF('Marks Entry'!R193="","",'Marks Entry'!R193)</f>
        <v/>
      </c>
      <c r="AA193" s="68" t="str">
        <f>IF('Marks Entry'!S193="","",'Marks Entry'!S193)</f>
        <v/>
      </c>
      <c r="AB193" s="514" t="str">
        <f t="shared" si="342"/>
        <v/>
      </c>
      <c r="AC193" s="68" t="str">
        <f>IF('Marks Entry'!T193="","",'Marks Entry'!T193)</f>
        <v/>
      </c>
      <c r="AD193" s="515" t="str">
        <f t="shared" si="343"/>
        <v/>
      </c>
      <c r="AE193" s="68" t="str">
        <f>IF('Marks Entry'!U193="","",'Marks Entry'!U193)</f>
        <v/>
      </c>
      <c r="AF193" s="96" t="str">
        <f t="shared" si="344"/>
        <v/>
      </c>
      <c r="AG193" s="65">
        <f t="shared" si="345"/>
        <v>0</v>
      </c>
      <c r="AH193" s="65">
        <f t="shared" si="346"/>
        <v>0</v>
      </c>
      <c r="AI193" s="66" t="str">
        <f t="shared" si="347"/>
        <v/>
      </c>
      <c r="AJ193" s="65" t="str">
        <f t="shared" si="348"/>
        <v/>
      </c>
      <c r="AK193" s="65" t="str">
        <f t="shared" si="349"/>
        <v/>
      </c>
      <c r="AL193" s="65" t="str">
        <f t="shared" si="350"/>
        <v/>
      </c>
      <c r="AM193" s="524" t="str">
        <f>IF('Marks Entry'!V193="","",IF('Marks Entry'!V193=1,'School Profile'!$I$9,IF('Marks Entry'!V193=2,'School Profile'!$I$10,IF('Marks Entry'!V193=3,'School Profile'!$I$11,IF('Marks Entry'!V193=4,'School Profile'!$I$12,IF('Marks Entry'!V193=5,'School Profile'!$I$13,IF('Marks Entry'!V193=6,'School Profile'!$I$14,"")))))))</f>
        <v/>
      </c>
      <c r="AN193" s="68" t="str">
        <f>IF('Marks Entry'!W193="","",'Marks Entry'!W193)</f>
        <v/>
      </c>
      <c r="AO193" s="68" t="str">
        <f>IF('Marks Entry'!X193="","",'Marks Entry'!X193)</f>
        <v/>
      </c>
      <c r="AP193" s="68" t="str">
        <f>IF('Marks Entry'!Y193="","",'Marks Entry'!Y193)</f>
        <v/>
      </c>
      <c r="AQ193" s="514" t="str">
        <f t="shared" si="351"/>
        <v/>
      </c>
      <c r="AR193" s="68" t="str">
        <f>IF('Marks Entry'!Z193="","",'Marks Entry'!Z193)</f>
        <v/>
      </c>
      <c r="AS193" s="515" t="str">
        <f t="shared" si="352"/>
        <v/>
      </c>
      <c r="AT193" s="68" t="str">
        <f>IF('Marks Entry'!AA193="","",'Marks Entry'!AA193)</f>
        <v/>
      </c>
      <c r="AU193" s="96" t="str">
        <f t="shared" si="353"/>
        <v/>
      </c>
      <c r="AV193" s="65">
        <f t="shared" si="354"/>
        <v>0</v>
      </c>
      <c r="AW193" s="65">
        <f t="shared" si="355"/>
        <v>0</v>
      </c>
      <c r="AX193" s="66" t="str">
        <f t="shared" si="356"/>
        <v/>
      </c>
      <c r="AY193" s="65" t="str">
        <f t="shared" si="357"/>
        <v/>
      </c>
      <c r="AZ193" s="65" t="str">
        <f t="shared" si="358"/>
        <v/>
      </c>
      <c r="BA193" s="65" t="str">
        <f t="shared" si="359"/>
        <v/>
      </c>
      <c r="BB193" s="68" t="str">
        <f>IF('Marks Entry'!AB193="","",'Marks Entry'!AB193)</f>
        <v/>
      </c>
      <c r="BC193" s="68" t="str">
        <f>IF('Marks Entry'!AC193="","",'Marks Entry'!AC193)</f>
        <v/>
      </c>
      <c r="BD193" s="68" t="str">
        <f>IF('Marks Entry'!AD193="","",'Marks Entry'!AD193)</f>
        <v/>
      </c>
      <c r="BE193" s="514" t="str">
        <f t="shared" si="360"/>
        <v/>
      </c>
      <c r="BF193" s="68" t="str">
        <f>IF('Marks Entry'!AE193="","",'Marks Entry'!AE193)</f>
        <v/>
      </c>
      <c r="BG193" s="515" t="str">
        <f t="shared" si="361"/>
        <v/>
      </c>
      <c r="BH193" s="68" t="str">
        <f>IF('Marks Entry'!AF193="","",'Marks Entry'!AF193)</f>
        <v/>
      </c>
      <c r="BI193" s="96" t="str">
        <f t="shared" si="362"/>
        <v/>
      </c>
      <c r="BJ193" s="65">
        <f t="shared" si="363"/>
        <v>0</v>
      </c>
      <c r="BK193" s="65">
        <f t="shared" si="431"/>
        <v>0</v>
      </c>
      <c r="BL193" s="66" t="str">
        <f t="shared" si="364"/>
        <v/>
      </c>
      <c r="BM193" s="65" t="str">
        <f t="shared" si="365"/>
        <v/>
      </c>
      <c r="BN193" s="65" t="str">
        <f t="shared" si="366"/>
        <v/>
      </c>
      <c r="BO193" s="65" t="str">
        <f t="shared" si="367"/>
        <v/>
      </c>
      <c r="BP193" s="68" t="str">
        <f>IF('Marks Entry'!AG193="","",'Marks Entry'!AG193)</f>
        <v/>
      </c>
      <c r="BQ193" s="68" t="str">
        <f>IF('Marks Entry'!AH193="","",'Marks Entry'!AH193)</f>
        <v/>
      </c>
      <c r="BR193" s="68" t="str">
        <f>IF('Marks Entry'!AI193="","",'Marks Entry'!AI193)</f>
        <v/>
      </c>
      <c r="BS193" s="514" t="str">
        <f t="shared" si="368"/>
        <v/>
      </c>
      <c r="BT193" s="68" t="str">
        <f>IF('Marks Entry'!AJ193="","",'Marks Entry'!AJ193)</f>
        <v/>
      </c>
      <c r="BU193" s="515" t="str">
        <f t="shared" si="369"/>
        <v/>
      </c>
      <c r="BV193" s="68" t="str">
        <f>IF('Marks Entry'!AK193="","",'Marks Entry'!AK193)</f>
        <v/>
      </c>
      <c r="BW193" s="96" t="str">
        <f t="shared" si="370"/>
        <v/>
      </c>
      <c r="BX193" s="65">
        <f t="shared" si="371"/>
        <v>0</v>
      </c>
      <c r="BY193" s="65">
        <f t="shared" si="372"/>
        <v>0</v>
      </c>
      <c r="BZ193" s="66" t="str">
        <f t="shared" si="373"/>
        <v/>
      </c>
      <c r="CA193" s="65" t="str">
        <f t="shared" si="374"/>
        <v/>
      </c>
      <c r="CB193" s="65" t="str">
        <f t="shared" si="375"/>
        <v/>
      </c>
      <c r="CC193" s="65" t="str">
        <f t="shared" si="376"/>
        <v/>
      </c>
      <c r="CD193" s="66">
        <f t="shared" si="497"/>
        <v>0</v>
      </c>
      <c r="CE193" s="68" t="str">
        <f>IF('Marks Entry'!AL193="","",'Marks Entry'!AL193)</f>
        <v/>
      </c>
      <c r="CF193" s="68" t="str">
        <f>IF('Marks Entry'!AM193="","",'Marks Entry'!AM193)</f>
        <v/>
      </c>
      <c r="CG193" s="68" t="str">
        <f>IF('Marks Entry'!AN193="","",'Marks Entry'!AN193)</f>
        <v/>
      </c>
      <c r="CH193" s="514" t="str">
        <f t="shared" si="378"/>
        <v/>
      </c>
      <c r="CI193" s="68" t="str">
        <f>IF('Marks Entry'!AO193="","",'Marks Entry'!AO193)</f>
        <v/>
      </c>
      <c r="CJ193" s="515" t="str">
        <f t="shared" si="379"/>
        <v/>
      </c>
      <c r="CK193" s="68" t="str">
        <f>IF('Marks Entry'!AP193="","",'Marks Entry'!AP193)</f>
        <v/>
      </c>
      <c r="CL193" s="96" t="str">
        <f t="shared" si="380"/>
        <v/>
      </c>
      <c r="CM193" s="65">
        <f t="shared" si="381"/>
        <v>0</v>
      </c>
      <c r="CN193" s="65">
        <f t="shared" si="382"/>
        <v>0</v>
      </c>
      <c r="CO193" s="66" t="str">
        <f t="shared" si="383"/>
        <v/>
      </c>
      <c r="CP193" s="65" t="str">
        <f t="shared" si="384"/>
        <v/>
      </c>
      <c r="CQ193" s="65" t="str">
        <f t="shared" si="385"/>
        <v/>
      </c>
      <c r="CR193" s="65" t="str">
        <f t="shared" si="386"/>
        <v/>
      </c>
      <c r="CS193" s="616"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8" t="str">
        <f>IF('School Profile'!$D$20="NO","",IF('Marks Entry'!AR193="","",'Marks Entry'!AR193))</f>
        <v/>
      </c>
      <c r="CU193" s="68" t="str">
        <f>IF('School Profile'!$D$20="NO","",IF('Marks Entry'!AS193="","",'Marks Entry'!AS193))</f>
        <v/>
      </c>
      <c r="CV193" s="68" t="str">
        <f>IF('School Profile'!$D$20="NO","",IF('Marks Entry'!AT193="","",'Marks Entry'!AT193))</f>
        <v/>
      </c>
      <c r="CW193" s="514" t="str">
        <f>IF('School Profile'!$D$20="NO","",IF(AND(CT193="",CU193="",CV193=""),"",SUM(CT193:CV193)))</f>
        <v/>
      </c>
      <c r="CX193" s="68" t="str">
        <f>IF('School Profile'!$D$20="NO","",IF('Marks Entry'!AU193="","",'Marks Entry'!AU193))</f>
        <v/>
      </c>
      <c r="CY193" s="68" t="str">
        <f>IF('School Profile'!$D$20="NO","",IF('Marks Entry'!AV193="","",'Marks Entry'!AV193))</f>
        <v/>
      </c>
      <c r="CZ193" s="515" t="str">
        <f>IF('School Profile'!$D$20="NO","",IF(AND(CX193="",CY193=""),"",SUM(CX193,CY193)))</f>
        <v/>
      </c>
      <c r="DA193" s="69" t="str">
        <f>IF('School Profile'!$D$20="NO","",IF(AND(CW193="",CZ193=""),"",SUM(CW193+CZ193)))</f>
        <v/>
      </c>
      <c r="DB193" s="68" t="str">
        <f>IF('School Profile'!$D$20="NO","",IF('Marks Entry'!AW193="","",'Marks Entry'!AW193))</f>
        <v/>
      </c>
      <c r="DC193" s="68" t="str">
        <f>IF('School Profile'!$D$20="NO","",IF('Marks Entry'!AX193="","",'Marks Entry'!AX193))</f>
        <v/>
      </c>
      <c r="DD193" s="515" t="str">
        <f>IF('School Profile'!$D$20="NO","",IF(AND(DB193="",DC193=""),"",SUM(DB193,DC193)))</f>
        <v/>
      </c>
      <c r="DE193" s="96" t="str">
        <f>IF('School Profile'!$D$20="NO","",IF(AND(DA193="",DD193=""),"",SUM(DA193,DD193)))</f>
        <v/>
      </c>
      <c r="DF193" s="532">
        <f t="shared" si="387"/>
        <v>0</v>
      </c>
      <c r="DG193" s="65">
        <f t="shared" si="388"/>
        <v>0</v>
      </c>
      <c r="DH193" s="66" t="str">
        <f t="shared" si="389"/>
        <v/>
      </c>
      <c r="DI193" s="65" t="str">
        <f t="shared" si="390"/>
        <v/>
      </c>
      <c r="DJ193" s="65" t="str">
        <f t="shared" si="391"/>
        <v/>
      </c>
      <c r="DK193" s="65" t="str">
        <f t="shared" si="392"/>
        <v/>
      </c>
      <c r="DL193" s="97" t="str">
        <f t="shared" si="432"/>
        <v/>
      </c>
      <c r="DM193" s="97" t="str">
        <f t="shared" si="433"/>
        <v/>
      </c>
      <c r="DN193" s="97" t="str">
        <f t="shared" si="434"/>
        <v/>
      </c>
      <c r="DO193" s="97" t="str">
        <f t="shared" si="435"/>
        <v/>
      </c>
      <c r="DP193" s="97" t="str">
        <f t="shared" si="436"/>
        <v/>
      </c>
      <c r="DQ193" s="97" t="str">
        <f t="shared" si="437"/>
        <v/>
      </c>
      <c r="DR193" s="97" t="str">
        <f t="shared" si="438"/>
        <v/>
      </c>
      <c r="DS193" s="98">
        <f t="shared" si="439"/>
        <v>0</v>
      </c>
      <c r="DT193" s="98">
        <f t="shared" si="440"/>
        <v>0</v>
      </c>
      <c r="DU193" s="98">
        <f t="shared" si="441"/>
        <v>0</v>
      </c>
      <c r="DV193" s="98">
        <f t="shared" si="442"/>
        <v>0</v>
      </c>
      <c r="DW193" s="98">
        <f t="shared" si="443"/>
        <v>0</v>
      </c>
      <c r="DX193" s="98" t="str">
        <f t="shared" si="444"/>
        <v/>
      </c>
      <c r="DY193" s="99" t="str">
        <f t="shared" si="445"/>
        <v/>
      </c>
      <c r="DZ193" s="74" t="str">
        <f>IF('Marks Entry'!AY193="","",'Marks Entry'!AY193)</f>
        <v/>
      </c>
      <c r="EA193" s="74" t="str">
        <f>IF('Marks Entry'!AZ193="","",'Marks Entry'!AZ193)</f>
        <v/>
      </c>
      <c r="EB193" s="74" t="str">
        <f>IF('Marks Entry'!BA193="","",'Marks Entry'!BA193)</f>
        <v/>
      </c>
      <c r="EC193" s="527" t="str">
        <f t="shared" si="393"/>
        <v/>
      </c>
      <c r="ED193" s="74" t="str">
        <f>IF('Marks Entry'!BB193="","",'Marks Entry'!BB193)</f>
        <v/>
      </c>
      <c r="EE193" s="528" t="str">
        <f t="shared" si="394"/>
        <v/>
      </c>
      <c r="EF193" s="74" t="str">
        <f>IF('Marks Entry'!BC193="","",'Marks Entry'!BC193)</f>
        <v/>
      </c>
      <c r="EG193" s="530" t="str">
        <f t="shared" si="395"/>
        <v/>
      </c>
      <c r="EH193" s="368" t="str">
        <f t="shared" si="446"/>
        <v/>
      </c>
      <c r="EI193" s="65">
        <f t="shared" si="447"/>
        <v>0</v>
      </c>
      <c r="EJ193" s="65">
        <f t="shared" si="448"/>
        <v>0</v>
      </c>
      <c r="EK193" s="66" t="str">
        <f t="shared" si="449"/>
        <v/>
      </c>
      <c r="EL193" s="74" t="str">
        <f>IF('Marks Entry'!BD193="","",'Marks Entry'!BD193)</f>
        <v/>
      </c>
      <c r="EM193" s="74" t="str">
        <f>IF('Marks Entry'!BE193="","",'Marks Entry'!BE193)</f>
        <v/>
      </c>
      <c r="EN193" s="74" t="str">
        <f>IF('Marks Entry'!BF193="","",'Marks Entry'!BF193)</f>
        <v/>
      </c>
      <c r="EO193" s="527" t="str">
        <f t="shared" si="396"/>
        <v/>
      </c>
      <c r="EP193" s="74" t="str">
        <f>IF('Marks Entry'!BG193="","",'Marks Entry'!BG193)</f>
        <v/>
      </c>
      <c r="EQ193" s="74" t="str">
        <f>IF('Marks Entry'!BH193="","",'Marks Entry'!BH193)</f>
        <v/>
      </c>
      <c r="ER193" s="528" t="str">
        <f t="shared" si="397"/>
        <v/>
      </c>
      <c r="ES193" s="529" t="str">
        <f t="shared" si="398"/>
        <v/>
      </c>
      <c r="ET193" s="74" t="str">
        <f>IF('Marks Entry'!BI193="","",'Marks Entry'!BI193)</f>
        <v/>
      </c>
      <c r="EU193" s="74" t="str">
        <f>IF('Marks Entry'!BJ193="","",'Marks Entry'!BJ193)</f>
        <v/>
      </c>
      <c r="EV193" s="528" t="str">
        <f t="shared" si="399"/>
        <v/>
      </c>
      <c r="EW193" s="530" t="str">
        <f t="shared" si="400"/>
        <v/>
      </c>
      <c r="EX193" s="368" t="str">
        <f t="shared" si="450"/>
        <v/>
      </c>
      <c r="EY193" s="65">
        <f t="shared" si="451"/>
        <v>0</v>
      </c>
      <c r="EZ193" s="65">
        <f t="shared" si="452"/>
        <v>0</v>
      </c>
      <c r="FA193" s="66" t="str">
        <f t="shared" si="453"/>
        <v/>
      </c>
      <c r="FB193" s="74" t="str">
        <f>IF('Marks Entry'!BK193="","",'Marks Entry'!BK193)</f>
        <v/>
      </c>
      <c r="FC193" s="74" t="str">
        <f>IF('Marks Entry'!BL193="","",'Marks Entry'!BL193)</f>
        <v/>
      </c>
      <c r="FD193" s="74" t="str">
        <f>IF('Marks Entry'!BM193="","",'Marks Entry'!BM193)</f>
        <v/>
      </c>
      <c r="FE193" s="74" t="str">
        <f>IF('Marks Entry'!BN193="","",'Marks Entry'!BN193)</f>
        <v/>
      </c>
      <c r="FF193" s="74" t="str">
        <f>IF('Marks Entry'!BO193="","",'Marks Entry'!BO193)</f>
        <v/>
      </c>
      <c r="FG193" s="74" t="str">
        <f>IF('Marks Entry'!BP193="","",'Marks Entry'!BP193)</f>
        <v/>
      </c>
      <c r="FH193" s="527" t="str">
        <f t="shared" si="401"/>
        <v/>
      </c>
      <c r="FI193" s="74" t="str">
        <f>IF('Marks Entry'!BQ193="","",'Marks Entry'!BQ193)</f>
        <v/>
      </c>
      <c r="FJ193" s="74" t="str">
        <f>IF('Marks Entry'!BR193="","",'Marks Entry'!BR193)</f>
        <v/>
      </c>
      <c r="FK193" s="528" t="str">
        <f t="shared" si="402"/>
        <v/>
      </c>
      <c r="FL193" s="529" t="str">
        <f t="shared" si="403"/>
        <v/>
      </c>
      <c r="FM193" s="74" t="str">
        <f>IF('Marks Entry'!BS193="","",'Marks Entry'!BS193)</f>
        <v/>
      </c>
      <c r="FN193" s="74" t="str">
        <f>IF('Marks Entry'!BT193="","",'Marks Entry'!BT193)</f>
        <v/>
      </c>
      <c r="FO193" s="528" t="str">
        <f t="shared" si="404"/>
        <v/>
      </c>
      <c r="FP193" s="530" t="str">
        <f t="shared" si="405"/>
        <v/>
      </c>
      <c r="FQ193" s="368" t="str">
        <f t="shared" si="454"/>
        <v/>
      </c>
      <c r="FR193" s="65">
        <f t="shared" si="455"/>
        <v>0</v>
      </c>
      <c r="FS193" s="65">
        <f t="shared" si="456"/>
        <v>0</v>
      </c>
      <c r="FT193" s="66" t="str">
        <f t="shared" si="457"/>
        <v/>
      </c>
      <c r="FU193" s="74" t="str">
        <f>IF('Marks Entry'!BU193="","",'Marks Entry'!BU193)</f>
        <v/>
      </c>
      <c r="FV193" s="74" t="str">
        <f>IF('Marks Entry'!BV193="","",'Marks Entry'!BV193)</f>
        <v/>
      </c>
      <c r="FW193" s="74" t="str">
        <f>IF('Marks Entry'!BW193="","",'Marks Entry'!BW193)</f>
        <v/>
      </c>
      <c r="FX193" s="75" t="str">
        <f t="shared" si="406"/>
        <v/>
      </c>
      <c r="FY193" s="368" t="str">
        <f t="shared" si="458"/>
        <v/>
      </c>
      <c r="FZ193" s="65">
        <f t="shared" si="459"/>
        <v>0</v>
      </c>
      <c r="GA193" s="66">
        <f t="shared" si="460"/>
        <v>0</v>
      </c>
      <c r="GB193" s="66" t="str">
        <f t="shared" si="461"/>
        <v/>
      </c>
      <c r="GC193" s="74" t="str">
        <f>IF('Marks Entry'!BX193="","",'Marks Entry'!BX193)</f>
        <v/>
      </c>
      <c r="GD193" s="74" t="str">
        <f>IF('Marks Entry'!BY193="","",'Marks Entry'!BY193)</f>
        <v/>
      </c>
      <c r="GE193" s="74" t="str">
        <f>IF('Marks Entry'!BZ193="","",'Marks Entry'!BZ193)</f>
        <v/>
      </c>
      <c r="GF193" s="75" t="str">
        <f t="shared" si="462"/>
        <v/>
      </c>
      <c r="GG193" s="368" t="str">
        <f t="shared" si="463"/>
        <v/>
      </c>
      <c r="GH193" s="65">
        <f t="shared" si="464"/>
        <v>0</v>
      </c>
      <c r="GI193" s="66">
        <f t="shared" si="465"/>
        <v>0</v>
      </c>
      <c r="GJ193" s="66" t="str">
        <f t="shared" si="466"/>
        <v/>
      </c>
      <c r="GK193" s="100" t="str">
        <f>IF(AND(F193="",B193=""),"",IF('Student DATA Entry'!M190="","",'Student DATA Entry'!M190))</f>
        <v/>
      </c>
      <c r="GL193" s="101" t="str">
        <f>IF(AND(B193="",F193=""),"",IF('Student DATA Entry'!N190="","",'Student DATA Entry'!N190))</f>
        <v/>
      </c>
      <c r="GM193" s="581" t="str">
        <f t="shared" si="467"/>
        <v/>
      </c>
      <c r="GN193" s="94" t="str">
        <f t="shared" si="468"/>
        <v/>
      </c>
      <c r="GO193" s="94" t="str">
        <f t="shared" si="469"/>
        <v/>
      </c>
      <c r="GP193" s="102" t="str">
        <f t="shared" si="498"/>
        <v/>
      </c>
      <c r="GQ193" s="94" t="str">
        <f t="shared" si="470"/>
        <v/>
      </c>
      <c r="GR193" s="103" t="str">
        <f t="shared" si="471"/>
        <v/>
      </c>
      <c r="GS193" s="102" t="str">
        <f t="shared" si="499"/>
        <v/>
      </c>
      <c r="GT193" s="104" t="str">
        <f t="shared" si="472"/>
        <v/>
      </c>
      <c r="GU193" s="94" t="str">
        <f>IF('Marks Entry'!V193=1,GT193,"")</f>
        <v/>
      </c>
      <c r="GV193" s="94" t="str">
        <f>IF('Marks Entry'!V193=2,GT193,"")</f>
        <v/>
      </c>
      <c r="GW193" s="94" t="str">
        <f>IF('Marks Entry'!V193=3,GT193,"")</f>
        <v/>
      </c>
      <c r="GX193" s="94" t="str">
        <f>IF('Marks Entry'!V193=4,GT193,"")</f>
        <v/>
      </c>
      <c r="GY193" s="94" t="str">
        <f>IF('Marks Entry'!V193=5,GT193,"")</f>
        <v/>
      </c>
      <c r="GZ193" s="94" t="str">
        <f t="shared" si="473"/>
        <v/>
      </c>
      <c r="HA193" s="105" t="str">
        <f t="shared" si="500"/>
        <v/>
      </c>
      <c r="HB193" s="94" t="str">
        <f t="shared" si="474"/>
        <v/>
      </c>
      <c r="HC193" s="94" t="str">
        <f t="shared" si="475"/>
        <v/>
      </c>
      <c r="HD193" s="105" t="str">
        <f t="shared" si="501"/>
        <v/>
      </c>
      <c r="HE193" s="94" t="str">
        <f t="shared" si="476"/>
        <v/>
      </c>
      <c r="HF193" s="94" t="str">
        <f t="shared" si="477"/>
        <v/>
      </c>
      <c r="HG193" s="105" t="str">
        <f t="shared" si="502"/>
        <v/>
      </c>
      <c r="HH193" s="94" t="str">
        <f t="shared" si="478"/>
        <v/>
      </c>
      <c r="HI193" s="94" t="str">
        <f t="shared" si="479"/>
        <v/>
      </c>
      <c r="HJ193" s="105" t="str">
        <f t="shared" si="503"/>
        <v/>
      </c>
      <c r="HK193" s="94" t="str">
        <f t="shared" si="480"/>
        <v/>
      </c>
      <c r="HL193" s="94" t="str">
        <f t="shared" si="481"/>
        <v/>
      </c>
      <c r="HM193" s="105" t="str">
        <f t="shared" si="504"/>
        <v/>
      </c>
      <c r="HN193" s="367" t="str">
        <f t="shared" si="482"/>
        <v xml:space="preserve">      </v>
      </c>
      <c r="HO193" s="418" t="str">
        <f t="shared" si="505"/>
        <v xml:space="preserve">      </v>
      </c>
      <c r="HP193" s="367" t="str">
        <f t="shared" si="483"/>
        <v xml:space="preserve">      </v>
      </c>
      <c r="HQ193" s="107" t="str">
        <f t="shared" si="484"/>
        <v xml:space="preserve">      </v>
      </c>
      <c r="HR193" s="366" t="str">
        <f t="shared" si="485"/>
        <v xml:space="preserve">      </v>
      </c>
      <c r="HS193" s="544" t="str">
        <f t="shared" si="506"/>
        <v/>
      </c>
      <c r="HT193" s="542" t="str">
        <f t="shared" si="486"/>
        <v/>
      </c>
      <c r="HU193" s="541" t="str">
        <f t="shared" si="487"/>
        <v/>
      </c>
      <c r="HV193" s="540" t="str">
        <f t="shared" si="488"/>
        <v/>
      </c>
      <c r="HW193" s="537" t="str">
        <f t="shared" si="489"/>
        <v/>
      </c>
      <c r="HX193" s="539" t="str">
        <f t="shared" si="490"/>
        <v/>
      </c>
      <c r="HY193" s="553" t="str">
        <f>IFERROR(IF(OR(HS193="SUPPLEMENTARY",HS193="RE-EXAM"),'Supp. Result Entry'!AQ191,""),"")</f>
        <v/>
      </c>
      <c r="HZ193" s="538" t="str">
        <f t="shared" si="491"/>
        <v/>
      </c>
      <c r="IA193" s="415" t="str">
        <f t="shared" si="492"/>
        <v/>
      </c>
      <c r="IB193" s="415" t="str">
        <f>IF(AND(HZ193="",IA193=""),"",IF(OR(HS193="SUPPLEMENTARY",HS193="RE-EXAM"),'Supp. Result Entry'!AQ191,HS193))</f>
        <v/>
      </c>
      <c r="IC193" s="87"/>
      <c r="IS193" s="109" t="str">
        <f>IF('Supp. Result Entry'!T191="","",'Supp. Result Entry'!$T$4)</f>
        <v/>
      </c>
      <c r="IT193" s="110" t="str">
        <f>IF('Supp. Result Entry'!W191="","",'Supp. Result Entry'!$W$4)</f>
        <v/>
      </c>
      <c r="IU193" s="110" t="str">
        <f>IF('Supp. Result Entry'!Z191="","",'Supp. Result Entry'!$Z$4)</f>
        <v/>
      </c>
      <c r="IV193" s="110" t="str">
        <f>IF('Supp. Result Entry'!AC191="","",'Supp. Result Entry'!$AC$4)</f>
        <v/>
      </c>
      <c r="IW193" s="110" t="str">
        <f>IF('Supp. Result Entry'!AF191="","",'Supp. Result Entry'!$AF$4)</f>
        <v/>
      </c>
      <c r="IX193" s="110" t="str">
        <f>IF('Supp. Result Entry'!AI191="","",'Supp. Result Entry'!$AI$4)</f>
        <v/>
      </c>
      <c r="IY193" s="110" t="str">
        <f>IF('Supp. Result Entry'!AI191="","",'Supp. Result Entry'!$AL$4)</f>
        <v/>
      </c>
      <c r="IZ193" s="110" t="str">
        <f>IF('Supp. Result Entry'!U191="","",'Supp. Result Entry'!U191)</f>
        <v/>
      </c>
      <c r="JA193" s="110" t="str">
        <f>IF('Supp. Result Entry'!X191="","",'Supp. Result Entry'!X191)</f>
        <v/>
      </c>
      <c r="JB193" s="110" t="str">
        <f>IF('Supp. Result Entry'!AA191="","",'Supp. Result Entry'!AA191)</f>
        <v/>
      </c>
      <c r="JC193" s="110" t="str">
        <f>IF('Supp. Result Entry'!AD191="","",'Supp. Result Entry'!AD191)</f>
        <v/>
      </c>
      <c r="JD193" s="110" t="str">
        <f>IF('Supp. Result Entry'!AG191="","",'Supp. Result Entry'!AG191)</f>
        <v/>
      </c>
      <c r="JE193" s="110" t="str">
        <f>IF('Supp. Result Entry'!AJ191="","",'Supp. Result Entry'!AJ191)</f>
        <v/>
      </c>
      <c r="JF193" s="110" t="str">
        <f>IF('Supp. Result Entry'!AM191="","",'Supp. Result Entry'!AM191)</f>
        <v/>
      </c>
      <c r="JG193" s="110" t="str">
        <f>IF('Supp. Result Entry'!V191="","",'Supp. Result Entry'!V191)</f>
        <v/>
      </c>
      <c r="JH193" s="110" t="str">
        <f>IF('Supp. Result Entry'!Y191="","",'Supp. Result Entry'!Y191)</f>
        <v/>
      </c>
      <c r="JI193" s="110" t="str">
        <f>IF('Supp. Result Entry'!AB191="","",'Supp. Result Entry'!AB191)</f>
        <v/>
      </c>
      <c r="JJ193" s="110" t="str">
        <f>IF('Supp. Result Entry'!AE191="","",'Supp. Result Entry'!AE191)</f>
        <v/>
      </c>
      <c r="JK193" s="110" t="str">
        <f>IF('Supp. Result Entry'!AH191="","",'Supp. Result Entry'!AH191)</f>
        <v/>
      </c>
      <c r="JL193" s="110" t="str">
        <f>IF('Supp. Result Entry'!AK191="","",'Supp. Result Entry'!AK191)</f>
        <v/>
      </c>
      <c r="JM193" s="110" t="str">
        <f>IF('Supp. Result Entry'!AN191="","",'Supp. Result Entry'!AN191)</f>
        <v/>
      </c>
      <c r="JN193" s="110">
        <f>COUNTIF('Supp. Result Entry'!K191:Q191,"S")</f>
        <v>0</v>
      </c>
      <c r="JO193" s="110">
        <f t="shared" si="416"/>
        <v>0</v>
      </c>
      <c r="JP193" s="110">
        <f t="shared" si="493"/>
        <v>0</v>
      </c>
      <c r="JQ193" s="110" t="str">
        <f t="shared" si="417"/>
        <v/>
      </c>
      <c r="JR193" s="110" t="str">
        <f t="shared" si="418"/>
        <v/>
      </c>
      <c r="JS193" s="110" t="str">
        <f t="shared" si="419"/>
        <v/>
      </c>
      <c r="JT193" s="110" t="str">
        <f t="shared" si="420"/>
        <v/>
      </c>
      <c r="JU193" s="110" t="str">
        <f t="shared" si="421"/>
        <v/>
      </c>
      <c r="JV193" s="110" t="str">
        <f t="shared" si="422"/>
        <v/>
      </c>
      <c r="JW193" s="110" t="str">
        <f t="shared" si="423"/>
        <v/>
      </c>
      <c r="JX193" s="110" t="str">
        <f t="shared" si="494"/>
        <v/>
      </c>
      <c r="JY193" s="110" t="str">
        <f t="shared" si="495"/>
        <v/>
      </c>
      <c r="JZ193" s="110" t="str">
        <f t="shared" si="424"/>
        <v/>
      </c>
      <c r="KA193" s="108" t="str">
        <f t="shared" si="496"/>
        <v/>
      </c>
    </row>
    <row r="194" spans="1:287" s="108" customFormat="1" ht="21.95" customHeight="1">
      <c r="A194" s="89">
        <v>188</v>
      </c>
      <c r="B194" s="90" t="str">
        <f>IF('Marks Entry'!B194="","",'Marks Entry'!B194)</f>
        <v/>
      </c>
      <c r="C194" s="94" t="str">
        <f>IF('Marks Entry'!D194="","",'Marks Entry'!D194)</f>
        <v/>
      </c>
      <c r="D194" s="91" t="str">
        <f>IF('Marks Entry'!E194="","",'Marks Entry'!E194)</f>
        <v/>
      </c>
      <c r="E194" s="92" t="str">
        <f>IF('Marks Entry'!F194="","",'Marks Entry'!F194)</f>
        <v/>
      </c>
      <c r="F194" s="93" t="str">
        <f>IF('Marks Entry'!G194="","",'Marks Entry'!G194)</f>
        <v/>
      </c>
      <c r="G194" s="93" t="str">
        <f>IF('Marks Entry'!H194="","",'Marks Entry'!H194)</f>
        <v/>
      </c>
      <c r="H194" s="93" t="str">
        <f>IF('Marks Entry'!I194="","",'Marks Entry'!I194)</f>
        <v/>
      </c>
      <c r="I194" s="94" t="str">
        <f>IF('Marks Entry'!J194="","",'Marks Entry'!J194)</f>
        <v/>
      </c>
      <c r="J194" s="95" t="str">
        <f>IF('Marks Entry'!K194="","",'Marks Entry'!K194)</f>
        <v/>
      </c>
      <c r="K194" s="68" t="str">
        <f>IF('Marks Entry'!L194="","",'Marks Entry'!L194)</f>
        <v/>
      </c>
      <c r="L194" s="68" t="str">
        <f>IF('Marks Entry'!M194="","",'Marks Entry'!M194)</f>
        <v/>
      </c>
      <c r="M194" s="68" t="str">
        <f>IF('Marks Entry'!N194="","",'Marks Entry'!N194)</f>
        <v/>
      </c>
      <c r="N194" s="514" t="str">
        <f t="shared" si="425"/>
        <v/>
      </c>
      <c r="O194" s="68" t="str">
        <f>IF('Marks Entry'!O194="","",'Marks Entry'!O194)</f>
        <v/>
      </c>
      <c r="P194" s="515" t="str">
        <f t="shared" si="426"/>
        <v/>
      </c>
      <c r="Q194" s="68" t="str">
        <f>IF('Marks Entry'!P194="","",'Marks Entry'!P194)</f>
        <v/>
      </c>
      <c r="R194" s="96" t="str">
        <f t="shared" si="427"/>
        <v/>
      </c>
      <c r="S194" s="65">
        <f t="shared" si="428"/>
        <v>0</v>
      </c>
      <c r="T194" s="65">
        <f t="shared" si="429"/>
        <v>0</v>
      </c>
      <c r="U194" s="66" t="str">
        <f t="shared" si="339"/>
        <v/>
      </c>
      <c r="V194" s="65" t="str">
        <f t="shared" si="340"/>
        <v/>
      </c>
      <c r="W194" s="65" t="str">
        <f t="shared" si="430"/>
        <v/>
      </c>
      <c r="X194" s="65" t="str">
        <f t="shared" si="341"/>
        <v/>
      </c>
      <c r="Y194" s="68" t="str">
        <f>IF('Marks Entry'!Q194="","",'Marks Entry'!Q194)</f>
        <v/>
      </c>
      <c r="Z194" s="68" t="str">
        <f>IF('Marks Entry'!R194="","",'Marks Entry'!R194)</f>
        <v/>
      </c>
      <c r="AA194" s="68" t="str">
        <f>IF('Marks Entry'!S194="","",'Marks Entry'!S194)</f>
        <v/>
      </c>
      <c r="AB194" s="514" t="str">
        <f t="shared" si="342"/>
        <v/>
      </c>
      <c r="AC194" s="68" t="str">
        <f>IF('Marks Entry'!T194="","",'Marks Entry'!T194)</f>
        <v/>
      </c>
      <c r="AD194" s="515" t="str">
        <f t="shared" si="343"/>
        <v/>
      </c>
      <c r="AE194" s="68" t="str">
        <f>IF('Marks Entry'!U194="","",'Marks Entry'!U194)</f>
        <v/>
      </c>
      <c r="AF194" s="96" t="str">
        <f t="shared" si="344"/>
        <v/>
      </c>
      <c r="AG194" s="65">
        <f t="shared" si="345"/>
        <v>0</v>
      </c>
      <c r="AH194" s="65">
        <f t="shared" si="346"/>
        <v>0</v>
      </c>
      <c r="AI194" s="66" t="str">
        <f t="shared" si="347"/>
        <v/>
      </c>
      <c r="AJ194" s="65" t="str">
        <f t="shared" si="348"/>
        <v/>
      </c>
      <c r="AK194" s="65" t="str">
        <f t="shared" si="349"/>
        <v/>
      </c>
      <c r="AL194" s="65" t="str">
        <f t="shared" si="350"/>
        <v/>
      </c>
      <c r="AM194" s="524" t="str">
        <f>IF('Marks Entry'!V194="","",IF('Marks Entry'!V194=1,'School Profile'!$I$9,IF('Marks Entry'!V194=2,'School Profile'!$I$10,IF('Marks Entry'!V194=3,'School Profile'!$I$11,IF('Marks Entry'!V194=4,'School Profile'!$I$12,IF('Marks Entry'!V194=5,'School Profile'!$I$13,IF('Marks Entry'!V194=6,'School Profile'!$I$14,"")))))))</f>
        <v/>
      </c>
      <c r="AN194" s="68" t="str">
        <f>IF('Marks Entry'!W194="","",'Marks Entry'!W194)</f>
        <v/>
      </c>
      <c r="AO194" s="68" t="str">
        <f>IF('Marks Entry'!X194="","",'Marks Entry'!X194)</f>
        <v/>
      </c>
      <c r="AP194" s="68" t="str">
        <f>IF('Marks Entry'!Y194="","",'Marks Entry'!Y194)</f>
        <v/>
      </c>
      <c r="AQ194" s="514" t="str">
        <f t="shared" si="351"/>
        <v/>
      </c>
      <c r="AR194" s="68" t="str">
        <f>IF('Marks Entry'!Z194="","",'Marks Entry'!Z194)</f>
        <v/>
      </c>
      <c r="AS194" s="515" t="str">
        <f t="shared" si="352"/>
        <v/>
      </c>
      <c r="AT194" s="68" t="str">
        <f>IF('Marks Entry'!AA194="","",'Marks Entry'!AA194)</f>
        <v/>
      </c>
      <c r="AU194" s="96" t="str">
        <f t="shared" si="353"/>
        <v/>
      </c>
      <c r="AV194" s="65">
        <f t="shared" si="354"/>
        <v>0</v>
      </c>
      <c r="AW194" s="65">
        <f t="shared" si="355"/>
        <v>0</v>
      </c>
      <c r="AX194" s="66" t="str">
        <f t="shared" si="356"/>
        <v/>
      </c>
      <c r="AY194" s="65" t="str">
        <f t="shared" si="357"/>
        <v/>
      </c>
      <c r="AZ194" s="65" t="str">
        <f t="shared" si="358"/>
        <v/>
      </c>
      <c r="BA194" s="65" t="str">
        <f t="shared" si="359"/>
        <v/>
      </c>
      <c r="BB194" s="68" t="str">
        <f>IF('Marks Entry'!AB194="","",'Marks Entry'!AB194)</f>
        <v/>
      </c>
      <c r="BC194" s="68" t="str">
        <f>IF('Marks Entry'!AC194="","",'Marks Entry'!AC194)</f>
        <v/>
      </c>
      <c r="BD194" s="68" t="str">
        <f>IF('Marks Entry'!AD194="","",'Marks Entry'!AD194)</f>
        <v/>
      </c>
      <c r="BE194" s="514" t="str">
        <f t="shared" si="360"/>
        <v/>
      </c>
      <c r="BF194" s="68" t="str">
        <f>IF('Marks Entry'!AE194="","",'Marks Entry'!AE194)</f>
        <v/>
      </c>
      <c r="BG194" s="515" t="str">
        <f t="shared" si="361"/>
        <v/>
      </c>
      <c r="BH194" s="68" t="str">
        <f>IF('Marks Entry'!AF194="","",'Marks Entry'!AF194)</f>
        <v/>
      </c>
      <c r="BI194" s="96" t="str">
        <f t="shared" si="362"/>
        <v/>
      </c>
      <c r="BJ194" s="65">
        <f t="shared" si="363"/>
        <v>0</v>
      </c>
      <c r="BK194" s="65">
        <f t="shared" si="431"/>
        <v>0</v>
      </c>
      <c r="BL194" s="66" t="str">
        <f t="shared" si="364"/>
        <v/>
      </c>
      <c r="BM194" s="65" t="str">
        <f t="shared" si="365"/>
        <v/>
      </c>
      <c r="BN194" s="65" t="str">
        <f t="shared" si="366"/>
        <v/>
      </c>
      <c r="BO194" s="65" t="str">
        <f t="shared" si="367"/>
        <v/>
      </c>
      <c r="BP194" s="68" t="str">
        <f>IF('Marks Entry'!AG194="","",'Marks Entry'!AG194)</f>
        <v/>
      </c>
      <c r="BQ194" s="68" t="str">
        <f>IF('Marks Entry'!AH194="","",'Marks Entry'!AH194)</f>
        <v/>
      </c>
      <c r="BR194" s="68" t="str">
        <f>IF('Marks Entry'!AI194="","",'Marks Entry'!AI194)</f>
        <v/>
      </c>
      <c r="BS194" s="514" t="str">
        <f t="shared" si="368"/>
        <v/>
      </c>
      <c r="BT194" s="68" t="str">
        <f>IF('Marks Entry'!AJ194="","",'Marks Entry'!AJ194)</f>
        <v/>
      </c>
      <c r="BU194" s="515" t="str">
        <f t="shared" si="369"/>
        <v/>
      </c>
      <c r="BV194" s="68" t="str">
        <f>IF('Marks Entry'!AK194="","",'Marks Entry'!AK194)</f>
        <v/>
      </c>
      <c r="BW194" s="96" t="str">
        <f t="shared" si="370"/>
        <v/>
      </c>
      <c r="BX194" s="65">
        <f t="shared" si="371"/>
        <v>0</v>
      </c>
      <c r="BY194" s="65">
        <f t="shared" si="372"/>
        <v>0</v>
      </c>
      <c r="BZ194" s="66" t="str">
        <f t="shared" si="373"/>
        <v/>
      </c>
      <c r="CA194" s="65" t="str">
        <f t="shared" si="374"/>
        <v/>
      </c>
      <c r="CB194" s="65" t="str">
        <f t="shared" si="375"/>
        <v/>
      </c>
      <c r="CC194" s="65" t="str">
        <f t="shared" si="376"/>
        <v/>
      </c>
      <c r="CD194" s="66">
        <f t="shared" si="497"/>
        <v>0</v>
      </c>
      <c r="CE194" s="68" t="str">
        <f>IF('Marks Entry'!AL194="","",'Marks Entry'!AL194)</f>
        <v/>
      </c>
      <c r="CF194" s="68" t="str">
        <f>IF('Marks Entry'!AM194="","",'Marks Entry'!AM194)</f>
        <v/>
      </c>
      <c r="CG194" s="68" t="str">
        <f>IF('Marks Entry'!AN194="","",'Marks Entry'!AN194)</f>
        <v/>
      </c>
      <c r="CH194" s="514" t="str">
        <f t="shared" si="378"/>
        <v/>
      </c>
      <c r="CI194" s="68" t="str">
        <f>IF('Marks Entry'!AO194="","",'Marks Entry'!AO194)</f>
        <v/>
      </c>
      <c r="CJ194" s="515" t="str">
        <f t="shared" si="379"/>
        <v/>
      </c>
      <c r="CK194" s="68" t="str">
        <f>IF('Marks Entry'!AP194="","",'Marks Entry'!AP194)</f>
        <v/>
      </c>
      <c r="CL194" s="96" t="str">
        <f t="shared" si="380"/>
        <v/>
      </c>
      <c r="CM194" s="65">
        <f t="shared" si="381"/>
        <v>0</v>
      </c>
      <c r="CN194" s="65">
        <f t="shared" si="382"/>
        <v>0</v>
      </c>
      <c r="CO194" s="66" t="str">
        <f t="shared" si="383"/>
        <v/>
      </c>
      <c r="CP194" s="65" t="str">
        <f t="shared" si="384"/>
        <v/>
      </c>
      <c r="CQ194" s="65" t="str">
        <f t="shared" si="385"/>
        <v/>
      </c>
      <c r="CR194" s="65" t="str">
        <f t="shared" si="386"/>
        <v/>
      </c>
      <c r="CS194" s="616"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8" t="str">
        <f>IF('School Profile'!$D$20="NO","",IF('Marks Entry'!AR194="","",'Marks Entry'!AR194))</f>
        <v/>
      </c>
      <c r="CU194" s="68" t="str">
        <f>IF('School Profile'!$D$20="NO","",IF('Marks Entry'!AS194="","",'Marks Entry'!AS194))</f>
        <v/>
      </c>
      <c r="CV194" s="68" t="str">
        <f>IF('School Profile'!$D$20="NO","",IF('Marks Entry'!AT194="","",'Marks Entry'!AT194))</f>
        <v/>
      </c>
      <c r="CW194" s="514" t="str">
        <f>IF('School Profile'!$D$20="NO","",IF(AND(CT194="",CU194="",CV194=""),"",SUM(CT194:CV194)))</f>
        <v/>
      </c>
      <c r="CX194" s="68" t="str">
        <f>IF('School Profile'!$D$20="NO","",IF('Marks Entry'!AU194="","",'Marks Entry'!AU194))</f>
        <v/>
      </c>
      <c r="CY194" s="68" t="str">
        <f>IF('School Profile'!$D$20="NO","",IF('Marks Entry'!AV194="","",'Marks Entry'!AV194))</f>
        <v/>
      </c>
      <c r="CZ194" s="515" t="str">
        <f>IF('School Profile'!$D$20="NO","",IF(AND(CX194="",CY194=""),"",SUM(CX194,CY194)))</f>
        <v/>
      </c>
      <c r="DA194" s="69" t="str">
        <f>IF('School Profile'!$D$20="NO","",IF(AND(CW194="",CZ194=""),"",SUM(CW194+CZ194)))</f>
        <v/>
      </c>
      <c r="DB194" s="68" t="str">
        <f>IF('School Profile'!$D$20="NO","",IF('Marks Entry'!AW194="","",'Marks Entry'!AW194))</f>
        <v/>
      </c>
      <c r="DC194" s="68" t="str">
        <f>IF('School Profile'!$D$20="NO","",IF('Marks Entry'!AX194="","",'Marks Entry'!AX194))</f>
        <v/>
      </c>
      <c r="DD194" s="515" t="str">
        <f>IF('School Profile'!$D$20="NO","",IF(AND(DB194="",DC194=""),"",SUM(DB194,DC194)))</f>
        <v/>
      </c>
      <c r="DE194" s="96" t="str">
        <f>IF('School Profile'!$D$20="NO","",IF(AND(DA194="",DD194=""),"",SUM(DA194,DD194)))</f>
        <v/>
      </c>
      <c r="DF194" s="532">
        <f t="shared" si="387"/>
        <v>0</v>
      </c>
      <c r="DG194" s="65">
        <f t="shared" si="388"/>
        <v>0</v>
      </c>
      <c r="DH194" s="66" t="str">
        <f t="shared" si="389"/>
        <v/>
      </c>
      <c r="DI194" s="65" t="str">
        <f t="shared" si="390"/>
        <v/>
      </c>
      <c r="DJ194" s="65" t="str">
        <f t="shared" si="391"/>
        <v/>
      </c>
      <c r="DK194" s="65" t="str">
        <f t="shared" si="392"/>
        <v/>
      </c>
      <c r="DL194" s="97" t="str">
        <f t="shared" si="432"/>
        <v/>
      </c>
      <c r="DM194" s="97" t="str">
        <f t="shared" si="433"/>
        <v/>
      </c>
      <c r="DN194" s="97" t="str">
        <f t="shared" si="434"/>
        <v/>
      </c>
      <c r="DO194" s="97" t="str">
        <f t="shared" si="435"/>
        <v/>
      </c>
      <c r="DP194" s="97" t="str">
        <f t="shared" si="436"/>
        <v/>
      </c>
      <c r="DQ194" s="97" t="str">
        <f t="shared" si="437"/>
        <v/>
      </c>
      <c r="DR194" s="97" t="str">
        <f t="shared" si="438"/>
        <v/>
      </c>
      <c r="DS194" s="98">
        <f t="shared" si="439"/>
        <v>0</v>
      </c>
      <c r="DT194" s="98">
        <f t="shared" si="440"/>
        <v>0</v>
      </c>
      <c r="DU194" s="98">
        <f t="shared" si="441"/>
        <v>0</v>
      </c>
      <c r="DV194" s="98">
        <f t="shared" si="442"/>
        <v>0</v>
      </c>
      <c r="DW194" s="98">
        <f t="shared" si="443"/>
        <v>0</v>
      </c>
      <c r="DX194" s="98" t="str">
        <f t="shared" si="444"/>
        <v/>
      </c>
      <c r="DY194" s="99" t="str">
        <f t="shared" si="445"/>
        <v/>
      </c>
      <c r="DZ194" s="74" t="str">
        <f>IF('Marks Entry'!AY194="","",'Marks Entry'!AY194)</f>
        <v/>
      </c>
      <c r="EA194" s="74" t="str">
        <f>IF('Marks Entry'!AZ194="","",'Marks Entry'!AZ194)</f>
        <v/>
      </c>
      <c r="EB194" s="74" t="str">
        <f>IF('Marks Entry'!BA194="","",'Marks Entry'!BA194)</f>
        <v/>
      </c>
      <c r="EC194" s="527" t="str">
        <f t="shared" si="393"/>
        <v/>
      </c>
      <c r="ED194" s="74" t="str">
        <f>IF('Marks Entry'!BB194="","",'Marks Entry'!BB194)</f>
        <v/>
      </c>
      <c r="EE194" s="528" t="str">
        <f t="shared" si="394"/>
        <v/>
      </c>
      <c r="EF194" s="74" t="str">
        <f>IF('Marks Entry'!BC194="","",'Marks Entry'!BC194)</f>
        <v/>
      </c>
      <c r="EG194" s="530" t="str">
        <f t="shared" si="395"/>
        <v/>
      </c>
      <c r="EH194" s="368" t="str">
        <f t="shared" si="446"/>
        <v/>
      </c>
      <c r="EI194" s="65">
        <f t="shared" si="447"/>
        <v>0</v>
      </c>
      <c r="EJ194" s="65">
        <f t="shared" si="448"/>
        <v>0</v>
      </c>
      <c r="EK194" s="66" t="str">
        <f t="shared" si="449"/>
        <v/>
      </c>
      <c r="EL194" s="74" t="str">
        <f>IF('Marks Entry'!BD194="","",'Marks Entry'!BD194)</f>
        <v/>
      </c>
      <c r="EM194" s="74" t="str">
        <f>IF('Marks Entry'!BE194="","",'Marks Entry'!BE194)</f>
        <v/>
      </c>
      <c r="EN194" s="74" t="str">
        <f>IF('Marks Entry'!BF194="","",'Marks Entry'!BF194)</f>
        <v/>
      </c>
      <c r="EO194" s="527" t="str">
        <f t="shared" si="396"/>
        <v/>
      </c>
      <c r="EP194" s="74" t="str">
        <f>IF('Marks Entry'!BG194="","",'Marks Entry'!BG194)</f>
        <v/>
      </c>
      <c r="EQ194" s="74" t="str">
        <f>IF('Marks Entry'!BH194="","",'Marks Entry'!BH194)</f>
        <v/>
      </c>
      <c r="ER194" s="528" t="str">
        <f t="shared" si="397"/>
        <v/>
      </c>
      <c r="ES194" s="529" t="str">
        <f t="shared" si="398"/>
        <v/>
      </c>
      <c r="ET194" s="74" t="str">
        <f>IF('Marks Entry'!BI194="","",'Marks Entry'!BI194)</f>
        <v/>
      </c>
      <c r="EU194" s="74" t="str">
        <f>IF('Marks Entry'!BJ194="","",'Marks Entry'!BJ194)</f>
        <v/>
      </c>
      <c r="EV194" s="528" t="str">
        <f t="shared" si="399"/>
        <v/>
      </c>
      <c r="EW194" s="530" t="str">
        <f t="shared" si="400"/>
        <v/>
      </c>
      <c r="EX194" s="368" t="str">
        <f t="shared" si="450"/>
        <v/>
      </c>
      <c r="EY194" s="65">
        <f t="shared" si="451"/>
        <v>0</v>
      </c>
      <c r="EZ194" s="65">
        <f t="shared" si="452"/>
        <v>0</v>
      </c>
      <c r="FA194" s="66" t="str">
        <f t="shared" si="453"/>
        <v/>
      </c>
      <c r="FB194" s="74" t="str">
        <f>IF('Marks Entry'!BK194="","",'Marks Entry'!BK194)</f>
        <v/>
      </c>
      <c r="FC194" s="74" t="str">
        <f>IF('Marks Entry'!BL194="","",'Marks Entry'!BL194)</f>
        <v/>
      </c>
      <c r="FD194" s="74" t="str">
        <f>IF('Marks Entry'!BM194="","",'Marks Entry'!BM194)</f>
        <v/>
      </c>
      <c r="FE194" s="74" t="str">
        <f>IF('Marks Entry'!BN194="","",'Marks Entry'!BN194)</f>
        <v/>
      </c>
      <c r="FF194" s="74" t="str">
        <f>IF('Marks Entry'!BO194="","",'Marks Entry'!BO194)</f>
        <v/>
      </c>
      <c r="FG194" s="74" t="str">
        <f>IF('Marks Entry'!BP194="","",'Marks Entry'!BP194)</f>
        <v/>
      </c>
      <c r="FH194" s="527" t="str">
        <f t="shared" si="401"/>
        <v/>
      </c>
      <c r="FI194" s="74" t="str">
        <f>IF('Marks Entry'!BQ194="","",'Marks Entry'!BQ194)</f>
        <v/>
      </c>
      <c r="FJ194" s="74" t="str">
        <f>IF('Marks Entry'!BR194="","",'Marks Entry'!BR194)</f>
        <v/>
      </c>
      <c r="FK194" s="528" t="str">
        <f t="shared" si="402"/>
        <v/>
      </c>
      <c r="FL194" s="529" t="str">
        <f t="shared" si="403"/>
        <v/>
      </c>
      <c r="FM194" s="74" t="str">
        <f>IF('Marks Entry'!BS194="","",'Marks Entry'!BS194)</f>
        <v/>
      </c>
      <c r="FN194" s="74" t="str">
        <f>IF('Marks Entry'!BT194="","",'Marks Entry'!BT194)</f>
        <v/>
      </c>
      <c r="FO194" s="528" t="str">
        <f t="shared" si="404"/>
        <v/>
      </c>
      <c r="FP194" s="530" t="str">
        <f t="shared" si="405"/>
        <v/>
      </c>
      <c r="FQ194" s="368" t="str">
        <f t="shared" si="454"/>
        <v/>
      </c>
      <c r="FR194" s="65">
        <f t="shared" si="455"/>
        <v>0</v>
      </c>
      <c r="FS194" s="65">
        <f t="shared" si="456"/>
        <v>0</v>
      </c>
      <c r="FT194" s="66" t="str">
        <f t="shared" si="457"/>
        <v/>
      </c>
      <c r="FU194" s="74" t="str">
        <f>IF('Marks Entry'!BU194="","",'Marks Entry'!BU194)</f>
        <v/>
      </c>
      <c r="FV194" s="74" t="str">
        <f>IF('Marks Entry'!BV194="","",'Marks Entry'!BV194)</f>
        <v/>
      </c>
      <c r="FW194" s="74" t="str">
        <f>IF('Marks Entry'!BW194="","",'Marks Entry'!BW194)</f>
        <v/>
      </c>
      <c r="FX194" s="75" t="str">
        <f t="shared" si="406"/>
        <v/>
      </c>
      <c r="FY194" s="368" t="str">
        <f t="shared" si="458"/>
        <v/>
      </c>
      <c r="FZ194" s="65">
        <f t="shared" si="459"/>
        <v>0</v>
      </c>
      <c r="GA194" s="66">
        <f t="shared" si="460"/>
        <v>0</v>
      </c>
      <c r="GB194" s="66" t="str">
        <f t="shared" si="461"/>
        <v/>
      </c>
      <c r="GC194" s="74" t="str">
        <f>IF('Marks Entry'!BX194="","",'Marks Entry'!BX194)</f>
        <v/>
      </c>
      <c r="GD194" s="74" t="str">
        <f>IF('Marks Entry'!BY194="","",'Marks Entry'!BY194)</f>
        <v/>
      </c>
      <c r="GE194" s="74" t="str">
        <f>IF('Marks Entry'!BZ194="","",'Marks Entry'!BZ194)</f>
        <v/>
      </c>
      <c r="GF194" s="75" t="str">
        <f t="shared" si="462"/>
        <v/>
      </c>
      <c r="GG194" s="368" t="str">
        <f t="shared" si="463"/>
        <v/>
      </c>
      <c r="GH194" s="65">
        <f t="shared" si="464"/>
        <v>0</v>
      </c>
      <c r="GI194" s="66">
        <f t="shared" si="465"/>
        <v>0</v>
      </c>
      <c r="GJ194" s="66" t="str">
        <f t="shared" si="466"/>
        <v/>
      </c>
      <c r="GK194" s="100" t="str">
        <f>IF(AND(F194="",B194=""),"",IF('Student DATA Entry'!M191="","",'Student DATA Entry'!M191))</f>
        <v/>
      </c>
      <c r="GL194" s="101" t="str">
        <f>IF(AND(B194="",F194=""),"",IF('Student DATA Entry'!N191="","",'Student DATA Entry'!N191))</f>
        <v/>
      </c>
      <c r="GM194" s="581" t="str">
        <f t="shared" si="467"/>
        <v/>
      </c>
      <c r="GN194" s="94" t="str">
        <f t="shared" si="468"/>
        <v/>
      </c>
      <c r="GO194" s="94" t="str">
        <f t="shared" si="469"/>
        <v/>
      </c>
      <c r="GP194" s="102" t="str">
        <f t="shared" si="498"/>
        <v/>
      </c>
      <c r="GQ194" s="94" t="str">
        <f t="shared" si="470"/>
        <v/>
      </c>
      <c r="GR194" s="103" t="str">
        <f t="shared" si="471"/>
        <v/>
      </c>
      <c r="GS194" s="102" t="str">
        <f t="shared" si="499"/>
        <v/>
      </c>
      <c r="GT194" s="104" t="str">
        <f t="shared" si="472"/>
        <v/>
      </c>
      <c r="GU194" s="94" t="str">
        <f>IF('Marks Entry'!V194=1,GT194,"")</f>
        <v/>
      </c>
      <c r="GV194" s="94" t="str">
        <f>IF('Marks Entry'!V194=2,GT194,"")</f>
        <v/>
      </c>
      <c r="GW194" s="94" t="str">
        <f>IF('Marks Entry'!V194=3,GT194,"")</f>
        <v/>
      </c>
      <c r="GX194" s="94" t="str">
        <f>IF('Marks Entry'!V194=4,GT194,"")</f>
        <v/>
      </c>
      <c r="GY194" s="94" t="str">
        <f>IF('Marks Entry'!V194=5,GT194,"")</f>
        <v/>
      </c>
      <c r="GZ194" s="94" t="str">
        <f t="shared" si="473"/>
        <v/>
      </c>
      <c r="HA194" s="105" t="str">
        <f t="shared" si="500"/>
        <v/>
      </c>
      <c r="HB194" s="94" t="str">
        <f t="shared" si="474"/>
        <v/>
      </c>
      <c r="HC194" s="94" t="str">
        <f t="shared" si="475"/>
        <v/>
      </c>
      <c r="HD194" s="105" t="str">
        <f t="shared" si="501"/>
        <v/>
      </c>
      <c r="HE194" s="94" t="str">
        <f t="shared" si="476"/>
        <v/>
      </c>
      <c r="HF194" s="94" t="str">
        <f t="shared" si="477"/>
        <v/>
      </c>
      <c r="HG194" s="105" t="str">
        <f t="shared" si="502"/>
        <v/>
      </c>
      <c r="HH194" s="94" t="str">
        <f t="shared" si="478"/>
        <v/>
      </c>
      <c r="HI194" s="94" t="str">
        <f t="shared" si="479"/>
        <v/>
      </c>
      <c r="HJ194" s="105" t="str">
        <f t="shared" si="503"/>
        <v/>
      </c>
      <c r="HK194" s="94" t="str">
        <f t="shared" si="480"/>
        <v/>
      </c>
      <c r="HL194" s="94" t="str">
        <f t="shared" si="481"/>
        <v/>
      </c>
      <c r="HM194" s="105" t="str">
        <f t="shared" si="504"/>
        <v/>
      </c>
      <c r="HN194" s="367" t="str">
        <f t="shared" si="482"/>
        <v xml:space="preserve">      </v>
      </c>
      <c r="HO194" s="418" t="str">
        <f t="shared" si="505"/>
        <v xml:space="preserve">      </v>
      </c>
      <c r="HP194" s="367" t="str">
        <f t="shared" si="483"/>
        <v xml:space="preserve">      </v>
      </c>
      <c r="HQ194" s="107" t="str">
        <f t="shared" si="484"/>
        <v xml:space="preserve">      </v>
      </c>
      <c r="HR194" s="366" t="str">
        <f t="shared" si="485"/>
        <v xml:space="preserve">      </v>
      </c>
      <c r="HS194" s="544" t="str">
        <f t="shared" si="506"/>
        <v/>
      </c>
      <c r="HT194" s="542" t="str">
        <f t="shared" si="486"/>
        <v/>
      </c>
      <c r="HU194" s="541" t="str">
        <f t="shared" si="487"/>
        <v/>
      </c>
      <c r="HV194" s="540" t="str">
        <f t="shared" si="488"/>
        <v/>
      </c>
      <c r="HW194" s="537" t="str">
        <f t="shared" si="489"/>
        <v/>
      </c>
      <c r="HX194" s="539" t="str">
        <f t="shared" si="490"/>
        <v/>
      </c>
      <c r="HY194" s="553" t="str">
        <f>IFERROR(IF(OR(HS194="SUPPLEMENTARY",HS194="RE-EXAM"),'Supp. Result Entry'!AQ192,""),"")</f>
        <v/>
      </c>
      <c r="HZ194" s="538" t="str">
        <f t="shared" si="491"/>
        <v/>
      </c>
      <c r="IA194" s="415" t="str">
        <f t="shared" si="492"/>
        <v/>
      </c>
      <c r="IB194" s="415" t="str">
        <f>IF(AND(HZ194="",IA194=""),"",IF(OR(HS194="SUPPLEMENTARY",HS194="RE-EXAM"),'Supp. Result Entry'!AQ192,HS194))</f>
        <v/>
      </c>
      <c r="IC194" s="87"/>
      <c r="IS194" s="109" t="str">
        <f>IF('Supp. Result Entry'!T192="","",'Supp. Result Entry'!$T$4)</f>
        <v/>
      </c>
      <c r="IT194" s="110" t="str">
        <f>IF('Supp. Result Entry'!W192="","",'Supp. Result Entry'!$W$4)</f>
        <v/>
      </c>
      <c r="IU194" s="110" t="str">
        <f>IF('Supp. Result Entry'!Z192="","",'Supp. Result Entry'!$Z$4)</f>
        <v/>
      </c>
      <c r="IV194" s="110" t="str">
        <f>IF('Supp. Result Entry'!AC192="","",'Supp. Result Entry'!$AC$4)</f>
        <v/>
      </c>
      <c r="IW194" s="110" t="str">
        <f>IF('Supp. Result Entry'!AF192="","",'Supp. Result Entry'!$AF$4)</f>
        <v/>
      </c>
      <c r="IX194" s="110" t="str">
        <f>IF('Supp. Result Entry'!AI192="","",'Supp. Result Entry'!$AI$4)</f>
        <v/>
      </c>
      <c r="IY194" s="110" t="str">
        <f>IF('Supp. Result Entry'!AI192="","",'Supp. Result Entry'!$AL$4)</f>
        <v/>
      </c>
      <c r="IZ194" s="110" t="str">
        <f>IF('Supp. Result Entry'!U192="","",'Supp. Result Entry'!U192)</f>
        <v/>
      </c>
      <c r="JA194" s="110" t="str">
        <f>IF('Supp. Result Entry'!X192="","",'Supp. Result Entry'!X192)</f>
        <v/>
      </c>
      <c r="JB194" s="110" t="str">
        <f>IF('Supp. Result Entry'!AA192="","",'Supp. Result Entry'!AA192)</f>
        <v/>
      </c>
      <c r="JC194" s="110" t="str">
        <f>IF('Supp. Result Entry'!AD192="","",'Supp. Result Entry'!AD192)</f>
        <v/>
      </c>
      <c r="JD194" s="110" t="str">
        <f>IF('Supp. Result Entry'!AG192="","",'Supp. Result Entry'!AG192)</f>
        <v/>
      </c>
      <c r="JE194" s="110" t="str">
        <f>IF('Supp. Result Entry'!AJ192="","",'Supp. Result Entry'!AJ192)</f>
        <v/>
      </c>
      <c r="JF194" s="110" t="str">
        <f>IF('Supp. Result Entry'!AM192="","",'Supp. Result Entry'!AM192)</f>
        <v/>
      </c>
      <c r="JG194" s="110" t="str">
        <f>IF('Supp. Result Entry'!V192="","",'Supp. Result Entry'!V192)</f>
        <v/>
      </c>
      <c r="JH194" s="110" t="str">
        <f>IF('Supp. Result Entry'!Y192="","",'Supp. Result Entry'!Y192)</f>
        <v/>
      </c>
      <c r="JI194" s="110" t="str">
        <f>IF('Supp. Result Entry'!AB192="","",'Supp. Result Entry'!AB192)</f>
        <v/>
      </c>
      <c r="JJ194" s="110" t="str">
        <f>IF('Supp. Result Entry'!AE192="","",'Supp. Result Entry'!AE192)</f>
        <v/>
      </c>
      <c r="JK194" s="110" t="str">
        <f>IF('Supp. Result Entry'!AH192="","",'Supp. Result Entry'!AH192)</f>
        <v/>
      </c>
      <c r="JL194" s="110" t="str">
        <f>IF('Supp. Result Entry'!AK192="","",'Supp. Result Entry'!AK192)</f>
        <v/>
      </c>
      <c r="JM194" s="110" t="str">
        <f>IF('Supp. Result Entry'!AN192="","",'Supp. Result Entry'!AN192)</f>
        <v/>
      </c>
      <c r="JN194" s="110">
        <f>COUNTIF('Supp. Result Entry'!K192:Q192,"S")</f>
        <v>0</v>
      </c>
      <c r="JO194" s="110">
        <f t="shared" si="416"/>
        <v>0</v>
      </c>
      <c r="JP194" s="110">
        <f t="shared" si="493"/>
        <v>0</v>
      </c>
      <c r="JQ194" s="110" t="str">
        <f t="shared" si="417"/>
        <v/>
      </c>
      <c r="JR194" s="110" t="str">
        <f t="shared" si="418"/>
        <v/>
      </c>
      <c r="JS194" s="110" t="str">
        <f t="shared" si="419"/>
        <v/>
      </c>
      <c r="JT194" s="110" t="str">
        <f t="shared" si="420"/>
        <v/>
      </c>
      <c r="JU194" s="110" t="str">
        <f t="shared" si="421"/>
        <v/>
      </c>
      <c r="JV194" s="110" t="str">
        <f t="shared" si="422"/>
        <v/>
      </c>
      <c r="JW194" s="110" t="str">
        <f t="shared" si="423"/>
        <v/>
      </c>
      <c r="JX194" s="110" t="str">
        <f t="shared" si="494"/>
        <v/>
      </c>
      <c r="JY194" s="110" t="str">
        <f t="shared" si="495"/>
        <v/>
      </c>
      <c r="JZ194" s="110" t="str">
        <f t="shared" si="424"/>
        <v/>
      </c>
      <c r="KA194" s="108" t="str">
        <f t="shared" si="496"/>
        <v/>
      </c>
    </row>
    <row r="195" spans="1:287" s="108" customFormat="1" ht="21.95" customHeight="1">
      <c r="A195" s="89">
        <v>189</v>
      </c>
      <c r="B195" s="90" t="str">
        <f>IF('Marks Entry'!B195="","",'Marks Entry'!B195)</f>
        <v/>
      </c>
      <c r="C195" s="94" t="str">
        <f>IF('Marks Entry'!D195="","",'Marks Entry'!D195)</f>
        <v/>
      </c>
      <c r="D195" s="91" t="str">
        <f>IF('Marks Entry'!E195="","",'Marks Entry'!E195)</f>
        <v/>
      </c>
      <c r="E195" s="92" t="str">
        <f>IF('Marks Entry'!F195="","",'Marks Entry'!F195)</f>
        <v/>
      </c>
      <c r="F195" s="93" t="str">
        <f>IF('Marks Entry'!G195="","",'Marks Entry'!G195)</f>
        <v/>
      </c>
      <c r="G195" s="93" t="str">
        <f>IF('Marks Entry'!H195="","",'Marks Entry'!H195)</f>
        <v/>
      </c>
      <c r="H195" s="93" t="str">
        <f>IF('Marks Entry'!I195="","",'Marks Entry'!I195)</f>
        <v/>
      </c>
      <c r="I195" s="94" t="str">
        <f>IF('Marks Entry'!J195="","",'Marks Entry'!J195)</f>
        <v/>
      </c>
      <c r="J195" s="95" t="str">
        <f>IF('Marks Entry'!K195="","",'Marks Entry'!K195)</f>
        <v/>
      </c>
      <c r="K195" s="68" t="str">
        <f>IF('Marks Entry'!L195="","",'Marks Entry'!L195)</f>
        <v/>
      </c>
      <c r="L195" s="68" t="str">
        <f>IF('Marks Entry'!M195="","",'Marks Entry'!M195)</f>
        <v/>
      </c>
      <c r="M195" s="68" t="str">
        <f>IF('Marks Entry'!N195="","",'Marks Entry'!N195)</f>
        <v/>
      </c>
      <c r="N195" s="514" t="str">
        <f t="shared" si="425"/>
        <v/>
      </c>
      <c r="O195" s="68" t="str">
        <f>IF('Marks Entry'!O195="","",'Marks Entry'!O195)</f>
        <v/>
      </c>
      <c r="P195" s="515" t="str">
        <f t="shared" si="426"/>
        <v/>
      </c>
      <c r="Q195" s="68" t="str">
        <f>IF('Marks Entry'!P195="","",'Marks Entry'!P195)</f>
        <v/>
      </c>
      <c r="R195" s="96" t="str">
        <f t="shared" si="427"/>
        <v/>
      </c>
      <c r="S195" s="65">
        <f t="shared" si="428"/>
        <v>0</v>
      </c>
      <c r="T195" s="65">
        <f t="shared" si="429"/>
        <v>0</v>
      </c>
      <c r="U195" s="66" t="str">
        <f t="shared" si="339"/>
        <v/>
      </c>
      <c r="V195" s="65" t="str">
        <f t="shared" si="340"/>
        <v/>
      </c>
      <c r="W195" s="65" t="str">
        <f t="shared" si="430"/>
        <v/>
      </c>
      <c r="X195" s="65" t="str">
        <f t="shared" si="341"/>
        <v/>
      </c>
      <c r="Y195" s="68" t="str">
        <f>IF('Marks Entry'!Q195="","",'Marks Entry'!Q195)</f>
        <v/>
      </c>
      <c r="Z195" s="68" t="str">
        <f>IF('Marks Entry'!R195="","",'Marks Entry'!R195)</f>
        <v/>
      </c>
      <c r="AA195" s="68" t="str">
        <f>IF('Marks Entry'!S195="","",'Marks Entry'!S195)</f>
        <v/>
      </c>
      <c r="AB195" s="514" t="str">
        <f t="shared" si="342"/>
        <v/>
      </c>
      <c r="AC195" s="68" t="str">
        <f>IF('Marks Entry'!T195="","",'Marks Entry'!T195)</f>
        <v/>
      </c>
      <c r="AD195" s="515" t="str">
        <f t="shared" si="343"/>
        <v/>
      </c>
      <c r="AE195" s="68" t="str">
        <f>IF('Marks Entry'!U195="","",'Marks Entry'!U195)</f>
        <v/>
      </c>
      <c r="AF195" s="96" t="str">
        <f t="shared" si="344"/>
        <v/>
      </c>
      <c r="AG195" s="65">
        <f t="shared" si="345"/>
        <v>0</v>
      </c>
      <c r="AH195" s="65">
        <f t="shared" si="346"/>
        <v>0</v>
      </c>
      <c r="AI195" s="66" t="str">
        <f t="shared" si="347"/>
        <v/>
      </c>
      <c r="AJ195" s="65" t="str">
        <f t="shared" si="348"/>
        <v/>
      </c>
      <c r="AK195" s="65" t="str">
        <f t="shared" si="349"/>
        <v/>
      </c>
      <c r="AL195" s="65" t="str">
        <f t="shared" si="350"/>
        <v/>
      </c>
      <c r="AM195" s="524" t="str">
        <f>IF('Marks Entry'!V195="","",IF('Marks Entry'!V195=1,'School Profile'!$I$9,IF('Marks Entry'!V195=2,'School Profile'!$I$10,IF('Marks Entry'!V195=3,'School Profile'!$I$11,IF('Marks Entry'!V195=4,'School Profile'!$I$12,IF('Marks Entry'!V195=5,'School Profile'!$I$13,IF('Marks Entry'!V195=6,'School Profile'!$I$14,"")))))))</f>
        <v/>
      </c>
      <c r="AN195" s="68" t="str">
        <f>IF('Marks Entry'!W195="","",'Marks Entry'!W195)</f>
        <v/>
      </c>
      <c r="AO195" s="68" t="str">
        <f>IF('Marks Entry'!X195="","",'Marks Entry'!X195)</f>
        <v/>
      </c>
      <c r="AP195" s="68" t="str">
        <f>IF('Marks Entry'!Y195="","",'Marks Entry'!Y195)</f>
        <v/>
      </c>
      <c r="AQ195" s="514" t="str">
        <f t="shared" si="351"/>
        <v/>
      </c>
      <c r="AR195" s="68" t="str">
        <f>IF('Marks Entry'!Z195="","",'Marks Entry'!Z195)</f>
        <v/>
      </c>
      <c r="AS195" s="515" t="str">
        <f t="shared" si="352"/>
        <v/>
      </c>
      <c r="AT195" s="68" t="str">
        <f>IF('Marks Entry'!AA195="","",'Marks Entry'!AA195)</f>
        <v/>
      </c>
      <c r="AU195" s="96" t="str">
        <f t="shared" si="353"/>
        <v/>
      </c>
      <c r="AV195" s="65">
        <f t="shared" si="354"/>
        <v>0</v>
      </c>
      <c r="AW195" s="65">
        <f t="shared" si="355"/>
        <v>0</v>
      </c>
      <c r="AX195" s="66" t="str">
        <f t="shared" si="356"/>
        <v/>
      </c>
      <c r="AY195" s="65" t="str">
        <f t="shared" si="357"/>
        <v/>
      </c>
      <c r="AZ195" s="65" t="str">
        <f t="shared" si="358"/>
        <v/>
      </c>
      <c r="BA195" s="65" t="str">
        <f t="shared" si="359"/>
        <v/>
      </c>
      <c r="BB195" s="68" t="str">
        <f>IF('Marks Entry'!AB195="","",'Marks Entry'!AB195)</f>
        <v/>
      </c>
      <c r="BC195" s="68" t="str">
        <f>IF('Marks Entry'!AC195="","",'Marks Entry'!AC195)</f>
        <v/>
      </c>
      <c r="BD195" s="68" t="str">
        <f>IF('Marks Entry'!AD195="","",'Marks Entry'!AD195)</f>
        <v/>
      </c>
      <c r="BE195" s="514" t="str">
        <f t="shared" si="360"/>
        <v/>
      </c>
      <c r="BF195" s="68" t="str">
        <f>IF('Marks Entry'!AE195="","",'Marks Entry'!AE195)</f>
        <v/>
      </c>
      <c r="BG195" s="515" t="str">
        <f t="shared" si="361"/>
        <v/>
      </c>
      <c r="BH195" s="68" t="str">
        <f>IF('Marks Entry'!AF195="","",'Marks Entry'!AF195)</f>
        <v/>
      </c>
      <c r="BI195" s="96" t="str">
        <f t="shared" si="362"/>
        <v/>
      </c>
      <c r="BJ195" s="65">
        <f t="shared" si="363"/>
        <v>0</v>
      </c>
      <c r="BK195" s="65">
        <f t="shared" si="431"/>
        <v>0</v>
      </c>
      <c r="BL195" s="66" t="str">
        <f t="shared" si="364"/>
        <v/>
      </c>
      <c r="BM195" s="65" t="str">
        <f t="shared" si="365"/>
        <v/>
      </c>
      <c r="BN195" s="65" t="str">
        <f t="shared" si="366"/>
        <v/>
      </c>
      <c r="BO195" s="65" t="str">
        <f t="shared" si="367"/>
        <v/>
      </c>
      <c r="BP195" s="68" t="str">
        <f>IF('Marks Entry'!AG195="","",'Marks Entry'!AG195)</f>
        <v/>
      </c>
      <c r="BQ195" s="68" t="str">
        <f>IF('Marks Entry'!AH195="","",'Marks Entry'!AH195)</f>
        <v/>
      </c>
      <c r="BR195" s="68" t="str">
        <f>IF('Marks Entry'!AI195="","",'Marks Entry'!AI195)</f>
        <v/>
      </c>
      <c r="BS195" s="514" t="str">
        <f t="shared" si="368"/>
        <v/>
      </c>
      <c r="BT195" s="68" t="str">
        <f>IF('Marks Entry'!AJ195="","",'Marks Entry'!AJ195)</f>
        <v/>
      </c>
      <c r="BU195" s="515" t="str">
        <f t="shared" si="369"/>
        <v/>
      </c>
      <c r="BV195" s="68" t="str">
        <f>IF('Marks Entry'!AK195="","",'Marks Entry'!AK195)</f>
        <v/>
      </c>
      <c r="BW195" s="96" t="str">
        <f t="shared" si="370"/>
        <v/>
      </c>
      <c r="BX195" s="65">
        <f t="shared" si="371"/>
        <v>0</v>
      </c>
      <c r="BY195" s="65">
        <f t="shared" si="372"/>
        <v>0</v>
      </c>
      <c r="BZ195" s="66" t="str">
        <f t="shared" si="373"/>
        <v/>
      </c>
      <c r="CA195" s="65" t="str">
        <f t="shared" si="374"/>
        <v/>
      </c>
      <c r="CB195" s="65" t="str">
        <f t="shared" si="375"/>
        <v/>
      </c>
      <c r="CC195" s="65" t="str">
        <f t="shared" si="376"/>
        <v/>
      </c>
      <c r="CD195" s="66">
        <f t="shared" si="497"/>
        <v>0</v>
      </c>
      <c r="CE195" s="68" t="str">
        <f>IF('Marks Entry'!AL195="","",'Marks Entry'!AL195)</f>
        <v/>
      </c>
      <c r="CF195" s="68" t="str">
        <f>IF('Marks Entry'!AM195="","",'Marks Entry'!AM195)</f>
        <v/>
      </c>
      <c r="CG195" s="68" t="str">
        <f>IF('Marks Entry'!AN195="","",'Marks Entry'!AN195)</f>
        <v/>
      </c>
      <c r="CH195" s="514" t="str">
        <f t="shared" si="378"/>
        <v/>
      </c>
      <c r="CI195" s="68" t="str">
        <f>IF('Marks Entry'!AO195="","",'Marks Entry'!AO195)</f>
        <v/>
      </c>
      <c r="CJ195" s="515" t="str">
        <f t="shared" si="379"/>
        <v/>
      </c>
      <c r="CK195" s="68" t="str">
        <f>IF('Marks Entry'!AP195="","",'Marks Entry'!AP195)</f>
        <v/>
      </c>
      <c r="CL195" s="96" t="str">
        <f t="shared" si="380"/>
        <v/>
      </c>
      <c r="CM195" s="65">
        <f t="shared" si="381"/>
        <v>0</v>
      </c>
      <c r="CN195" s="65">
        <f t="shared" si="382"/>
        <v>0</v>
      </c>
      <c r="CO195" s="66" t="str">
        <f t="shared" si="383"/>
        <v/>
      </c>
      <c r="CP195" s="65" t="str">
        <f t="shared" si="384"/>
        <v/>
      </c>
      <c r="CQ195" s="65" t="str">
        <f t="shared" si="385"/>
        <v/>
      </c>
      <c r="CR195" s="65" t="str">
        <f t="shared" si="386"/>
        <v/>
      </c>
      <c r="CS195" s="616"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8" t="str">
        <f>IF('School Profile'!$D$20="NO","",IF('Marks Entry'!AR195="","",'Marks Entry'!AR195))</f>
        <v/>
      </c>
      <c r="CU195" s="68" t="str">
        <f>IF('School Profile'!$D$20="NO","",IF('Marks Entry'!AS195="","",'Marks Entry'!AS195))</f>
        <v/>
      </c>
      <c r="CV195" s="68" t="str">
        <f>IF('School Profile'!$D$20="NO","",IF('Marks Entry'!AT195="","",'Marks Entry'!AT195))</f>
        <v/>
      </c>
      <c r="CW195" s="514" t="str">
        <f>IF('School Profile'!$D$20="NO","",IF(AND(CT195="",CU195="",CV195=""),"",SUM(CT195:CV195)))</f>
        <v/>
      </c>
      <c r="CX195" s="68" t="str">
        <f>IF('School Profile'!$D$20="NO","",IF('Marks Entry'!AU195="","",'Marks Entry'!AU195))</f>
        <v/>
      </c>
      <c r="CY195" s="68" t="str">
        <f>IF('School Profile'!$D$20="NO","",IF('Marks Entry'!AV195="","",'Marks Entry'!AV195))</f>
        <v/>
      </c>
      <c r="CZ195" s="515" t="str">
        <f>IF('School Profile'!$D$20="NO","",IF(AND(CX195="",CY195=""),"",SUM(CX195,CY195)))</f>
        <v/>
      </c>
      <c r="DA195" s="69" t="str">
        <f>IF('School Profile'!$D$20="NO","",IF(AND(CW195="",CZ195=""),"",SUM(CW195+CZ195)))</f>
        <v/>
      </c>
      <c r="DB195" s="68" t="str">
        <f>IF('School Profile'!$D$20="NO","",IF('Marks Entry'!AW195="","",'Marks Entry'!AW195))</f>
        <v/>
      </c>
      <c r="DC195" s="68" t="str">
        <f>IF('School Profile'!$D$20="NO","",IF('Marks Entry'!AX195="","",'Marks Entry'!AX195))</f>
        <v/>
      </c>
      <c r="DD195" s="515" t="str">
        <f>IF('School Profile'!$D$20="NO","",IF(AND(DB195="",DC195=""),"",SUM(DB195,DC195)))</f>
        <v/>
      </c>
      <c r="DE195" s="96" t="str">
        <f>IF('School Profile'!$D$20="NO","",IF(AND(DA195="",DD195=""),"",SUM(DA195,DD195)))</f>
        <v/>
      </c>
      <c r="DF195" s="532">
        <f t="shared" si="387"/>
        <v>0</v>
      </c>
      <c r="DG195" s="65">
        <f t="shared" si="388"/>
        <v>0</v>
      </c>
      <c r="DH195" s="66" t="str">
        <f t="shared" si="389"/>
        <v/>
      </c>
      <c r="DI195" s="65" t="str">
        <f t="shared" si="390"/>
        <v/>
      </c>
      <c r="DJ195" s="65" t="str">
        <f t="shared" si="391"/>
        <v/>
      </c>
      <c r="DK195" s="65" t="str">
        <f t="shared" si="392"/>
        <v/>
      </c>
      <c r="DL195" s="97" t="str">
        <f t="shared" si="432"/>
        <v/>
      </c>
      <c r="DM195" s="97" t="str">
        <f t="shared" si="433"/>
        <v/>
      </c>
      <c r="DN195" s="97" t="str">
        <f t="shared" si="434"/>
        <v/>
      </c>
      <c r="DO195" s="97" t="str">
        <f t="shared" si="435"/>
        <v/>
      </c>
      <c r="DP195" s="97" t="str">
        <f t="shared" si="436"/>
        <v/>
      </c>
      <c r="DQ195" s="97" t="str">
        <f t="shared" si="437"/>
        <v/>
      </c>
      <c r="DR195" s="97" t="str">
        <f t="shared" si="438"/>
        <v/>
      </c>
      <c r="DS195" s="98">
        <f t="shared" si="439"/>
        <v>0</v>
      </c>
      <c r="DT195" s="98">
        <f t="shared" si="440"/>
        <v>0</v>
      </c>
      <c r="DU195" s="98">
        <f t="shared" si="441"/>
        <v>0</v>
      </c>
      <c r="DV195" s="98">
        <f t="shared" si="442"/>
        <v>0</v>
      </c>
      <c r="DW195" s="98">
        <f t="shared" si="443"/>
        <v>0</v>
      </c>
      <c r="DX195" s="98" t="str">
        <f t="shared" si="444"/>
        <v/>
      </c>
      <c r="DY195" s="99" t="str">
        <f t="shared" si="445"/>
        <v/>
      </c>
      <c r="DZ195" s="74" t="str">
        <f>IF('Marks Entry'!AY195="","",'Marks Entry'!AY195)</f>
        <v/>
      </c>
      <c r="EA195" s="74" t="str">
        <f>IF('Marks Entry'!AZ195="","",'Marks Entry'!AZ195)</f>
        <v/>
      </c>
      <c r="EB195" s="74" t="str">
        <f>IF('Marks Entry'!BA195="","",'Marks Entry'!BA195)</f>
        <v/>
      </c>
      <c r="EC195" s="527" t="str">
        <f t="shared" si="393"/>
        <v/>
      </c>
      <c r="ED195" s="74" t="str">
        <f>IF('Marks Entry'!BB195="","",'Marks Entry'!BB195)</f>
        <v/>
      </c>
      <c r="EE195" s="528" t="str">
        <f t="shared" si="394"/>
        <v/>
      </c>
      <c r="EF195" s="74" t="str">
        <f>IF('Marks Entry'!BC195="","",'Marks Entry'!BC195)</f>
        <v/>
      </c>
      <c r="EG195" s="530" t="str">
        <f t="shared" si="395"/>
        <v/>
      </c>
      <c r="EH195" s="368" t="str">
        <f t="shared" si="446"/>
        <v/>
      </c>
      <c r="EI195" s="65">
        <f t="shared" si="447"/>
        <v>0</v>
      </c>
      <c r="EJ195" s="65">
        <f t="shared" si="448"/>
        <v>0</v>
      </c>
      <c r="EK195" s="66" t="str">
        <f t="shared" si="449"/>
        <v/>
      </c>
      <c r="EL195" s="74" t="str">
        <f>IF('Marks Entry'!BD195="","",'Marks Entry'!BD195)</f>
        <v/>
      </c>
      <c r="EM195" s="74" t="str">
        <f>IF('Marks Entry'!BE195="","",'Marks Entry'!BE195)</f>
        <v/>
      </c>
      <c r="EN195" s="74" t="str">
        <f>IF('Marks Entry'!BF195="","",'Marks Entry'!BF195)</f>
        <v/>
      </c>
      <c r="EO195" s="527" t="str">
        <f t="shared" si="396"/>
        <v/>
      </c>
      <c r="EP195" s="74" t="str">
        <f>IF('Marks Entry'!BG195="","",'Marks Entry'!BG195)</f>
        <v/>
      </c>
      <c r="EQ195" s="74" t="str">
        <f>IF('Marks Entry'!BH195="","",'Marks Entry'!BH195)</f>
        <v/>
      </c>
      <c r="ER195" s="528" t="str">
        <f t="shared" si="397"/>
        <v/>
      </c>
      <c r="ES195" s="529" t="str">
        <f t="shared" si="398"/>
        <v/>
      </c>
      <c r="ET195" s="74" t="str">
        <f>IF('Marks Entry'!BI195="","",'Marks Entry'!BI195)</f>
        <v/>
      </c>
      <c r="EU195" s="74" t="str">
        <f>IF('Marks Entry'!BJ195="","",'Marks Entry'!BJ195)</f>
        <v/>
      </c>
      <c r="EV195" s="528" t="str">
        <f t="shared" si="399"/>
        <v/>
      </c>
      <c r="EW195" s="530" t="str">
        <f t="shared" si="400"/>
        <v/>
      </c>
      <c r="EX195" s="368" t="str">
        <f t="shared" si="450"/>
        <v/>
      </c>
      <c r="EY195" s="65">
        <f t="shared" si="451"/>
        <v>0</v>
      </c>
      <c r="EZ195" s="65">
        <f t="shared" si="452"/>
        <v>0</v>
      </c>
      <c r="FA195" s="66" t="str">
        <f t="shared" si="453"/>
        <v/>
      </c>
      <c r="FB195" s="74" t="str">
        <f>IF('Marks Entry'!BK195="","",'Marks Entry'!BK195)</f>
        <v/>
      </c>
      <c r="FC195" s="74" t="str">
        <f>IF('Marks Entry'!BL195="","",'Marks Entry'!BL195)</f>
        <v/>
      </c>
      <c r="FD195" s="74" t="str">
        <f>IF('Marks Entry'!BM195="","",'Marks Entry'!BM195)</f>
        <v/>
      </c>
      <c r="FE195" s="74" t="str">
        <f>IF('Marks Entry'!BN195="","",'Marks Entry'!BN195)</f>
        <v/>
      </c>
      <c r="FF195" s="74" t="str">
        <f>IF('Marks Entry'!BO195="","",'Marks Entry'!BO195)</f>
        <v/>
      </c>
      <c r="FG195" s="74" t="str">
        <f>IF('Marks Entry'!BP195="","",'Marks Entry'!BP195)</f>
        <v/>
      </c>
      <c r="FH195" s="527" t="str">
        <f t="shared" si="401"/>
        <v/>
      </c>
      <c r="FI195" s="74" t="str">
        <f>IF('Marks Entry'!BQ195="","",'Marks Entry'!BQ195)</f>
        <v/>
      </c>
      <c r="FJ195" s="74" t="str">
        <f>IF('Marks Entry'!BR195="","",'Marks Entry'!BR195)</f>
        <v/>
      </c>
      <c r="FK195" s="528" t="str">
        <f t="shared" si="402"/>
        <v/>
      </c>
      <c r="FL195" s="529" t="str">
        <f t="shared" si="403"/>
        <v/>
      </c>
      <c r="FM195" s="74" t="str">
        <f>IF('Marks Entry'!BS195="","",'Marks Entry'!BS195)</f>
        <v/>
      </c>
      <c r="FN195" s="74" t="str">
        <f>IF('Marks Entry'!BT195="","",'Marks Entry'!BT195)</f>
        <v/>
      </c>
      <c r="FO195" s="528" t="str">
        <f t="shared" si="404"/>
        <v/>
      </c>
      <c r="FP195" s="530" t="str">
        <f t="shared" si="405"/>
        <v/>
      </c>
      <c r="FQ195" s="368" t="str">
        <f t="shared" si="454"/>
        <v/>
      </c>
      <c r="FR195" s="65">
        <f t="shared" si="455"/>
        <v>0</v>
      </c>
      <c r="FS195" s="65">
        <f t="shared" si="456"/>
        <v>0</v>
      </c>
      <c r="FT195" s="66" t="str">
        <f t="shared" si="457"/>
        <v/>
      </c>
      <c r="FU195" s="74" t="str">
        <f>IF('Marks Entry'!BU195="","",'Marks Entry'!BU195)</f>
        <v/>
      </c>
      <c r="FV195" s="74" t="str">
        <f>IF('Marks Entry'!BV195="","",'Marks Entry'!BV195)</f>
        <v/>
      </c>
      <c r="FW195" s="74" t="str">
        <f>IF('Marks Entry'!BW195="","",'Marks Entry'!BW195)</f>
        <v/>
      </c>
      <c r="FX195" s="75" t="str">
        <f t="shared" si="406"/>
        <v/>
      </c>
      <c r="FY195" s="368" t="str">
        <f t="shared" si="458"/>
        <v/>
      </c>
      <c r="FZ195" s="65">
        <f t="shared" si="459"/>
        <v>0</v>
      </c>
      <c r="GA195" s="66">
        <f t="shared" si="460"/>
        <v>0</v>
      </c>
      <c r="GB195" s="66" t="str">
        <f t="shared" si="461"/>
        <v/>
      </c>
      <c r="GC195" s="74" t="str">
        <f>IF('Marks Entry'!BX195="","",'Marks Entry'!BX195)</f>
        <v/>
      </c>
      <c r="GD195" s="74" t="str">
        <f>IF('Marks Entry'!BY195="","",'Marks Entry'!BY195)</f>
        <v/>
      </c>
      <c r="GE195" s="74" t="str">
        <f>IF('Marks Entry'!BZ195="","",'Marks Entry'!BZ195)</f>
        <v/>
      </c>
      <c r="GF195" s="75" t="str">
        <f t="shared" si="462"/>
        <v/>
      </c>
      <c r="GG195" s="368" t="str">
        <f t="shared" si="463"/>
        <v/>
      </c>
      <c r="GH195" s="65">
        <f t="shared" si="464"/>
        <v>0</v>
      </c>
      <c r="GI195" s="66">
        <f t="shared" si="465"/>
        <v>0</v>
      </c>
      <c r="GJ195" s="66" t="str">
        <f t="shared" si="466"/>
        <v/>
      </c>
      <c r="GK195" s="100" t="str">
        <f>IF(AND(F195="",B195=""),"",IF('Student DATA Entry'!M192="","",'Student DATA Entry'!M192))</f>
        <v/>
      </c>
      <c r="GL195" s="101" t="str">
        <f>IF(AND(B195="",F195=""),"",IF('Student DATA Entry'!N192="","",'Student DATA Entry'!N192))</f>
        <v/>
      </c>
      <c r="GM195" s="581" t="str">
        <f t="shared" si="467"/>
        <v/>
      </c>
      <c r="GN195" s="94" t="str">
        <f t="shared" si="468"/>
        <v/>
      </c>
      <c r="GO195" s="94" t="str">
        <f t="shared" si="469"/>
        <v/>
      </c>
      <c r="GP195" s="102" t="str">
        <f t="shared" si="498"/>
        <v/>
      </c>
      <c r="GQ195" s="94" t="str">
        <f t="shared" si="470"/>
        <v/>
      </c>
      <c r="GR195" s="103" t="str">
        <f t="shared" si="471"/>
        <v/>
      </c>
      <c r="GS195" s="102" t="str">
        <f t="shared" si="499"/>
        <v/>
      </c>
      <c r="GT195" s="104" t="str">
        <f t="shared" si="472"/>
        <v/>
      </c>
      <c r="GU195" s="94" t="str">
        <f>IF('Marks Entry'!V195=1,GT195,"")</f>
        <v/>
      </c>
      <c r="GV195" s="94" t="str">
        <f>IF('Marks Entry'!V195=2,GT195,"")</f>
        <v/>
      </c>
      <c r="GW195" s="94" t="str">
        <f>IF('Marks Entry'!V195=3,GT195,"")</f>
        <v/>
      </c>
      <c r="GX195" s="94" t="str">
        <f>IF('Marks Entry'!V195=4,GT195,"")</f>
        <v/>
      </c>
      <c r="GY195" s="94" t="str">
        <f>IF('Marks Entry'!V195=5,GT195,"")</f>
        <v/>
      </c>
      <c r="GZ195" s="94" t="str">
        <f t="shared" si="473"/>
        <v/>
      </c>
      <c r="HA195" s="105" t="str">
        <f t="shared" si="500"/>
        <v/>
      </c>
      <c r="HB195" s="94" t="str">
        <f t="shared" si="474"/>
        <v/>
      </c>
      <c r="HC195" s="94" t="str">
        <f t="shared" si="475"/>
        <v/>
      </c>
      <c r="HD195" s="105" t="str">
        <f t="shared" si="501"/>
        <v/>
      </c>
      <c r="HE195" s="94" t="str">
        <f t="shared" si="476"/>
        <v/>
      </c>
      <c r="HF195" s="94" t="str">
        <f t="shared" si="477"/>
        <v/>
      </c>
      <c r="HG195" s="105" t="str">
        <f t="shared" si="502"/>
        <v/>
      </c>
      <c r="HH195" s="94" t="str">
        <f t="shared" si="478"/>
        <v/>
      </c>
      <c r="HI195" s="94" t="str">
        <f t="shared" si="479"/>
        <v/>
      </c>
      <c r="HJ195" s="105" t="str">
        <f t="shared" si="503"/>
        <v/>
      </c>
      <c r="HK195" s="94" t="str">
        <f t="shared" si="480"/>
        <v/>
      </c>
      <c r="HL195" s="94" t="str">
        <f t="shared" si="481"/>
        <v/>
      </c>
      <c r="HM195" s="105" t="str">
        <f t="shared" si="504"/>
        <v/>
      </c>
      <c r="HN195" s="367" t="str">
        <f t="shared" si="482"/>
        <v xml:space="preserve">      </v>
      </c>
      <c r="HO195" s="418" t="str">
        <f t="shared" si="505"/>
        <v xml:space="preserve">      </v>
      </c>
      <c r="HP195" s="367" t="str">
        <f t="shared" si="483"/>
        <v xml:space="preserve">      </v>
      </c>
      <c r="HQ195" s="107" t="str">
        <f t="shared" si="484"/>
        <v xml:space="preserve">      </v>
      </c>
      <c r="HR195" s="366" t="str">
        <f t="shared" si="485"/>
        <v xml:space="preserve">      </v>
      </c>
      <c r="HS195" s="544" t="str">
        <f t="shared" si="506"/>
        <v/>
      </c>
      <c r="HT195" s="542" t="str">
        <f t="shared" si="486"/>
        <v/>
      </c>
      <c r="HU195" s="541" t="str">
        <f t="shared" si="487"/>
        <v/>
      </c>
      <c r="HV195" s="540" t="str">
        <f t="shared" si="488"/>
        <v/>
      </c>
      <c r="HW195" s="537" t="str">
        <f t="shared" si="489"/>
        <v/>
      </c>
      <c r="HX195" s="539" t="str">
        <f t="shared" si="490"/>
        <v/>
      </c>
      <c r="HY195" s="553" t="str">
        <f>IFERROR(IF(OR(HS195="SUPPLEMENTARY",HS195="RE-EXAM"),'Supp. Result Entry'!AQ193,""),"")</f>
        <v/>
      </c>
      <c r="HZ195" s="538" t="str">
        <f t="shared" si="491"/>
        <v/>
      </c>
      <c r="IA195" s="415" t="str">
        <f t="shared" si="492"/>
        <v/>
      </c>
      <c r="IB195" s="415" t="str">
        <f>IF(AND(HZ195="",IA195=""),"",IF(OR(HS195="SUPPLEMENTARY",HS195="RE-EXAM"),'Supp. Result Entry'!AQ193,HS195))</f>
        <v/>
      </c>
      <c r="IC195" s="87"/>
      <c r="IS195" s="109" t="str">
        <f>IF('Supp. Result Entry'!T193="","",'Supp. Result Entry'!$T$4)</f>
        <v/>
      </c>
      <c r="IT195" s="110" t="str">
        <f>IF('Supp. Result Entry'!W193="","",'Supp. Result Entry'!$W$4)</f>
        <v/>
      </c>
      <c r="IU195" s="110" t="str">
        <f>IF('Supp. Result Entry'!Z193="","",'Supp. Result Entry'!$Z$4)</f>
        <v/>
      </c>
      <c r="IV195" s="110" t="str">
        <f>IF('Supp. Result Entry'!AC193="","",'Supp. Result Entry'!$AC$4)</f>
        <v/>
      </c>
      <c r="IW195" s="110" t="str">
        <f>IF('Supp. Result Entry'!AF193="","",'Supp. Result Entry'!$AF$4)</f>
        <v/>
      </c>
      <c r="IX195" s="110" t="str">
        <f>IF('Supp. Result Entry'!AI193="","",'Supp. Result Entry'!$AI$4)</f>
        <v/>
      </c>
      <c r="IY195" s="110" t="str">
        <f>IF('Supp. Result Entry'!AI193="","",'Supp. Result Entry'!$AL$4)</f>
        <v/>
      </c>
      <c r="IZ195" s="110" t="str">
        <f>IF('Supp. Result Entry'!U193="","",'Supp. Result Entry'!U193)</f>
        <v/>
      </c>
      <c r="JA195" s="110" t="str">
        <f>IF('Supp. Result Entry'!X193="","",'Supp. Result Entry'!X193)</f>
        <v/>
      </c>
      <c r="JB195" s="110" t="str">
        <f>IF('Supp. Result Entry'!AA193="","",'Supp. Result Entry'!AA193)</f>
        <v/>
      </c>
      <c r="JC195" s="110" t="str">
        <f>IF('Supp. Result Entry'!AD193="","",'Supp. Result Entry'!AD193)</f>
        <v/>
      </c>
      <c r="JD195" s="110" t="str">
        <f>IF('Supp. Result Entry'!AG193="","",'Supp. Result Entry'!AG193)</f>
        <v/>
      </c>
      <c r="JE195" s="110" t="str">
        <f>IF('Supp. Result Entry'!AJ193="","",'Supp. Result Entry'!AJ193)</f>
        <v/>
      </c>
      <c r="JF195" s="110" t="str">
        <f>IF('Supp. Result Entry'!AM193="","",'Supp. Result Entry'!AM193)</f>
        <v/>
      </c>
      <c r="JG195" s="110" t="str">
        <f>IF('Supp. Result Entry'!V193="","",'Supp. Result Entry'!V193)</f>
        <v/>
      </c>
      <c r="JH195" s="110" t="str">
        <f>IF('Supp. Result Entry'!Y193="","",'Supp. Result Entry'!Y193)</f>
        <v/>
      </c>
      <c r="JI195" s="110" t="str">
        <f>IF('Supp. Result Entry'!AB193="","",'Supp. Result Entry'!AB193)</f>
        <v/>
      </c>
      <c r="JJ195" s="110" t="str">
        <f>IF('Supp. Result Entry'!AE193="","",'Supp. Result Entry'!AE193)</f>
        <v/>
      </c>
      <c r="JK195" s="110" t="str">
        <f>IF('Supp. Result Entry'!AH193="","",'Supp. Result Entry'!AH193)</f>
        <v/>
      </c>
      <c r="JL195" s="110" t="str">
        <f>IF('Supp. Result Entry'!AK193="","",'Supp. Result Entry'!AK193)</f>
        <v/>
      </c>
      <c r="JM195" s="110" t="str">
        <f>IF('Supp. Result Entry'!AN193="","",'Supp. Result Entry'!AN193)</f>
        <v/>
      </c>
      <c r="JN195" s="110">
        <f>COUNTIF('Supp. Result Entry'!K193:Q193,"S")</f>
        <v>0</v>
      </c>
      <c r="JO195" s="110">
        <f t="shared" si="416"/>
        <v>0</v>
      </c>
      <c r="JP195" s="110">
        <f t="shared" si="493"/>
        <v>0</v>
      </c>
      <c r="JQ195" s="110" t="str">
        <f t="shared" si="417"/>
        <v/>
      </c>
      <c r="JR195" s="110" t="str">
        <f t="shared" si="418"/>
        <v/>
      </c>
      <c r="JS195" s="110" t="str">
        <f t="shared" si="419"/>
        <v/>
      </c>
      <c r="JT195" s="110" t="str">
        <f t="shared" si="420"/>
        <v/>
      </c>
      <c r="JU195" s="110" t="str">
        <f t="shared" si="421"/>
        <v/>
      </c>
      <c r="JV195" s="110" t="str">
        <f t="shared" si="422"/>
        <v/>
      </c>
      <c r="JW195" s="110" t="str">
        <f t="shared" si="423"/>
        <v/>
      </c>
      <c r="JX195" s="110" t="str">
        <f t="shared" si="494"/>
        <v/>
      </c>
      <c r="JY195" s="110" t="str">
        <f t="shared" si="495"/>
        <v/>
      </c>
      <c r="JZ195" s="110" t="str">
        <f t="shared" si="424"/>
        <v/>
      </c>
      <c r="KA195" s="108" t="str">
        <f t="shared" si="496"/>
        <v/>
      </c>
    </row>
    <row r="196" spans="1:287" s="108" customFormat="1" ht="21.95" customHeight="1">
      <c r="A196" s="89">
        <v>190</v>
      </c>
      <c r="B196" s="90" t="str">
        <f>IF('Marks Entry'!B196="","",'Marks Entry'!B196)</f>
        <v/>
      </c>
      <c r="C196" s="94" t="str">
        <f>IF('Marks Entry'!D196="","",'Marks Entry'!D196)</f>
        <v/>
      </c>
      <c r="D196" s="91" t="str">
        <f>IF('Marks Entry'!E196="","",'Marks Entry'!E196)</f>
        <v/>
      </c>
      <c r="E196" s="92" t="str">
        <f>IF('Marks Entry'!F196="","",'Marks Entry'!F196)</f>
        <v/>
      </c>
      <c r="F196" s="93" t="str">
        <f>IF('Marks Entry'!G196="","",'Marks Entry'!G196)</f>
        <v/>
      </c>
      <c r="G196" s="93" t="str">
        <f>IF('Marks Entry'!H196="","",'Marks Entry'!H196)</f>
        <v/>
      </c>
      <c r="H196" s="93" t="str">
        <f>IF('Marks Entry'!I196="","",'Marks Entry'!I196)</f>
        <v/>
      </c>
      <c r="I196" s="94" t="str">
        <f>IF('Marks Entry'!J196="","",'Marks Entry'!J196)</f>
        <v/>
      </c>
      <c r="J196" s="95" t="str">
        <f>IF('Marks Entry'!K196="","",'Marks Entry'!K196)</f>
        <v/>
      </c>
      <c r="K196" s="68" t="str">
        <f>IF('Marks Entry'!L196="","",'Marks Entry'!L196)</f>
        <v/>
      </c>
      <c r="L196" s="68" t="str">
        <f>IF('Marks Entry'!M196="","",'Marks Entry'!M196)</f>
        <v/>
      </c>
      <c r="M196" s="68" t="str">
        <f>IF('Marks Entry'!N196="","",'Marks Entry'!N196)</f>
        <v/>
      </c>
      <c r="N196" s="514" t="str">
        <f t="shared" si="425"/>
        <v/>
      </c>
      <c r="O196" s="68" t="str">
        <f>IF('Marks Entry'!O196="","",'Marks Entry'!O196)</f>
        <v/>
      </c>
      <c r="P196" s="515" t="str">
        <f t="shared" si="426"/>
        <v/>
      </c>
      <c r="Q196" s="68" t="str">
        <f>IF('Marks Entry'!P196="","",'Marks Entry'!P196)</f>
        <v/>
      </c>
      <c r="R196" s="96" t="str">
        <f t="shared" si="427"/>
        <v/>
      </c>
      <c r="S196" s="65">
        <f t="shared" si="428"/>
        <v>0</v>
      </c>
      <c r="T196" s="65">
        <f t="shared" si="429"/>
        <v>0</v>
      </c>
      <c r="U196" s="66" t="str">
        <f t="shared" si="339"/>
        <v/>
      </c>
      <c r="V196" s="65" t="str">
        <f t="shared" si="340"/>
        <v/>
      </c>
      <c r="W196" s="65" t="str">
        <f t="shared" si="430"/>
        <v/>
      </c>
      <c r="X196" s="65" t="str">
        <f t="shared" si="341"/>
        <v/>
      </c>
      <c r="Y196" s="68" t="str">
        <f>IF('Marks Entry'!Q196="","",'Marks Entry'!Q196)</f>
        <v/>
      </c>
      <c r="Z196" s="68" t="str">
        <f>IF('Marks Entry'!R196="","",'Marks Entry'!R196)</f>
        <v/>
      </c>
      <c r="AA196" s="68" t="str">
        <f>IF('Marks Entry'!S196="","",'Marks Entry'!S196)</f>
        <v/>
      </c>
      <c r="AB196" s="514" t="str">
        <f t="shared" si="342"/>
        <v/>
      </c>
      <c r="AC196" s="68" t="str">
        <f>IF('Marks Entry'!T196="","",'Marks Entry'!T196)</f>
        <v/>
      </c>
      <c r="AD196" s="515" t="str">
        <f t="shared" si="343"/>
        <v/>
      </c>
      <c r="AE196" s="68" t="str">
        <f>IF('Marks Entry'!U196="","",'Marks Entry'!U196)</f>
        <v/>
      </c>
      <c r="AF196" s="96" t="str">
        <f t="shared" si="344"/>
        <v/>
      </c>
      <c r="AG196" s="65">
        <f t="shared" si="345"/>
        <v>0</v>
      </c>
      <c r="AH196" s="65">
        <f t="shared" si="346"/>
        <v>0</v>
      </c>
      <c r="AI196" s="66" t="str">
        <f t="shared" si="347"/>
        <v/>
      </c>
      <c r="AJ196" s="65" t="str">
        <f t="shared" si="348"/>
        <v/>
      </c>
      <c r="AK196" s="65" t="str">
        <f t="shared" si="349"/>
        <v/>
      </c>
      <c r="AL196" s="65" t="str">
        <f t="shared" si="350"/>
        <v/>
      </c>
      <c r="AM196" s="524" t="str">
        <f>IF('Marks Entry'!V196="","",IF('Marks Entry'!V196=1,'School Profile'!$I$9,IF('Marks Entry'!V196=2,'School Profile'!$I$10,IF('Marks Entry'!V196=3,'School Profile'!$I$11,IF('Marks Entry'!V196=4,'School Profile'!$I$12,IF('Marks Entry'!V196=5,'School Profile'!$I$13,IF('Marks Entry'!V196=6,'School Profile'!$I$14,"")))))))</f>
        <v/>
      </c>
      <c r="AN196" s="68" t="str">
        <f>IF('Marks Entry'!W196="","",'Marks Entry'!W196)</f>
        <v/>
      </c>
      <c r="AO196" s="68" t="str">
        <f>IF('Marks Entry'!X196="","",'Marks Entry'!X196)</f>
        <v/>
      </c>
      <c r="AP196" s="68" t="str">
        <f>IF('Marks Entry'!Y196="","",'Marks Entry'!Y196)</f>
        <v/>
      </c>
      <c r="AQ196" s="514" t="str">
        <f t="shared" si="351"/>
        <v/>
      </c>
      <c r="AR196" s="68" t="str">
        <f>IF('Marks Entry'!Z196="","",'Marks Entry'!Z196)</f>
        <v/>
      </c>
      <c r="AS196" s="515" t="str">
        <f t="shared" si="352"/>
        <v/>
      </c>
      <c r="AT196" s="68" t="str">
        <f>IF('Marks Entry'!AA196="","",'Marks Entry'!AA196)</f>
        <v/>
      </c>
      <c r="AU196" s="96" t="str">
        <f t="shared" si="353"/>
        <v/>
      </c>
      <c r="AV196" s="65">
        <f t="shared" si="354"/>
        <v>0</v>
      </c>
      <c r="AW196" s="65">
        <f t="shared" si="355"/>
        <v>0</v>
      </c>
      <c r="AX196" s="66" t="str">
        <f t="shared" si="356"/>
        <v/>
      </c>
      <c r="AY196" s="65" t="str">
        <f t="shared" si="357"/>
        <v/>
      </c>
      <c r="AZ196" s="65" t="str">
        <f t="shared" si="358"/>
        <v/>
      </c>
      <c r="BA196" s="65" t="str">
        <f t="shared" si="359"/>
        <v/>
      </c>
      <c r="BB196" s="68" t="str">
        <f>IF('Marks Entry'!AB196="","",'Marks Entry'!AB196)</f>
        <v/>
      </c>
      <c r="BC196" s="68" t="str">
        <f>IF('Marks Entry'!AC196="","",'Marks Entry'!AC196)</f>
        <v/>
      </c>
      <c r="BD196" s="68" t="str">
        <f>IF('Marks Entry'!AD196="","",'Marks Entry'!AD196)</f>
        <v/>
      </c>
      <c r="BE196" s="514" t="str">
        <f t="shared" si="360"/>
        <v/>
      </c>
      <c r="BF196" s="68" t="str">
        <f>IF('Marks Entry'!AE196="","",'Marks Entry'!AE196)</f>
        <v/>
      </c>
      <c r="BG196" s="515" t="str">
        <f t="shared" si="361"/>
        <v/>
      </c>
      <c r="BH196" s="68" t="str">
        <f>IF('Marks Entry'!AF196="","",'Marks Entry'!AF196)</f>
        <v/>
      </c>
      <c r="BI196" s="96" t="str">
        <f t="shared" si="362"/>
        <v/>
      </c>
      <c r="BJ196" s="65">
        <f t="shared" si="363"/>
        <v>0</v>
      </c>
      <c r="BK196" s="65">
        <f t="shared" si="431"/>
        <v>0</v>
      </c>
      <c r="BL196" s="66" t="str">
        <f t="shared" si="364"/>
        <v/>
      </c>
      <c r="BM196" s="65" t="str">
        <f t="shared" si="365"/>
        <v/>
      </c>
      <c r="BN196" s="65" t="str">
        <f t="shared" si="366"/>
        <v/>
      </c>
      <c r="BO196" s="65" t="str">
        <f t="shared" si="367"/>
        <v/>
      </c>
      <c r="BP196" s="68" t="str">
        <f>IF('Marks Entry'!AG196="","",'Marks Entry'!AG196)</f>
        <v/>
      </c>
      <c r="BQ196" s="68" t="str">
        <f>IF('Marks Entry'!AH196="","",'Marks Entry'!AH196)</f>
        <v/>
      </c>
      <c r="BR196" s="68" t="str">
        <f>IF('Marks Entry'!AI196="","",'Marks Entry'!AI196)</f>
        <v/>
      </c>
      <c r="BS196" s="514" t="str">
        <f t="shared" si="368"/>
        <v/>
      </c>
      <c r="BT196" s="68" t="str">
        <f>IF('Marks Entry'!AJ196="","",'Marks Entry'!AJ196)</f>
        <v/>
      </c>
      <c r="BU196" s="515" t="str">
        <f t="shared" si="369"/>
        <v/>
      </c>
      <c r="BV196" s="68" t="str">
        <f>IF('Marks Entry'!AK196="","",'Marks Entry'!AK196)</f>
        <v/>
      </c>
      <c r="BW196" s="96" t="str">
        <f t="shared" si="370"/>
        <v/>
      </c>
      <c r="BX196" s="65">
        <f t="shared" si="371"/>
        <v>0</v>
      </c>
      <c r="BY196" s="65">
        <f t="shared" si="372"/>
        <v>0</v>
      </c>
      <c r="BZ196" s="66" t="str">
        <f t="shared" si="373"/>
        <v/>
      </c>
      <c r="CA196" s="65" t="str">
        <f t="shared" si="374"/>
        <v/>
      </c>
      <c r="CB196" s="65" t="str">
        <f t="shared" si="375"/>
        <v/>
      </c>
      <c r="CC196" s="65" t="str">
        <f t="shared" si="376"/>
        <v/>
      </c>
      <c r="CD196" s="66">
        <f t="shared" si="497"/>
        <v>0</v>
      </c>
      <c r="CE196" s="68" t="str">
        <f>IF('Marks Entry'!AL196="","",'Marks Entry'!AL196)</f>
        <v/>
      </c>
      <c r="CF196" s="68" t="str">
        <f>IF('Marks Entry'!AM196="","",'Marks Entry'!AM196)</f>
        <v/>
      </c>
      <c r="CG196" s="68" t="str">
        <f>IF('Marks Entry'!AN196="","",'Marks Entry'!AN196)</f>
        <v/>
      </c>
      <c r="CH196" s="514" t="str">
        <f t="shared" si="378"/>
        <v/>
      </c>
      <c r="CI196" s="68" t="str">
        <f>IF('Marks Entry'!AO196="","",'Marks Entry'!AO196)</f>
        <v/>
      </c>
      <c r="CJ196" s="515" t="str">
        <f t="shared" si="379"/>
        <v/>
      </c>
      <c r="CK196" s="68" t="str">
        <f>IF('Marks Entry'!AP196="","",'Marks Entry'!AP196)</f>
        <v/>
      </c>
      <c r="CL196" s="96" t="str">
        <f t="shared" si="380"/>
        <v/>
      </c>
      <c r="CM196" s="65">
        <f t="shared" si="381"/>
        <v>0</v>
      </c>
      <c r="CN196" s="65">
        <f t="shared" si="382"/>
        <v>0</v>
      </c>
      <c r="CO196" s="66" t="str">
        <f t="shared" si="383"/>
        <v/>
      </c>
      <c r="CP196" s="65" t="str">
        <f t="shared" si="384"/>
        <v/>
      </c>
      <c r="CQ196" s="65" t="str">
        <f t="shared" si="385"/>
        <v/>
      </c>
      <c r="CR196" s="65" t="str">
        <f t="shared" si="386"/>
        <v/>
      </c>
      <c r="CS196" s="616"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8" t="str">
        <f>IF('School Profile'!$D$20="NO","",IF('Marks Entry'!AR196="","",'Marks Entry'!AR196))</f>
        <v/>
      </c>
      <c r="CU196" s="68" t="str">
        <f>IF('School Profile'!$D$20="NO","",IF('Marks Entry'!AS196="","",'Marks Entry'!AS196))</f>
        <v/>
      </c>
      <c r="CV196" s="68" t="str">
        <f>IF('School Profile'!$D$20="NO","",IF('Marks Entry'!AT196="","",'Marks Entry'!AT196))</f>
        <v/>
      </c>
      <c r="CW196" s="514" t="str">
        <f>IF('School Profile'!$D$20="NO","",IF(AND(CT196="",CU196="",CV196=""),"",SUM(CT196:CV196)))</f>
        <v/>
      </c>
      <c r="CX196" s="68" t="str">
        <f>IF('School Profile'!$D$20="NO","",IF('Marks Entry'!AU196="","",'Marks Entry'!AU196))</f>
        <v/>
      </c>
      <c r="CY196" s="68" t="str">
        <f>IF('School Profile'!$D$20="NO","",IF('Marks Entry'!AV196="","",'Marks Entry'!AV196))</f>
        <v/>
      </c>
      <c r="CZ196" s="515" t="str">
        <f>IF('School Profile'!$D$20="NO","",IF(AND(CX196="",CY196=""),"",SUM(CX196,CY196)))</f>
        <v/>
      </c>
      <c r="DA196" s="69" t="str">
        <f>IF('School Profile'!$D$20="NO","",IF(AND(CW196="",CZ196=""),"",SUM(CW196+CZ196)))</f>
        <v/>
      </c>
      <c r="DB196" s="68" t="str">
        <f>IF('School Profile'!$D$20="NO","",IF('Marks Entry'!AW196="","",'Marks Entry'!AW196))</f>
        <v/>
      </c>
      <c r="DC196" s="68" t="str">
        <f>IF('School Profile'!$D$20="NO","",IF('Marks Entry'!AX196="","",'Marks Entry'!AX196))</f>
        <v/>
      </c>
      <c r="DD196" s="515" t="str">
        <f>IF('School Profile'!$D$20="NO","",IF(AND(DB196="",DC196=""),"",SUM(DB196,DC196)))</f>
        <v/>
      </c>
      <c r="DE196" s="96" t="str">
        <f>IF('School Profile'!$D$20="NO","",IF(AND(DA196="",DD196=""),"",SUM(DA196,DD196)))</f>
        <v/>
      </c>
      <c r="DF196" s="532">
        <f t="shared" si="387"/>
        <v>0</v>
      </c>
      <c r="DG196" s="65">
        <f t="shared" si="388"/>
        <v>0</v>
      </c>
      <c r="DH196" s="66" t="str">
        <f t="shared" si="389"/>
        <v/>
      </c>
      <c r="DI196" s="65" t="str">
        <f t="shared" si="390"/>
        <v/>
      </c>
      <c r="DJ196" s="65" t="str">
        <f t="shared" si="391"/>
        <v/>
      </c>
      <c r="DK196" s="65" t="str">
        <f t="shared" si="392"/>
        <v/>
      </c>
      <c r="DL196" s="97" t="str">
        <f t="shared" si="432"/>
        <v/>
      </c>
      <c r="DM196" s="97" t="str">
        <f t="shared" si="433"/>
        <v/>
      </c>
      <c r="DN196" s="97" t="str">
        <f t="shared" si="434"/>
        <v/>
      </c>
      <c r="DO196" s="97" t="str">
        <f t="shared" si="435"/>
        <v/>
      </c>
      <c r="DP196" s="97" t="str">
        <f t="shared" si="436"/>
        <v/>
      </c>
      <c r="DQ196" s="97" t="str">
        <f t="shared" si="437"/>
        <v/>
      </c>
      <c r="DR196" s="97" t="str">
        <f t="shared" si="438"/>
        <v/>
      </c>
      <c r="DS196" s="98">
        <f t="shared" si="439"/>
        <v>0</v>
      </c>
      <c r="DT196" s="98">
        <f t="shared" si="440"/>
        <v>0</v>
      </c>
      <c r="DU196" s="98">
        <f t="shared" si="441"/>
        <v>0</v>
      </c>
      <c r="DV196" s="98">
        <f t="shared" si="442"/>
        <v>0</v>
      </c>
      <c r="DW196" s="98">
        <f t="shared" si="443"/>
        <v>0</v>
      </c>
      <c r="DX196" s="98" t="str">
        <f t="shared" si="444"/>
        <v/>
      </c>
      <c r="DY196" s="99" t="str">
        <f t="shared" si="445"/>
        <v/>
      </c>
      <c r="DZ196" s="74" t="str">
        <f>IF('Marks Entry'!AY196="","",'Marks Entry'!AY196)</f>
        <v/>
      </c>
      <c r="EA196" s="74" t="str">
        <f>IF('Marks Entry'!AZ196="","",'Marks Entry'!AZ196)</f>
        <v/>
      </c>
      <c r="EB196" s="74" t="str">
        <f>IF('Marks Entry'!BA196="","",'Marks Entry'!BA196)</f>
        <v/>
      </c>
      <c r="EC196" s="527" t="str">
        <f t="shared" si="393"/>
        <v/>
      </c>
      <c r="ED196" s="74" t="str">
        <f>IF('Marks Entry'!BB196="","",'Marks Entry'!BB196)</f>
        <v/>
      </c>
      <c r="EE196" s="528" t="str">
        <f t="shared" si="394"/>
        <v/>
      </c>
      <c r="EF196" s="74" t="str">
        <f>IF('Marks Entry'!BC196="","",'Marks Entry'!BC196)</f>
        <v/>
      </c>
      <c r="EG196" s="530" t="str">
        <f t="shared" si="395"/>
        <v/>
      </c>
      <c r="EH196" s="368" t="str">
        <f t="shared" si="446"/>
        <v/>
      </c>
      <c r="EI196" s="65">
        <f t="shared" si="447"/>
        <v>0</v>
      </c>
      <c r="EJ196" s="65">
        <f t="shared" si="448"/>
        <v>0</v>
      </c>
      <c r="EK196" s="66" t="str">
        <f t="shared" si="449"/>
        <v/>
      </c>
      <c r="EL196" s="74" t="str">
        <f>IF('Marks Entry'!BD196="","",'Marks Entry'!BD196)</f>
        <v/>
      </c>
      <c r="EM196" s="74" t="str">
        <f>IF('Marks Entry'!BE196="","",'Marks Entry'!BE196)</f>
        <v/>
      </c>
      <c r="EN196" s="74" t="str">
        <f>IF('Marks Entry'!BF196="","",'Marks Entry'!BF196)</f>
        <v/>
      </c>
      <c r="EO196" s="527" t="str">
        <f t="shared" si="396"/>
        <v/>
      </c>
      <c r="EP196" s="74" t="str">
        <f>IF('Marks Entry'!BG196="","",'Marks Entry'!BG196)</f>
        <v/>
      </c>
      <c r="EQ196" s="74" t="str">
        <f>IF('Marks Entry'!BH196="","",'Marks Entry'!BH196)</f>
        <v/>
      </c>
      <c r="ER196" s="528" t="str">
        <f t="shared" si="397"/>
        <v/>
      </c>
      <c r="ES196" s="529" t="str">
        <f t="shared" si="398"/>
        <v/>
      </c>
      <c r="ET196" s="74" t="str">
        <f>IF('Marks Entry'!BI196="","",'Marks Entry'!BI196)</f>
        <v/>
      </c>
      <c r="EU196" s="74" t="str">
        <f>IF('Marks Entry'!BJ196="","",'Marks Entry'!BJ196)</f>
        <v/>
      </c>
      <c r="EV196" s="528" t="str">
        <f t="shared" si="399"/>
        <v/>
      </c>
      <c r="EW196" s="530" t="str">
        <f t="shared" si="400"/>
        <v/>
      </c>
      <c r="EX196" s="368" t="str">
        <f t="shared" si="450"/>
        <v/>
      </c>
      <c r="EY196" s="65">
        <f t="shared" si="451"/>
        <v>0</v>
      </c>
      <c r="EZ196" s="65">
        <f t="shared" si="452"/>
        <v>0</v>
      </c>
      <c r="FA196" s="66" t="str">
        <f t="shared" si="453"/>
        <v/>
      </c>
      <c r="FB196" s="74" t="str">
        <f>IF('Marks Entry'!BK196="","",'Marks Entry'!BK196)</f>
        <v/>
      </c>
      <c r="FC196" s="74" t="str">
        <f>IF('Marks Entry'!BL196="","",'Marks Entry'!BL196)</f>
        <v/>
      </c>
      <c r="FD196" s="74" t="str">
        <f>IF('Marks Entry'!BM196="","",'Marks Entry'!BM196)</f>
        <v/>
      </c>
      <c r="FE196" s="74" t="str">
        <f>IF('Marks Entry'!BN196="","",'Marks Entry'!BN196)</f>
        <v/>
      </c>
      <c r="FF196" s="74" t="str">
        <f>IF('Marks Entry'!BO196="","",'Marks Entry'!BO196)</f>
        <v/>
      </c>
      <c r="FG196" s="74" t="str">
        <f>IF('Marks Entry'!BP196="","",'Marks Entry'!BP196)</f>
        <v/>
      </c>
      <c r="FH196" s="527" t="str">
        <f t="shared" si="401"/>
        <v/>
      </c>
      <c r="FI196" s="74" t="str">
        <f>IF('Marks Entry'!BQ196="","",'Marks Entry'!BQ196)</f>
        <v/>
      </c>
      <c r="FJ196" s="74" t="str">
        <f>IF('Marks Entry'!BR196="","",'Marks Entry'!BR196)</f>
        <v/>
      </c>
      <c r="FK196" s="528" t="str">
        <f t="shared" si="402"/>
        <v/>
      </c>
      <c r="FL196" s="529" t="str">
        <f t="shared" si="403"/>
        <v/>
      </c>
      <c r="FM196" s="74" t="str">
        <f>IF('Marks Entry'!BS196="","",'Marks Entry'!BS196)</f>
        <v/>
      </c>
      <c r="FN196" s="74" t="str">
        <f>IF('Marks Entry'!BT196="","",'Marks Entry'!BT196)</f>
        <v/>
      </c>
      <c r="FO196" s="528" t="str">
        <f t="shared" si="404"/>
        <v/>
      </c>
      <c r="FP196" s="530" t="str">
        <f t="shared" si="405"/>
        <v/>
      </c>
      <c r="FQ196" s="368" t="str">
        <f t="shared" si="454"/>
        <v/>
      </c>
      <c r="FR196" s="65">
        <f t="shared" si="455"/>
        <v>0</v>
      </c>
      <c r="FS196" s="65">
        <f t="shared" si="456"/>
        <v>0</v>
      </c>
      <c r="FT196" s="66" t="str">
        <f t="shared" si="457"/>
        <v/>
      </c>
      <c r="FU196" s="74" t="str">
        <f>IF('Marks Entry'!BU196="","",'Marks Entry'!BU196)</f>
        <v/>
      </c>
      <c r="FV196" s="74" t="str">
        <f>IF('Marks Entry'!BV196="","",'Marks Entry'!BV196)</f>
        <v/>
      </c>
      <c r="FW196" s="74" t="str">
        <f>IF('Marks Entry'!BW196="","",'Marks Entry'!BW196)</f>
        <v/>
      </c>
      <c r="FX196" s="75" t="str">
        <f t="shared" si="406"/>
        <v/>
      </c>
      <c r="FY196" s="368" t="str">
        <f t="shared" si="458"/>
        <v/>
      </c>
      <c r="FZ196" s="65">
        <f t="shared" si="459"/>
        <v>0</v>
      </c>
      <c r="GA196" s="66">
        <f t="shared" si="460"/>
        <v>0</v>
      </c>
      <c r="GB196" s="66" t="str">
        <f t="shared" si="461"/>
        <v/>
      </c>
      <c r="GC196" s="74" t="str">
        <f>IF('Marks Entry'!BX196="","",'Marks Entry'!BX196)</f>
        <v/>
      </c>
      <c r="GD196" s="74" t="str">
        <f>IF('Marks Entry'!BY196="","",'Marks Entry'!BY196)</f>
        <v/>
      </c>
      <c r="GE196" s="74" t="str">
        <f>IF('Marks Entry'!BZ196="","",'Marks Entry'!BZ196)</f>
        <v/>
      </c>
      <c r="GF196" s="75" t="str">
        <f t="shared" si="462"/>
        <v/>
      </c>
      <c r="GG196" s="368" t="str">
        <f t="shared" si="463"/>
        <v/>
      </c>
      <c r="GH196" s="65">
        <f t="shared" si="464"/>
        <v>0</v>
      </c>
      <c r="GI196" s="66">
        <f t="shared" si="465"/>
        <v>0</v>
      </c>
      <c r="GJ196" s="66" t="str">
        <f t="shared" si="466"/>
        <v/>
      </c>
      <c r="GK196" s="100" t="str">
        <f>IF(AND(F196="",B196=""),"",IF('Student DATA Entry'!M193="","",'Student DATA Entry'!M193))</f>
        <v/>
      </c>
      <c r="GL196" s="101" t="str">
        <f>IF(AND(B196="",F196=""),"",IF('Student DATA Entry'!N193="","",'Student DATA Entry'!N193))</f>
        <v/>
      </c>
      <c r="GM196" s="581" t="str">
        <f t="shared" si="467"/>
        <v/>
      </c>
      <c r="GN196" s="94" t="str">
        <f t="shared" si="468"/>
        <v/>
      </c>
      <c r="GO196" s="94" t="str">
        <f t="shared" si="469"/>
        <v/>
      </c>
      <c r="GP196" s="102" t="str">
        <f t="shared" si="498"/>
        <v/>
      </c>
      <c r="GQ196" s="94" t="str">
        <f t="shared" si="470"/>
        <v/>
      </c>
      <c r="GR196" s="103" t="str">
        <f t="shared" si="471"/>
        <v/>
      </c>
      <c r="GS196" s="102" t="str">
        <f t="shared" si="499"/>
        <v/>
      </c>
      <c r="GT196" s="104" t="str">
        <f t="shared" si="472"/>
        <v/>
      </c>
      <c r="GU196" s="94" t="str">
        <f>IF('Marks Entry'!V196=1,GT196,"")</f>
        <v/>
      </c>
      <c r="GV196" s="94" t="str">
        <f>IF('Marks Entry'!V196=2,GT196,"")</f>
        <v/>
      </c>
      <c r="GW196" s="94" t="str">
        <f>IF('Marks Entry'!V196=3,GT196,"")</f>
        <v/>
      </c>
      <c r="GX196" s="94" t="str">
        <f>IF('Marks Entry'!V196=4,GT196,"")</f>
        <v/>
      </c>
      <c r="GY196" s="94" t="str">
        <f>IF('Marks Entry'!V196=5,GT196,"")</f>
        <v/>
      </c>
      <c r="GZ196" s="94" t="str">
        <f t="shared" si="473"/>
        <v/>
      </c>
      <c r="HA196" s="105" t="str">
        <f t="shared" si="500"/>
        <v/>
      </c>
      <c r="HB196" s="94" t="str">
        <f t="shared" si="474"/>
        <v/>
      </c>
      <c r="HC196" s="94" t="str">
        <f t="shared" si="475"/>
        <v/>
      </c>
      <c r="HD196" s="105" t="str">
        <f t="shared" si="501"/>
        <v/>
      </c>
      <c r="HE196" s="94" t="str">
        <f t="shared" si="476"/>
        <v/>
      </c>
      <c r="HF196" s="94" t="str">
        <f t="shared" si="477"/>
        <v/>
      </c>
      <c r="HG196" s="105" t="str">
        <f t="shared" si="502"/>
        <v/>
      </c>
      <c r="HH196" s="94" t="str">
        <f t="shared" si="478"/>
        <v/>
      </c>
      <c r="HI196" s="94" t="str">
        <f t="shared" si="479"/>
        <v/>
      </c>
      <c r="HJ196" s="105" t="str">
        <f t="shared" si="503"/>
        <v/>
      </c>
      <c r="HK196" s="94" t="str">
        <f t="shared" si="480"/>
        <v/>
      </c>
      <c r="HL196" s="94" t="str">
        <f t="shared" si="481"/>
        <v/>
      </c>
      <c r="HM196" s="105" t="str">
        <f t="shared" si="504"/>
        <v/>
      </c>
      <c r="HN196" s="367" t="str">
        <f t="shared" si="482"/>
        <v xml:space="preserve">      </v>
      </c>
      <c r="HO196" s="418" t="str">
        <f t="shared" si="505"/>
        <v xml:space="preserve">      </v>
      </c>
      <c r="HP196" s="367" t="str">
        <f t="shared" si="483"/>
        <v xml:space="preserve">      </v>
      </c>
      <c r="HQ196" s="107" t="str">
        <f t="shared" si="484"/>
        <v xml:space="preserve">      </v>
      </c>
      <c r="HR196" s="366" t="str">
        <f t="shared" si="485"/>
        <v xml:space="preserve">      </v>
      </c>
      <c r="HS196" s="544" t="str">
        <f t="shared" si="506"/>
        <v/>
      </c>
      <c r="HT196" s="542" t="str">
        <f t="shared" si="486"/>
        <v/>
      </c>
      <c r="HU196" s="541" t="str">
        <f t="shared" si="487"/>
        <v/>
      </c>
      <c r="HV196" s="540" t="str">
        <f t="shared" si="488"/>
        <v/>
      </c>
      <c r="HW196" s="537" t="str">
        <f t="shared" si="489"/>
        <v/>
      </c>
      <c r="HX196" s="539" t="str">
        <f t="shared" si="490"/>
        <v/>
      </c>
      <c r="HY196" s="553" t="str">
        <f>IFERROR(IF(OR(HS196="SUPPLEMENTARY",HS196="RE-EXAM"),'Supp. Result Entry'!AQ194,""),"")</f>
        <v/>
      </c>
      <c r="HZ196" s="538" t="str">
        <f t="shared" si="491"/>
        <v/>
      </c>
      <c r="IA196" s="415" t="str">
        <f t="shared" si="492"/>
        <v/>
      </c>
      <c r="IB196" s="415" t="str">
        <f>IF(AND(HZ196="",IA196=""),"",IF(OR(HS196="SUPPLEMENTARY",HS196="RE-EXAM"),'Supp. Result Entry'!AQ194,HS196))</f>
        <v/>
      </c>
      <c r="IC196" s="87"/>
      <c r="IS196" s="109" t="str">
        <f>IF('Supp. Result Entry'!T194="","",'Supp. Result Entry'!$T$4)</f>
        <v/>
      </c>
      <c r="IT196" s="110" t="str">
        <f>IF('Supp. Result Entry'!W194="","",'Supp. Result Entry'!$W$4)</f>
        <v/>
      </c>
      <c r="IU196" s="110" t="str">
        <f>IF('Supp. Result Entry'!Z194="","",'Supp. Result Entry'!$Z$4)</f>
        <v/>
      </c>
      <c r="IV196" s="110" t="str">
        <f>IF('Supp. Result Entry'!AC194="","",'Supp. Result Entry'!$AC$4)</f>
        <v/>
      </c>
      <c r="IW196" s="110" t="str">
        <f>IF('Supp. Result Entry'!AF194="","",'Supp. Result Entry'!$AF$4)</f>
        <v/>
      </c>
      <c r="IX196" s="110" t="str">
        <f>IF('Supp. Result Entry'!AI194="","",'Supp. Result Entry'!$AI$4)</f>
        <v/>
      </c>
      <c r="IY196" s="110" t="str">
        <f>IF('Supp. Result Entry'!AI194="","",'Supp. Result Entry'!$AL$4)</f>
        <v/>
      </c>
      <c r="IZ196" s="110" t="str">
        <f>IF('Supp. Result Entry'!U194="","",'Supp. Result Entry'!U194)</f>
        <v/>
      </c>
      <c r="JA196" s="110" t="str">
        <f>IF('Supp. Result Entry'!X194="","",'Supp. Result Entry'!X194)</f>
        <v/>
      </c>
      <c r="JB196" s="110" t="str">
        <f>IF('Supp. Result Entry'!AA194="","",'Supp. Result Entry'!AA194)</f>
        <v/>
      </c>
      <c r="JC196" s="110" t="str">
        <f>IF('Supp. Result Entry'!AD194="","",'Supp. Result Entry'!AD194)</f>
        <v/>
      </c>
      <c r="JD196" s="110" t="str">
        <f>IF('Supp. Result Entry'!AG194="","",'Supp. Result Entry'!AG194)</f>
        <v/>
      </c>
      <c r="JE196" s="110" t="str">
        <f>IF('Supp. Result Entry'!AJ194="","",'Supp. Result Entry'!AJ194)</f>
        <v/>
      </c>
      <c r="JF196" s="110" t="str">
        <f>IF('Supp. Result Entry'!AM194="","",'Supp. Result Entry'!AM194)</f>
        <v/>
      </c>
      <c r="JG196" s="110" t="str">
        <f>IF('Supp. Result Entry'!V194="","",'Supp. Result Entry'!V194)</f>
        <v/>
      </c>
      <c r="JH196" s="110" t="str">
        <f>IF('Supp. Result Entry'!Y194="","",'Supp. Result Entry'!Y194)</f>
        <v/>
      </c>
      <c r="JI196" s="110" t="str">
        <f>IF('Supp. Result Entry'!AB194="","",'Supp. Result Entry'!AB194)</f>
        <v/>
      </c>
      <c r="JJ196" s="110" t="str">
        <f>IF('Supp. Result Entry'!AE194="","",'Supp. Result Entry'!AE194)</f>
        <v/>
      </c>
      <c r="JK196" s="110" t="str">
        <f>IF('Supp. Result Entry'!AH194="","",'Supp. Result Entry'!AH194)</f>
        <v/>
      </c>
      <c r="JL196" s="110" t="str">
        <f>IF('Supp. Result Entry'!AK194="","",'Supp. Result Entry'!AK194)</f>
        <v/>
      </c>
      <c r="JM196" s="110" t="str">
        <f>IF('Supp. Result Entry'!AN194="","",'Supp. Result Entry'!AN194)</f>
        <v/>
      </c>
      <c r="JN196" s="110">
        <f>COUNTIF('Supp. Result Entry'!K194:Q194,"S")</f>
        <v>0</v>
      </c>
      <c r="JO196" s="110">
        <f t="shared" si="416"/>
        <v>0</v>
      </c>
      <c r="JP196" s="110">
        <f t="shared" si="493"/>
        <v>0</v>
      </c>
      <c r="JQ196" s="110" t="str">
        <f t="shared" si="417"/>
        <v/>
      </c>
      <c r="JR196" s="110" t="str">
        <f t="shared" si="418"/>
        <v/>
      </c>
      <c r="JS196" s="110" t="str">
        <f t="shared" si="419"/>
        <v/>
      </c>
      <c r="JT196" s="110" t="str">
        <f t="shared" si="420"/>
        <v/>
      </c>
      <c r="JU196" s="110" t="str">
        <f t="shared" si="421"/>
        <v/>
      </c>
      <c r="JV196" s="110" t="str">
        <f t="shared" si="422"/>
        <v/>
      </c>
      <c r="JW196" s="110" t="str">
        <f t="shared" si="423"/>
        <v/>
      </c>
      <c r="JX196" s="110" t="str">
        <f t="shared" si="494"/>
        <v/>
      </c>
      <c r="JY196" s="110" t="str">
        <f t="shared" si="495"/>
        <v/>
      </c>
      <c r="JZ196" s="110" t="str">
        <f t="shared" si="424"/>
        <v/>
      </c>
      <c r="KA196" s="108" t="str">
        <f t="shared" si="496"/>
        <v/>
      </c>
    </row>
    <row r="197" spans="1:287" s="108" customFormat="1" ht="21.95" customHeight="1">
      <c r="A197" s="89">
        <v>191</v>
      </c>
      <c r="B197" s="90" t="str">
        <f>IF('Marks Entry'!B197="","",'Marks Entry'!B197)</f>
        <v/>
      </c>
      <c r="C197" s="94" t="str">
        <f>IF('Marks Entry'!D197="","",'Marks Entry'!D197)</f>
        <v/>
      </c>
      <c r="D197" s="91" t="str">
        <f>IF('Marks Entry'!E197="","",'Marks Entry'!E197)</f>
        <v/>
      </c>
      <c r="E197" s="92" t="str">
        <f>IF('Marks Entry'!F197="","",'Marks Entry'!F197)</f>
        <v/>
      </c>
      <c r="F197" s="93" t="str">
        <f>IF('Marks Entry'!G197="","",'Marks Entry'!G197)</f>
        <v/>
      </c>
      <c r="G197" s="93" t="str">
        <f>IF('Marks Entry'!H197="","",'Marks Entry'!H197)</f>
        <v/>
      </c>
      <c r="H197" s="93" t="str">
        <f>IF('Marks Entry'!I197="","",'Marks Entry'!I197)</f>
        <v/>
      </c>
      <c r="I197" s="94" t="str">
        <f>IF('Marks Entry'!J197="","",'Marks Entry'!J197)</f>
        <v/>
      </c>
      <c r="J197" s="95" t="str">
        <f>IF('Marks Entry'!K197="","",'Marks Entry'!K197)</f>
        <v/>
      </c>
      <c r="K197" s="68" t="str">
        <f>IF('Marks Entry'!L197="","",'Marks Entry'!L197)</f>
        <v/>
      </c>
      <c r="L197" s="68" t="str">
        <f>IF('Marks Entry'!M197="","",'Marks Entry'!M197)</f>
        <v/>
      </c>
      <c r="M197" s="68" t="str">
        <f>IF('Marks Entry'!N197="","",'Marks Entry'!N197)</f>
        <v/>
      </c>
      <c r="N197" s="514" t="str">
        <f t="shared" si="425"/>
        <v/>
      </c>
      <c r="O197" s="68" t="str">
        <f>IF('Marks Entry'!O197="","",'Marks Entry'!O197)</f>
        <v/>
      </c>
      <c r="P197" s="515" t="str">
        <f t="shared" si="426"/>
        <v/>
      </c>
      <c r="Q197" s="68" t="str">
        <f>IF('Marks Entry'!P197="","",'Marks Entry'!P197)</f>
        <v/>
      </c>
      <c r="R197" s="96" t="str">
        <f t="shared" si="427"/>
        <v/>
      </c>
      <c r="S197" s="65">
        <f t="shared" si="428"/>
        <v>0</v>
      </c>
      <c r="T197" s="65">
        <f t="shared" si="429"/>
        <v>0</v>
      </c>
      <c r="U197" s="66" t="str">
        <f t="shared" si="339"/>
        <v/>
      </c>
      <c r="V197" s="65" t="str">
        <f t="shared" si="340"/>
        <v/>
      </c>
      <c r="W197" s="65" t="str">
        <f t="shared" si="430"/>
        <v/>
      </c>
      <c r="X197" s="65" t="str">
        <f t="shared" si="341"/>
        <v/>
      </c>
      <c r="Y197" s="68" t="str">
        <f>IF('Marks Entry'!Q197="","",'Marks Entry'!Q197)</f>
        <v/>
      </c>
      <c r="Z197" s="68" t="str">
        <f>IF('Marks Entry'!R197="","",'Marks Entry'!R197)</f>
        <v/>
      </c>
      <c r="AA197" s="68" t="str">
        <f>IF('Marks Entry'!S197="","",'Marks Entry'!S197)</f>
        <v/>
      </c>
      <c r="AB197" s="514" t="str">
        <f t="shared" si="342"/>
        <v/>
      </c>
      <c r="AC197" s="68" t="str">
        <f>IF('Marks Entry'!T197="","",'Marks Entry'!T197)</f>
        <v/>
      </c>
      <c r="AD197" s="515" t="str">
        <f t="shared" si="343"/>
        <v/>
      </c>
      <c r="AE197" s="68" t="str">
        <f>IF('Marks Entry'!U197="","",'Marks Entry'!U197)</f>
        <v/>
      </c>
      <c r="AF197" s="96" t="str">
        <f t="shared" si="344"/>
        <v/>
      </c>
      <c r="AG197" s="65">
        <f t="shared" si="345"/>
        <v>0</v>
      </c>
      <c r="AH197" s="65">
        <f t="shared" si="346"/>
        <v>0</v>
      </c>
      <c r="AI197" s="66" t="str">
        <f t="shared" si="347"/>
        <v/>
      </c>
      <c r="AJ197" s="65" t="str">
        <f t="shared" si="348"/>
        <v/>
      </c>
      <c r="AK197" s="65" t="str">
        <f t="shared" si="349"/>
        <v/>
      </c>
      <c r="AL197" s="65" t="str">
        <f t="shared" si="350"/>
        <v/>
      </c>
      <c r="AM197" s="524" t="str">
        <f>IF('Marks Entry'!V197="","",IF('Marks Entry'!V197=1,'School Profile'!$I$9,IF('Marks Entry'!V197=2,'School Profile'!$I$10,IF('Marks Entry'!V197=3,'School Profile'!$I$11,IF('Marks Entry'!V197=4,'School Profile'!$I$12,IF('Marks Entry'!V197=5,'School Profile'!$I$13,IF('Marks Entry'!V197=6,'School Profile'!$I$14,"")))))))</f>
        <v/>
      </c>
      <c r="AN197" s="68" t="str">
        <f>IF('Marks Entry'!W197="","",'Marks Entry'!W197)</f>
        <v/>
      </c>
      <c r="AO197" s="68" t="str">
        <f>IF('Marks Entry'!X197="","",'Marks Entry'!X197)</f>
        <v/>
      </c>
      <c r="AP197" s="68" t="str">
        <f>IF('Marks Entry'!Y197="","",'Marks Entry'!Y197)</f>
        <v/>
      </c>
      <c r="AQ197" s="514" t="str">
        <f t="shared" si="351"/>
        <v/>
      </c>
      <c r="AR197" s="68" t="str">
        <f>IF('Marks Entry'!Z197="","",'Marks Entry'!Z197)</f>
        <v/>
      </c>
      <c r="AS197" s="515" t="str">
        <f t="shared" si="352"/>
        <v/>
      </c>
      <c r="AT197" s="68" t="str">
        <f>IF('Marks Entry'!AA197="","",'Marks Entry'!AA197)</f>
        <v/>
      </c>
      <c r="AU197" s="96" t="str">
        <f t="shared" si="353"/>
        <v/>
      </c>
      <c r="AV197" s="65">
        <f t="shared" si="354"/>
        <v>0</v>
      </c>
      <c r="AW197" s="65">
        <f t="shared" si="355"/>
        <v>0</v>
      </c>
      <c r="AX197" s="66" t="str">
        <f t="shared" si="356"/>
        <v/>
      </c>
      <c r="AY197" s="65" t="str">
        <f t="shared" si="357"/>
        <v/>
      </c>
      <c r="AZ197" s="65" t="str">
        <f t="shared" si="358"/>
        <v/>
      </c>
      <c r="BA197" s="65" t="str">
        <f t="shared" si="359"/>
        <v/>
      </c>
      <c r="BB197" s="68" t="str">
        <f>IF('Marks Entry'!AB197="","",'Marks Entry'!AB197)</f>
        <v/>
      </c>
      <c r="BC197" s="68" t="str">
        <f>IF('Marks Entry'!AC197="","",'Marks Entry'!AC197)</f>
        <v/>
      </c>
      <c r="BD197" s="68" t="str">
        <f>IF('Marks Entry'!AD197="","",'Marks Entry'!AD197)</f>
        <v/>
      </c>
      <c r="BE197" s="514" t="str">
        <f t="shared" si="360"/>
        <v/>
      </c>
      <c r="BF197" s="68" t="str">
        <f>IF('Marks Entry'!AE197="","",'Marks Entry'!AE197)</f>
        <v/>
      </c>
      <c r="BG197" s="515" t="str">
        <f t="shared" si="361"/>
        <v/>
      </c>
      <c r="BH197" s="68" t="str">
        <f>IF('Marks Entry'!AF197="","",'Marks Entry'!AF197)</f>
        <v/>
      </c>
      <c r="BI197" s="96" t="str">
        <f t="shared" si="362"/>
        <v/>
      </c>
      <c r="BJ197" s="65">
        <f t="shared" si="363"/>
        <v>0</v>
      </c>
      <c r="BK197" s="65">
        <f t="shared" si="431"/>
        <v>0</v>
      </c>
      <c r="BL197" s="66" t="str">
        <f t="shared" si="364"/>
        <v/>
      </c>
      <c r="BM197" s="65" t="str">
        <f t="shared" si="365"/>
        <v/>
      </c>
      <c r="BN197" s="65" t="str">
        <f t="shared" si="366"/>
        <v/>
      </c>
      <c r="BO197" s="65" t="str">
        <f t="shared" si="367"/>
        <v/>
      </c>
      <c r="BP197" s="68" t="str">
        <f>IF('Marks Entry'!AG197="","",'Marks Entry'!AG197)</f>
        <v/>
      </c>
      <c r="BQ197" s="68" t="str">
        <f>IF('Marks Entry'!AH197="","",'Marks Entry'!AH197)</f>
        <v/>
      </c>
      <c r="BR197" s="68" t="str">
        <f>IF('Marks Entry'!AI197="","",'Marks Entry'!AI197)</f>
        <v/>
      </c>
      <c r="BS197" s="514" t="str">
        <f t="shared" si="368"/>
        <v/>
      </c>
      <c r="BT197" s="68" t="str">
        <f>IF('Marks Entry'!AJ197="","",'Marks Entry'!AJ197)</f>
        <v/>
      </c>
      <c r="BU197" s="515" t="str">
        <f t="shared" si="369"/>
        <v/>
      </c>
      <c r="BV197" s="68" t="str">
        <f>IF('Marks Entry'!AK197="","",'Marks Entry'!AK197)</f>
        <v/>
      </c>
      <c r="BW197" s="96" t="str">
        <f t="shared" si="370"/>
        <v/>
      </c>
      <c r="BX197" s="65">
        <f t="shared" si="371"/>
        <v>0</v>
      </c>
      <c r="BY197" s="65">
        <f t="shared" si="372"/>
        <v>0</v>
      </c>
      <c r="BZ197" s="66" t="str">
        <f t="shared" si="373"/>
        <v/>
      </c>
      <c r="CA197" s="65" t="str">
        <f t="shared" si="374"/>
        <v/>
      </c>
      <c r="CB197" s="65" t="str">
        <f t="shared" si="375"/>
        <v/>
      </c>
      <c r="CC197" s="65" t="str">
        <f t="shared" si="376"/>
        <v/>
      </c>
      <c r="CD197" s="66">
        <f t="shared" si="497"/>
        <v>0</v>
      </c>
      <c r="CE197" s="68" t="str">
        <f>IF('Marks Entry'!AL197="","",'Marks Entry'!AL197)</f>
        <v/>
      </c>
      <c r="CF197" s="68" t="str">
        <f>IF('Marks Entry'!AM197="","",'Marks Entry'!AM197)</f>
        <v/>
      </c>
      <c r="CG197" s="68" t="str">
        <f>IF('Marks Entry'!AN197="","",'Marks Entry'!AN197)</f>
        <v/>
      </c>
      <c r="CH197" s="514" t="str">
        <f t="shared" si="378"/>
        <v/>
      </c>
      <c r="CI197" s="68" t="str">
        <f>IF('Marks Entry'!AO197="","",'Marks Entry'!AO197)</f>
        <v/>
      </c>
      <c r="CJ197" s="515" t="str">
        <f t="shared" si="379"/>
        <v/>
      </c>
      <c r="CK197" s="68" t="str">
        <f>IF('Marks Entry'!AP197="","",'Marks Entry'!AP197)</f>
        <v/>
      </c>
      <c r="CL197" s="96" t="str">
        <f t="shared" si="380"/>
        <v/>
      </c>
      <c r="CM197" s="65">
        <f t="shared" si="381"/>
        <v>0</v>
      </c>
      <c r="CN197" s="65">
        <f t="shared" si="382"/>
        <v>0</v>
      </c>
      <c r="CO197" s="66" t="str">
        <f t="shared" si="383"/>
        <v/>
      </c>
      <c r="CP197" s="65" t="str">
        <f t="shared" si="384"/>
        <v/>
      </c>
      <c r="CQ197" s="65" t="str">
        <f t="shared" si="385"/>
        <v/>
      </c>
      <c r="CR197" s="65" t="str">
        <f t="shared" si="386"/>
        <v/>
      </c>
      <c r="CS197" s="616"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8" t="str">
        <f>IF('School Profile'!$D$20="NO","",IF('Marks Entry'!AR197="","",'Marks Entry'!AR197))</f>
        <v/>
      </c>
      <c r="CU197" s="68" t="str">
        <f>IF('School Profile'!$D$20="NO","",IF('Marks Entry'!AS197="","",'Marks Entry'!AS197))</f>
        <v/>
      </c>
      <c r="CV197" s="68" t="str">
        <f>IF('School Profile'!$D$20="NO","",IF('Marks Entry'!AT197="","",'Marks Entry'!AT197))</f>
        <v/>
      </c>
      <c r="CW197" s="514" t="str">
        <f>IF('School Profile'!$D$20="NO","",IF(AND(CT197="",CU197="",CV197=""),"",SUM(CT197:CV197)))</f>
        <v/>
      </c>
      <c r="CX197" s="68" t="str">
        <f>IF('School Profile'!$D$20="NO","",IF('Marks Entry'!AU197="","",'Marks Entry'!AU197))</f>
        <v/>
      </c>
      <c r="CY197" s="68" t="str">
        <f>IF('School Profile'!$D$20="NO","",IF('Marks Entry'!AV197="","",'Marks Entry'!AV197))</f>
        <v/>
      </c>
      <c r="CZ197" s="515" t="str">
        <f>IF('School Profile'!$D$20="NO","",IF(AND(CX197="",CY197=""),"",SUM(CX197,CY197)))</f>
        <v/>
      </c>
      <c r="DA197" s="69" t="str">
        <f>IF('School Profile'!$D$20="NO","",IF(AND(CW197="",CZ197=""),"",SUM(CW197+CZ197)))</f>
        <v/>
      </c>
      <c r="DB197" s="68" t="str">
        <f>IF('School Profile'!$D$20="NO","",IF('Marks Entry'!AW197="","",'Marks Entry'!AW197))</f>
        <v/>
      </c>
      <c r="DC197" s="68" t="str">
        <f>IF('School Profile'!$D$20="NO","",IF('Marks Entry'!AX197="","",'Marks Entry'!AX197))</f>
        <v/>
      </c>
      <c r="DD197" s="515" t="str">
        <f>IF('School Profile'!$D$20="NO","",IF(AND(DB197="",DC197=""),"",SUM(DB197,DC197)))</f>
        <v/>
      </c>
      <c r="DE197" s="96" t="str">
        <f>IF('School Profile'!$D$20="NO","",IF(AND(DA197="",DD197=""),"",SUM(DA197,DD197)))</f>
        <v/>
      </c>
      <c r="DF197" s="532">
        <f t="shared" si="387"/>
        <v>0</v>
      </c>
      <c r="DG197" s="65">
        <f t="shared" si="388"/>
        <v>0</v>
      </c>
      <c r="DH197" s="66" t="str">
        <f t="shared" si="389"/>
        <v/>
      </c>
      <c r="DI197" s="65" t="str">
        <f t="shared" si="390"/>
        <v/>
      </c>
      <c r="DJ197" s="65" t="str">
        <f t="shared" si="391"/>
        <v/>
      </c>
      <c r="DK197" s="65" t="str">
        <f t="shared" si="392"/>
        <v/>
      </c>
      <c r="DL197" s="97" t="str">
        <f t="shared" si="432"/>
        <v/>
      </c>
      <c r="DM197" s="97" t="str">
        <f t="shared" si="433"/>
        <v/>
      </c>
      <c r="DN197" s="97" t="str">
        <f t="shared" si="434"/>
        <v/>
      </c>
      <c r="DO197" s="97" t="str">
        <f t="shared" si="435"/>
        <v/>
      </c>
      <c r="DP197" s="97" t="str">
        <f t="shared" si="436"/>
        <v/>
      </c>
      <c r="DQ197" s="97" t="str">
        <f t="shared" si="437"/>
        <v/>
      </c>
      <c r="DR197" s="97" t="str">
        <f t="shared" si="438"/>
        <v/>
      </c>
      <c r="DS197" s="98">
        <f t="shared" si="439"/>
        <v>0</v>
      </c>
      <c r="DT197" s="98">
        <f t="shared" si="440"/>
        <v>0</v>
      </c>
      <c r="DU197" s="98">
        <f t="shared" si="441"/>
        <v>0</v>
      </c>
      <c r="DV197" s="98">
        <f t="shared" si="442"/>
        <v>0</v>
      </c>
      <c r="DW197" s="98">
        <f t="shared" si="443"/>
        <v>0</v>
      </c>
      <c r="DX197" s="98" t="str">
        <f t="shared" si="444"/>
        <v/>
      </c>
      <c r="DY197" s="99" t="str">
        <f t="shared" si="445"/>
        <v/>
      </c>
      <c r="DZ197" s="74" t="str">
        <f>IF('Marks Entry'!AY197="","",'Marks Entry'!AY197)</f>
        <v/>
      </c>
      <c r="EA197" s="74" t="str">
        <f>IF('Marks Entry'!AZ197="","",'Marks Entry'!AZ197)</f>
        <v/>
      </c>
      <c r="EB197" s="74" t="str">
        <f>IF('Marks Entry'!BA197="","",'Marks Entry'!BA197)</f>
        <v/>
      </c>
      <c r="EC197" s="527" t="str">
        <f t="shared" si="393"/>
        <v/>
      </c>
      <c r="ED197" s="74" t="str">
        <f>IF('Marks Entry'!BB197="","",'Marks Entry'!BB197)</f>
        <v/>
      </c>
      <c r="EE197" s="528" t="str">
        <f t="shared" si="394"/>
        <v/>
      </c>
      <c r="EF197" s="74" t="str">
        <f>IF('Marks Entry'!BC197="","",'Marks Entry'!BC197)</f>
        <v/>
      </c>
      <c r="EG197" s="530" t="str">
        <f t="shared" si="395"/>
        <v/>
      </c>
      <c r="EH197" s="368" t="str">
        <f t="shared" si="446"/>
        <v/>
      </c>
      <c r="EI197" s="65">
        <f t="shared" si="447"/>
        <v>0</v>
      </c>
      <c r="EJ197" s="65">
        <f t="shared" si="448"/>
        <v>0</v>
      </c>
      <c r="EK197" s="66" t="str">
        <f t="shared" si="449"/>
        <v/>
      </c>
      <c r="EL197" s="74" t="str">
        <f>IF('Marks Entry'!BD197="","",'Marks Entry'!BD197)</f>
        <v/>
      </c>
      <c r="EM197" s="74" t="str">
        <f>IF('Marks Entry'!BE197="","",'Marks Entry'!BE197)</f>
        <v/>
      </c>
      <c r="EN197" s="74" t="str">
        <f>IF('Marks Entry'!BF197="","",'Marks Entry'!BF197)</f>
        <v/>
      </c>
      <c r="EO197" s="527" t="str">
        <f t="shared" si="396"/>
        <v/>
      </c>
      <c r="EP197" s="74" t="str">
        <f>IF('Marks Entry'!BG197="","",'Marks Entry'!BG197)</f>
        <v/>
      </c>
      <c r="EQ197" s="74" t="str">
        <f>IF('Marks Entry'!BH197="","",'Marks Entry'!BH197)</f>
        <v/>
      </c>
      <c r="ER197" s="528" t="str">
        <f t="shared" si="397"/>
        <v/>
      </c>
      <c r="ES197" s="529" t="str">
        <f t="shared" si="398"/>
        <v/>
      </c>
      <c r="ET197" s="74" t="str">
        <f>IF('Marks Entry'!BI197="","",'Marks Entry'!BI197)</f>
        <v/>
      </c>
      <c r="EU197" s="74" t="str">
        <f>IF('Marks Entry'!BJ197="","",'Marks Entry'!BJ197)</f>
        <v/>
      </c>
      <c r="EV197" s="528" t="str">
        <f t="shared" si="399"/>
        <v/>
      </c>
      <c r="EW197" s="530" t="str">
        <f t="shared" si="400"/>
        <v/>
      </c>
      <c r="EX197" s="368" t="str">
        <f t="shared" si="450"/>
        <v/>
      </c>
      <c r="EY197" s="65">
        <f t="shared" si="451"/>
        <v>0</v>
      </c>
      <c r="EZ197" s="65">
        <f t="shared" si="452"/>
        <v>0</v>
      </c>
      <c r="FA197" s="66" t="str">
        <f t="shared" si="453"/>
        <v/>
      </c>
      <c r="FB197" s="74" t="str">
        <f>IF('Marks Entry'!BK197="","",'Marks Entry'!BK197)</f>
        <v/>
      </c>
      <c r="FC197" s="74" t="str">
        <f>IF('Marks Entry'!BL197="","",'Marks Entry'!BL197)</f>
        <v/>
      </c>
      <c r="FD197" s="74" t="str">
        <f>IF('Marks Entry'!BM197="","",'Marks Entry'!BM197)</f>
        <v/>
      </c>
      <c r="FE197" s="74" t="str">
        <f>IF('Marks Entry'!BN197="","",'Marks Entry'!BN197)</f>
        <v/>
      </c>
      <c r="FF197" s="74" t="str">
        <f>IF('Marks Entry'!BO197="","",'Marks Entry'!BO197)</f>
        <v/>
      </c>
      <c r="FG197" s="74" t="str">
        <f>IF('Marks Entry'!BP197="","",'Marks Entry'!BP197)</f>
        <v/>
      </c>
      <c r="FH197" s="527" t="str">
        <f t="shared" si="401"/>
        <v/>
      </c>
      <c r="FI197" s="74" t="str">
        <f>IF('Marks Entry'!BQ197="","",'Marks Entry'!BQ197)</f>
        <v/>
      </c>
      <c r="FJ197" s="74" t="str">
        <f>IF('Marks Entry'!BR197="","",'Marks Entry'!BR197)</f>
        <v/>
      </c>
      <c r="FK197" s="528" t="str">
        <f t="shared" si="402"/>
        <v/>
      </c>
      <c r="FL197" s="529" t="str">
        <f t="shared" si="403"/>
        <v/>
      </c>
      <c r="FM197" s="74" t="str">
        <f>IF('Marks Entry'!BS197="","",'Marks Entry'!BS197)</f>
        <v/>
      </c>
      <c r="FN197" s="74" t="str">
        <f>IF('Marks Entry'!BT197="","",'Marks Entry'!BT197)</f>
        <v/>
      </c>
      <c r="FO197" s="528" t="str">
        <f t="shared" si="404"/>
        <v/>
      </c>
      <c r="FP197" s="530" t="str">
        <f t="shared" si="405"/>
        <v/>
      </c>
      <c r="FQ197" s="368" t="str">
        <f t="shared" si="454"/>
        <v/>
      </c>
      <c r="FR197" s="65">
        <f t="shared" si="455"/>
        <v>0</v>
      </c>
      <c r="FS197" s="65">
        <f t="shared" si="456"/>
        <v>0</v>
      </c>
      <c r="FT197" s="66" t="str">
        <f t="shared" si="457"/>
        <v/>
      </c>
      <c r="FU197" s="74" t="str">
        <f>IF('Marks Entry'!BU197="","",'Marks Entry'!BU197)</f>
        <v/>
      </c>
      <c r="FV197" s="74" t="str">
        <f>IF('Marks Entry'!BV197="","",'Marks Entry'!BV197)</f>
        <v/>
      </c>
      <c r="FW197" s="74" t="str">
        <f>IF('Marks Entry'!BW197="","",'Marks Entry'!BW197)</f>
        <v/>
      </c>
      <c r="FX197" s="75" t="str">
        <f t="shared" si="406"/>
        <v/>
      </c>
      <c r="FY197" s="368" t="str">
        <f t="shared" si="458"/>
        <v/>
      </c>
      <c r="FZ197" s="65">
        <f t="shared" si="459"/>
        <v>0</v>
      </c>
      <c r="GA197" s="66">
        <f t="shared" si="460"/>
        <v>0</v>
      </c>
      <c r="GB197" s="66" t="str">
        <f t="shared" si="461"/>
        <v/>
      </c>
      <c r="GC197" s="74" t="str">
        <f>IF('Marks Entry'!BX197="","",'Marks Entry'!BX197)</f>
        <v/>
      </c>
      <c r="GD197" s="74" t="str">
        <f>IF('Marks Entry'!BY197="","",'Marks Entry'!BY197)</f>
        <v/>
      </c>
      <c r="GE197" s="74" t="str">
        <f>IF('Marks Entry'!BZ197="","",'Marks Entry'!BZ197)</f>
        <v/>
      </c>
      <c r="GF197" s="75" t="str">
        <f t="shared" si="462"/>
        <v/>
      </c>
      <c r="GG197" s="368" t="str">
        <f t="shared" si="463"/>
        <v/>
      </c>
      <c r="GH197" s="65">
        <f t="shared" si="464"/>
        <v>0</v>
      </c>
      <c r="GI197" s="66">
        <f t="shared" si="465"/>
        <v>0</v>
      </c>
      <c r="GJ197" s="66" t="str">
        <f t="shared" si="466"/>
        <v/>
      </c>
      <c r="GK197" s="100" t="str">
        <f>IF(AND(F197="",B197=""),"",IF('Student DATA Entry'!M194="","",'Student DATA Entry'!M194))</f>
        <v/>
      </c>
      <c r="GL197" s="101" t="str">
        <f>IF(AND(B197="",F197=""),"",IF('Student DATA Entry'!N194="","",'Student DATA Entry'!N194))</f>
        <v/>
      </c>
      <c r="GM197" s="581" t="str">
        <f t="shared" si="467"/>
        <v/>
      </c>
      <c r="GN197" s="94" t="str">
        <f t="shared" si="468"/>
        <v/>
      </c>
      <c r="GO197" s="94" t="str">
        <f t="shared" si="469"/>
        <v/>
      </c>
      <c r="GP197" s="102" t="str">
        <f t="shared" si="498"/>
        <v/>
      </c>
      <c r="GQ197" s="94" t="str">
        <f t="shared" si="470"/>
        <v/>
      </c>
      <c r="GR197" s="103" t="str">
        <f t="shared" si="471"/>
        <v/>
      </c>
      <c r="GS197" s="102" t="str">
        <f t="shared" si="499"/>
        <v/>
      </c>
      <c r="GT197" s="104" t="str">
        <f t="shared" si="472"/>
        <v/>
      </c>
      <c r="GU197" s="94" t="str">
        <f>IF('Marks Entry'!V197=1,GT197,"")</f>
        <v/>
      </c>
      <c r="GV197" s="94" t="str">
        <f>IF('Marks Entry'!V197=2,GT197,"")</f>
        <v/>
      </c>
      <c r="GW197" s="94" t="str">
        <f>IF('Marks Entry'!V197=3,GT197,"")</f>
        <v/>
      </c>
      <c r="GX197" s="94" t="str">
        <f>IF('Marks Entry'!V197=4,GT197,"")</f>
        <v/>
      </c>
      <c r="GY197" s="94" t="str">
        <f>IF('Marks Entry'!V197=5,GT197,"")</f>
        <v/>
      </c>
      <c r="GZ197" s="94" t="str">
        <f t="shared" si="473"/>
        <v/>
      </c>
      <c r="HA197" s="105" t="str">
        <f t="shared" si="500"/>
        <v/>
      </c>
      <c r="HB197" s="94" t="str">
        <f t="shared" si="474"/>
        <v/>
      </c>
      <c r="HC197" s="94" t="str">
        <f t="shared" si="475"/>
        <v/>
      </c>
      <c r="HD197" s="105" t="str">
        <f t="shared" si="501"/>
        <v/>
      </c>
      <c r="HE197" s="94" t="str">
        <f t="shared" si="476"/>
        <v/>
      </c>
      <c r="HF197" s="94" t="str">
        <f t="shared" si="477"/>
        <v/>
      </c>
      <c r="HG197" s="105" t="str">
        <f t="shared" si="502"/>
        <v/>
      </c>
      <c r="HH197" s="94" t="str">
        <f t="shared" si="478"/>
        <v/>
      </c>
      <c r="HI197" s="94" t="str">
        <f t="shared" si="479"/>
        <v/>
      </c>
      <c r="HJ197" s="105" t="str">
        <f t="shared" si="503"/>
        <v/>
      </c>
      <c r="HK197" s="94" t="str">
        <f t="shared" si="480"/>
        <v/>
      </c>
      <c r="HL197" s="94" t="str">
        <f t="shared" si="481"/>
        <v/>
      </c>
      <c r="HM197" s="105" t="str">
        <f t="shared" si="504"/>
        <v/>
      </c>
      <c r="HN197" s="367" t="str">
        <f t="shared" si="482"/>
        <v xml:space="preserve">      </v>
      </c>
      <c r="HO197" s="418" t="str">
        <f t="shared" si="505"/>
        <v xml:space="preserve">      </v>
      </c>
      <c r="HP197" s="367" t="str">
        <f t="shared" si="483"/>
        <v xml:space="preserve">      </v>
      </c>
      <c r="HQ197" s="107" t="str">
        <f t="shared" si="484"/>
        <v xml:space="preserve">      </v>
      </c>
      <c r="HR197" s="366" t="str">
        <f t="shared" si="485"/>
        <v xml:space="preserve">      </v>
      </c>
      <c r="HS197" s="544" t="str">
        <f t="shared" si="506"/>
        <v/>
      </c>
      <c r="HT197" s="542" t="str">
        <f t="shared" si="486"/>
        <v/>
      </c>
      <c r="HU197" s="541" t="str">
        <f t="shared" si="487"/>
        <v/>
      </c>
      <c r="HV197" s="540" t="str">
        <f t="shared" si="488"/>
        <v/>
      </c>
      <c r="HW197" s="537" t="str">
        <f t="shared" si="489"/>
        <v/>
      </c>
      <c r="HX197" s="539" t="str">
        <f t="shared" si="490"/>
        <v/>
      </c>
      <c r="HY197" s="553" t="str">
        <f>IFERROR(IF(OR(HS197="SUPPLEMENTARY",HS197="RE-EXAM"),'Supp. Result Entry'!AQ195,""),"")</f>
        <v/>
      </c>
      <c r="HZ197" s="538" t="str">
        <f t="shared" si="491"/>
        <v/>
      </c>
      <c r="IA197" s="415" t="str">
        <f t="shared" si="492"/>
        <v/>
      </c>
      <c r="IB197" s="415" t="str">
        <f>IF(AND(HZ197="",IA197=""),"",IF(OR(HS197="SUPPLEMENTARY",HS197="RE-EXAM"),'Supp. Result Entry'!AQ195,HS197))</f>
        <v/>
      </c>
      <c r="IC197" s="87"/>
      <c r="IS197" s="109" t="str">
        <f>IF('Supp. Result Entry'!T195="","",'Supp. Result Entry'!$T$4)</f>
        <v/>
      </c>
      <c r="IT197" s="110" t="str">
        <f>IF('Supp. Result Entry'!W195="","",'Supp. Result Entry'!$W$4)</f>
        <v/>
      </c>
      <c r="IU197" s="110" t="str">
        <f>IF('Supp. Result Entry'!Z195="","",'Supp. Result Entry'!$Z$4)</f>
        <v/>
      </c>
      <c r="IV197" s="110" t="str">
        <f>IF('Supp. Result Entry'!AC195="","",'Supp. Result Entry'!$AC$4)</f>
        <v/>
      </c>
      <c r="IW197" s="110" t="str">
        <f>IF('Supp. Result Entry'!AF195="","",'Supp. Result Entry'!$AF$4)</f>
        <v/>
      </c>
      <c r="IX197" s="110" t="str">
        <f>IF('Supp. Result Entry'!AI195="","",'Supp. Result Entry'!$AI$4)</f>
        <v/>
      </c>
      <c r="IY197" s="110" t="str">
        <f>IF('Supp. Result Entry'!AI195="","",'Supp. Result Entry'!$AL$4)</f>
        <v/>
      </c>
      <c r="IZ197" s="110" t="str">
        <f>IF('Supp. Result Entry'!U195="","",'Supp. Result Entry'!U195)</f>
        <v/>
      </c>
      <c r="JA197" s="110" t="str">
        <f>IF('Supp. Result Entry'!X195="","",'Supp. Result Entry'!X195)</f>
        <v/>
      </c>
      <c r="JB197" s="110" t="str">
        <f>IF('Supp. Result Entry'!AA195="","",'Supp. Result Entry'!AA195)</f>
        <v/>
      </c>
      <c r="JC197" s="110" t="str">
        <f>IF('Supp. Result Entry'!AD195="","",'Supp. Result Entry'!AD195)</f>
        <v/>
      </c>
      <c r="JD197" s="110" t="str">
        <f>IF('Supp. Result Entry'!AG195="","",'Supp. Result Entry'!AG195)</f>
        <v/>
      </c>
      <c r="JE197" s="110" t="str">
        <f>IF('Supp. Result Entry'!AJ195="","",'Supp. Result Entry'!AJ195)</f>
        <v/>
      </c>
      <c r="JF197" s="110" t="str">
        <f>IF('Supp. Result Entry'!AM195="","",'Supp. Result Entry'!AM195)</f>
        <v/>
      </c>
      <c r="JG197" s="110" t="str">
        <f>IF('Supp. Result Entry'!V195="","",'Supp. Result Entry'!V195)</f>
        <v/>
      </c>
      <c r="JH197" s="110" t="str">
        <f>IF('Supp. Result Entry'!Y195="","",'Supp. Result Entry'!Y195)</f>
        <v/>
      </c>
      <c r="JI197" s="110" t="str">
        <f>IF('Supp. Result Entry'!AB195="","",'Supp. Result Entry'!AB195)</f>
        <v/>
      </c>
      <c r="JJ197" s="110" t="str">
        <f>IF('Supp. Result Entry'!AE195="","",'Supp. Result Entry'!AE195)</f>
        <v/>
      </c>
      <c r="JK197" s="110" t="str">
        <f>IF('Supp. Result Entry'!AH195="","",'Supp. Result Entry'!AH195)</f>
        <v/>
      </c>
      <c r="JL197" s="110" t="str">
        <f>IF('Supp. Result Entry'!AK195="","",'Supp. Result Entry'!AK195)</f>
        <v/>
      </c>
      <c r="JM197" s="110" t="str">
        <f>IF('Supp. Result Entry'!AN195="","",'Supp. Result Entry'!AN195)</f>
        <v/>
      </c>
      <c r="JN197" s="110">
        <f>COUNTIF('Supp. Result Entry'!K195:Q195,"S")</f>
        <v>0</v>
      </c>
      <c r="JO197" s="110">
        <f t="shared" si="416"/>
        <v>0</v>
      </c>
      <c r="JP197" s="110">
        <f t="shared" si="493"/>
        <v>0</v>
      </c>
      <c r="JQ197" s="110" t="str">
        <f t="shared" si="417"/>
        <v/>
      </c>
      <c r="JR197" s="110" t="str">
        <f t="shared" si="418"/>
        <v/>
      </c>
      <c r="JS197" s="110" t="str">
        <f t="shared" si="419"/>
        <v/>
      </c>
      <c r="JT197" s="110" t="str">
        <f t="shared" si="420"/>
        <v/>
      </c>
      <c r="JU197" s="110" t="str">
        <f t="shared" si="421"/>
        <v/>
      </c>
      <c r="JV197" s="110" t="str">
        <f t="shared" si="422"/>
        <v/>
      </c>
      <c r="JW197" s="110" t="str">
        <f t="shared" si="423"/>
        <v/>
      </c>
      <c r="JX197" s="110" t="str">
        <f t="shared" si="494"/>
        <v/>
      </c>
      <c r="JY197" s="110" t="str">
        <f t="shared" si="495"/>
        <v/>
      </c>
      <c r="JZ197" s="110" t="str">
        <f t="shared" si="424"/>
        <v/>
      </c>
      <c r="KA197" s="108" t="str">
        <f t="shared" si="496"/>
        <v/>
      </c>
    </row>
    <row r="198" spans="1:287" s="108" customFormat="1" ht="21.95" customHeight="1">
      <c r="A198" s="89">
        <v>192</v>
      </c>
      <c r="B198" s="90" t="str">
        <f>IF('Marks Entry'!B198="","",'Marks Entry'!B198)</f>
        <v/>
      </c>
      <c r="C198" s="94" t="str">
        <f>IF('Marks Entry'!D198="","",'Marks Entry'!D198)</f>
        <v/>
      </c>
      <c r="D198" s="91" t="str">
        <f>IF('Marks Entry'!E198="","",'Marks Entry'!E198)</f>
        <v/>
      </c>
      <c r="E198" s="92" t="str">
        <f>IF('Marks Entry'!F198="","",'Marks Entry'!F198)</f>
        <v/>
      </c>
      <c r="F198" s="93" t="str">
        <f>IF('Marks Entry'!G198="","",'Marks Entry'!G198)</f>
        <v/>
      </c>
      <c r="G198" s="93" t="str">
        <f>IF('Marks Entry'!H198="","",'Marks Entry'!H198)</f>
        <v/>
      </c>
      <c r="H198" s="93" t="str">
        <f>IF('Marks Entry'!I198="","",'Marks Entry'!I198)</f>
        <v/>
      </c>
      <c r="I198" s="94" t="str">
        <f>IF('Marks Entry'!J198="","",'Marks Entry'!J198)</f>
        <v/>
      </c>
      <c r="J198" s="95" t="str">
        <f>IF('Marks Entry'!K198="","",'Marks Entry'!K198)</f>
        <v/>
      </c>
      <c r="K198" s="68" t="str">
        <f>IF('Marks Entry'!L198="","",'Marks Entry'!L198)</f>
        <v/>
      </c>
      <c r="L198" s="68" t="str">
        <f>IF('Marks Entry'!M198="","",'Marks Entry'!M198)</f>
        <v/>
      </c>
      <c r="M198" s="68" t="str">
        <f>IF('Marks Entry'!N198="","",'Marks Entry'!N198)</f>
        <v/>
      </c>
      <c r="N198" s="514" t="str">
        <f t="shared" si="425"/>
        <v/>
      </c>
      <c r="O198" s="68" t="str">
        <f>IF('Marks Entry'!O198="","",'Marks Entry'!O198)</f>
        <v/>
      </c>
      <c r="P198" s="515" t="str">
        <f t="shared" si="426"/>
        <v/>
      </c>
      <c r="Q198" s="68" t="str">
        <f>IF('Marks Entry'!P198="","",'Marks Entry'!P198)</f>
        <v/>
      </c>
      <c r="R198" s="96" t="str">
        <f t="shared" si="427"/>
        <v/>
      </c>
      <c r="S198" s="65">
        <f t="shared" si="428"/>
        <v>0</v>
      </c>
      <c r="T198" s="65">
        <f t="shared" si="429"/>
        <v>0</v>
      </c>
      <c r="U198" s="66" t="str">
        <f t="shared" si="339"/>
        <v/>
      </c>
      <c r="V198" s="65" t="str">
        <f t="shared" si="340"/>
        <v/>
      </c>
      <c r="W198" s="65" t="str">
        <f t="shared" si="430"/>
        <v/>
      </c>
      <c r="X198" s="65" t="str">
        <f t="shared" si="341"/>
        <v/>
      </c>
      <c r="Y198" s="68" t="str">
        <f>IF('Marks Entry'!Q198="","",'Marks Entry'!Q198)</f>
        <v/>
      </c>
      <c r="Z198" s="68" t="str">
        <f>IF('Marks Entry'!R198="","",'Marks Entry'!R198)</f>
        <v/>
      </c>
      <c r="AA198" s="68" t="str">
        <f>IF('Marks Entry'!S198="","",'Marks Entry'!S198)</f>
        <v/>
      </c>
      <c r="AB198" s="514" t="str">
        <f t="shared" si="342"/>
        <v/>
      </c>
      <c r="AC198" s="68" t="str">
        <f>IF('Marks Entry'!T198="","",'Marks Entry'!T198)</f>
        <v/>
      </c>
      <c r="AD198" s="515" t="str">
        <f t="shared" si="343"/>
        <v/>
      </c>
      <c r="AE198" s="68" t="str">
        <f>IF('Marks Entry'!U198="","",'Marks Entry'!U198)</f>
        <v/>
      </c>
      <c r="AF198" s="96" t="str">
        <f t="shared" si="344"/>
        <v/>
      </c>
      <c r="AG198" s="65">
        <f t="shared" si="345"/>
        <v>0</v>
      </c>
      <c r="AH198" s="65">
        <f t="shared" si="346"/>
        <v>0</v>
      </c>
      <c r="AI198" s="66" t="str">
        <f t="shared" si="347"/>
        <v/>
      </c>
      <c r="AJ198" s="65" t="str">
        <f t="shared" si="348"/>
        <v/>
      </c>
      <c r="AK198" s="65" t="str">
        <f t="shared" si="349"/>
        <v/>
      </c>
      <c r="AL198" s="65" t="str">
        <f t="shared" si="350"/>
        <v/>
      </c>
      <c r="AM198" s="524" t="str">
        <f>IF('Marks Entry'!V198="","",IF('Marks Entry'!V198=1,'School Profile'!$I$9,IF('Marks Entry'!V198=2,'School Profile'!$I$10,IF('Marks Entry'!V198=3,'School Profile'!$I$11,IF('Marks Entry'!V198=4,'School Profile'!$I$12,IF('Marks Entry'!V198=5,'School Profile'!$I$13,IF('Marks Entry'!V198=6,'School Profile'!$I$14,"")))))))</f>
        <v/>
      </c>
      <c r="AN198" s="68" t="str">
        <f>IF('Marks Entry'!W198="","",'Marks Entry'!W198)</f>
        <v/>
      </c>
      <c r="AO198" s="68" t="str">
        <f>IF('Marks Entry'!X198="","",'Marks Entry'!X198)</f>
        <v/>
      </c>
      <c r="AP198" s="68" t="str">
        <f>IF('Marks Entry'!Y198="","",'Marks Entry'!Y198)</f>
        <v/>
      </c>
      <c r="AQ198" s="514" t="str">
        <f t="shared" si="351"/>
        <v/>
      </c>
      <c r="AR198" s="68" t="str">
        <f>IF('Marks Entry'!Z198="","",'Marks Entry'!Z198)</f>
        <v/>
      </c>
      <c r="AS198" s="515" t="str">
        <f t="shared" si="352"/>
        <v/>
      </c>
      <c r="AT198" s="68" t="str">
        <f>IF('Marks Entry'!AA198="","",'Marks Entry'!AA198)</f>
        <v/>
      </c>
      <c r="AU198" s="96" t="str">
        <f t="shared" si="353"/>
        <v/>
      </c>
      <c r="AV198" s="65">
        <f t="shared" si="354"/>
        <v>0</v>
      </c>
      <c r="AW198" s="65">
        <f t="shared" si="355"/>
        <v>0</v>
      </c>
      <c r="AX198" s="66" t="str">
        <f t="shared" si="356"/>
        <v/>
      </c>
      <c r="AY198" s="65" t="str">
        <f t="shared" si="357"/>
        <v/>
      </c>
      <c r="AZ198" s="65" t="str">
        <f t="shared" si="358"/>
        <v/>
      </c>
      <c r="BA198" s="65" t="str">
        <f t="shared" si="359"/>
        <v/>
      </c>
      <c r="BB198" s="68" t="str">
        <f>IF('Marks Entry'!AB198="","",'Marks Entry'!AB198)</f>
        <v/>
      </c>
      <c r="BC198" s="68" t="str">
        <f>IF('Marks Entry'!AC198="","",'Marks Entry'!AC198)</f>
        <v/>
      </c>
      <c r="BD198" s="68" t="str">
        <f>IF('Marks Entry'!AD198="","",'Marks Entry'!AD198)</f>
        <v/>
      </c>
      <c r="BE198" s="514" t="str">
        <f t="shared" si="360"/>
        <v/>
      </c>
      <c r="BF198" s="68" t="str">
        <f>IF('Marks Entry'!AE198="","",'Marks Entry'!AE198)</f>
        <v/>
      </c>
      <c r="BG198" s="515" t="str">
        <f t="shared" si="361"/>
        <v/>
      </c>
      <c r="BH198" s="68" t="str">
        <f>IF('Marks Entry'!AF198="","",'Marks Entry'!AF198)</f>
        <v/>
      </c>
      <c r="BI198" s="96" t="str">
        <f t="shared" si="362"/>
        <v/>
      </c>
      <c r="BJ198" s="65">
        <f t="shared" si="363"/>
        <v>0</v>
      </c>
      <c r="BK198" s="65">
        <f t="shared" si="431"/>
        <v>0</v>
      </c>
      <c r="BL198" s="66" t="str">
        <f t="shared" si="364"/>
        <v/>
      </c>
      <c r="BM198" s="65" t="str">
        <f t="shared" si="365"/>
        <v/>
      </c>
      <c r="BN198" s="65" t="str">
        <f t="shared" si="366"/>
        <v/>
      </c>
      <c r="BO198" s="65" t="str">
        <f t="shared" si="367"/>
        <v/>
      </c>
      <c r="BP198" s="68" t="str">
        <f>IF('Marks Entry'!AG198="","",'Marks Entry'!AG198)</f>
        <v/>
      </c>
      <c r="BQ198" s="68" t="str">
        <f>IF('Marks Entry'!AH198="","",'Marks Entry'!AH198)</f>
        <v/>
      </c>
      <c r="BR198" s="68" t="str">
        <f>IF('Marks Entry'!AI198="","",'Marks Entry'!AI198)</f>
        <v/>
      </c>
      <c r="BS198" s="514" t="str">
        <f t="shared" si="368"/>
        <v/>
      </c>
      <c r="BT198" s="68" t="str">
        <f>IF('Marks Entry'!AJ198="","",'Marks Entry'!AJ198)</f>
        <v/>
      </c>
      <c r="BU198" s="515" t="str">
        <f t="shared" si="369"/>
        <v/>
      </c>
      <c r="BV198" s="68" t="str">
        <f>IF('Marks Entry'!AK198="","",'Marks Entry'!AK198)</f>
        <v/>
      </c>
      <c r="BW198" s="96" t="str">
        <f t="shared" si="370"/>
        <v/>
      </c>
      <c r="BX198" s="65">
        <f t="shared" si="371"/>
        <v>0</v>
      </c>
      <c r="BY198" s="65">
        <f t="shared" si="372"/>
        <v>0</v>
      </c>
      <c r="BZ198" s="66" t="str">
        <f t="shared" si="373"/>
        <v/>
      </c>
      <c r="CA198" s="65" t="str">
        <f t="shared" si="374"/>
        <v/>
      </c>
      <c r="CB198" s="65" t="str">
        <f t="shared" si="375"/>
        <v/>
      </c>
      <c r="CC198" s="65" t="str">
        <f t="shared" si="376"/>
        <v/>
      </c>
      <c r="CD198" s="66">
        <f t="shared" si="497"/>
        <v>0</v>
      </c>
      <c r="CE198" s="68" t="str">
        <f>IF('Marks Entry'!AL198="","",'Marks Entry'!AL198)</f>
        <v/>
      </c>
      <c r="CF198" s="68" t="str">
        <f>IF('Marks Entry'!AM198="","",'Marks Entry'!AM198)</f>
        <v/>
      </c>
      <c r="CG198" s="68" t="str">
        <f>IF('Marks Entry'!AN198="","",'Marks Entry'!AN198)</f>
        <v/>
      </c>
      <c r="CH198" s="514" t="str">
        <f t="shared" si="378"/>
        <v/>
      </c>
      <c r="CI198" s="68" t="str">
        <f>IF('Marks Entry'!AO198="","",'Marks Entry'!AO198)</f>
        <v/>
      </c>
      <c r="CJ198" s="515" t="str">
        <f t="shared" si="379"/>
        <v/>
      </c>
      <c r="CK198" s="68" t="str">
        <f>IF('Marks Entry'!AP198="","",'Marks Entry'!AP198)</f>
        <v/>
      </c>
      <c r="CL198" s="96" t="str">
        <f t="shared" si="380"/>
        <v/>
      </c>
      <c r="CM198" s="65">
        <f t="shared" si="381"/>
        <v>0</v>
      </c>
      <c r="CN198" s="65">
        <f t="shared" si="382"/>
        <v>0</v>
      </c>
      <c r="CO198" s="66" t="str">
        <f t="shared" si="383"/>
        <v/>
      </c>
      <c r="CP198" s="65" t="str">
        <f t="shared" si="384"/>
        <v/>
      </c>
      <c r="CQ198" s="65" t="str">
        <f t="shared" si="385"/>
        <v/>
      </c>
      <c r="CR198" s="65" t="str">
        <f t="shared" si="386"/>
        <v/>
      </c>
      <c r="CS198" s="616"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8" t="str">
        <f>IF('School Profile'!$D$20="NO","",IF('Marks Entry'!AR198="","",'Marks Entry'!AR198))</f>
        <v/>
      </c>
      <c r="CU198" s="68" t="str">
        <f>IF('School Profile'!$D$20="NO","",IF('Marks Entry'!AS198="","",'Marks Entry'!AS198))</f>
        <v/>
      </c>
      <c r="CV198" s="68" t="str">
        <f>IF('School Profile'!$D$20="NO","",IF('Marks Entry'!AT198="","",'Marks Entry'!AT198))</f>
        <v/>
      </c>
      <c r="CW198" s="514" t="str">
        <f>IF('School Profile'!$D$20="NO","",IF(AND(CT198="",CU198="",CV198=""),"",SUM(CT198:CV198)))</f>
        <v/>
      </c>
      <c r="CX198" s="68" t="str">
        <f>IF('School Profile'!$D$20="NO","",IF('Marks Entry'!AU198="","",'Marks Entry'!AU198))</f>
        <v/>
      </c>
      <c r="CY198" s="68" t="str">
        <f>IF('School Profile'!$D$20="NO","",IF('Marks Entry'!AV198="","",'Marks Entry'!AV198))</f>
        <v/>
      </c>
      <c r="CZ198" s="515" t="str">
        <f>IF('School Profile'!$D$20="NO","",IF(AND(CX198="",CY198=""),"",SUM(CX198,CY198)))</f>
        <v/>
      </c>
      <c r="DA198" s="69" t="str">
        <f>IF('School Profile'!$D$20="NO","",IF(AND(CW198="",CZ198=""),"",SUM(CW198+CZ198)))</f>
        <v/>
      </c>
      <c r="DB198" s="68" t="str">
        <f>IF('School Profile'!$D$20="NO","",IF('Marks Entry'!AW198="","",'Marks Entry'!AW198))</f>
        <v/>
      </c>
      <c r="DC198" s="68" t="str">
        <f>IF('School Profile'!$D$20="NO","",IF('Marks Entry'!AX198="","",'Marks Entry'!AX198))</f>
        <v/>
      </c>
      <c r="DD198" s="515" t="str">
        <f>IF('School Profile'!$D$20="NO","",IF(AND(DB198="",DC198=""),"",SUM(DB198,DC198)))</f>
        <v/>
      </c>
      <c r="DE198" s="96" t="str">
        <f>IF('School Profile'!$D$20="NO","",IF(AND(DA198="",DD198=""),"",SUM(DA198,DD198)))</f>
        <v/>
      </c>
      <c r="DF198" s="532">
        <f t="shared" si="387"/>
        <v>0</v>
      </c>
      <c r="DG198" s="65">
        <f t="shared" si="388"/>
        <v>0</v>
      </c>
      <c r="DH198" s="66" t="str">
        <f t="shared" si="389"/>
        <v/>
      </c>
      <c r="DI198" s="65" t="str">
        <f t="shared" si="390"/>
        <v/>
      </c>
      <c r="DJ198" s="65" t="str">
        <f t="shared" si="391"/>
        <v/>
      </c>
      <c r="DK198" s="65" t="str">
        <f t="shared" si="392"/>
        <v/>
      </c>
      <c r="DL198" s="97" t="str">
        <f t="shared" si="432"/>
        <v/>
      </c>
      <c r="DM198" s="97" t="str">
        <f t="shared" si="433"/>
        <v/>
      </c>
      <c r="DN198" s="97" t="str">
        <f t="shared" si="434"/>
        <v/>
      </c>
      <c r="DO198" s="97" t="str">
        <f t="shared" si="435"/>
        <v/>
      </c>
      <c r="DP198" s="97" t="str">
        <f t="shared" si="436"/>
        <v/>
      </c>
      <c r="DQ198" s="97" t="str">
        <f t="shared" si="437"/>
        <v/>
      </c>
      <c r="DR198" s="97" t="str">
        <f t="shared" si="438"/>
        <v/>
      </c>
      <c r="DS198" s="98">
        <f t="shared" si="439"/>
        <v>0</v>
      </c>
      <c r="DT198" s="98">
        <f t="shared" si="440"/>
        <v>0</v>
      </c>
      <c r="DU198" s="98">
        <f t="shared" si="441"/>
        <v>0</v>
      </c>
      <c r="DV198" s="98">
        <f t="shared" si="442"/>
        <v>0</v>
      </c>
      <c r="DW198" s="98">
        <f t="shared" si="443"/>
        <v>0</v>
      </c>
      <c r="DX198" s="98" t="str">
        <f t="shared" si="444"/>
        <v/>
      </c>
      <c r="DY198" s="99" t="str">
        <f t="shared" si="445"/>
        <v/>
      </c>
      <c r="DZ198" s="74" t="str">
        <f>IF('Marks Entry'!AY198="","",'Marks Entry'!AY198)</f>
        <v/>
      </c>
      <c r="EA198" s="74" t="str">
        <f>IF('Marks Entry'!AZ198="","",'Marks Entry'!AZ198)</f>
        <v/>
      </c>
      <c r="EB198" s="74" t="str">
        <f>IF('Marks Entry'!BA198="","",'Marks Entry'!BA198)</f>
        <v/>
      </c>
      <c r="EC198" s="527" t="str">
        <f t="shared" si="393"/>
        <v/>
      </c>
      <c r="ED198" s="74" t="str">
        <f>IF('Marks Entry'!BB198="","",'Marks Entry'!BB198)</f>
        <v/>
      </c>
      <c r="EE198" s="528" t="str">
        <f t="shared" si="394"/>
        <v/>
      </c>
      <c r="EF198" s="74" t="str">
        <f>IF('Marks Entry'!BC198="","",'Marks Entry'!BC198)</f>
        <v/>
      </c>
      <c r="EG198" s="530" t="str">
        <f t="shared" si="395"/>
        <v/>
      </c>
      <c r="EH198" s="368" t="str">
        <f t="shared" si="446"/>
        <v/>
      </c>
      <c r="EI198" s="65">
        <f t="shared" si="447"/>
        <v>0</v>
      </c>
      <c r="EJ198" s="65">
        <f t="shared" si="448"/>
        <v>0</v>
      </c>
      <c r="EK198" s="66" t="str">
        <f t="shared" si="449"/>
        <v/>
      </c>
      <c r="EL198" s="74" t="str">
        <f>IF('Marks Entry'!BD198="","",'Marks Entry'!BD198)</f>
        <v/>
      </c>
      <c r="EM198" s="74" t="str">
        <f>IF('Marks Entry'!BE198="","",'Marks Entry'!BE198)</f>
        <v/>
      </c>
      <c r="EN198" s="74" t="str">
        <f>IF('Marks Entry'!BF198="","",'Marks Entry'!BF198)</f>
        <v/>
      </c>
      <c r="EO198" s="527" t="str">
        <f t="shared" si="396"/>
        <v/>
      </c>
      <c r="EP198" s="74" t="str">
        <f>IF('Marks Entry'!BG198="","",'Marks Entry'!BG198)</f>
        <v/>
      </c>
      <c r="EQ198" s="74" t="str">
        <f>IF('Marks Entry'!BH198="","",'Marks Entry'!BH198)</f>
        <v/>
      </c>
      <c r="ER198" s="528" t="str">
        <f t="shared" si="397"/>
        <v/>
      </c>
      <c r="ES198" s="529" t="str">
        <f t="shared" si="398"/>
        <v/>
      </c>
      <c r="ET198" s="74" t="str">
        <f>IF('Marks Entry'!BI198="","",'Marks Entry'!BI198)</f>
        <v/>
      </c>
      <c r="EU198" s="74" t="str">
        <f>IF('Marks Entry'!BJ198="","",'Marks Entry'!BJ198)</f>
        <v/>
      </c>
      <c r="EV198" s="528" t="str">
        <f t="shared" si="399"/>
        <v/>
      </c>
      <c r="EW198" s="530" t="str">
        <f t="shared" si="400"/>
        <v/>
      </c>
      <c r="EX198" s="368" t="str">
        <f t="shared" si="450"/>
        <v/>
      </c>
      <c r="EY198" s="65">
        <f t="shared" si="451"/>
        <v>0</v>
      </c>
      <c r="EZ198" s="65">
        <f t="shared" si="452"/>
        <v>0</v>
      </c>
      <c r="FA198" s="66" t="str">
        <f t="shared" si="453"/>
        <v/>
      </c>
      <c r="FB198" s="74" t="str">
        <f>IF('Marks Entry'!BK198="","",'Marks Entry'!BK198)</f>
        <v/>
      </c>
      <c r="FC198" s="74" t="str">
        <f>IF('Marks Entry'!BL198="","",'Marks Entry'!BL198)</f>
        <v/>
      </c>
      <c r="FD198" s="74" t="str">
        <f>IF('Marks Entry'!BM198="","",'Marks Entry'!BM198)</f>
        <v/>
      </c>
      <c r="FE198" s="74" t="str">
        <f>IF('Marks Entry'!BN198="","",'Marks Entry'!BN198)</f>
        <v/>
      </c>
      <c r="FF198" s="74" t="str">
        <f>IF('Marks Entry'!BO198="","",'Marks Entry'!BO198)</f>
        <v/>
      </c>
      <c r="FG198" s="74" t="str">
        <f>IF('Marks Entry'!BP198="","",'Marks Entry'!BP198)</f>
        <v/>
      </c>
      <c r="FH198" s="527" t="str">
        <f t="shared" si="401"/>
        <v/>
      </c>
      <c r="FI198" s="74" t="str">
        <f>IF('Marks Entry'!BQ198="","",'Marks Entry'!BQ198)</f>
        <v/>
      </c>
      <c r="FJ198" s="74" t="str">
        <f>IF('Marks Entry'!BR198="","",'Marks Entry'!BR198)</f>
        <v/>
      </c>
      <c r="FK198" s="528" t="str">
        <f t="shared" si="402"/>
        <v/>
      </c>
      <c r="FL198" s="529" t="str">
        <f t="shared" si="403"/>
        <v/>
      </c>
      <c r="FM198" s="74" t="str">
        <f>IF('Marks Entry'!BS198="","",'Marks Entry'!BS198)</f>
        <v/>
      </c>
      <c r="FN198" s="74" t="str">
        <f>IF('Marks Entry'!BT198="","",'Marks Entry'!BT198)</f>
        <v/>
      </c>
      <c r="FO198" s="528" t="str">
        <f t="shared" si="404"/>
        <v/>
      </c>
      <c r="FP198" s="530" t="str">
        <f t="shared" si="405"/>
        <v/>
      </c>
      <c r="FQ198" s="368" t="str">
        <f t="shared" si="454"/>
        <v/>
      </c>
      <c r="FR198" s="65">
        <f t="shared" si="455"/>
        <v>0</v>
      </c>
      <c r="FS198" s="65">
        <f t="shared" si="456"/>
        <v>0</v>
      </c>
      <c r="FT198" s="66" t="str">
        <f t="shared" si="457"/>
        <v/>
      </c>
      <c r="FU198" s="74" t="str">
        <f>IF('Marks Entry'!BU198="","",'Marks Entry'!BU198)</f>
        <v/>
      </c>
      <c r="FV198" s="74" t="str">
        <f>IF('Marks Entry'!BV198="","",'Marks Entry'!BV198)</f>
        <v/>
      </c>
      <c r="FW198" s="74" t="str">
        <f>IF('Marks Entry'!BW198="","",'Marks Entry'!BW198)</f>
        <v/>
      </c>
      <c r="FX198" s="75" t="str">
        <f t="shared" si="406"/>
        <v/>
      </c>
      <c r="FY198" s="368" t="str">
        <f t="shared" si="458"/>
        <v/>
      </c>
      <c r="FZ198" s="65">
        <f t="shared" si="459"/>
        <v>0</v>
      </c>
      <c r="GA198" s="66">
        <f t="shared" si="460"/>
        <v>0</v>
      </c>
      <c r="GB198" s="66" t="str">
        <f t="shared" si="461"/>
        <v/>
      </c>
      <c r="GC198" s="74" t="str">
        <f>IF('Marks Entry'!BX198="","",'Marks Entry'!BX198)</f>
        <v/>
      </c>
      <c r="GD198" s="74" t="str">
        <f>IF('Marks Entry'!BY198="","",'Marks Entry'!BY198)</f>
        <v/>
      </c>
      <c r="GE198" s="74" t="str">
        <f>IF('Marks Entry'!BZ198="","",'Marks Entry'!BZ198)</f>
        <v/>
      </c>
      <c r="GF198" s="75" t="str">
        <f t="shared" si="462"/>
        <v/>
      </c>
      <c r="GG198" s="368" t="str">
        <f t="shared" si="463"/>
        <v/>
      </c>
      <c r="GH198" s="65">
        <f t="shared" si="464"/>
        <v>0</v>
      </c>
      <c r="GI198" s="66">
        <f t="shared" si="465"/>
        <v>0</v>
      </c>
      <c r="GJ198" s="66" t="str">
        <f t="shared" si="466"/>
        <v/>
      </c>
      <c r="GK198" s="100" t="str">
        <f>IF(AND(F198="",B198=""),"",IF('Student DATA Entry'!M195="","",'Student DATA Entry'!M195))</f>
        <v/>
      </c>
      <c r="GL198" s="101" t="str">
        <f>IF(AND(B198="",F198=""),"",IF('Student DATA Entry'!N195="","",'Student DATA Entry'!N195))</f>
        <v/>
      </c>
      <c r="GM198" s="581" t="str">
        <f t="shared" si="467"/>
        <v/>
      </c>
      <c r="GN198" s="94" t="str">
        <f t="shared" si="468"/>
        <v/>
      </c>
      <c r="GO198" s="94" t="str">
        <f t="shared" si="469"/>
        <v/>
      </c>
      <c r="GP198" s="102" t="str">
        <f t="shared" si="498"/>
        <v/>
      </c>
      <c r="GQ198" s="94" t="str">
        <f t="shared" si="470"/>
        <v/>
      </c>
      <c r="GR198" s="103" t="str">
        <f t="shared" si="471"/>
        <v/>
      </c>
      <c r="GS198" s="102" t="str">
        <f t="shared" si="499"/>
        <v/>
      </c>
      <c r="GT198" s="104" t="str">
        <f t="shared" si="472"/>
        <v/>
      </c>
      <c r="GU198" s="94" t="str">
        <f>IF('Marks Entry'!V198=1,GT198,"")</f>
        <v/>
      </c>
      <c r="GV198" s="94" t="str">
        <f>IF('Marks Entry'!V198=2,GT198,"")</f>
        <v/>
      </c>
      <c r="GW198" s="94" t="str">
        <f>IF('Marks Entry'!V198=3,GT198,"")</f>
        <v/>
      </c>
      <c r="GX198" s="94" t="str">
        <f>IF('Marks Entry'!V198=4,GT198,"")</f>
        <v/>
      </c>
      <c r="GY198" s="94" t="str">
        <f>IF('Marks Entry'!V198=5,GT198,"")</f>
        <v/>
      </c>
      <c r="GZ198" s="94" t="str">
        <f t="shared" si="473"/>
        <v/>
      </c>
      <c r="HA198" s="105" t="str">
        <f t="shared" si="500"/>
        <v/>
      </c>
      <c r="HB198" s="94" t="str">
        <f t="shared" si="474"/>
        <v/>
      </c>
      <c r="HC198" s="94" t="str">
        <f t="shared" si="475"/>
        <v/>
      </c>
      <c r="HD198" s="105" t="str">
        <f t="shared" si="501"/>
        <v/>
      </c>
      <c r="HE198" s="94" t="str">
        <f t="shared" si="476"/>
        <v/>
      </c>
      <c r="HF198" s="94" t="str">
        <f t="shared" si="477"/>
        <v/>
      </c>
      <c r="HG198" s="105" t="str">
        <f t="shared" si="502"/>
        <v/>
      </c>
      <c r="HH198" s="94" t="str">
        <f t="shared" si="478"/>
        <v/>
      </c>
      <c r="HI198" s="94" t="str">
        <f t="shared" si="479"/>
        <v/>
      </c>
      <c r="HJ198" s="105" t="str">
        <f t="shared" si="503"/>
        <v/>
      </c>
      <c r="HK198" s="94" t="str">
        <f t="shared" si="480"/>
        <v/>
      </c>
      <c r="HL198" s="94" t="str">
        <f t="shared" si="481"/>
        <v/>
      </c>
      <c r="HM198" s="105" t="str">
        <f t="shared" si="504"/>
        <v/>
      </c>
      <c r="HN198" s="367" t="str">
        <f t="shared" si="482"/>
        <v xml:space="preserve">      </v>
      </c>
      <c r="HO198" s="418" t="str">
        <f t="shared" si="505"/>
        <v xml:space="preserve">      </v>
      </c>
      <c r="HP198" s="367" t="str">
        <f t="shared" si="483"/>
        <v xml:space="preserve">      </v>
      </c>
      <c r="HQ198" s="107" t="str">
        <f t="shared" si="484"/>
        <v xml:space="preserve">      </v>
      </c>
      <c r="HR198" s="366" t="str">
        <f t="shared" si="485"/>
        <v xml:space="preserve">      </v>
      </c>
      <c r="HS198" s="544" t="str">
        <f t="shared" si="506"/>
        <v/>
      </c>
      <c r="HT198" s="542" t="str">
        <f t="shared" si="486"/>
        <v/>
      </c>
      <c r="HU198" s="541" t="str">
        <f t="shared" si="487"/>
        <v/>
      </c>
      <c r="HV198" s="540" t="str">
        <f t="shared" si="488"/>
        <v/>
      </c>
      <c r="HW198" s="537" t="str">
        <f t="shared" si="489"/>
        <v/>
      </c>
      <c r="HX198" s="539" t="str">
        <f t="shared" si="490"/>
        <v/>
      </c>
      <c r="HY198" s="553" t="str">
        <f>IFERROR(IF(OR(HS198="SUPPLEMENTARY",HS198="RE-EXAM"),'Supp. Result Entry'!AQ196,""),"")</f>
        <v/>
      </c>
      <c r="HZ198" s="538" t="str">
        <f t="shared" si="491"/>
        <v/>
      </c>
      <c r="IA198" s="415" t="str">
        <f t="shared" si="492"/>
        <v/>
      </c>
      <c r="IB198" s="415" t="str">
        <f>IF(AND(HZ198="",IA198=""),"",IF(OR(HS198="SUPPLEMENTARY",HS198="RE-EXAM"),'Supp. Result Entry'!AQ196,HS198))</f>
        <v/>
      </c>
      <c r="IC198" s="87"/>
      <c r="IS198" s="109" t="str">
        <f>IF('Supp. Result Entry'!T196="","",'Supp. Result Entry'!$T$4)</f>
        <v/>
      </c>
      <c r="IT198" s="110" t="str">
        <f>IF('Supp. Result Entry'!W196="","",'Supp. Result Entry'!$W$4)</f>
        <v/>
      </c>
      <c r="IU198" s="110" t="str">
        <f>IF('Supp. Result Entry'!Z196="","",'Supp. Result Entry'!$Z$4)</f>
        <v/>
      </c>
      <c r="IV198" s="110" t="str">
        <f>IF('Supp. Result Entry'!AC196="","",'Supp. Result Entry'!$AC$4)</f>
        <v/>
      </c>
      <c r="IW198" s="110" t="str">
        <f>IF('Supp. Result Entry'!AF196="","",'Supp. Result Entry'!$AF$4)</f>
        <v/>
      </c>
      <c r="IX198" s="110" t="str">
        <f>IF('Supp. Result Entry'!AI196="","",'Supp. Result Entry'!$AI$4)</f>
        <v/>
      </c>
      <c r="IY198" s="110" t="str">
        <f>IF('Supp. Result Entry'!AI196="","",'Supp. Result Entry'!$AL$4)</f>
        <v/>
      </c>
      <c r="IZ198" s="110" t="str">
        <f>IF('Supp. Result Entry'!U196="","",'Supp. Result Entry'!U196)</f>
        <v/>
      </c>
      <c r="JA198" s="110" t="str">
        <f>IF('Supp. Result Entry'!X196="","",'Supp. Result Entry'!X196)</f>
        <v/>
      </c>
      <c r="JB198" s="110" t="str">
        <f>IF('Supp. Result Entry'!AA196="","",'Supp. Result Entry'!AA196)</f>
        <v/>
      </c>
      <c r="JC198" s="110" t="str">
        <f>IF('Supp. Result Entry'!AD196="","",'Supp. Result Entry'!AD196)</f>
        <v/>
      </c>
      <c r="JD198" s="110" t="str">
        <f>IF('Supp. Result Entry'!AG196="","",'Supp. Result Entry'!AG196)</f>
        <v/>
      </c>
      <c r="JE198" s="110" t="str">
        <f>IF('Supp. Result Entry'!AJ196="","",'Supp. Result Entry'!AJ196)</f>
        <v/>
      </c>
      <c r="JF198" s="110" t="str">
        <f>IF('Supp. Result Entry'!AM196="","",'Supp. Result Entry'!AM196)</f>
        <v/>
      </c>
      <c r="JG198" s="110" t="str">
        <f>IF('Supp. Result Entry'!V196="","",'Supp. Result Entry'!V196)</f>
        <v/>
      </c>
      <c r="JH198" s="110" t="str">
        <f>IF('Supp. Result Entry'!Y196="","",'Supp. Result Entry'!Y196)</f>
        <v/>
      </c>
      <c r="JI198" s="110" t="str">
        <f>IF('Supp. Result Entry'!AB196="","",'Supp. Result Entry'!AB196)</f>
        <v/>
      </c>
      <c r="JJ198" s="110" t="str">
        <f>IF('Supp. Result Entry'!AE196="","",'Supp. Result Entry'!AE196)</f>
        <v/>
      </c>
      <c r="JK198" s="110" t="str">
        <f>IF('Supp. Result Entry'!AH196="","",'Supp. Result Entry'!AH196)</f>
        <v/>
      </c>
      <c r="JL198" s="110" t="str">
        <f>IF('Supp. Result Entry'!AK196="","",'Supp. Result Entry'!AK196)</f>
        <v/>
      </c>
      <c r="JM198" s="110" t="str">
        <f>IF('Supp. Result Entry'!AN196="","",'Supp. Result Entry'!AN196)</f>
        <v/>
      </c>
      <c r="JN198" s="110">
        <f>COUNTIF('Supp. Result Entry'!K196:Q196,"S")</f>
        <v>0</v>
      </c>
      <c r="JO198" s="110">
        <f t="shared" si="416"/>
        <v>0</v>
      </c>
      <c r="JP198" s="110">
        <f t="shared" si="493"/>
        <v>0</v>
      </c>
      <c r="JQ198" s="110" t="str">
        <f t="shared" si="417"/>
        <v/>
      </c>
      <c r="JR198" s="110" t="str">
        <f t="shared" si="418"/>
        <v/>
      </c>
      <c r="JS198" s="110" t="str">
        <f t="shared" si="419"/>
        <v/>
      </c>
      <c r="JT198" s="110" t="str">
        <f t="shared" si="420"/>
        <v/>
      </c>
      <c r="JU198" s="110" t="str">
        <f t="shared" si="421"/>
        <v/>
      </c>
      <c r="JV198" s="110" t="str">
        <f t="shared" si="422"/>
        <v/>
      </c>
      <c r="JW198" s="110" t="str">
        <f t="shared" si="423"/>
        <v/>
      </c>
      <c r="JX198" s="110" t="str">
        <f t="shared" si="494"/>
        <v/>
      </c>
      <c r="JY198" s="110" t="str">
        <f t="shared" si="495"/>
        <v/>
      </c>
      <c r="JZ198" s="110" t="str">
        <f t="shared" si="424"/>
        <v/>
      </c>
      <c r="KA198" s="108" t="str">
        <f t="shared" si="496"/>
        <v/>
      </c>
    </row>
    <row r="199" spans="1:287" s="108" customFormat="1" ht="21.95" customHeight="1">
      <c r="A199" s="89">
        <v>193</v>
      </c>
      <c r="B199" s="90" t="str">
        <f>IF('Marks Entry'!B199="","",'Marks Entry'!B199)</f>
        <v/>
      </c>
      <c r="C199" s="94" t="str">
        <f>IF('Marks Entry'!D199="","",'Marks Entry'!D199)</f>
        <v/>
      </c>
      <c r="D199" s="91" t="str">
        <f>IF('Marks Entry'!E199="","",'Marks Entry'!E199)</f>
        <v/>
      </c>
      <c r="E199" s="92" t="str">
        <f>IF('Marks Entry'!F199="","",'Marks Entry'!F199)</f>
        <v/>
      </c>
      <c r="F199" s="93" t="str">
        <f>IF('Marks Entry'!G199="","",'Marks Entry'!G199)</f>
        <v/>
      </c>
      <c r="G199" s="93" t="str">
        <f>IF('Marks Entry'!H199="","",'Marks Entry'!H199)</f>
        <v/>
      </c>
      <c r="H199" s="93" t="str">
        <f>IF('Marks Entry'!I199="","",'Marks Entry'!I199)</f>
        <v/>
      </c>
      <c r="I199" s="94" t="str">
        <f>IF('Marks Entry'!J199="","",'Marks Entry'!J199)</f>
        <v/>
      </c>
      <c r="J199" s="95" t="str">
        <f>IF('Marks Entry'!K199="","",'Marks Entry'!K199)</f>
        <v/>
      </c>
      <c r="K199" s="68" t="str">
        <f>IF('Marks Entry'!L199="","",'Marks Entry'!L199)</f>
        <v/>
      </c>
      <c r="L199" s="68" t="str">
        <f>IF('Marks Entry'!M199="","",'Marks Entry'!M199)</f>
        <v/>
      </c>
      <c r="M199" s="68" t="str">
        <f>IF('Marks Entry'!N199="","",'Marks Entry'!N199)</f>
        <v/>
      </c>
      <c r="N199" s="514" t="str">
        <f t="shared" si="425"/>
        <v/>
      </c>
      <c r="O199" s="68" t="str">
        <f>IF('Marks Entry'!O199="","",'Marks Entry'!O199)</f>
        <v/>
      </c>
      <c r="P199" s="515" t="str">
        <f t="shared" si="426"/>
        <v/>
      </c>
      <c r="Q199" s="68" t="str">
        <f>IF('Marks Entry'!P199="","",'Marks Entry'!P199)</f>
        <v/>
      </c>
      <c r="R199" s="96" t="str">
        <f t="shared" si="427"/>
        <v/>
      </c>
      <c r="S199" s="65">
        <f t="shared" si="428"/>
        <v>0</v>
      </c>
      <c r="T199" s="65">
        <f t="shared" si="429"/>
        <v>0</v>
      </c>
      <c r="U199" s="66" t="str">
        <f t="shared" ref="U199:U206" si="507">IF(AND(K199="",L199="",M199="",O199="",Q199=""),"",IF(AND(L199="",K199="",M199=""),170-S199-T199,IF(AND(O199=""),130-S199-T199,IF(Q199="",100-S199-T199,200-S199-T199))))</f>
        <v/>
      </c>
      <c r="V199" s="65"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5" t="str">
        <f t="shared" si="430"/>
        <v/>
      </c>
      <c r="X199" s="65" t="str">
        <f t="shared" ref="X199:X206" si="509">IF(OR(W199="",W199=0,W199="S",W199="RE",W199="F",W199="AB"),W199,IF(R199&gt;=75%*U199,"D",IF(R199&gt;=60%*U199,"I",IF(R199&gt;=48%*U199,"II",IF(R199&gt;=36%*U199,"III",W199)))))</f>
        <v/>
      </c>
      <c r="Y199" s="68" t="str">
        <f>IF('Marks Entry'!Q199="","",'Marks Entry'!Q199)</f>
        <v/>
      </c>
      <c r="Z199" s="68" t="str">
        <f>IF('Marks Entry'!R199="","",'Marks Entry'!R199)</f>
        <v/>
      </c>
      <c r="AA199" s="68" t="str">
        <f>IF('Marks Entry'!S199="","",'Marks Entry'!S199)</f>
        <v/>
      </c>
      <c r="AB199" s="514" t="str">
        <f t="shared" ref="AB199:AB206" si="510">IF(AND(Y199="",Z199="",AA199=""),"",SUM(Y199:AA199))</f>
        <v/>
      </c>
      <c r="AC199" s="68" t="str">
        <f>IF('Marks Entry'!T199="","",'Marks Entry'!T199)</f>
        <v/>
      </c>
      <c r="AD199" s="515" t="str">
        <f t="shared" ref="AD199:AD206" si="511">IF(AND(AB199="",AC199=""),"",SUM(AB199,AC199))</f>
        <v/>
      </c>
      <c r="AE199" s="68" t="str">
        <f>IF('Marks Entry'!U199="","",'Marks Entry'!U199)</f>
        <v/>
      </c>
      <c r="AF199" s="96" t="str">
        <f t="shared" ref="AF199:AF206" si="512">IF(AND(AE199="",AD199=""),"",SUM(AD199,AE199))</f>
        <v/>
      </c>
      <c r="AG199" s="65">
        <f t="shared" ref="AG199:AG206" si="513">COUNTIF(Y199:AA199,"NA")*10</f>
        <v>0</v>
      </c>
      <c r="AH199" s="65">
        <f t="shared" ref="AH199:AH206" si="514">(COUNTIF(Y199:AA199,"ML")*10)+(COUNTIF(AC199,"ML")*70)+(COUNTIF(AE199,"ML")*100)</f>
        <v>0</v>
      </c>
      <c r="AI199" s="66" t="str">
        <f t="shared" ref="AI199:AI206" si="515">IF(AND(Y199="",Z199="",AA199="",AC199="",AE199=""),"",IF(AND(Z199="",Y199="",AA199=""),170-AG199-AH199,IF(AND(AC199=""),130-AG199-AH199,IF(AE199="",100-AG199-AH199,200-AG199-AH199))))</f>
        <v/>
      </c>
      <c r="AJ199" s="65"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5" t="str">
        <f t="shared" ref="AK199:AK206" si="517">IF(OR($B199="NSO",$B199="",AE199=""),"",IF(OR(AJ199="AB",AE199="ab"),"AB",IF(AE199="ML","RE",IF(AE199&lt;20%*$AE$6,"F",IF(AND(AF199&gt;=36%*AI199,AE199&gt;=20),"P",IF(AND(AF199&gt;=34%*AI199,AH199=0,AE199&gt;=20),"G2",IF(AND(AF199&gt;=31%*AI199,AH199=0,AE199&gt;=20),"G1",IF(AF199&gt;=25%*AI199,"S","F"))))))))</f>
        <v/>
      </c>
      <c r="AL199" s="65" t="str">
        <f t="shared" ref="AL199:AL206" si="518">IF(OR(AK199="",AK199=0,AK199="S",AK199="RE",AK199="F",AK199="AB"),AK199,IF(AF199&gt;=75%*AI199,"D",IF(AF199&gt;=60%*AI199,"I",IF(AF199&gt;=48%*AI199,"II",IF(AF199&gt;=36%*AI199,"III",AK199)))))</f>
        <v/>
      </c>
      <c r="AM199" s="524" t="str">
        <f>IF('Marks Entry'!V199="","",IF('Marks Entry'!V199=1,'School Profile'!$I$9,IF('Marks Entry'!V199=2,'School Profile'!$I$10,IF('Marks Entry'!V199=3,'School Profile'!$I$11,IF('Marks Entry'!V199=4,'School Profile'!$I$12,IF('Marks Entry'!V199=5,'School Profile'!$I$13,IF('Marks Entry'!V199=6,'School Profile'!$I$14,"")))))))</f>
        <v/>
      </c>
      <c r="AN199" s="68" t="str">
        <f>IF('Marks Entry'!W199="","",'Marks Entry'!W199)</f>
        <v/>
      </c>
      <c r="AO199" s="68" t="str">
        <f>IF('Marks Entry'!X199="","",'Marks Entry'!X199)</f>
        <v/>
      </c>
      <c r="AP199" s="68" t="str">
        <f>IF('Marks Entry'!Y199="","",'Marks Entry'!Y199)</f>
        <v/>
      </c>
      <c r="AQ199" s="514" t="str">
        <f t="shared" ref="AQ199:AQ206" si="519">IF(AND(AN199="",AO199="",AP199=""),"",SUM(AN199:AP199))</f>
        <v/>
      </c>
      <c r="AR199" s="68" t="str">
        <f>IF('Marks Entry'!Z199="","",'Marks Entry'!Z199)</f>
        <v/>
      </c>
      <c r="AS199" s="515" t="str">
        <f t="shared" ref="AS199:AS206" si="520">IF(AND(AQ199="",AR199=""),"",SUM(AQ199,AR199))</f>
        <v/>
      </c>
      <c r="AT199" s="68" t="str">
        <f>IF('Marks Entry'!AA199="","",'Marks Entry'!AA199)</f>
        <v/>
      </c>
      <c r="AU199" s="96" t="str">
        <f t="shared" ref="AU199:AU206" si="521">IF(AND(AT199="",AS199=""),"",SUM(AS199,AT199))</f>
        <v/>
      </c>
      <c r="AV199" s="65">
        <f t="shared" ref="AV199:AV206" si="522">COUNTIF(AN199:AP199,"NA")*10</f>
        <v>0</v>
      </c>
      <c r="AW199" s="65">
        <f t="shared" ref="AW199:AW206" si="523">(COUNTIF(AN199:AP199,"ML")*10)+(COUNTIF(AR199,"ML")*70)+(COUNTIF(AT199,"ML")*100)</f>
        <v>0</v>
      </c>
      <c r="AX199" s="66" t="str">
        <f t="shared" ref="AX199:AX206" si="524">IF(AND(AN199="",AO199="",AP199="",AR199="",AT199=""),"",IF(AND(AO199="",AN199="",AP199=""),170-AV199-AW199,IF(AND(AR199=""),130-AV199-AW199,IF(AT199="",100-AV199-AW199,200-AV199-AW199))))</f>
        <v/>
      </c>
      <c r="AY199" s="65"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5" t="str">
        <f t="shared" ref="AZ199:AZ206" si="526">IF(OR($B199="NSO",$B199="",AT199=""),"",IF(OR(AY199="AB",AT199="ab"),"AB",IF(AT199="ML","RE",IF(AT199&lt;20%*$AT$6,"F",IF(AND(AU199&gt;=36%*AX199,AT199&gt;=20),"P",IF(AND(AU199&gt;=34%*AX199,AW199=0,AT199&gt;=20),"G2",IF(AND(AU199&gt;=31%*AX199,AW199=0,AT199&gt;=20),"G1",IF(AU199&gt;=25%*AX199,"S","F"))))))))</f>
        <v/>
      </c>
      <c r="BA199" s="65" t="str">
        <f t="shared" ref="BA199:BA206" si="527">IF(OR(AZ199="",AZ199=0,AZ199="S",AZ199="RE",AZ199="F",AZ199="AB"),AZ199,IF(AU199&gt;=75%*AX199,"D",IF(AU199&gt;=60%*AX199,"I",IF(AU199&gt;=48%*AX199,"II",IF(AU199&gt;=36%*AX199,"III",AZ199)))))</f>
        <v/>
      </c>
      <c r="BB199" s="68" t="str">
        <f>IF('Marks Entry'!AB199="","",'Marks Entry'!AB199)</f>
        <v/>
      </c>
      <c r="BC199" s="68" t="str">
        <f>IF('Marks Entry'!AC199="","",'Marks Entry'!AC199)</f>
        <v/>
      </c>
      <c r="BD199" s="68" t="str">
        <f>IF('Marks Entry'!AD199="","",'Marks Entry'!AD199)</f>
        <v/>
      </c>
      <c r="BE199" s="514" t="str">
        <f t="shared" ref="BE199:BE206" si="528">IF(AND(BB199="",BC199="",BD199=""),"",SUM(BB199:BD199))</f>
        <v/>
      </c>
      <c r="BF199" s="68" t="str">
        <f>IF('Marks Entry'!AE199="","",'Marks Entry'!AE199)</f>
        <v/>
      </c>
      <c r="BG199" s="515" t="str">
        <f t="shared" ref="BG199:BG206" si="529">IF(AND(BE199="",BF199=""),"",SUM(BE199,BF199))</f>
        <v/>
      </c>
      <c r="BH199" s="68" t="str">
        <f>IF('Marks Entry'!AF199="","",'Marks Entry'!AF199)</f>
        <v/>
      </c>
      <c r="BI199" s="96" t="str">
        <f t="shared" ref="BI199:BI206" si="530">IF(AND(BH199="",BG199=""),"",SUM(BG199,BH199))</f>
        <v/>
      </c>
      <c r="BJ199" s="65">
        <f t="shared" ref="BJ199:BJ206" si="531">COUNTIF(BB199:BD199,"NA")*10</f>
        <v>0</v>
      </c>
      <c r="BK199" s="65">
        <f t="shared" si="431"/>
        <v>0</v>
      </c>
      <c r="BL199" s="66" t="str">
        <f t="shared" ref="BL199:BL206" si="532">IF(AND(BB199="",BC199="",BD199="",BF199="",BH199=""),"",IF(AND(BC199="",BB199="",BD199=""),170-BJ199-BK199,IF(AND(BF199=""),130-BJ199-BK199,IF(BH199="",100-BJ199-BK199,200-BJ199-BK199))))</f>
        <v/>
      </c>
      <c r="BM199" s="65"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5" t="str">
        <f t="shared" ref="BN199:BN206" si="534">IF(OR($B199="NSO",$B199="",BH199=""),"",IF(OR(BM199="AB",BH199="ab"),"AB",IF(BH199="ML","RE",IF(BH199&lt;20%*$BH$6,"F",IF(AND(BI199&gt;=36%*BL199,BH199&gt;=20),"P",IF(AND(BI199&gt;=34%*BL199,BK199=0,BH199&gt;=20),"G2",IF(AND(BI199&gt;=31%*BL199,BK199=0,BH199&gt;=20),"G1",IF(BI199&gt;=25%*BL199,"S","F"))))))))</f>
        <v/>
      </c>
      <c r="BO199" s="65" t="str">
        <f t="shared" ref="BO199:BO206" si="535">IF(OR(BN199="",BN199=0,BN199="S",BN199="RE",BN199="F",BN199="AB"),BN199,IF(BI199&gt;=75%*BL199,"D",IF(BI199&gt;=60%*BL199,"I",IF(BI199&gt;=48%*BL199,"II",IF(BI199&gt;=36%*BL199,"III",BN199)))))</f>
        <v/>
      </c>
      <c r="BP199" s="68" t="str">
        <f>IF('Marks Entry'!AG199="","",'Marks Entry'!AG199)</f>
        <v/>
      </c>
      <c r="BQ199" s="68" t="str">
        <f>IF('Marks Entry'!AH199="","",'Marks Entry'!AH199)</f>
        <v/>
      </c>
      <c r="BR199" s="68" t="str">
        <f>IF('Marks Entry'!AI199="","",'Marks Entry'!AI199)</f>
        <v/>
      </c>
      <c r="BS199" s="514" t="str">
        <f t="shared" ref="BS199:BS206" si="536">IF(AND(BP199="",BQ199="",BR199=""),"",SUM(BP199:BR199))</f>
        <v/>
      </c>
      <c r="BT199" s="68" t="str">
        <f>IF('Marks Entry'!AJ199="","",'Marks Entry'!AJ199)</f>
        <v/>
      </c>
      <c r="BU199" s="515" t="str">
        <f t="shared" ref="BU199:BU206" si="537">IF(AND(BS199="",BT199=""),"",SUM(BS199,BT199))</f>
        <v/>
      </c>
      <c r="BV199" s="68" t="str">
        <f>IF('Marks Entry'!AK199="","",'Marks Entry'!AK199)</f>
        <v/>
      </c>
      <c r="BW199" s="96" t="str">
        <f t="shared" ref="BW199:BW206" si="538">IF(AND(BV199="",BU199=""),"",SUM(BU199,BV199))</f>
        <v/>
      </c>
      <c r="BX199" s="65">
        <f t="shared" ref="BX199:BX206" si="539">COUNTIF(BP199:BR199,"NA")*10</f>
        <v>0</v>
      </c>
      <c r="BY199" s="65">
        <f t="shared" ref="BY199:BY206" si="540">(COUNTIF(BP199:BR199,"ML")*10)+(COUNTIF(BT199,"ML")*70)+(COUNTIF(BV199,"ML")*100)</f>
        <v>0</v>
      </c>
      <c r="BZ199" s="66" t="str">
        <f t="shared" ref="BZ199:BZ206" si="541">IF(AND(BP199="",BQ199="",BR199="",BT199="",BV199=""),"",IF(AND(BQ199="",BP199="",BR199=""),170-BX199-BY199,IF(AND(BT199=""),130-BX199-BY199,IF(BV199="",100-BX199-BY199,200-BX199-BY199))))</f>
        <v/>
      </c>
      <c r="CA199" s="65"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5" t="str">
        <f t="shared" ref="CB199:CB206" si="543">IF(OR($B199="NSO",$B199="",BV199=""),"",IF(OR(CA199="AB",BV199="ab"),"AB",IF(BV199="ML","RE",IF(BV199&lt;20%*$BV$6,"F",IF(AND(BW199&gt;=36%*BZ199,BV199&gt;=20),"P",IF(AND(BW199&gt;=34%*BZ199,BY199=0,BV199&gt;=20),"G2",IF(AND(BW199&gt;=31%*BZ199,BY199=0,BV199&gt;=20),"G1",IF(BW199&gt;=25%*BZ199,"S","F"))))))))</f>
        <v/>
      </c>
      <c r="CC199" s="65" t="str">
        <f t="shared" ref="CC199:CC206" si="544">IF(OR(CB199="",CB199=0,CB199="S",CB199="RE",CB199="F",CB199="AB"),CB199,IF(BW199&gt;=75%*BZ199,"D",IF(BW199&gt;=60%*BZ199,"I",IF(BW199&gt;=48%*BZ199,"II",IF(BW199&gt;=36%*BZ199,"III",CB199)))))</f>
        <v/>
      </c>
      <c r="CD199" s="66">
        <f t="shared" ref="CD199:CD206" si="545">SUM(S199,T199,AG199,AH199,AV199,AW199,BJ199,BK199,BX199,BY199,CM199,CN199)</f>
        <v>0</v>
      </c>
      <c r="CE199" s="68" t="str">
        <f>IF('Marks Entry'!AL199="","",'Marks Entry'!AL199)</f>
        <v/>
      </c>
      <c r="CF199" s="68" t="str">
        <f>IF('Marks Entry'!AM199="","",'Marks Entry'!AM199)</f>
        <v/>
      </c>
      <c r="CG199" s="68" t="str">
        <f>IF('Marks Entry'!AN199="","",'Marks Entry'!AN199)</f>
        <v/>
      </c>
      <c r="CH199" s="514" t="str">
        <f t="shared" ref="CH199:CH206" si="546">IF(AND(CE199="",CF199="",CG199=""),"",SUM(CE199:CG199))</f>
        <v/>
      </c>
      <c r="CI199" s="68" t="str">
        <f>IF('Marks Entry'!AO199="","",'Marks Entry'!AO199)</f>
        <v/>
      </c>
      <c r="CJ199" s="515" t="str">
        <f t="shared" ref="CJ199:CJ206" si="547">IF(AND(CH199="",CI199=""),"",SUM(CH199,CI199))</f>
        <v/>
      </c>
      <c r="CK199" s="68" t="str">
        <f>IF('Marks Entry'!AP199="","",'Marks Entry'!AP199)</f>
        <v/>
      </c>
      <c r="CL199" s="96" t="str">
        <f t="shared" ref="CL199:CL206" si="548">IF(AND(CK199="",CJ199=""),"",SUM(CJ199,CK199))</f>
        <v/>
      </c>
      <c r="CM199" s="65">
        <f t="shared" ref="CM199:CM206" si="549">COUNTIF(CE199:CG199,"NA")*10</f>
        <v>0</v>
      </c>
      <c r="CN199" s="65">
        <f t="shared" ref="CN199:CN206" si="550">(COUNTIF(CE199:CG199,"ML")*10)+(COUNTIF(CI199,"ML")*70)+(COUNTIF(CK199,"ML")*100)</f>
        <v>0</v>
      </c>
      <c r="CO199" s="66" t="str">
        <f t="shared" ref="CO199:CO206" si="551">IF(AND(CE199="",CF199="",CG199="",CI199="",CK199=""),"",IF(AND(CF199="",CE199="",CG199=""),170-CM199-CN199,IF(AND(CI199=""),130-CM199-CN199,IF(CK199="",100-CM199-CN199,200-CM199-CN199))))</f>
        <v/>
      </c>
      <c r="CP199" s="65"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5" t="str">
        <f t="shared" ref="CQ199:CQ206" si="553">IF(OR($B199="NSO",$B199="",CK199=""),"",IF(OR(CP199="AB",CK199="ab"),"AB",IF(CK199="ML","RE",IF(CK199&lt;20%*$CK$6,"F",IF(AND(CL199&gt;=36%*CO199,CK199&gt;=20),"P",IF(AND(CL199&gt;=34%*CO199,CN199=0,CK199&gt;=20),"G2",IF(AND(CL199&gt;=31%*CO199,CN199=0,CK199&gt;=20),"G1",IF(CL199&gt;=25%*CO199,"S","F"))))))))</f>
        <v/>
      </c>
      <c r="CR199" s="65" t="str">
        <f t="shared" ref="CR199:CR206" si="554">IF(OR(CQ199="",CQ199=0,CQ199="S",CQ199="RE",CQ199="F",CQ199="AB"),CQ199,IF(CL199&gt;=75%*CO199,"D",IF(CL199&gt;=60%*CO199,"I",IF(CL199&gt;=48%*CO199,"II",IF(CL199&gt;=36%*CO199,"III",CQ199)))))</f>
        <v/>
      </c>
      <c r="CS199" s="616"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8" t="str">
        <f>IF('School Profile'!$D$20="NO","",IF('Marks Entry'!AR199="","",'Marks Entry'!AR199))</f>
        <v/>
      </c>
      <c r="CU199" s="68" t="str">
        <f>IF('School Profile'!$D$20="NO","",IF('Marks Entry'!AS199="","",'Marks Entry'!AS199))</f>
        <v/>
      </c>
      <c r="CV199" s="68" t="str">
        <f>IF('School Profile'!$D$20="NO","",IF('Marks Entry'!AT199="","",'Marks Entry'!AT199))</f>
        <v/>
      </c>
      <c r="CW199" s="514" t="str">
        <f>IF('School Profile'!$D$20="NO","",IF(AND(CT199="",CU199="",CV199=""),"",SUM(CT199:CV199)))</f>
        <v/>
      </c>
      <c r="CX199" s="68" t="str">
        <f>IF('School Profile'!$D$20="NO","",IF('Marks Entry'!AU199="","",'Marks Entry'!AU199))</f>
        <v/>
      </c>
      <c r="CY199" s="68" t="str">
        <f>IF('School Profile'!$D$20="NO","",IF('Marks Entry'!AV199="","",'Marks Entry'!AV199))</f>
        <v/>
      </c>
      <c r="CZ199" s="515" t="str">
        <f>IF('School Profile'!$D$20="NO","",IF(AND(CX199="",CY199=""),"",SUM(CX199,CY199)))</f>
        <v/>
      </c>
      <c r="DA199" s="69" t="str">
        <f>IF('School Profile'!$D$20="NO","",IF(AND(CW199="",CZ199=""),"",SUM(CW199+CZ199)))</f>
        <v/>
      </c>
      <c r="DB199" s="68" t="str">
        <f>IF('School Profile'!$D$20="NO","",IF('Marks Entry'!AW199="","",'Marks Entry'!AW199))</f>
        <v/>
      </c>
      <c r="DC199" s="68" t="str">
        <f>IF('School Profile'!$D$20="NO","",IF('Marks Entry'!AX199="","",'Marks Entry'!AX199))</f>
        <v/>
      </c>
      <c r="DD199" s="515" t="str">
        <f>IF('School Profile'!$D$20="NO","",IF(AND(DB199="",DC199=""),"",SUM(DB199,DC199)))</f>
        <v/>
      </c>
      <c r="DE199" s="96" t="str">
        <f>IF('School Profile'!$D$20="NO","",IF(AND(DA199="",DD199=""),"",SUM(DA199,DD199)))</f>
        <v/>
      </c>
      <c r="DF199" s="532">
        <f t="shared" ref="DF199:DF206" si="555">COUNTIF(CX199:CZ199,"NA")*10</f>
        <v>0</v>
      </c>
      <c r="DG199" s="65">
        <f t="shared" ref="DG199:DG206" si="556">(COUNTIF(CX199:CZ199,"ML")*10)+(COUNTIF(DB199,"ML")*70)+(COUNTIF(DD199,"ML")*100)</f>
        <v>0</v>
      </c>
      <c r="DH199" s="66" t="str">
        <f t="shared" ref="DH199:DH206" si="557">IF(AND(CX199="",CY199="",CZ199="",DB199="",DD199=""),"",IF(AND(CY199="",CX199="",CZ199=""),170-DF199-DG199,IF(AND(DB199=""),130-DF199-DG199,IF(DD199="",100-DF199-DG199,200-DF199-DG199))))</f>
        <v/>
      </c>
      <c r="DI199" s="65"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5" t="str">
        <f t="shared" ref="DJ199:DJ206" si="559">IF(OR($B199="NSO",$B199="",DD199=""),"",IF(OR(DI199="AB",DD199="ab"),"AB",IF(DD199="ML","RE",IF(DD199&lt;20%*$DD$6,"F",IF(AND(DE199&gt;=36%*DH199,DD199&gt;=20),"P",IF(AND(DE199&gt;=34%*DH199,DG199=0,DD199&gt;=20),"G2",IF(AND(DE199&gt;=31%*DH199,DG199=0,DD199&gt;=20),"G1",IF(DE199&gt;=25%*DH199,"S","F"))))))))</f>
        <v/>
      </c>
      <c r="DK199" s="65" t="str">
        <f t="shared" ref="DK199:DK206" si="560">IF(OR(DJ199="",DJ199=0,DJ199="S",DJ199="RE",DJ199="F",DJ199="AB"),DJ199,IF(DE199&gt;=75%*DH199,"D",IF(DE199&gt;=60%*DH199,"I",IF(DE199&gt;=48%*DH199,"II",IF(DE199&gt;=36%*DH199,"III",DJ199)))))</f>
        <v/>
      </c>
      <c r="DL199" s="97" t="str">
        <f t="shared" si="432"/>
        <v/>
      </c>
      <c r="DM199" s="97" t="str">
        <f t="shared" si="433"/>
        <v/>
      </c>
      <c r="DN199" s="97" t="str">
        <f t="shared" si="434"/>
        <v/>
      </c>
      <c r="DO199" s="97" t="str">
        <f t="shared" si="435"/>
        <v/>
      </c>
      <c r="DP199" s="97" t="str">
        <f t="shared" si="436"/>
        <v/>
      </c>
      <c r="DQ199" s="97" t="str">
        <f t="shared" si="437"/>
        <v/>
      </c>
      <c r="DR199" s="97" t="str">
        <f t="shared" si="438"/>
        <v/>
      </c>
      <c r="DS199" s="98">
        <f t="shared" si="439"/>
        <v>0</v>
      </c>
      <c r="DT199" s="98">
        <f t="shared" si="440"/>
        <v>0</v>
      </c>
      <c r="DU199" s="98">
        <f t="shared" si="441"/>
        <v>0</v>
      </c>
      <c r="DV199" s="98">
        <f t="shared" si="442"/>
        <v>0</v>
      </c>
      <c r="DW199" s="98">
        <f t="shared" si="443"/>
        <v>0</v>
      </c>
      <c r="DX199" s="98" t="str">
        <f t="shared" si="444"/>
        <v/>
      </c>
      <c r="DY199" s="99" t="str">
        <f t="shared" si="445"/>
        <v/>
      </c>
      <c r="DZ199" s="74" t="str">
        <f>IF('Marks Entry'!AY199="","",'Marks Entry'!AY199)</f>
        <v/>
      </c>
      <c r="EA199" s="74" t="str">
        <f>IF('Marks Entry'!AZ199="","",'Marks Entry'!AZ199)</f>
        <v/>
      </c>
      <c r="EB199" s="74" t="str">
        <f>IF('Marks Entry'!BA199="","",'Marks Entry'!BA199)</f>
        <v/>
      </c>
      <c r="EC199" s="527" t="str">
        <f t="shared" ref="EC199:EC206" si="561">IF(AND(DZ199="",EA199="",EB199=""),"",SUM(DZ199:EB199))</f>
        <v/>
      </c>
      <c r="ED199" s="74" t="str">
        <f>IF('Marks Entry'!BB199="","",'Marks Entry'!BB199)</f>
        <v/>
      </c>
      <c r="EE199" s="528" t="str">
        <f t="shared" ref="EE199:EE206" si="562">IF(AND(EC199="",ED199=""),"",SUM(EC199,ED199))</f>
        <v/>
      </c>
      <c r="EF199" s="74" t="str">
        <f>IF('Marks Entry'!BC199="","",'Marks Entry'!BC199)</f>
        <v/>
      </c>
      <c r="EG199" s="530" t="str">
        <f t="shared" ref="EG199:EG206" si="563">IF(AND(EF199="",EE199=""),"",SUM(EE199,EF199))</f>
        <v/>
      </c>
      <c r="EH199" s="368" t="str">
        <f t="shared" si="446"/>
        <v/>
      </c>
      <c r="EI199" s="65">
        <f t="shared" si="447"/>
        <v>0</v>
      </c>
      <c r="EJ199" s="65">
        <f t="shared" si="448"/>
        <v>0</v>
      </c>
      <c r="EK199" s="66" t="str">
        <f t="shared" si="449"/>
        <v/>
      </c>
      <c r="EL199" s="74" t="str">
        <f>IF('Marks Entry'!BD199="","",'Marks Entry'!BD199)</f>
        <v/>
      </c>
      <c r="EM199" s="74" t="str">
        <f>IF('Marks Entry'!BE199="","",'Marks Entry'!BE199)</f>
        <v/>
      </c>
      <c r="EN199" s="74" t="str">
        <f>IF('Marks Entry'!BF199="","",'Marks Entry'!BF199)</f>
        <v/>
      </c>
      <c r="EO199" s="527" t="str">
        <f t="shared" ref="EO199:EO206" si="564">IF(AND(EL199="",EM199="",EN199=""),"",SUM(EL199:EN199))</f>
        <v/>
      </c>
      <c r="EP199" s="74" t="str">
        <f>IF('Marks Entry'!BG199="","",'Marks Entry'!BG199)</f>
        <v/>
      </c>
      <c r="EQ199" s="74" t="str">
        <f>IF('Marks Entry'!BH199="","",'Marks Entry'!BH199)</f>
        <v/>
      </c>
      <c r="ER199" s="528" t="str">
        <f t="shared" ref="ER199:ER206" si="565">IF(AND(EP199="",EQ199=""),"",SUM(EP199,EQ199))</f>
        <v/>
      </c>
      <c r="ES199" s="529" t="str">
        <f t="shared" ref="ES199:ES206" si="566">IF(AND(EO199="",ER199=""),"",SUM(EO199+ER199))</f>
        <v/>
      </c>
      <c r="ET199" s="74" t="str">
        <f>IF('Marks Entry'!BI199="","",'Marks Entry'!BI199)</f>
        <v/>
      </c>
      <c r="EU199" s="74" t="str">
        <f>IF('Marks Entry'!BJ199="","",'Marks Entry'!BJ199)</f>
        <v/>
      </c>
      <c r="EV199" s="528" t="str">
        <f t="shared" ref="EV199:EV206" si="567">IF(AND(ET199="",EU199=""),"",SUM(ET199,EU199))</f>
        <v/>
      </c>
      <c r="EW199" s="530" t="str">
        <f t="shared" ref="EW199:EW206" si="568">IF(AND(ES199="",EV199=""),"",SUM(ES199,EV199))</f>
        <v/>
      </c>
      <c r="EX199" s="368" t="str">
        <f t="shared" si="450"/>
        <v/>
      </c>
      <c r="EY199" s="65">
        <f t="shared" si="451"/>
        <v>0</v>
      </c>
      <c r="EZ199" s="65">
        <f t="shared" si="452"/>
        <v>0</v>
      </c>
      <c r="FA199" s="66" t="str">
        <f t="shared" si="453"/>
        <v/>
      </c>
      <c r="FB199" s="74" t="str">
        <f>IF('Marks Entry'!BK199="","",'Marks Entry'!BK199)</f>
        <v/>
      </c>
      <c r="FC199" s="74" t="str">
        <f>IF('Marks Entry'!BL199="","",'Marks Entry'!BL199)</f>
        <v/>
      </c>
      <c r="FD199" s="74" t="str">
        <f>IF('Marks Entry'!BM199="","",'Marks Entry'!BM199)</f>
        <v/>
      </c>
      <c r="FE199" s="74" t="str">
        <f>IF('Marks Entry'!BN199="","",'Marks Entry'!BN199)</f>
        <v/>
      </c>
      <c r="FF199" s="74" t="str">
        <f>IF('Marks Entry'!BO199="","",'Marks Entry'!BO199)</f>
        <v/>
      </c>
      <c r="FG199" s="74" t="str">
        <f>IF('Marks Entry'!BP199="","",'Marks Entry'!BP199)</f>
        <v/>
      </c>
      <c r="FH199" s="527" t="str">
        <f t="shared" ref="FH199:FH206" si="569">IF(AND(FB199="",FC199="",FE199="",FF199="",FG199=""),"",SUM(FB199:FG199))</f>
        <v/>
      </c>
      <c r="FI199" s="74" t="str">
        <f>IF('Marks Entry'!BQ199="","",'Marks Entry'!BQ199)</f>
        <v/>
      </c>
      <c r="FJ199" s="74" t="str">
        <f>IF('Marks Entry'!BR199="","",'Marks Entry'!BR199)</f>
        <v/>
      </c>
      <c r="FK199" s="528" t="str">
        <f t="shared" ref="FK199:FK206" si="570">IF(AND(FI199="",FJ199=""),"",SUM(FI199,FJ199))</f>
        <v/>
      </c>
      <c r="FL199" s="529" t="str">
        <f t="shared" ref="FL199:FL206" si="571">IF(AND(FH199="",FK199=""),"",SUM(FH199+FK199))</f>
        <v/>
      </c>
      <c r="FM199" s="74" t="str">
        <f>IF('Marks Entry'!BS199="","",'Marks Entry'!BS199)</f>
        <v/>
      </c>
      <c r="FN199" s="74" t="str">
        <f>IF('Marks Entry'!BT199="","",'Marks Entry'!BT199)</f>
        <v/>
      </c>
      <c r="FO199" s="528" t="str">
        <f t="shared" ref="FO199:FO206" si="572">IF(AND(FM199="",FN199=""),"",SUM(FM199,FN199))</f>
        <v/>
      </c>
      <c r="FP199" s="530" t="str">
        <f t="shared" ref="FP199:FP206" si="573">IF(AND(FL199="",FO199=""),"",SUM(FL199,FO199))</f>
        <v/>
      </c>
      <c r="FQ199" s="368" t="str">
        <f t="shared" si="454"/>
        <v/>
      </c>
      <c r="FR199" s="65">
        <f t="shared" si="455"/>
        <v>0</v>
      </c>
      <c r="FS199" s="65">
        <f t="shared" si="456"/>
        <v>0</v>
      </c>
      <c r="FT199" s="66" t="str">
        <f t="shared" si="457"/>
        <v/>
      </c>
      <c r="FU199" s="74" t="str">
        <f>IF('Marks Entry'!BU199="","",'Marks Entry'!BU199)</f>
        <v/>
      </c>
      <c r="FV199" s="74" t="str">
        <f>IF('Marks Entry'!BV199="","",'Marks Entry'!BV199)</f>
        <v/>
      </c>
      <c r="FW199" s="74" t="str">
        <f>IF('Marks Entry'!BW199="","",'Marks Entry'!BW199)</f>
        <v/>
      </c>
      <c r="FX199" s="75" t="str">
        <f t="shared" ref="FX199:FX206" si="574">IF(AND(FU199="",FV199="",FW199=""),"",SUM(FU199,FV199,FW199))</f>
        <v/>
      </c>
      <c r="FY199" s="368" t="str">
        <f t="shared" si="458"/>
        <v/>
      </c>
      <c r="FZ199" s="65">
        <f t="shared" si="459"/>
        <v>0</v>
      </c>
      <c r="GA199" s="66">
        <f t="shared" si="460"/>
        <v>0</v>
      </c>
      <c r="GB199" s="66" t="str">
        <f t="shared" si="461"/>
        <v/>
      </c>
      <c r="GC199" s="74" t="str">
        <f>IF('Marks Entry'!BX199="","",'Marks Entry'!BX199)</f>
        <v/>
      </c>
      <c r="GD199" s="74" t="str">
        <f>IF('Marks Entry'!BY199="","",'Marks Entry'!BY199)</f>
        <v/>
      </c>
      <c r="GE199" s="74" t="str">
        <f>IF('Marks Entry'!BZ199="","",'Marks Entry'!BZ199)</f>
        <v/>
      </c>
      <c r="GF199" s="75" t="str">
        <f t="shared" si="462"/>
        <v/>
      </c>
      <c r="GG199" s="368" t="str">
        <f t="shared" si="463"/>
        <v/>
      </c>
      <c r="GH199" s="65">
        <f t="shared" si="464"/>
        <v>0</v>
      </c>
      <c r="GI199" s="66">
        <f t="shared" si="465"/>
        <v>0</v>
      </c>
      <c r="GJ199" s="66" t="str">
        <f t="shared" si="466"/>
        <v/>
      </c>
      <c r="GK199" s="100" t="str">
        <f>IF(AND(F199="",B199=""),"",IF('Student DATA Entry'!M196="","",'Student DATA Entry'!M196))</f>
        <v/>
      </c>
      <c r="GL199" s="101" t="str">
        <f>IF(AND(B199="",F199=""),"",IF('Student DATA Entry'!N196="","",'Student DATA Entry'!N196))</f>
        <v/>
      </c>
      <c r="GM199" s="581" t="str">
        <f t="shared" si="467"/>
        <v/>
      </c>
      <c r="GN199" s="94" t="str">
        <f t="shared" si="468"/>
        <v/>
      </c>
      <c r="GO199" s="94" t="str">
        <f t="shared" si="469"/>
        <v/>
      </c>
      <c r="GP199" s="102" t="str">
        <f t="shared" ref="GP199:GP206" si="575">IF(GN199="G",ROUNDUP(36%*U199-R199,0),"")</f>
        <v/>
      </c>
      <c r="GQ199" s="94" t="str">
        <f t="shared" si="470"/>
        <v/>
      </c>
      <c r="GR199" s="103" t="str">
        <f t="shared" si="471"/>
        <v/>
      </c>
      <c r="GS199" s="102" t="str">
        <f t="shared" ref="GS199:GS206" si="576">IF(GQ199="G",ROUNDUP(36%*AI199-AF199,0),"")</f>
        <v/>
      </c>
      <c r="GT199" s="104" t="str">
        <f t="shared" si="472"/>
        <v/>
      </c>
      <c r="GU199" s="94" t="str">
        <f>IF('Marks Entry'!V199=1,GT199,"")</f>
        <v/>
      </c>
      <c r="GV199" s="94" t="str">
        <f>IF('Marks Entry'!V199=2,GT199,"")</f>
        <v/>
      </c>
      <c r="GW199" s="94" t="str">
        <f>IF('Marks Entry'!V199=3,GT199,"")</f>
        <v/>
      </c>
      <c r="GX199" s="94" t="str">
        <f>IF('Marks Entry'!V199=4,GT199,"")</f>
        <v/>
      </c>
      <c r="GY199" s="94" t="str">
        <f>IF('Marks Entry'!V199=5,GT199,"")</f>
        <v/>
      </c>
      <c r="GZ199" s="94" t="str">
        <f t="shared" si="473"/>
        <v/>
      </c>
      <c r="HA199" s="105" t="str">
        <f t="shared" ref="HA199:HA206" si="577">IF(GT199="G",ROUNDUP(36%*AX199-AU199,0),"")</f>
        <v/>
      </c>
      <c r="HB199" s="94" t="str">
        <f t="shared" si="474"/>
        <v/>
      </c>
      <c r="HC199" s="94" t="str">
        <f t="shared" si="475"/>
        <v/>
      </c>
      <c r="HD199" s="105" t="str">
        <f t="shared" ref="HD199:HD206" si="578">IF(HB199="G",ROUNDUP(36%*BL199-BI199,0),"")</f>
        <v/>
      </c>
      <c r="HE199" s="94" t="str">
        <f t="shared" si="476"/>
        <v/>
      </c>
      <c r="HF199" s="94" t="str">
        <f t="shared" si="477"/>
        <v/>
      </c>
      <c r="HG199" s="105" t="str">
        <f t="shared" ref="HG199:HG206" si="579">IF(HE199="G",ROUNDUP(36%*BZ199-BW199,0),"")</f>
        <v/>
      </c>
      <c r="HH199" s="94" t="str">
        <f t="shared" si="478"/>
        <v/>
      </c>
      <c r="HI199" s="94" t="str">
        <f t="shared" si="479"/>
        <v/>
      </c>
      <c r="HJ199" s="105" t="str">
        <f t="shared" ref="HJ199:HJ206" si="580">IF(HH199="G",ROUNDUP(36%*CO199-CL199,0),"")</f>
        <v/>
      </c>
      <c r="HK199" s="94" t="str">
        <f t="shared" si="480"/>
        <v/>
      </c>
      <c r="HL199" s="94" t="str">
        <f t="shared" si="481"/>
        <v/>
      </c>
      <c r="HM199" s="105" t="str">
        <f t="shared" ref="HM199:HM206" si="581">IF(HK199="G",ROUNDUP(36%*DH199-DE199,0),"")</f>
        <v/>
      </c>
      <c r="HN199" s="367" t="str">
        <f t="shared" si="482"/>
        <v xml:space="preserve">      </v>
      </c>
      <c r="HO199" s="418" t="str">
        <f t="shared" ref="HO199:HO206" si="582">IF(COUNTIF(DL199:DR199,"F")&gt;0,"",CONCATENATE(IF(GN199="S",$GN$5,"")," ",IF(GQ199="S",$GQ$5,"")," ",IF(GU199="S",$GU$5,IF(GV199="S",$GV$5,IF(GW199="S",$GW$5,IF(GX199="S",$GX$5,IF(GY199="S",$GY$5,"")))))," ",IF(HB199="S",$HB$5,"")," ",IF(HE199="S",$HE$5,"")," ",IF(HH199="S",$HH$5,"")," ",IF(HK199="S",$HK$5,"")))</f>
        <v xml:space="preserve">      </v>
      </c>
      <c r="HP199" s="367" t="str">
        <f t="shared" si="483"/>
        <v xml:space="preserve">      </v>
      </c>
      <c r="HQ199" s="107" t="str">
        <f t="shared" si="484"/>
        <v xml:space="preserve">      </v>
      </c>
      <c r="HR199" s="366" t="str">
        <f t="shared" si="485"/>
        <v xml:space="preserve">      </v>
      </c>
      <c r="HS199" s="544" t="str">
        <f t="shared" ref="HS199:HS206" si="583">IF(B199="NSO","NSO",IF(AND(OR(DY199="PASS",DY199="BY GRACE PASS",DY199="RE-EXAM"),DX199="F"),"FAIL",IF(AND(OR(DY199="PASS",DY199="BY GRACE PASS"),DX199="RE"),"RE-EXAM",DY199)))</f>
        <v/>
      </c>
      <c r="HT199" s="542" t="str">
        <f t="shared" si="486"/>
        <v/>
      </c>
      <c r="HU199" s="541" t="str">
        <f t="shared" si="487"/>
        <v/>
      </c>
      <c r="HV199" s="540" t="str">
        <f t="shared" si="488"/>
        <v/>
      </c>
      <c r="HW199" s="537" t="str">
        <f t="shared" si="489"/>
        <v/>
      </c>
      <c r="HX199" s="539" t="str">
        <f t="shared" si="490"/>
        <v/>
      </c>
      <c r="HY199" s="553" t="str">
        <f>IFERROR(IF(OR(HS199="SUPPLEMENTARY",HS199="RE-EXAM"),'Supp. Result Entry'!AQ197,""),"")</f>
        <v/>
      </c>
      <c r="HZ199" s="538" t="str">
        <f t="shared" si="491"/>
        <v/>
      </c>
      <c r="IA199" s="415" t="str">
        <f t="shared" si="492"/>
        <v/>
      </c>
      <c r="IB199" s="415" t="str">
        <f>IF(AND(HZ199="",IA199=""),"",IF(OR(HS199="SUPPLEMENTARY",HS199="RE-EXAM"),'Supp. Result Entry'!AQ197,HS199))</f>
        <v/>
      </c>
      <c r="IC199" s="87"/>
      <c r="IS199" s="109" t="str">
        <f>IF('Supp. Result Entry'!T197="","",'Supp. Result Entry'!$T$4)</f>
        <v/>
      </c>
      <c r="IT199" s="110" t="str">
        <f>IF('Supp. Result Entry'!W197="","",'Supp. Result Entry'!$W$4)</f>
        <v/>
      </c>
      <c r="IU199" s="110" t="str">
        <f>IF('Supp. Result Entry'!Z197="","",'Supp. Result Entry'!$Z$4)</f>
        <v/>
      </c>
      <c r="IV199" s="110" t="str">
        <f>IF('Supp. Result Entry'!AC197="","",'Supp. Result Entry'!$AC$4)</f>
        <v/>
      </c>
      <c r="IW199" s="110" t="str">
        <f>IF('Supp. Result Entry'!AF197="","",'Supp. Result Entry'!$AF$4)</f>
        <v/>
      </c>
      <c r="IX199" s="110" t="str">
        <f>IF('Supp. Result Entry'!AI197="","",'Supp. Result Entry'!$AI$4)</f>
        <v/>
      </c>
      <c r="IY199" s="110" t="str">
        <f>IF('Supp. Result Entry'!AI197="","",'Supp. Result Entry'!$AL$4)</f>
        <v/>
      </c>
      <c r="IZ199" s="110" t="str">
        <f>IF('Supp. Result Entry'!U197="","",'Supp. Result Entry'!U197)</f>
        <v/>
      </c>
      <c r="JA199" s="110" t="str">
        <f>IF('Supp. Result Entry'!X197="","",'Supp. Result Entry'!X197)</f>
        <v/>
      </c>
      <c r="JB199" s="110" t="str">
        <f>IF('Supp. Result Entry'!AA197="","",'Supp. Result Entry'!AA197)</f>
        <v/>
      </c>
      <c r="JC199" s="110" t="str">
        <f>IF('Supp. Result Entry'!AD197="","",'Supp. Result Entry'!AD197)</f>
        <v/>
      </c>
      <c r="JD199" s="110" t="str">
        <f>IF('Supp. Result Entry'!AG197="","",'Supp. Result Entry'!AG197)</f>
        <v/>
      </c>
      <c r="JE199" s="110" t="str">
        <f>IF('Supp. Result Entry'!AJ197="","",'Supp. Result Entry'!AJ197)</f>
        <v/>
      </c>
      <c r="JF199" s="110" t="str">
        <f>IF('Supp. Result Entry'!AM197="","",'Supp. Result Entry'!AM197)</f>
        <v/>
      </c>
      <c r="JG199" s="110" t="str">
        <f>IF('Supp. Result Entry'!V197="","",'Supp. Result Entry'!V197)</f>
        <v/>
      </c>
      <c r="JH199" s="110" t="str">
        <f>IF('Supp. Result Entry'!Y197="","",'Supp. Result Entry'!Y197)</f>
        <v/>
      </c>
      <c r="JI199" s="110" t="str">
        <f>IF('Supp. Result Entry'!AB197="","",'Supp. Result Entry'!AB197)</f>
        <v/>
      </c>
      <c r="JJ199" s="110" t="str">
        <f>IF('Supp. Result Entry'!AE197="","",'Supp. Result Entry'!AE197)</f>
        <v/>
      </c>
      <c r="JK199" s="110" t="str">
        <f>IF('Supp. Result Entry'!AH197="","",'Supp. Result Entry'!AH197)</f>
        <v/>
      </c>
      <c r="JL199" s="110" t="str">
        <f>IF('Supp. Result Entry'!AK197="","",'Supp. Result Entry'!AK197)</f>
        <v/>
      </c>
      <c r="JM199" s="110" t="str">
        <f>IF('Supp. Result Entry'!AN197="","",'Supp. Result Entry'!AN197)</f>
        <v/>
      </c>
      <c r="JN199" s="110">
        <f>COUNTIF('Supp. Result Entry'!K197:Q197,"S")</f>
        <v>0</v>
      </c>
      <c r="JO199" s="110">
        <f t="shared" ref="JO199:JO218" si="584">COUNTIF(GN199:HM199,"RE")+COUNTIF(GN199:HM199,"REP")</f>
        <v>0</v>
      </c>
      <c r="JP199" s="110">
        <f t="shared" si="493"/>
        <v>0</v>
      </c>
      <c r="JQ199" s="110" t="str">
        <f t="shared" ref="JQ199:JQ218" si="585">IF(OR(JN199=0,JN199&lt;JP199),"",IF(OR(GN199="RE",GN199="REP"),SUM(R199,IZ199),IF(GN199="S",IZ199,R199)))</f>
        <v/>
      </c>
      <c r="JR199" s="110" t="str">
        <f t="shared" ref="JR199:JR218" si="586">IF(OR(JN199=0,JN199&lt;JP199),"",IF(OR(GQ199="RE",GQ199="REP"),SUM(AF199,JA199),IF(GQ199="S",JA199,AF199)))</f>
        <v/>
      </c>
      <c r="JS199" s="110" t="str">
        <f t="shared" ref="JS199:JS218" si="587">IF(OR(JN199=0,JN199&lt;JP199),"",IF(OR(GT199="RE",GT199="REP"),SUM(AU199,JB199),IF(GT199="S",JB199,AU199)))</f>
        <v/>
      </c>
      <c r="JT199" s="110" t="str">
        <f t="shared" ref="JT199:JT218" si="588">IF(OR(JN199=0,JN199&lt;JP199),"",IF(OR(HB199="RE",HB199="REP"),SUM(BI199,JC199),IF(HB199="S",JC199,BI199)))</f>
        <v/>
      </c>
      <c r="JU199" s="110" t="str">
        <f t="shared" ref="JU199:JU218" si="589">IF(OR(JN199=0,JN199&lt;JP199),"",IF(OR(HE199="RE",HE199="REP"),SUM(BW199,JD199),IF(HE199="S",JD199,BW199)))</f>
        <v/>
      </c>
      <c r="JV199" s="110" t="str">
        <f t="shared" ref="JV199:JV218" si="590">IF(OR(JN199=0,JN199&lt;JP199),"",IF(OR(HH199="RE",HH199="REP"),SUM(CL199,JE199),IF(HH199="S",JE199,CL199)))</f>
        <v/>
      </c>
      <c r="JW199" s="110" t="str">
        <f t="shared" ref="JW199:JW218" si="591">IF(OR(JN199=0,JN199&lt;JP199),"",IF(OR(HK199="RE",HK199="REP"),SUM(DE199,JF199),IF(HK199="S",JF199,DE199)))</f>
        <v/>
      </c>
      <c r="JX199" s="110" t="str">
        <f t="shared" si="494"/>
        <v/>
      </c>
      <c r="JY199" s="110" t="str">
        <f t="shared" si="495"/>
        <v/>
      </c>
      <c r="JZ199" s="110" t="str">
        <f t="shared" ref="JZ199:JZ218" si="592">IF(OR(JN199=0,JN199&lt;JP199),"",SUM(($R$6+$AF$6+$AU$6+$BI$6+$BW$6+$CL$6))-(JP199*100))</f>
        <v/>
      </c>
      <c r="KA199" s="108" t="str">
        <f t="shared" si="496"/>
        <v/>
      </c>
    </row>
    <row r="200" spans="1:287" s="108" customFormat="1" ht="21.95" customHeight="1">
      <c r="A200" s="89">
        <v>194</v>
      </c>
      <c r="B200" s="90" t="str">
        <f>IF('Marks Entry'!B200="","",'Marks Entry'!B200)</f>
        <v/>
      </c>
      <c r="C200" s="94" t="str">
        <f>IF('Marks Entry'!D200="","",'Marks Entry'!D200)</f>
        <v/>
      </c>
      <c r="D200" s="91" t="str">
        <f>IF('Marks Entry'!E200="","",'Marks Entry'!E200)</f>
        <v/>
      </c>
      <c r="E200" s="92" t="str">
        <f>IF('Marks Entry'!F200="","",'Marks Entry'!F200)</f>
        <v/>
      </c>
      <c r="F200" s="93" t="str">
        <f>IF('Marks Entry'!G200="","",'Marks Entry'!G200)</f>
        <v/>
      </c>
      <c r="G200" s="93" t="str">
        <f>IF('Marks Entry'!H200="","",'Marks Entry'!H200)</f>
        <v/>
      </c>
      <c r="H200" s="93" t="str">
        <f>IF('Marks Entry'!I200="","",'Marks Entry'!I200)</f>
        <v/>
      </c>
      <c r="I200" s="94" t="str">
        <f>IF('Marks Entry'!J200="","",'Marks Entry'!J200)</f>
        <v/>
      </c>
      <c r="J200" s="95" t="str">
        <f>IF('Marks Entry'!K200="","",'Marks Entry'!K200)</f>
        <v/>
      </c>
      <c r="K200" s="68" t="str">
        <f>IF('Marks Entry'!L200="","",'Marks Entry'!L200)</f>
        <v/>
      </c>
      <c r="L200" s="68" t="str">
        <f>IF('Marks Entry'!M200="","",'Marks Entry'!M200)</f>
        <v/>
      </c>
      <c r="M200" s="68" t="str">
        <f>IF('Marks Entry'!N200="","",'Marks Entry'!N200)</f>
        <v/>
      </c>
      <c r="N200" s="514" t="str">
        <f t="shared" ref="N200:N206" si="593">IF(AND(K200="",L200="",M200=""),"",IF(AND(K200="AB",L200="AB",M200="AB"),"AB",IF(AND(K200="ML",L200="ML",M200="ML"),"ML",SUM(K200:M200))))</f>
        <v/>
      </c>
      <c r="O200" s="68" t="str">
        <f>IF('Marks Entry'!O200="","",'Marks Entry'!O200)</f>
        <v/>
      </c>
      <c r="P200" s="515" t="str">
        <f t="shared" ref="P200:P206" si="594">IF(AND(N200="",O200=""),"",SUM(N200,O200))</f>
        <v/>
      </c>
      <c r="Q200" s="68" t="str">
        <f>IF('Marks Entry'!P200="","",'Marks Entry'!P200)</f>
        <v/>
      </c>
      <c r="R200" s="96" t="str">
        <f t="shared" ref="R200:R206" si="595">IF(AND(P200="",Q200=""),"",SUM(Q200,P200))</f>
        <v/>
      </c>
      <c r="S200" s="65">
        <f t="shared" ref="S200:S206" si="596">COUNTIF(K200:M200,"NA")*$K$6</f>
        <v>0</v>
      </c>
      <c r="T200" s="65">
        <f t="shared" ref="T200:T206" si="597">(COUNTIF(K200:M200,"ML")*$K$6)+(COUNTIF(O200,"ML")*$O$6)+(COUNTIF(Q200,"ML")*$Q$6)</f>
        <v>0</v>
      </c>
      <c r="U200" s="66" t="str">
        <f t="shared" si="507"/>
        <v/>
      </c>
      <c r="V200" s="65" t="str">
        <f t="shared" si="508"/>
        <v/>
      </c>
      <c r="W200" s="65" t="str">
        <f t="shared" ref="W200:W206" si="598">IF(OR($B200="NSO",$B200="",Q200=""),"",IF(OR(V200="AB",Q200="ab"),"AB",IF(Q200="ML","RE",IF(Q200&lt;20%*$Q$6,"F",IF(AND(R200&gt;=36%*U200,Q200&gt;=20%*$Q$6),"P",IF(AND(R200&gt;=34%*U200,T200=0,Q200&gt;=20%*$Q$6),"G2",IF(AND(R200&gt;=31%*U200,T200=0,Q200&gt;=20%*$Q$6),"G1",IF(R200&gt;=25%*U200,"S","F"))))))))</f>
        <v/>
      </c>
      <c r="X200" s="65" t="str">
        <f t="shared" si="509"/>
        <v/>
      </c>
      <c r="Y200" s="68" t="str">
        <f>IF('Marks Entry'!Q200="","",'Marks Entry'!Q200)</f>
        <v/>
      </c>
      <c r="Z200" s="68" t="str">
        <f>IF('Marks Entry'!R200="","",'Marks Entry'!R200)</f>
        <v/>
      </c>
      <c r="AA200" s="68" t="str">
        <f>IF('Marks Entry'!S200="","",'Marks Entry'!S200)</f>
        <v/>
      </c>
      <c r="AB200" s="514" t="str">
        <f t="shared" si="510"/>
        <v/>
      </c>
      <c r="AC200" s="68" t="str">
        <f>IF('Marks Entry'!T200="","",'Marks Entry'!T200)</f>
        <v/>
      </c>
      <c r="AD200" s="515" t="str">
        <f t="shared" si="511"/>
        <v/>
      </c>
      <c r="AE200" s="68" t="str">
        <f>IF('Marks Entry'!U200="","",'Marks Entry'!U200)</f>
        <v/>
      </c>
      <c r="AF200" s="96" t="str">
        <f t="shared" si="512"/>
        <v/>
      </c>
      <c r="AG200" s="65">
        <f t="shared" si="513"/>
        <v>0</v>
      </c>
      <c r="AH200" s="65">
        <f t="shared" si="514"/>
        <v>0</v>
      </c>
      <c r="AI200" s="66" t="str">
        <f t="shared" si="515"/>
        <v/>
      </c>
      <c r="AJ200" s="65" t="str">
        <f t="shared" si="516"/>
        <v/>
      </c>
      <c r="AK200" s="65" t="str">
        <f t="shared" si="517"/>
        <v/>
      </c>
      <c r="AL200" s="65" t="str">
        <f t="shared" si="518"/>
        <v/>
      </c>
      <c r="AM200" s="524" t="str">
        <f>IF('Marks Entry'!V200="","",IF('Marks Entry'!V200=1,'School Profile'!$I$9,IF('Marks Entry'!V200=2,'School Profile'!$I$10,IF('Marks Entry'!V200=3,'School Profile'!$I$11,IF('Marks Entry'!V200=4,'School Profile'!$I$12,IF('Marks Entry'!V200=5,'School Profile'!$I$13,IF('Marks Entry'!V200=6,'School Profile'!$I$14,"")))))))</f>
        <v/>
      </c>
      <c r="AN200" s="68" t="str">
        <f>IF('Marks Entry'!W200="","",'Marks Entry'!W200)</f>
        <v/>
      </c>
      <c r="AO200" s="68" t="str">
        <f>IF('Marks Entry'!X200="","",'Marks Entry'!X200)</f>
        <v/>
      </c>
      <c r="AP200" s="68" t="str">
        <f>IF('Marks Entry'!Y200="","",'Marks Entry'!Y200)</f>
        <v/>
      </c>
      <c r="AQ200" s="514" t="str">
        <f t="shared" si="519"/>
        <v/>
      </c>
      <c r="AR200" s="68" t="str">
        <f>IF('Marks Entry'!Z200="","",'Marks Entry'!Z200)</f>
        <v/>
      </c>
      <c r="AS200" s="515" t="str">
        <f t="shared" si="520"/>
        <v/>
      </c>
      <c r="AT200" s="68" t="str">
        <f>IF('Marks Entry'!AA200="","",'Marks Entry'!AA200)</f>
        <v/>
      </c>
      <c r="AU200" s="96" t="str">
        <f t="shared" si="521"/>
        <v/>
      </c>
      <c r="AV200" s="65">
        <f t="shared" si="522"/>
        <v>0</v>
      </c>
      <c r="AW200" s="65">
        <f t="shared" si="523"/>
        <v>0</v>
      </c>
      <c r="AX200" s="66" t="str">
        <f t="shared" si="524"/>
        <v/>
      </c>
      <c r="AY200" s="65" t="str">
        <f t="shared" si="525"/>
        <v/>
      </c>
      <c r="AZ200" s="65" t="str">
        <f t="shared" si="526"/>
        <v/>
      </c>
      <c r="BA200" s="65" t="str">
        <f t="shared" si="527"/>
        <v/>
      </c>
      <c r="BB200" s="68" t="str">
        <f>IF('Marks Entry'!AB200="","",'Marks Entry'!AB200)</f>
        <v/>
      </c>
      <c r="BC200" s="68" t="str">
        <f>IF('Marks Entry'!AC200="","",'Marks Entry'!AC200)</f>
        <v/>
      </c>
      <c r="BD200" s="68" t="str">
        <f>IF('Marks Entry'!AD200="","",'Marks Entry'!AD200)</f>
        <v/>
      </c>
      <c r="BE200" s="514" t="str">
        <f t="shared" si="528"/>
        <v/>
      </c>
      <c r="BF200" s="68" t="str">
        <f>IF('Marks Entry'!AE200="","",'Marks Entry'!AE200)</f>
        <v/>
      </c>
      <c r="BG200" s="515" t="str">
        <f t="shared" si="529"/>
        <v/>
      </c>
      <c r="BH200" s="68" t="str">
        <f>IF('Marks Entry'!AF200="","",'Marks Entry'!AF200)</f>
        <v/>
      </c>
      <c r="BI200" s="96" t="str">
        <f t="shared" si="530"/>
        <v/>
      </c>
      <c r="BJ200" s="65">
        <f t="shared" si="531"/>
        <v>0</v>
      </c>
      <c r="BK200" s="65">
        <f t="shared" ref="BK200:BK206" si="599">(COUNTIF(BB200:BD200,"ML")*10)+(COUNTIF(BF200,"ML")*$BF$6)+(COUNTIF(BH200,"ML")*$BH$6)</f>
        <v>0</v>
      </c>
      <c r="BL200" s="66" t="str">
        <f t="shared" si="532"/>
        <v/>
      </c>
      <c r="BM200" s="65" t="str">
        <f t="shared" si="533"/>
        <v/>
      </c>
      <c r="BN200" s="65" t="str">
        <f t="shared" si="534"/>
        <v/>
      </c>
      <c r="BO200" s="65" t="str">
        <f t="shared" si="535"/>
        <v/>
      </c>
      <c r="BP200" s="68" t="str">
        <f>IF('Marks Entry'!AG200="","",'Marks Entry'!AG200)</f>
        <v/>
      </c>
      <c r="BQ200" s="68" t="str">
        <f>IF('Marks Entry'!AH200="","",'Marks Entry'!AH200)</f>
        <v/>
      </c>
      <c r="BR200" s="68" t="str">
        <f>IF('Marks Entry'!AI200="","",'Marks Entry'!AI200)</f>
        <v/>
      </c>
      <c r="BS200" s="514" t="str">
        <f t="shared" si="536"/>
        <v/>
      </c>
      <c r="BT200" s="68" t="str">
        <f>IF('Marks Entry'!AJ200="","",'Marks Entry'!AJ200)</f>
        <v/>
      </c>
      <c r="BU200" s="515" t="str">
        <f t="shared" si="537"/>
        <v/>
      </c>
      <c r="BV200" s="68" t="str">
        <f>IF('Marks Entry'!AK200="","",'Marks Entry'!AK200)</f>
        <v/>
      </c>
      <c r="BW200" s="96" t="str">
        <f t="shared" si="538"/>
        <v/>
      </c>
      <c r="BX200" s="65">
        <f t="shared" si="539"/>
        <v>0</v>
      </c>
      <c r="BY200" s="65">
        <f t="shared" si="540"/>
        <v>0</v>
      </c>
      <c r="BZ200" s="66" t="str">
        <f t="shared" si="541"/>
        <v/>
      </c>
      <c r="CA200" s="65" t="str">
        <f t="shared" si="542"/>
        <v/>
      </c>
      <c r="CB200" s="65" t="str">
        <f t="shared" si="543"/>
        <v/>
      </c>
      <c r="CC200" s="65" t="str">
        <f t="shared" si="544"/>
        <v/>
      </c>
      <c r="CD200" s="66">
        <f t="shared" si="545"/>
        <v>0</v>
      </c>
      <c r="CE200" s="68" t="str">
        <f>IF('Marks Entry'!AL200="","",'Marks Entry'!AL200)</f>
        <v/>
      </c>
      <c r="CF200" s="68" t="str">
        <f>IF('Marks Entry'!AM200="","",'Marks Entry'!AM200)</f>
        <v/>
      </c>
      <c r="CG200" s="68" t="str">
        <f>IF('Marks Entry'!AN200="","",'Marks Entry'!AN200)</f>
        <v/>
      </c>
      <c r="CH200" s="514" t="str">
        <f t="shared" si="546"/>
        <v/>
      </c>
      <c r="CI200" s="68" t="str">
        <f>IF('Marks Entry'!AO200="","",'Marks Entry'!AO200)</f>
        <v/>
      </c>
      <c r="CJ200" s="515" t="str">
        <f t="shared" si="547"/>
        <v/>
      </c>
      <c r="CK200" s="68" t="str">
        <f>IF('Marks Entry'!AP200="","",'Marks Entry'!AP200)</f>
        <v/>
      </c>
      <c r="CL200" s="96" t="str">
        <f t="shared" si="548"/>
        <v/>
      </c>
      <c r="CM200" s="65">
        <f t="shared" si="549"/>
        <v>0</v>
      </c>
      <c r="CN200" s="65">
        <f t="shared" si="550"/>
        <v>0</v>
      </c>
      <c r="CO200" s="66" t="str">
        <f t="shared" si="551"/>
        <v/>
      </c>
      <c r="CP200" s="65" t="str">
        <f t="shared" si="552"/>
        <v/>
      </c>
      <c r="CQ200" s="65" t="str">
        <f t="shared" si="553"/>
        <v/>
      </c>
      <c r="CR200" s="65" t="str">
        <f t="shared" si="554"/>
        <v/>
      </c>
      <c r="CS200" s="616"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8" t="str">
        <f>IF('School Profile'!$D$20="NO","",IF('Marks Entry'!AR200="","",'Marks Entry'!AR200))</f>
        <v/>
      </c>
      <c r="CU200" s="68" t="str">
        <f>IF('School Profile'!$D$20="NO","",IF('Marks Entry'!AS200="","",'Marks Entry'!AS200))</f>
        <v/>
      </c>
      <c r="CV200" s="68" t="str">
        <f>IF('School Profile'!$D$20="NO","",IF('Marks Entry'!AT200="","",'Marks Entry'!AT200))</f>
        <v/>
      </c>
      <c r="CW200" s="514" t="str">
        <f>IF('School Profile'!$D$20="NO","",IF(AND(CT200="",CU200="",CV200=""),"",SUM(CT200:CV200)))</f>
        <v/>
      </c>
      <c r="CX200" s="68" t="str">
        <f>IF('School Profile'!$D$20="NO","",IF('Marks Entry'!AU200="","",'Marks Entry'!AU200))</f>
        <v/>
      </c>
      <c r="CY200" s="68" t="str">
        <f>IF('School Profile'!$D$20="NO","",IF('Marks Entry'!AV200="","",'Marks Entry'!AV200))</f>
        <v/>
      </c>
      <c r="CZ200" s="515" t="str">
        <f>IF('School Profile'!$D$20="NO","",IF(AND(CX200="",CY200=""),"",SUM(CX200,CY200)))</f>
        <v/>
      </c>
      <c r="DA200" s="69" t="str">
        <f>IF('School Profile'!$D$20="NO","",IF(AND(CW200="",CZ200=""),"",SUM(CW200+CZ200)))</f>
        <v/>
      </c>
      <c r="DB200" s="68" t="str">
        <f>IF('School Profile'!$D$20="NO","",IF('Marks Entry'!AW200="","",'Marks Entry'!AW200))</f>
        <v/>
      </c>
      <c r="DC200" s="68" t="str">
        <f>IF('School Profile'!$D$20="NO","",IF('Marks Entry'!AX200="","",'Marks Entry'!AX200))</f>
        <v/>
      </c>
      <c r="DD200" s="515" t="str">
        <f>IF('School Profile'!$D$20="NO","",IF(AND(DB200="",DC200=""),"",SUM(DB200,DC200)))</f>
        <v/>
      </c>
      <c r="DE200" s="96" t="str">
        <f>IF('School Profile'!$D$20="NO","",IF(AND(DA200="",DD200=""),"",SUM(DA200,DD200)))</f>
        <v/>
      </c>
      <c r="DF200" s="532">
        <f t="shared" si="555"/>
        <v>0</v>
      </c>
      <c r="DG200" s="65">
        <f t="shared" si="556"/>
        <v>0</v>
      </c>
      <c r="DH200" s="66" t="str">
        <f t="shared" si="557"/>
        <v/>
      </c>
      <c r="DI200" s="65" t="str">
        <f t="shared" si="558"/>
        <v/>
      </c>
      <c r="DJ200" s="65" t="str">
        <f t="shared" si="559"/>
        <v/>
      </c>
      <c r="DK200" s="65" t="str">
        <f t="shared" si="560"/>
        <v/>
      </c>
      <c r="DL200" s="97" t="str">
        <f t="shared" ref="DL200:DL206" si="600">X200</f>
        <v/>
      </c>
      <c r="DM200" s="97" t="str">
        <f t="shared" ref="DM200:DM206" si="601">AL200</f>
        <v/>
      </c>
      <c r="DN200" s="97" t="str">
        <f t="shared" ref="DN200:DN206" si="602">BA200</f>
        <v/>
      </c>
      <c r="DO200" s="97" t="str">
        <f t="shared" ref="DO200:DO206" si="603">BO200</f>
        <v/>
      </c>
      <c r="DP200" s="97" t="str">
        <f t="shared" ref="DP200:DP206" si="604">CC200</f>
        <v/>
      </c>
      <c r="DQ200" s="97" t="str">
        <f t="shared" ref="DQ200:DQ206" si="605">CR200</f>
        <v/>
      </c>
      <c r="DR200" s="97" t="str">
        <f t="shared" ref="DR200:DR206" si="606">DK200</f>
        <v/>
      </c>
      <c r="DS200" s="98">
        <f t="shared" ref="DS200:DS206" si="607">COUNTIF(DL200:DR200,"F")+COUNTIF(DL200:DR200,"AB")</f>
        <v>0</v>
      </c>
      <c r="DT200" s="98">
        <f t="shared" ref="DT200:DT206" si="608">COUNTIF(DL200:DR200,"S")</f>
        <v>0</v>
      </c>
      <c r="DU200" s="98">
        <f t="shared" ref="DU200:DU206" si="609">COUNTIF(DL200:DR200,"G1")</f>
        <v>0</v>
      </c>
      <c r="DV200" s="98">
        <f t="shared" ref="DV200:DV206" si="610">COUNTIF(DL200:DR200,"G2")</f>
        <v>0</v>
      </c>
      <c r="DW200" s="98">
        <f t="shared" ref="DW200:DW206" si="611">COUNTIF(DL200:DR200,"RE")+COUNTIF(DL200:DR200,"REP")</f>
        <v>0</v>
      </c>
      <c r="DX200" s="98" t="str">
        <f t="shared" ref="DX200:DX206" si="612">IF(OR(DK200="AB",DK200="F"),"F",IF(OR(DK200="RE"),"RE",""))</f>
        <v/>
      </c>
      <c r="DY200" s="99" t="str">
        <f t="shared" ref="DY200:DY206" si="613">IF(B200="NSO","NSO",IF(OR(B200="",B200=0,Q200="",AE200="",AT200="",BH200="",BV200="",CK200=""),"",IF(OR(DS200&gt;0,(DT200+DU200+DV200)&gt;2),"FAIL",IF(DW200&gt;0,"RE-EXAM",IF(OR(DT200&gt;0,DU200&gt;1),"SUPPLEMENTARY",IF(AND(DU200&gt;0,DV200&gt;0),"SUPPLEMENTARY",IF((DU200+DV200)&gt;0,"BY GRACE PASS","PASS")))))))</f>
        <v/>
      </c>
      <c r="DZ200" s="74" t="str">
        <f>IF('Marks Entry'!AY200="","",'Marks Entry'!AY200)</f>
        <v/>
      </c>
      <c r="EA200" s="74" t="str">
        <f>IF('Marks Entry'!AZ200="","",'Marks Entry'!AZ200)</f>
        <v/>
      </c>
      <c r="EB200" s="74" t="str">
        <f>IF('Marks Entry'!BA200="","",'Marks Entry'!BA200)</f>
        <v/>
      </c>
      <c r="EC200" s="527" t="str">
        <f t="shared" si="561"/>
        <v/>
      </c>
      <c r="ED200" s="74" t="str">
        <f>IF('Marks Entry'!BB200="","",'Marks Entry'!BB200)</f>
        <v/>
      </c>
      <c r="EE200" s="528" t="str">
        <f t="shared" si="562"/>
        <v/>
      </c>
      <c r="EF200" s="74" t="str">
        <f>IF('Marks Entry'!BC200="","",'Marks Entry'!BC200)</f>
        <v/>
      </c>
      <c r="EG200" s="530" t="str">
        <f t="shared" si="563"/>
        <v/>
      </c>
      <c r="EH200" s="368" t="str">
        <f t="shared" ref="EH200:EH206" si="614">IF(OR($B200="NSO",$B200=0,EG200=""),"",IF(OR(EG200="AB",EE200="AB",EF200="AB"),"AB",IF(AND(DY200="FAIL",(OR(EG200&lt;36%*EK200))),"D",IF(OR(EF200="ML",EF200&lt;20%*EF$6,EG200&lt;36%*EK200),"D",IF(EG200&gt;80%*EK200,"A",IF(EG200&gt;60%*EK200,"B",IF(EG200&gt;40%*EK200,"C","D")))))))</f>
        <v/>
      </c>
      <c r="EI200" s="65">
        <f t="shared" ref="EI200:EI206" si="615">COUNTIF(DZ200:EB200,"NA")*10</f>
        <v>0</v>
      </c>
      <c r="EJ200" s="65">
        <f t="shared" ref="EJ200:EJ206" si="616">(COUNTIF(DZ200:EB200,"ML")*10)+(COUNTIF(ED200,"ML")*70)+(COUNTIF(EF200,"ML")*100)</f>
        <v>0</v>
      </c>
      <c r="EK200" s="66" t="str">
        <f t="shared" ref="EK200:EK206" si="617">IF(OR($B200="NSO",$B200=0),"",IF(AND(DZ200="",EA200="",EC200="",EE200=""),"",IF(AND(EA200="",EC200="",ED200="",EE200="",EF200=""),($DZ$6)-EI200-EJ200,IF(AND(DZ200="",EC200="",ED200="",EE200="",EF200=""),($EA$6)-EI200-EJ200,IF(AND(EC200="",ED200="",EE200="",EF200=""),($DZ$6+$EA$6)-EI200-EJ200,IF(AND(EE200="",EF200=""),($EC$6+$ED$6)-EI200-EJ200,($EG$6)-EI200-EJ200))))))</f>
        <v/>
      </c>
      <c r="EL200" s="74" t="str">
        <f>IF('Marks Entry'!BD200="","",'Marks Entry'!BD200)</f>
        <v/>
      </c>
      <c r="EM200" s="74" t="str">
        <f>IF('Marks Entry'!BE200="","",'Marks Entry'!BE200)</f>
        <v/>
      </c>
      <c r="EN200" s="74" t="str">
        <f>IF('Marks Entry'!BF200="","",'Marks Entry'!BF200)</f>
        <v/>
      </c>
      <c r="EO200" s="527" t="str">
        <f t="shared" si="564"/>
        <v/>
      </c>
      <c r="EP200" s="74" t="str">
        <f>IF('Marks Entry'!BG200="","",'Marks Entry'!BG200)</f>
        <v/>
      </c>
      <c r="EQ200" s="74" t="str">
        <f>IF('Marks Entry'!BH200="","",'Marks Entry'!BH200)</f>
        <v/>
      </c>
      <c r="ER200" s="528" t="str">
        <f t="shared" si="565"/>
        <v/>
      </c>
      <c r="ES200" s="529" t="str">
        <f t="shared" si="566"/>
        <v/>
      </c>
      <c r="ET200" s="74" t="str">
        <f>IF('Marks Entry'!BI200="","",'Marks Entry'!BI200)</f>
        <v/>
      </c>
      <c r="EU200" s="74" t="str">
        <f>IF('Marks Entry'!BJ200="","",'Marks Entry'!BJ200)</f>
        <v/>
      </c>
      <c r="EV200" s="528" t="str">
        <f t="shared" si="567"/>
        <v/>
      </c>
      <c r="EW200" s="530" t="str">
        <f t="shared" si="568"/>
        <v/>
      </c>
      <c r="EX200" s="368" t="str">
        <f t="shared" ref="EX200:EX206" si="618">IF(OR($B200="NSO",$B200=0,EW200=""),"",IF(OR(ET200="AB",EU200="AB",EV200="AB"),"AB",IF(AND($DY200="FAIL",(OR(EW200&lt;36%*FA200))),"D",IF(OR(EV200="ML",EV200&lt;20%*EV$6,EW200&lt;36%*FA200),"D",IF(EW200&gt;80%*FA200,"A",IF(EW200&gt;60%*FA200,"B",IF(EW200&gt;40%*FA200,"C","D")))))))</f>
        <v/>
      </c>
      <c r="EY200" s="65">
        <f t="shared" ref="EY200:EY205" si="619">COUNTIF(EL200:EN200,"NA")*10</f>
        <v>0</v>
      </c>
      <c r="EZ200" s="65">
        <f t="shared" ref="EZ200:EZ205" si="620">(COUNTIF(EL200:EN200,"ML")*10)+(COUNTIF(ER200,"ML")*70)+(COUNTIF(EV200,"ML")*100)</f>
        <v>0</v>
      </c>
      <c r="FA200" s="66" t="str">
        <f t="shared" ref="FA200:FA205" si="621">IF(OR($B200="NSO",$B200=0),"",IF(AND(EL200="",EM200="",EP200="",ET200=""),"",IF(AND(EM200="",EP200="",EQ200="",ET200="",EU200=""),($EL$6)-EY200-EZ200,IF(AND(EL200="",EP200="",EQ200="",ET200="",EU200=""),($EM$6)-EY200-EZ200,IF(AND(EP200="",EQ200="",ET200="",EU200=""),($EL$6+$EM$6)-EY200-EZ200,IF(AND(ET200="",EU200=""),($EP$6+$EQ$6)-EY200-EZ200,($EW$6)-EY200-EZ200))))))</f>
        <v/>
      </c>
      <c r="FB200" s="74" t="str">
        <f>IF('Marks Entry'!BK200="","",'Marks Entry'!BK200)</f>
        <v/>
      </c>
      <c r="FC200" s="74" t="str">
        <f>IF('Marks Entry'!BL200="","",'Marks Entry'!BL200)</f>
        <v/>
      </c>
      <c r="FD200" s="74" t="str">
        <f>IF('Marks Entry'!BM200="","",'Marks Entry'!BM200)</f>
        <v/>
      </c>
      <c r="FE200" s="74" t="str">
        <f>IF('Marks Entry'!BN200="","",'Marks Entry'!BN200)</f>
        <v/>
      </c>
      <c r="FF200" s="74" t="str">
        <f>IF('Marks Entry'!BO200="","",'Marks Entry'!BO200)</f>
        <v/>
      </c>
      <c r="FG200" s="74" t="str">
        <f>IF('Marks Entry'!BP200="","",'Marks Entry'!BP200)</f>
        <v/>
      </c>
      <c r="FH200" s="527" t="str">
        <f t="shared" si="569"/>
        <v/>
      </c>
      <c r="FI200" s="74" t="str">
        <f>IF('Marks Entry'!BQ200="","",'Marks Entry'!BQ200)</f>
        <v/>
      </c>
      <c r="FJ200" s="74" t="str">
        <f>IF('Marks Entry'!BR200="","",'Marks Entry'!BR200)</f>
        <v/>
      </c>
      <c r="FK200" s="528" t="str">
        <f t="shared" si="570"/>
        <v/>
      </c>
      <c r="FL200" s="529" t="str">
        <f t="shared" si="571"/>
        <v/>
      </c>
      <c r="FM200" s="74" t="str">
        <f>IF('Marks Entry'!BS200="","",'Marks Entry'!BS200)</f>
        <v/>
      </c>
      <c r="FN200" s="74" t="str">
        <f>IF('Marks Entry'!BT200="","",'Marks Entry'!BT200)</f>
        <v/>
      </c>
      <c r="FO200" s="528" t="str">
        <f t="shared" si="572"/>
        <v/>
      </c>
      <c r="FP200" s="530" t="str">
        <f t="shared" si="573"/>
        <v/>
      </c>
      <c r="FQ200" s="368" t="str">
        <f t="shared" ref="FQ200:FQ206" si="622">IF(OR($B200="NSO",$B200=0,FP200=""),"",IF(OR(FM200="AB",FN200="AB",FO200="AB"),"AB",IF(AND($DY200="FAIL",(OR(FP200&lt;36%*FT200))),"D",IF(OR(FO200="ML",FO200&lt;20%*FO$6,FP200&lt;36%*FT200),"D",IF(FP200&gt;80%*FT200,"A",IF(FP200&gt;60%*FT200,"B",IF(FP200&gt;40%*FT200,"C","D")))))))</f>
        <v/>
      </c>
      <c r="FR200" s="65">
        <f t="shared" ref="FR200:FR206" si="623">COUNTIF(FB200,"NA")*10+COUNTIF(FD200,"NA")*10+COUNTIF(FF200,"NA")*10</f>
        <v>0</v>
      </c>
      <c r="FS200" s="65">
        <f t="shared" ref="FS200:FS206" si="624">(COUNTIF(FB200,"ML")*10)+(COUNTIF(FD200,"ML")*10)+(COUNTIF(FF200,"ML")*10)+(COUNTIF(FI200,"ML")*25)+(COUNTIF(FJ200,"ML")*15)+(COUNTIF(FM200,"ML")*30)+(COUNTIF(FN200,"ML")*70)</f>
        <v>0</v>
      </c>
      <c r="FT200" s="66" t="str">
        <f t="shared" ref="FT200:FT206" si="625">IF(OR($B200="NSO",$B200=0),"",IF(AND(FB200="",FD200="",FF200="",FI200="",FM200=""),"",IF(AND(FC200="",FI200="",FJ200="",FE200="",FN200=""),($FB$6)-FR200-FS200,IF(AND(FB200="",FI200="",FJ200="",FM200="",FN200=""),($FC$6)-FR200-FS200,IF(AND(FI200="",FJ200="",FM200="",FN200=""),($FB$6+$FC$6)-FR200-FS200,IF(AND(FM200="",FN200=""),($FI$6+$FJ$6)-FR200-FS200,($FP$6)-FR200-FS200))))))</f>
        <v/>
      </c>
      <c r="FU200" s="74" t="str">
        <f>IF('Marks Entry'!BU200="","",'Marks Entry'!BU200)</f>
        <v/>
      </c>
      <c r="FV200" s="74" t="str">
        <f>IF('Marks Entry'!BV200="","",'Marks Entry'!BV200)</f>
        <v/>
      </c>
      <c r="FW200" s="74" t="str">
        <f>IF('Marks Entry'!BW200="","",'Marks Entry'!BW200)</f>
        <v/>
      </c>
      <c r="FX200" s="75" t="str">
        <f t="shared" si="574"/>
        <v/>
      </c>
      <c r="FY200" s="368" t="str">
        <f t="shared" ref="FY200:FY206" si="626">IFERROR(IF(OR($B200="NSO",$B200=0,FX200=""),"",IF(OR(FU200="AB",FV200="AB",FW200="AB"),"AB",IF(AND($DY200="FAIL",(OR(FX200&lt;36%*GB200))),"D",IF(OR(FW200="ML",FX200&lt;20%*FX$6,FX200&lt;36%*GB200),"D",IF(FX200&gt;80%*GB200,"A",IF(FX200&gt;60%*GB200,"B",IF(FX200&gt;40%*GB200,"C","D"))))))),"")</f>
        <v/>
      </c>
      <c r="FZ200" s="65">
        <f t="shared" ref="FZ200:FZ206" si="627">COUNTIF(FU200,"NA")*25</f>
        <v>0</v>
      </c>
      <c r="GA200" s="66">
        <f t="shared" ref="GA200:GA206" si="628">IF(AND(FW200="",FU200="",FW200=""),(COUNTIF(FU200,"ML")*25+(COUNTIF(FW200,"ML"))*FW$6+(COUNTIF(FV200,"ML"))*FV$6),(COUNTIF(FU200,"ML")*25+(COUNTIF(FW200,"ML"))*FW$6+(COUNTIF(FX200,"ML"))*FX$6))</f>
        <v>0</v>
      </c>
      <c r="GB200" s="66" t="str">
        <f t="shared" ref="GB200:GB206" si="629">IF(OR($B200="NSO",$B200=0),"",IF(AND(FU200="",FV200="",FW200=""),"",IF(AND(FU200="",FV200="",FW200=""),($FX$6)-FZ200-GA200,IF(AND(FW200=""),($FW$6)-FZ200-GA200,IF(AND(FV200=""),($FV$6)-FZ200-GA200,IF(AND(FU200=""),($FU$6)-FZ200-GA200,($FX$6)-FZ200-GA200))))))</f>
        <v/>
      </c>
      <c r="GC200" s="74" t="str">
        <f>IF('Marks Entry'!BX200="","",'Marks Entry'!BX200)</f>
        <v/>
      </c>
      <c r="GD200" s="74" t="str">
        <f>IF('Marks Entry'!BY200="","",'Marks Entry'!BY200)</f>
        <v/>
      </c>
      <c r="GE200" s="74" t="str">
        <f>IF('Marks Entry'!BZ200="","",'Marks Entry'!BZ200)</f>
        <v/>
      </c>
      <c r="GF200" s="75" t="str">
        <f t="shared" ref="GF200:GF206" si="630">IF(AND(GC200="",GD200="",GE200=""),"",SUM(GC200,GD200,GE200))</f>
        <v/>
      </c>
      <c r="GG200" s="368" t="str">
        <f t="shared" ref="GG200:GG206" si="631">IFERROR(IF(OR($B200="NSO",$B200=0,GF200=""),"",IF(OR(GC200="AB",GD200="AB",GE200="AB"),"AB",IF(AND($DY200="FAIL",(OR(GF200&lt;36%*GJ200))),"D",IF(OR(GE200="ML",GF200&lt;20%*GF$6,GF200&lt;36%*GJ200),"D",IF(GF200&gt;80%*GJ200,"A",IF(GF200&gt;60%*GJ200,"B",IF(GF200&gt;40%*GJ200,"C","D"))))))),"")</f>
        <v/>
      </c>
      <c r="GH200" s="65">
        <f t="shared" ref="GH200:GH206" si="632">COUNTIF(GC200,"NA")*25</f>
        <v>0</v>
      </c>
      <c r="GI200" s="66">
        <f t="shared" ref="GI200:GI206" si="633">IF(AND(GE200="",GC200="",GE200=""),(COUNTIF(GC200,"ML")*25+(COUNTIF(GE200,"ML"))*GE$6+(COUNTIF(GD200,"ML"))*GD$6),(COUNTIF(GC200,"ML")*25+(COUNTIF(GE200,"ML"))*GE$6+(COUNTIF(GF200,"ML"))*GF$6))</f>
        <v>0</v>
      </c>
      <c r="GJ200" s="66" t="str">
        <f t="shared" ref="GJ200:GJ206" si="634">IF(OR($B200="NSO",$B200=0),"",IF(AND(GC200="",GD200="",GE200=""),"",IF(AND(GC200="",GD200="",GE200=""),($GF$6)-GH200-GI200,IF(AND(GE200=""),($GE$6)-GH200-GI200,IF(AND(GD200=""),($GD$6)-GH200-GI200,IF(AND(GC200=""),($GC$6)-GH200-GI200,($GF$6)-GH200-GI200))))))</f>
        <v/>
      </c>
      <c r="GK200" s="100" t="str">
        <f>IF(AND(F200="",B200=""),"",IF('Student DATA Entry'!M197="","",'Student DATA Entry'!M197))</f>
        <v/>
      </c>
      <c r="GL200" s="101" t="str">
        <f>IF(AND(B200="",F200=""),"",IF('Student DATA Entry'!N197="","",'Student DATA Entry'!N197))</f>
        <v/>
      </c>
      <c r="GM200" s="581" t="str">
        <f t="shared" ref="GM200:GM206" si="635">IF(OR(GK200=0,GL200=0,GK200="",GL200=""),"",GL200/GK200*100)</f>
        <v/>
      </c>
      <c r="GN200" s="94" t="str">
        <f t="shared" ref="GN200:GN206" si="636">IF(AND(DY200="FAIL",(OR(DL200="G1",DL200="G2",DL200="S",DL200="RE"))),"F",IF(AND(DY200="RE-EXAM",(OR(DL200="G1",DL200="G2",DL200="S"))),"S",IF(AND(DY200="SUPPLEMENTARY",(OR(DL200="G1",DL200="G2"))),"S",IF(AND(DY200="BY GRACE PASS",(OR(DL200="G1",DL200="G2"))),"G",DL200))))</f>
        <v/>
      </c>
      <c r="GO200" s="94" t="str">
        <f t="shared" ref="GO200:GO206" si="637">IF(GN200="G",",+","")</f>
        <v/>
      </c>
      <c r="GP200" s="102" t="str">
        <f t="shared" si="575"/>
        <v/>
      </c>
      <c r="GQ200" s="94" t="str">
        <f t="shared" ref="GQ200:GQ206" si="638">IF(AND(DY200="vuqRrh.kZ",(OR(DM200="G1",DM200="G2",DM200="S",DM200="RE"))),"F",IF(AND(DY200="iqu% ijh{kk",(OR(DM200="G1",DM200="G2",DM200="S"))),"S",IF(AND(DY200="iwjd",(OR(DM200="G1",DM200="G2"))),"S",IF(AND(DY200="lk- mRrh.kZ",(OR(DM200="G1",DM200="G2"))),"G",DM200))))</f>
        <v/>
      </c>
      <c r="GR200" s="103" t="str">
        <f t="shared" ref="GR200:GR206" si="639">IF(GQ200="G",",+","")</f>
        <v/>
      </c>
      <c r="GS200" s="102" t="str">
        <f t="shared" si="576"/>
        <v/>
      </c>
      <c r="GT200" s="104" t="str">
        <f t="shared" ref="GT200:GT206" si="640">IF(AND(DY200="FAIL",(OR(DN200="G1",DN200="G2",DN200="S",DN200="RE"))),"F",IF(AND(DY200="RE-EXAM",(OR(DN200="G1",DN200="G2",DN200="S"))),"S",IF(AND(DY200="SUPPLEMENTARY",(OR(DN200="G1",DN200="G2"))),"S",IF(AND(DY200="BY GRACE PASS",(OR(DN200="G1",DN200="G2"))),"G",DN200))))</f>
        <v/>
      </c>
      <c r="GU200" s="94" t="str">
        <f>IF('Marks Entry'!V200=1,GT200,"")</f>
        <v/>
      </c>
      <c r="GV200" s="94" t="str">
        <f>IF('Marks Entry'!V200=2,GT200,"")</f>
        <v/>
      </c>
      <c r="GW200" s="94" t="str">
        <f>IF('Marks Entry'!V200=3,GT200,"")</f>
        <v/>
      </c>
      <c r="GX200" s="94" t="str">
        <f>IF('Marks Entry'!V200=4,GT200,"")</f>
        <v/>
      </c>
      <c r="GY200" s="94" t="str">
        <f>IF('Marks Entry'!V200=5,GT200,"")</f>
        <v/>
      </c>
      <c r="GZ200" s="94" t="str">
        <f t="shared" ref="GZ200:GZ206" si="641">IF(GT200="G",",+","")</f>
        <v/>
      </c>
      <c r="HA200" s="105" t="str">
        <f t="shared" si="577"/>
        <v/>
      </c>
      <c r="HB200" s="94" t="str">
        <f t="shared" ref="HB200:HB206" si="642">IF(AND(DY200="FAIL",(OR(DO200="G1",DO200="G2",DO200="S",DO200="RE",))),"F",IF(AND(DY200="RE-EXAM",(OR(DO200="G1",DO200="G2",DO200="S"))),"S",IF(AND(DY200="SUPPLEMENTARY",(OR(DO200="G1",DO200="G2"))),"S",IF(AND(DY200="BY GRACE PASS",(OR(DO200="G1",DO200="G2"))),"G",DO200))))</f>
        <v/>
      </c>
      <c r="HC200" s="94" t="str">
        <f t="shared" ref="HC200:HC206" si="643">IF(HB200="G",",+","")</f>
        <v/>
      </c>
      <c r="HD200" s="105" t="str">
        <f t="shared" si="578"/>
        <v/>
      </c>
      <c r="HE200" s="94" t="str">
        <f t="shared" ref="HE200:HE206" si="644">IF(AND(DY200="FAIL",(OR(DP200="G1",DP200="G2",DP200="S",DP200="RE"))),"F",IF(AND(DY200="RE-EXAM",(OR(DP200="G1",DP200="G2",DP200="S"))),"S",IF(AND(DY200="SUPPLEMENTARY",(OR(DP200="G1",DP200="G2"))),"S",IF(AND(DY200="BY GRACE PASS",(OR(DP200="G1",DP200="G2"))),"G",DP200))))</f>
        <v/>
      </c>
      <c r="HF200" s="94" t="str">
        <f t="shared" ref="HF200:HF206" si="645">IF(HE200="G",",+","")</f>
        <v/>
      </c>
      <c r="HG200" s="105" t="str">
        <f t="shared" si="579"/>
        <v/>
      </c>
      <c r="HH200" s="94" t="str">
        <f t="shared" ref="HH200:HH206" si="646">IF(AND(DY200="FAIL",(OR(DQ200="G1",DQ200="G2",DQ200="S",DQ200="RE"))),"F",IF(AND(DY200="RE-EXAM",(OR(DQ200="G1",DQ200="G2",DQ200="S"))),"S",IF(AND(DY200="SUPPLEMENTARY",(OR(DQ200="G1",DQ200="G2"))),"S",IF(AND(DY200="BY GRACE PASS",(OR(DQ200="G1",DQ200="G2"))),"G",DQ200))))</f>
        <v/>
      </c>
      <c r="HI200" s="94" t="str">
        <f t="shared" ref="HI200:HI206" si="647">IF(HH200="G",",+","")</f>
        <v/>
      </c>
      <c r="HJ200" s="105" t="str">
        <f t="shared" si="580"/>
        <v/>
      </c>
      <c r="HK200" s="94" t="str">
        <f t="shared" ref="HK200:HK206" si="648">IF(AND(DY200="FAIL",(OR(DR200="G1",DR200="G2",DR200="S",DR200="RE"))),"F",IF(AND(DY200="RE-EXAM",(OR(DR200="G1",DR200="G2",DR200="S"))),"S",IF(AND(DY200="SUPPLEMENTARY",(OR(DR200="G1",DR200="G2"))),"S",IF(AND(DY200="BY GRACE PASS",(OR(DR200="G1",DR200="G2"))),"G",DR200))))</f>
        <v/>
      </c>
      <c r="HL200" s="94" t="str">
        <f t="shared" ref="HL200:HL206" si="649">IF(HK200="G",",+","")</f>
        <v/>
      </c>
      <c r="HM200" s="105" t="str">
        <f t="shared" si="581"/>
        <v/>
      </c>
      <c r="HN200" s="367"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18" t="str">
        <f t="shared" si="582"/>
        <v xml:space="preserve">      </v>
      </c>
      <c r="HP200" s="367" t="str">
        <f t="shared" ref="HP200:HP206" si="651">CONCATENATE(IF(GN200="G",$GN$5,"")," ",IF(GQ200="G",$GQ$5,"")," ",IF(GU200="G",$GU$5,IF(GV200="G",$GV$5,IF(GW200="G",$GW$5,IF(GX200="G",$GX$5,IF(GY200="G",$GY$5,"")))))," ",IF(HB200="G",$HB$5,"")," ",IF(HE200="G",$HE$5,"")," ",IF(HH200="G",$HH$5,"")," ",IF(HK200="G",$HK$5,""))</f>
        <v xml:space="preserve">      </v>
      </c>
      <c r="HQ200" s="107"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66" t="str">
        <f t="shared" ref="HR200:HR206" si="653">CONCATENATE(IF(GN200="D",$GN$5,"")," ",IF($GQ200="D",$GQ$5,"")," ",IF(GU200="D",$GU$5,IF(GV200="D",$GV$5,IF(GW200="D",$GW$5,IF(GX200="D",$GX$5,IF(GY200="D",$GY$5,"")))))," ",IF(HB200="D",$HB$5,"")," ",IF(HE200="D",$HE$5,"")," ",IF(HH200="D",$HH$5,"")," ",IF(HK200="D",$HK$5,""))</f>
        <v xml:space="preserve">      </v>
      </c>
      <c r="HS200" s="544" t="str">
        <f t="shared" si="583"/>
        <v/>
      </c>
      <c r="HT200" s="542" t="str">
        <f t="shared" ref="HT200:HT206" si="654">IF(AND(R200="",AF200="",AU200="",BI200="",BW200=""),"",IF(OR(CS200="",DE200=""),SUM(R200,AF200,AU200,BI200,BW200,CL200),IF((CL200/CO200*100)&gt;=(DE200/DH200*100),SUM(R200,AF200,AU200,BI200,BW200,CL200),SUM(R200,AF200,AU200,BI200,BW200,DE200))))</f>
        <v/>
      </c>
      <c r="HU200" s="541" t="str">
        <f t="shared" ref="HU200:HU206" si="655">IF(HT200="","",HT200*100/($HT$6-CD200))</f>
        <v/>
      </c>
      <c r="HV200" s="540" t="str">
        <f t="shared" ref="HV200:HV206" si="656">IFERROR(IF(HU200="","",IF(AND(HU200&gt;=60,(HS200="PASS")),"1st",IF(AND(HU200&gt;=60,(HS200="BY GRACE PASS")),"1st",IF(AND(HU200&gt;=48,(HS200="PASS")),"2nd",IF(AND(HU200&gt;=48,(HS200="BY GRACE PASS")),"2nd",IF(AND(HU200&gt;=36,(HS200="PASS")),"3rd",IF(AND(HU200&gt;=36,(HS200="BY GRACE PASS")),"3rd",""))))))),"")</f>
        <v/>
      </c>
      <c r="HW200" s="537" t="str">
        <f t="shared" ref="HW200:HW206" si="657">IFERROR(IF(OR(HS200="PASS",HS200="BY GRACE PASS"),HU200,""),"")</f>
        <v/>
      </c>
      <c r="HX200" s="539" t="str">
        <f t="shared" ref="HX200:HX206" si="658">IFERROR(IF(HW200="","",SUMPRODUCT((HW200&lt;HW$7:HW$206)/COUNTIF(HW$7:HW$206,HW$7:HW$206))),"")</f>
        <v/>
      </c>
      <c r="HY200" s="553" t="str">
        <f>IFERROR(IF(OR(HS200="SUPPLEMENTARY",HS200="RE-EXAM"),'Supp. Result Entry'!AQ198,""),"")</f>
        <v/>
      </c>
      <c r="HZ200" s="538" t="str">
        <f t="shared" ref="HZ200:HZ206" si="659">IF(OR(KA200="",JP200=0),"",IF(JY200="","",JY200))</f>
        <v/>
      </c>
      <c r="IA200" s="415" t="str">
        <f t="shared" ref="IA200:IA206" si="660">IF(AND(KA200=""),"",IF(HZ200="","",IF(AND(KA200="FAIL"),"Failed",KA200)))</f>
        <v/>
      </c>
      <c r="IB200" s="415" t="str">
        <f>IF(AND(HZ200="",IA200=""),"",IF(OR(HS200="SUPPLEMENTARY",HS200="RE-EXAM"),'Supp. Result Entry'!AQ198,HS200))</f>
        <v/>
      </c>
      <c r="IC200" s="87"/>
      <c r="IS200" s="109" t="str">
        <f>IF('Supp. Result Entry'!T198="","",'Supp. Result Entry'!$T$4)</f>
        <v/>
      </c>
      <c r="IT200" s="110" t="str">
        <f>IF('Supp. Result Entry'!W198="","",'Supp. Result Entry'!$W$4)</f>
        <v/>
      </c>
      <c r="IU200" s="110" t="str">
        <f>IF('Supp. Result Entry'!Z198="","",'Supp. Result Entry'!$Z$4)</f>
        <v/>
      </c>
      <c r="IV200" s="110" t="str">
        <f>IF('Supp. Result Entry'!AC198="","",'Supp. Result Entry'!$AC$4)</f>
        <v/>
      </c>
      <c r="IW200" s="110" t="str">
        <f>IF('Supp. Result Entry'!AF198="","",'Supp. Result Entry'!$AF$4)</f>
        <v/>
      </c>
      <c r="IX200" s="110" t="str">
        <f>IF('Supp. Result Entry'!AI198="","",'Supp. Result Entry'!$AI$4)</f>
        <v/>
      </c>
      <c r="IY200" s="110" t="str">
        <f>IF('Supp. Result Entry'!AI198="","",'Supp. Result Entry'!$AL$4)</f>
        <v/>
      </c>
      <c r="IZ200" s="110" t="str">
        <f>IF('Supp. Result Entry'!U198="","",'Supp. Result Entry'!U198)</f>
        <v/>
      </c>
      <c r="JA200" s="110" t="str">
        <f>IF('Supp. Result Entry'!X198="","",'Supp. Result Entry'!X198)</f>
        <v/>
      </c>
      <c r="JB200" s="110" t="str">
        <f>IF('Supp. Result Entry'!AA198="","",'Supp. Result Entry'!AA198)</f>
        <v/>
      </c>
      <c r="JC200" s="110" t="str">
        <f>IF('Supp. Result Entry'!AD198="","",'Supp. Result Entry'!AD198)</f>
        <v/>
      </c>
      <c r="JD200" s="110" t="str">
        <f>IF('Supp. Result Entry'!AG198="","",'Supp. Result Entry'!AG198)</f>
        <v/>
      </c>
      <c r="JE200" s="110" t="str">
        <f>IF('Supp. Result Entry'!AJ198="","",'Supp. Result Entry'!AJ198)</f>
        <v/>
      </c>
      <c r="JF200" s="110" t="str">
        <f>IF('Supp. Result Entry'!AM198="","",'Supp. Result Entry'!AM198)</f>
        <v/>
      </c>
      <c r="JG200" s="110" t="str">
        <f>IF('Supp. Result Entry'!V198="","",'Supp. Result Entry'!V198)</f>
        <v/>
      </c>
      <c r="JH200" s="110" t="str">
        <f>IF('Supp. Result Entry'!Y198="","",'Supp. Result Entry'!Y198)</f>
        <v/>
      </c>
      <c r="JI200" s="110" t="str">
        <f>IF('Supp. Result Entry'!AB198="","",'Supp. Result Entry'!AB198)</f>
        <v/>
      </c>
      <c r="JJ200" s="110" t="str">
        <f>IF('Supp. Result Entry'!AE198="","",'Supp. Result Entry'!AE198)</f>
        <v/>
      </c>
      <c r="JK200" s="110" t="str">
        <f>IF('Supp. Result Entry'!AH198="","",'Supp. Result Entry'!AH198)</f>
        <v/>
      </c>
      <c r="JL200" s="110" t="str">
        <f>IF('Supp. Result Entry'!AK198="","",'Supp. Result Entry'!AK198)</f>
        <v/>
      </c>
      <c r="JM200" s="110" t="str">
        <f>IF('Supp. Result Entry'!AN198="","",'Supp. Result Entry'!AN198)</f>
        <v/>
      </c>
      <c r="JN200" s="110">
        <f>COUNTIF('Supp. Result Entry'!K198:Q198,"S")</f>
        <v>0</v>
      </c>
      <c r="JO200" s="110">
        <f t="shared" si="584"/>
        <v>0</v>
      </c>
      <c r="JP200" s="110">
        <f t="shared" ref="JP200:JP218" si="661">COUNTIF(JG200:JM200,"P")</f>
        <v>0</v>
      </c>
      <c r="JQ200" s="110" t="str">
        <f t="shared" si="585"/>
        <v/>
      </c>
      <c r="JR200" s="110" t="str">
        <f t="shared" si="586"/>
        <v/>
      </c>
      <c r="JS200" s="110" t="str">
        <f t="shared" si="587"/>
        <v/>
      </c>
      <c r="JT200" s="110" t="str">
        <f t="shared" si="588"/>
        <v/>
      </c>
      <c r="JU200" s="110" t="str">
        <f t="shared" si="589"/>
        <v/>
      </c>
      <c r="JV200" s="110" t="str">
        <f t="shared" si="590"/>
        <v/>
      </c>
      <c r="JW200" s="110" t="str">
        <f t="shared" si="591"/>
        <v/>
      </c>
      <c r="JX200" s="110" t="str">
        <f t="shared" ref="JX200:JX218" si="662">IF(OR(JN200=0,JN200&lt;JP200),"",SUM(JQ200:JW200))</f>
        <v/>
      </c>
      <c r="JY200" s="110" t="str">
        <f t="shared" ref="JY200:JY218" si="663">IF(OR(JN200=0,JN200&lt;JP200),"",JX200/JZ200*100)</f>
        <v/>
      </c>
      <c r="JZ200" s="110" t="str">
        <f t="shared" si="592"/>
        <v/>
      </c>
      <c r="KA200" s="108" t="str">
        <f t="shared" ref="KA200:KA218" si="664">IF(JY200="","",IF(JY200&gt;=60,"I",IF(JY200&gt;=48,"II",IF(JY200&gt;=36,"III",""))))</f>
        <v/>
      </c>
    </row>
    <row r="201" spans="1:287" s="108" customFormat="1" ht="21.95" customHeight="1">
      <c r="A201" s="89">
        <v>195</v>
      </c>
      <c r="B201" s="90" t="str">
        <f>IF('Marks Entry'!B201="","",'Marks Entry'!B201)</f>
        <v/>
      </c>
      <c r="C201" s="94" t="str">
        <f>IF('Marks Entry'!D201="","",'Marks Entry'!D201)</f>
        <v/>
      </c>
      <c r="D201" s="91" t="str">
        <f>IF('Marks Entry'!E201="","",'Marks Entry'!E201)</f>
        <v/>
      </c>
      <c r="E201" s="92" t="str">
        <f>IF('Marks Entry'!F201="","",'Marks Entry'!F201)</f>
        <v/>
      </c>
      <c r="F201" s="93" t="str">
        <f>IF('Marks Entry'!G201="","",'Marks Entry'!G201)</f>
        <v/>
      </c>
      <c r="G201" s="93" t="str">
        <f>IF('Marks Entry'!H201="","",'Marks Entry'!H201)</f>
        <v/>
      </c>
      <c r="H201" s="93" t="str">
        <f>IF('Marks Entry'!I201="","",'Marks Entry'!I201)</f>
        <v/>
      </c>
      <c r="I201" s="94" t="str">
        <f>IF('Marks Entry'!J201="","",'Marks Entry'!J201)</f>
        <v/>
      </c>
      <c r="J201" s="95" t="str">
        <f>IF('Marks Entry'!K201="","",'Marks Entry'!K201)</f>
        <v/>
      </c>
      <c r="K201" s="68" t="str">
        <f>IF('Marks Entry'!L201="","",'Marks Entry'!L201)</f>
        <v/>
      </c>
      <c r="L201" s="68" t="str">
        <f>IF('Marks Entry'!M201="","",'Marks Entry'!M201)</f>
        <v/>
      </c>
      <c r="M201" s="68" t="str">
        <f>IF('Marks Entry'!N201="","",'Marks Entry'!N201)</f>
        <v/>
      </c>
      <c r="N201" s="514" t="str">
        <f t="shared" si="593"/>
        <v/>
      </c>
      <c r="O201" s="68" t="str">
        <f>IF('Marks Entry'!O201="","",'Marks Entry'!O201)</f>
        <v/>
      </c>
      <c r="P201" s="515" t="str">
        <f t="shared" si="594"/>
        <v/>
      </c>
      <c r="Q201" s="68" t="str">
        <f>IF('Marks Entry'!P201="","",'Marks Entry'!P201)</f>
        <v/>
      </c>
      <c r="R201" s="96" t="str">
        <f t="shared" si="595"/>
        <v/>
      </c>
      <c r="S201" s="65">
        <f t="shared" si="596"/>
        <v>0</v>
      </c>
      <c r="T201" s="65">
        <f t="shared" si="597"/>
        <v>0</v>
      </c>
      <c r="U201" s="66" t="str">
        <f t="shared" si="507"/>
        <v/>
      </c>
      <c r="V201" s="65" t="str">
        <f t="shared" si="508"/>
        <v/>
      </c>
      <c r="W201" s="65" t="str">
        <f t="shared" si="598"/>
        <v/>
      </c>
      <c r="X201" s="65" t="str">
        <f t="shared" si="509"/>
        <v/>
      </c>
      <c r="Y201" s="68" t="str">
        <f>IF('Marks Entry'!Q201="","",'Marks Entry'!Q201)</f>
        <v/>
      </c>
      <c r="Z201" s="68" t="str">
        <f>IF('Marks Entry'!R201="","",'Marks Entry'!R201)</f>
        <v/>
      </c>
      <c r="AA201" s="68" t="str">
        <f>IF('Marks Entry'!S201="","",'Marks Entry'!S201)</f>
        <v/>
      </c>
      <c r="AB201" s="514" t="str">
        <f t="shared" si="510"/>
        <v/>
      </c>
      <c r="AC201" s="68" t="str">
        <f>IF('Marks Entry'!T201="","",'Marks Entry'!T201)</f>
        <v/>
      </c>
      <c r="AD201" s="515" t="str">
        <f t="shared" si="511"/>
        <v/>
      </c>
      <c r="AE201" s="68" t="str">
        <f>IF('Marks Entry'!U201="","",'Marks Entry'!U201)</f>
        <v/>
      </c>
      <c r="AF201" s="96" t="str">
        <f t="shared" si="512"/>
        <v/>
      </c>
      <c r="AG201" s="65">
        <f t="shared" si="513"/>
        <v>0</v>
      </c>
      <c r="AH201" s="65">
        <f t="shared" si="514"/>
        <v>0</v>
      </c>
      <c r="AI201" s="66" t="str">
        <f t="shared" si="515"/>
        <v/>
      </c>
      <c r="AJ201" s="65" t="str">
        <f t="shared" si="516"/>
        <v/>
      </c>
      <c r="AK201" s="65" t="str">
        <f t="shared" si="517"/>
        <v/>
      </c>
      <c r="AL201" s="65" t="str">
        <f t="shared" si="518"/>
        <v/>
      </c>
      <c r="AM201" s="524" t="str">
        <f>IF('Marks Entry'!V201="","",IF('Marks Entry'!V201=1,'School Profile'!$I$9,IF('Marks Entry'!V201=2,'School Profile'!$I$10,IF('Marks Entry'!V201=3,'School Profile'!$I$11,IF('Marks Entry'!V201=4,'School Profile'!$I$12,IF('Marks Entry'!V201=5,'School Profile'!$I$13,IF('Marks Entry'!V201=6,'School Profile'!$I$14,"")))))))</f>
        <v/>
      </c>
      <c r="AN201" s="68" t="str">
        <f>IF('Marks Entry'!W201="","",'Marks Entry'!W201)</f>
        <v/>
      </c>
      <c r="AO201" s="68" t="str">
        <f>IF('Marks Entry'!X201="","",'Marks Entry'!X201)</f>
        <v/>
      </c>
      <c r="AP201" s="68" t="str">
        <f>IF('Marks Entry'!Y201="","",'Marks Entry'!Y201)</f>
        <v/>
      </c>
      <c r="AQ201" s="514" t="str">
        <f t="shared" si="519"/>
        <v/>
      </c>
      <c r="AR201" s="68" t="str">
        <f>IF('Marks Entry'!Z201="","",'Marks Entry'!Z201)</f>
        <v/>
      </c>
      <c r="AS201" s="515" t="str">
        <f t="shared" si="520"/>
        <v/>
      </c>
      <c r="AT201" s="68" t="str">
        <f>IF('Marks Entry'!AA201="","",'Marks Entry'!AA201)</f>
        <v/>
      </c>
      <c r="AU201" s="96" t="str">
        <f t="shared" si="521"/>
        <v/>
      </c>
      <c r="AV201" s="65">
        <f t="shared" si="522"/>
        <v>0</v>
      </c>
      <c r="AW201" s="65">
        <f t="shared" si="523"/>
        <v>0</v>
      </c>
      <c r="AX201" s="66" t="str">
        <f t="shared" si="524"/>
        <v/>
      </c>
      <c r="AY201" s="65" t="str">
        <f t="shared" si="525"/>
        <v/>
      </c>
      <c r="AZ201" s="65" t="str">
        <f t="shared" si="526"/>
        <v/>
      </c>
      <c r="BA201" s="65" t="str">
        <f t="shared" si="527"/>
        <v/>
      </c>
      <c r="BB201" s="68" t="str">
        <f>IF('Marks Entry'!AB201="","",'Marks Entry'!AB201)</f>
        <v/>
      </c>
      <c r="BC201" s="68" t="str">
        <f>IF('Marks Entry'!AC201="","",'Marks Entry'!AC201)</f>
        <v/>
      </c>
      <c r="BD201" s="68" t="str">
        <f>IF('Marks Entry'!AD201="","",'Marks Entry'!AD201)</f>
        <v/>
      </c>
      <c r="BE201" s="514" t="str">
        <f t="shared" si="528"/>
        <v/>
      </c>
      <c r="BF201" s="68" t="str">
        <f>IF('Marks Entry'!AE201="","",'Marks Entry'!AE201)</f>
        <v/>
      </c>
      <c r="BG201" s="515" t="str">
        <f t="shared" si="529"/>
        <v/>
      </c>
      <c r="BH201" s="68" t="str">
        <f>IF('Marks Entry'!AF201="","",'Marks Entry'!AF201)</f>
        <v/>
      </c>
      <c r="BI201" s="96" t="str">
        <f t="shared" si="530"/>
        <v/>
      </c>
      <c r="BJ201" s="65">
        <f t="shared" si="531"/>
        <v>0</v>
      </c>
      <c r="BK201" s="65">
        <f t="shared" si="599"/>
        <v>0</v>
      </c>
      <c r="BL201" s="66" t="str">
        <f t="shared" si="532"/>
        <v/>
      </c>
      <c r="BM201" s="65" t="str">
        <f t="shared" si="533"/>
        <v/>
      </c>
      <c r="BN201" s="65" t="str">
        <f t="shared" si="534"/>
        <v/>
      </c>
      <c r="BO201" s="65" t="str">
        <f t="shared" si="535"/>
        <v/>
      </c>
      <c r="BP201" s="68" t="str">
        <f>IF('Marks Entry'!AG201="","",'Marks Entry'!AG201)</f>
        <v/>
      </c>
      <c r="BQ201" s="68" t="str">
        <f>IF('Marks Entry'!AH201="","",'Marks Entry'!AH201)</f>
        <v/>
      </c>
      <c r="BR201" s="68" t="str">
        <f>IF('Marks Entry'!AI201="","",'Marks Entry'!AI201)</f>
        <v/>
      </c>
      <c r="BS201" s="514" t="str">
        <f t="shared" si="536"/>
        <v/>
      </c>
      <c r="BT201" s="68" t="str">
        <f>IF('Marks Entry'!AJ201="","",'Marks Entry'!AJ201)</f>
        <v/>
      </c>
      <c r="BU201" s="515" t="str">
        <f t="shared" si="537"/>
        <v/>
      </c>
      <c r="BV201" s="68" t="str">
        <f>IF('Marks Entry'!AK201="","",'Marks Entry'!AK201)</f>
        <v/>
      </c>
      <c r="BW201" s="96" t="str">
        <f t="shared" si="538"/>
        <v/>
      </c>
      <c r="BX201" s="65">
        <f t="shared" si="539"/>
        <v>0</v>
      </c>
      <c r="BY201" s="65">
        <f t="shared" si="540"/>
        <v>0</v>
      </c>
      <c r="BZ201" s="66" t="str">
        <f t="shared" si="541"/>
        <v/>
      </c>
      <c r="CA201" s="65" t="str">
        <f t="shared" si="542"/>
        <v/>
      </c>
      <c r="CB201" s="65" t="str">
        <f t="shared" si="543"/>
        <v/>
      </c>
      <c r="CC201" s="65" t="str">
        <f t="shared" si="544"/>
        <v/>
      </c>
      <c r="CD201" s="66">
        <f t="shared" si="545"/>
        <v>0</v>
      </c>
      <c r="CE201" s="68" t="str">
        <f>IF('Marks Entry'!AL201="","",'Marks Entry'!AL201)</f>
        <v/>
      </c>
      <c r="CF201" s="68" t="str">
        <f>IF('Marks Entry'!AM201="","",'Marks Entry'!AM201)</f>
        <v/>
      </c>
      <c r="CG201" s="68" t="str">
        <f>IF('Marks Entry'!AN201="","",'Marks Entry'!AN201)</f>
        <v/>
      </c>
      <c r="CH201" s="514" t="str">
        <f t="shared" si="546"/>
        <v/>
      </c>
      <c r="CI201" s="68" t="str">
        <f>IF('Marks Entry'!AO201="","",'Marks Entry'!AO201)</f>
        <v/>
      </c>
      <c r="CJ201" s="515" t="str">
        <f t="shared" si="547"/>
        <v/>
      </c>
      <c r="CK201" s="68" t="str">
        <f>IF('Marks Entry'!AP201="","",'Marks Entry'!AP201)</f>
        <v/>
      </c>
      <c r="CL201" s="96" t="str">
        <f t="shared" si="548"/>
        <v/>
      </c>
      <c r="CM201" s="65">
        <f t="shared" si="549"/>
        <v>0</v>
      </c>
      <c r="CN201" s="65">
        <f t="shared" si="550"/>
        <v>0</v>
      </c>
      <c r="CO201" s="66" t="str">
        <f t="shared" si="551"/>
        <v/>
      </c>
      <c r="CP201" s="65" t="str">
        <f t="shared" si="552"/>
        <v/>
      </c>
      <c r="CQ201" s="65" t="str">
        <f t="shared" si="553"/>
        <v/>
      </c>
      <c r="CR201" s="65" t="str">
        <f t="shared" si="554"/>
        <v/>
      </c>
      <c r="CS201" s="616"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8" t="str">
        <f>IF('School Profile'!$D$20="NO","",IF('Marks Entry'!AR201="","",'Marks Entry'!AR201))</f>
        <v/>
      </c>
      <c r="CU201" s="68" t="str">
        <f>IF('School Profile'!$D$20="NO","",IF('Marks Entry'!AS201="","",'Marks Entry'!AS201))</f>
        <v/>
      </c>
      <c r="CV201" s="68" t="str">
        <f>IF('School Profile'!$D$20="NO","",IF('Marks Entry'!AT201="","",'Marks Entry'!AT201))</f>
        <v/>
      </c>
      <c r="CW201" s="514" t="str">
        <f>IF('School Profile'!$D$20="NO","",IF(AND(CT201="",CU201="",CV201=""),"",SUM(CT201:CV201)))</f>
        <v/>
      </c>
      <c r="CX201" s="68" t="str">
        <f>IF('School Profile'!$D$20="NO","",IF('Marks Entry'!AU201="","",'Marks Entry'!AU201))</f>
        <v/>
      </c>
      <c r="CY201" s="68" t="str">
        <f>IF('School Profile'!$D$20="NO","",IF('Marks Entry'!AV201="","",'Marks Entry'!AV201))</f>
        <v/>
      </c>
      <c r="CZ201" s="515" t="str">
        <f>IF('School Profile'!$D$20="NO","",IF(AND(CX201="",CY201=""),"",SUM(CX201,CY201)))</f>
        <v/>
      </c>
      <c r="DA201" s="69" t="str">
        <f>IF('School Profile'!$D$20="NO","",IF(AND(CW201="",CZ201=""),"",SUM(CW201+CZ201)))</f>
        <v/>
      </c>
      <c r="DB201" s="68" t="str">
        <f>IF('School Profile'!$D$20="NO","",IF('Marks Entry'!AW201="","",'Marks Entry'!AW201))</f>
        <v/>
      </c>
      <c r="DC201" s="68" t="str">
        <f>IF('School Profile'!$D$20="NO","",IF('Marks Entry'!AX201="","",'Marks Entry'!AX201))</f>
        <v/>
      </c>
      <c r="DD201" s="515" t="str">
        <f>IF('School Profile'!$D$20="NO","",IF(AND(DB201="",DC201=""),"",SUM(DB201,DC201)))</f>
        <v/>
      </c>
      <c r="DE201" s="96" t="str">
        <f>IF('School Profile'!$D$20="NO","",IF(AND(DA201="",DD201=""),"",SUM(DA201,DD201)))</f>
        <v/>
      </c>
      <c r="DF201" s="532">
        <f t="shared" si="555"/>
        <v>0</v>
      </c>
      <c r="DG201" s="65">
        <f t="shared" si="556"/>
        <v>0</v>
      </c>
      <c r="DH201" s="66" t="str">
        <f t="shared" si="557"/>
        <v/>
      </c>
      <c r="DI201" s="65" t="str">
        <f t="shared" si="558"/>
        <v/>
      </c>
      <c r="DJ201" s="65" t="str">
        <f t="shared" si="559"/>
        <v/>
      </c>
      <c r="DK201" s="65" t="str">
        <f t="shared" si="560"/>
        <v/>
      </c>
      <c r="DL201" s="97" t="str">
        <f t="shared" si="600"/>
        <v/>
      </c>
      <c r="DM201" s="97" t="str">
        <f t="shared" si="601"/>
        <v/>
      </c>
      <c r="DN201" s="97" t="str">
        <f t="shared" si="602"/>
        <v/>
      </c>
      <c r="DO201" s="97" t="str">
        <f t="shared" si="603"/>
        <v/>
      </c>
      <c r="DP201" s="97" t="str">
        <f t="shared" si="604"/>
        <v/>
      </c>
      <c r="DQ201" s="97" t="str">
        <f t="shared" si="605"/>
        <v/>
      </c>
      <c r="DR201" s="97" t="str">
        <f t="shared" si="606"/>
        <v/>
      </c>
      <c r="DS201" s="98">
        <f t="shared" si="607"/>
        <v>0</v>
      </c>
      <c r="DT201" s="98">
        <f t="shared" si="608"/>
        <v>0</v>
      </c>
      <c r="DU201" s="98">
        <f t="shared" si="609"/>
        <v>0</v>
      </c>
      <c r="DV201" s="98">
        <f t="shared" si="610"/>
        <v>0</v>
      </c>
      <c r="DW201" s="98">
        <f t="shared" si="611"/>
        <v>0</v>
      </c>
      <c r="DX201" s="98" t="str">
        <f t="shared" si="612"/>
        <v/>
      </c>
      <c r="DY201" s="99" t="str">
        <f t="shared" si="613"/>
        <v/>
      </c>
      <c r="DZ201" s="74" t="str">
        <f>IF('Marks Entry'!AY201="","",'Marks Entry'!AY201)</f>
        <v/>
      </c>
      <c r="EA201" s="74" t="str">
        <f>IF('Marks Entry'!AZ201="","",'Marks Entry'!AZ201)</f>
        <v/>
      </c>
      <c r="EB201" s="74" t="str">
        <f>IF('Marks Entry'!BA201="","",'Marks Entry'!BA201)</f>
        <v/>
      </c>
      <c r="EC201" s="527" t="str">
        <f t="shared" si="561"/>
        <v/>
      </c>
      <c r="ED201" s="74" t="str">
        <f>IF('Marks Entry'!BB201="","",'Marks Entry'!BB201)</f>
        <v/>
      </c>
      <c r="EE201" s="528" t="str">
        <f t="shared" si="562"/>
        <v/>
      </c>
      <c r="EF201" s="74" t="str">
        <f>IF('Marks Entry'!BC201="","",'Marks Entry'!BC201)</f>
        <v/>
      </c>
      <c r="EG201" s="530" t="str">
        <f t="shared" si="563"/>
        <v/>
      </c>
      <c r="EH201" s="368" t="str">
        <f t="shared" si="614"/>
        <v/>
      </c>
      <c r="EI201" s="65">
        <f t="shared" si="615"/>
        <v>0</v>
      </c>
      <c r="EJ201" s="65">
        <f t="shared" si="616"/>
        <v>0</v>
      </c>
      <c r="EK201" s="66" t="str">
        <f t="shared" si="617"/>
        <v/>
      </c>
      <c r="EL201" s="74" t="str">
        <f>IF('Marks Entry'!BD201="","",'Marks Entry'!BD201)</f>
        <v/>
      </c>
      <c r="EM201" s="74" t="str">
        <f>IF('Marks Entry'!BE201="","",'Marks Entry'!BE201)</f>
        <v/>
      </c>
      <c r="EN201" s="74" t="str">
        <f>IF('Marks Entry'!BF201="","",'Marks Entry'!BF201)</f>
        <v/>
      </c>
      <c r="EO201" s="527" t="str">
        <f t="shared" si="564"/>
        <v/>
      </c>
      <c r="EP201" s="74" t="str">
        <f>IF('Marks Entry'!BG201="","",'Marks Entry'!BG201)</f>
        <v/>
      </c>
      <c r="EQ201" s="74" t="str">
        <f>IF('Marks Entry'!BH201="","",'Marks Entry'!BH201)</f>
        <v/>
      </c>
      <c r="ER201" s="528" t="str">
        <f t="shared" si="565"/>
        <v/>
      </c>
      <c r="ES201" s="529" t="str">
        <f t="shared" si="566"/>
        <v/>
      </c>
      <c r="ET201" s="74" t="str">
        <f>IF('Marks Entry'!BI201="","",'Marks Entry'!BI201)</f>
        <v/>
      </c>
      <c r="EU201" s="74" t="str">
        <f>IF('Marks Entry'!BJ201="","",'Marks Entry'!BJ201)</f>
        <v/>
      </c>
      <c r="EV201" s="528" t="str">
        <f t="shared" si="567"/>
        <v/>
      </c>
      <c r="EW201" s="530" t="str">
        <f t="shared" si="568"/>
        <v/>
      </c>
      <c r="EX201" s="368" t="str">
        <f t="shared" si="618"/>
        <v/>
      </c>
      <c r="EY201" s="65">
        <f t="shared" si="619"/>
        <v>0</v>
      </c>
      <c r="EZ201" s="65">
        <f t="shared" si="620"/>
        <v>0</v>
      </c>
      <c r="FA201" s="66" t="str">
        <f t="shared" si="621"/>
        <v/>
      </c>
      <c r="FB201" s="74" t="str">
        <f>IF('Marks Entry'!BK201="","",'Marks Entry'!BK201)</f>
        <v/>
      </c>
      <c r="FC201" s="74" t="str">
        <f>IF('Marks Entry'!BL201="","",'Marks Entry'!BL201)</f>
        <v/>
      </c>
      <c r="FD201" s="74" t="str">
        <f>IF('Marks Entry'!BM201="","",'Marks Entry'!BM201)</f>
        <v/>
      </c>
      <c r="FE201" s="74" t="str">
        <f>IF('Marks Entry'!BN201="","",'Marks Entry'!BN201)</f>
        <v/>
      </c>
      <c r="FF201" s="74" t="str">
        <f>IF('Marks Entry'!BO201="","",'Marks Entry'!BO201)</f>
        <v/>
      </c>
      <c r="FG201" s="74" t="str">
        <f>IF('Marks Entry'!BP201="","",'Marks Entry'!BP201)</f>
        <v/>
      </c>
      <c r="FH201" s="527" t="str">
        <f t="shared" si="569"/>
        <v/>
      </c>
      <c r="FI201" s="74" t="str">
        <f>IF('Marks Entry'!BQ201="","",'Marks Entry'!BQ201)</f>
        <v/>
      </c>
      <c r="FJ201" s="74" t="str">
        <f>IF('Marks Entry'!BR201="","",'Marks Entry'!BR201)</f>
        <v/>
      </c>
      <c r="FK201" s="528" t="str">
        <f t="shared" si="570"/>
        <v/>
      </c>
      <c r="FL201" s="529" t="str">
        <f t="shared" si="571"/>
        <v/>
      </c>
      <c r="FM201" s="74" t="str">
        <f>IF('Marks Entry'!BS201="","",'Marks Entry'!BS201)</f>
        <v/>
      </c>
      <c r="FN201" s="74" t="str">
        <f>IF('Marks Entry'!BT201="","",'Marks Entry'!BT201)</f>
        <v/>
      </c>
      <c r="FO201" s="528" t="str">
        <f t="shared" si="572"/>
        <v/>
      </c>
      <c r="FP201" s="530" t="str">
        <f t="shared" si="573"/>
        <v/>
      </c>
      <c r="FQ201" s="368" t="str">
        <f t="shared" si="622"/>
        <v/>
      </c>
      <c r="FR201" s="65">
        <f t="shared" si="623"/>
        <v>0</v>
      </c>
      <c r="FS201" s="65">
        <f t="shared" si="624"/>
        <v>0</v>
      </c>
      <c r="FT201" s="66" t="str">
        <f t="shared" si="625"/>
        <v/>
      </c>
      <c r="FU201" s="74" t="str">
        <f>IF('Marks Entry'!BU201="","",'Marks Entry'!BU201)</f>
        <v/>
      </c>
      <c r="FV201" s="74" t="str">
        <f>IF('Marks Entry'!BV201="","",'Marks Entry'!BV201)</f>
        <v/>
      </c>
      <c r="FW201" s="74" t="str">
        <f>IF('Marks Entry'!BW201="","",'Marks Entry'!BW201)</f>
        <v/>
      </c>
      <c r="FX201" s="75" t="str">
        <f t="shared" si="574"/>
        <v/>
      </c>
      <c r="FY201" s="368" t="str">
        <f t="shared" si="626"/>
        <v/>
      </c>
      <c r="FZ201" s="65">
        <f t="shared" si="627"/>
        <v>0</v>
      </c>
      <c r="GA201" s="66">
        <f t="shared" si="628"/>
        <v>0</v>
      </c>
      <c r="GB201" s="66" t="str">
        <f t="shared" si="629"/>
        <v/>
      </c>
      <c r="GC201" s="74" t="str">
        <f>IF('Marks Entry'!BX201="","",'Marks Entry'!BX201)</f>
        <v/>
      </c>
      <c r="GD201" s="74" t="str">
        <f>IF('Marks Entry'!BY201="","",'Marks Entry'!BY201)</f>
        <v/>
      </c>
      <c r="GE201" s="74" t="str">
        <f>IF('Marks Entry'!BZ201="","",'Marks Entry'!BZ201)</f>
        <v/>
      </c>
      <c r="GF201" s="75" t="str">
        <f t="shared" si="630"/>
        <v/>
      </c>
      <c r="GG201" s="368" t="str">
        <f t="shared" si="631"/>
        <v/>
      </c>
      <c r="GH201" s="65">
        <f t="shared" si="632"/>
        <v>0</v>
      </c>
      <c r="GI201" s="66">
        <f t="shared" si="633"/>
        <v>0</v>
      </c>
      <c r="GJ201" s="66" t="str">
        <f t="shared" si="634"/>
        <v/>
      </c>
      <c r="GK201" s="100" t="str">
        <f>IF(AND(F201="",B201=""),"",IF('Student DATA Entry'!M198="","",'Student DATA Entry'!M198))</f>
        <v/>
      </c>
      <c r="GL201" s="101" t="str">
        <f>IF(AND(B201="",F201=""),"",IF('Student DATA Entry'!N198="","",'Student DATA Entry'!N198))</f>
        <v/>
      </c>
      <c r="GM201" s="581" t="str">
        <f t="shared" si="635"/>
        <v/>
      </c>
      <c r="GN201" s="94" t="str">
        <f t="shared" si="636"/>
        <v/>
      </c>
      <c r="GO201" s="94" t="str">
        <f t="shared" si="637"/>
        <v/>
      </c>
      <c r="GP201" s="102" t="str">
        <f t="shared" si="575"/>
        <v/>
      </c>
      <c r="GQ201" s="94" t="str">
        <f t="shared" si="638"/>
        <v/>
      </c>
      <c r="GR201" s="103" t="str">
        <f t="shared" si="639"/>
        <v/>
      </c>
      <c r="GS201" s="102" t="str">
        <f t="shared" si="576"/>
        <v/>
      </c>
      <c r="GT201" s="104" t="str">
        <f t="shared" si="640"/>
        <v/>
      </c>
      <c r="GU201" s="94" t="str">
        <f>IF('Marks Entry'!V201=1,GT201,"")</f>
        <v/>
      </c>
      <c r="GV201" s="94" t="str">
        <f>IF('Marks Entry'!V201=2,GT201,"")</f>
        <v/>
      </c>
      <c r="GW201" s="94" t="str">
        <f>IF('Marks Entry'!V201=3,GT201,"")</f>
        <v/>
      </c>
      <c r="GX201" s="94" t="str">
        <f>IF('Marks Entry'!V201=4,GT201,"")</f>
        <v/>
      </c>
      <c r="GY201" s="94" t="str">
        <f>IF('Marks Entry'!V201=5,GT201,"")</f>
        <v/>
      </c>
      <c r="GZ201" s="94" t="str">
        <f t="shared" si="641"/>
        <v/>
      </c>
      <c r="HA201" s="105" t="str">
        <f t="shared" si="577"/>
        <v/>
      </c>
      <c r="HB201" s="94" t="str">
        <f t="shared" si="642"/>
        <v/>
      </c>
      <c r="HC201" s="94" t="str">
        <f t="shared" si="643"/>
        <v/>
      </c>
      <c r="HD201" s="105" t="str">
        <f t="shared" si="578"/>
        <v/>
      </c>
      <c r="HE201" s="94" t="str">
        <f t="shared" si="644"/>
        <v/>
      </c>
      <c r="HF201" s="94" t="str">
        <f t="shared" si="645"/>
        <v/>
      </c>
      <c r="HG201" s="105" t="str">
        <f t="shared" si="579"/>
        <v/>
      </c>
      <c r="HH201" s="94" t="str">
        <f t="shared" si="646"/>
        <v/>
      </c>
      <c r="HI201" s="94" t="str">
        <f t="shared" si="647"/>
        <v/>
      </c>
      <c r="HJ201" s="105" t="str">
        <f t="shared" si="580"/>
        <v/>
      </c>
      <c r="HK201" s="94" t="str">
        <f t="shared" si="648"/>
        <v/>
      </c>
      <c r="HL201" s="94" t="str">
        <f t="shared" si="649"/>
        <v/>
      </c>
      <c r="HM201" s="105" t="str">
        <f t="shared" si="581"/>
        <v/>
      </c>
      <c r="HN201" s="367" t="str">
        <f t="shared" si="650"/>
        <v xml:space="preserve">      </v>
      </c>
      <c r="HO201" s="418" t="str">
        <f t="shared" si="582"/>
        <v xml:space="preserve">      </v>
      </c>
      <c r="HP201" s="367" t="str">
        <f t="shared" si="651"/>
        <v xml:space="preserve">      </v>
      </c>
      <c r="HQ201" s="107" t="str">
        <f t="shared" si="652"/>
        <v xml:space="preserve">      </v>
      </c>
      <c r="HR201" s="366" t="str">
        <f t="shared" si="653"/>
        <v xml:space="preserve">      </v>
      </c>
      <c r="HS201" s="544" t="str">
        <f t="shared" si="583"/>
        <v/>
      </c>
      <c r="HT201" s="542" t="str">
        <f t="shared" si="654"/>
        <v/>
      </c>
      <c r="HU201" s="541" t="str">
        <f t="shared" si="655"/>
        <v/>
      </c>
      <c r="HV201" s="540" t="str">
        <f t="shared" si="656"/>
        <v/>
      </c>
      <c r="HW201" s="537" t="str">
        <f t="shared" si="657"/>
        <v/>
      </c>
      <c r="HX201" s="539" t="str">
        <f t="shared" si="658"/>
        <v/>
      </c>
      <c r="HY201" s="553" t="str">
        <f>IFERROR(IF(OR(HS201="SUPPLEMENTARY",HS201="RE-EXAM"),'Supp. Result Entry'!AQ199,""),"")</f>
        <v/>
      </c>
      <c r="HZ201" s="538" t="str">
        <f t="shared" si="659"/>
        <v/>
      </c>
      <c r="IA201" s="415" t="str">
        <f t="shared" si="660"/>
        <v/>
      </c>
      <c r="IB201" s="415" t="str">
        <f>IF(AND(HZ201="",IA201=""),"",IF(OR(HS201="SUPPLEMENTARY",HS201="RE-EXAM"),'Supp. Result Entry'!AQ199,HS201))</f>
        <v/>
      </c>
      <c r="IC201" s="87"/>
      <c r="IS201" s="109" t="str">
        <f>IF('Supp. Result Entry'!T199="","",'Supp. Result Entry'!$T$4)</f>
        <v/>
      </c>
      <c r="IT201" s="110" t="str">
        <f>IF('Supp. Result Entry'!W199="","",'Supp. Result Entry'!$W$4)</f>
        <v/>
      </c>
      <c r="IU201" s="110" t="str">
        <f>IF('Supp. Result Entry'!Z199="","",'Supp. Result Entry'!$Z$4)</f>
        <v/>
      </c>
      <c r="IV201" s="110" t="str">
        <f>IF('Supp. Result Entry'!AC199="","",'Supp. Result Entry'!$AC$4)</f>
        <v/>
      </c>
      <c r="IW201" s="110" t="str">
        <f>IF('Supp. Result Entry'!AF199="","",'Supp. Result Entry'!$AF$4)</f>
        <v/>
      </c>
      <c r="IX201" s="110" t="str">
        <f>IF('Supp. Result Entry'!AI199="","",'Supp. Result Entry'!$AI$4)</f>
        <v/>
      </c>
      <c r="IY201" s="110" t="str">
        <f>IF('Supp. Result Entry'!AI199="","",'Supp. Result Entry'!$AL$4)</f>
        <v/>
      </c>
      <c r="IZ201" s="110" t="str">
        <f>IF('Supp. Result Entry'!U199="","",'Supp. Result Entry'!U199)</f>
        <v/>
      </c>
      <c r="JA201" s="110" t="str">
        <f>IF('Supp. Result Entry'!X199="","",'Supp. Result Entry'!X199)</f>
        <v/>
      </c>
      <c r="JB201" s="110" t="str">
        <f>IF('Supp. Result Entry'!AA199="","",'Supp. Result Entry'!AA199)</f>
        <v/>
      </c>
      <c r="JC201" s="110" t="str">
        <f>IF('Supp. Result Entry'!AD199="","",'Supp. Result Entry'!AD199)</f>
        <v/>
      </c>
      <c r="JD201" s="110" t="str">
        <f>IF('Supp. Result Entry'!AG199="","",'Supp. Result Entry'!AG199)</f>
        <v/>
      </c>
      <c r="JE201" s="110" t="str">
        <f>IF('Supp. Result Entry'!AJ199="","",'Supp. Result Entry'!AJ199)</f>
        <v/>
      </c>
      <c r="JF201" s="110" t="str">
        <f>IF('Supp. Result Entry'!AM199="","",'Supp. Result Entry'!AM199)</f>
        <v/>
      </c>
      <c r="JG201" s="110" t="str">
        <f>IF('Supp. Result Entry'!V199="","",'Supp. Result Entry'!V199)</f>
        <v/>
      </c>
      <c r="JH201" s="110" t="str">
        <f>IF('Supp. Result Entry'!Y199="","",'Supp. Result Entry'!Y199)</f>
        <v/>
      </c>
      <c r="JI201" s="110" t="str">
        <f>IF('Supp. Result Entry'!AB199="","",'Supp. Result Entry'!AB199)</f>
        <v/>
      </c>
      <c r="JJ201" s="110" t="str">
        <f>IF('Supp. Result Entry'!AE199="","",'Supp. Result Entry'!AE199)</f>
        <v/>
      </c>
      <c r="JK201" s="110" t="str">
        <f>IF('Supp. Result Entry'!AH199="","",'Supp. Result Entry'!AH199)</f>
        <v/>
      </c>
      <c r="JL201" s="110" t="str">
        <f>IF('Supp. Result Entry'!AK199="","",'Supp. Result Entry'!AK199)</f>
        <v/>
      </c>
      <c r="JM201" s="110" t="str">
        <f>IF('Supp. Result Entry'!AN199="","",'Supp. Result Entry'!AN199)</f>
        <v/>
      </c>
      <c r="JN201" s="110">
        <f>COUNTIF('Supp. Result Entry'!K199:Q199,"S")</f>
        <v>0</v>
      </c>
      <c r="JO201" s="110">
        <f t="shared" si="584"/>
        <v>0</v>
      </c>
      <c r="JP201" s="110">
        <f t="shared" si="661"/>
        <v>0</v>
      </c>
      <c r="JQ201" s="110" t="str">
        <f t="shared" si="585"/>
        <v/>
      </c>
      <c r="JR201" s="110" t="str">
        <f t="shared" si="586"/>
        <v/>
      </c>
      <c r="JS201" s="110" t="str">
        <f t="shared" si="587"/>
        <v/>
      </c>
      <c r="JT201" s="110" t="str">
        <f t="shared" si="588"/>
        <v/>
      </c>
      <c r="JU201" s="110" t="str">
        <f t="shared" si="589"/>
        <v/>
      </c>
      <c r="JV201" s="110" t="str">
        <f t="shared" si="590"/>
        <v/>
      </c>
      <c r="JW201" s="110" t="str">
        <f t="shared" si="591"/>
        <v/>
      </c>
      <c r="JX201" s="110" t="str">
        <f t="shared" si="662"/>
        <v/>
      </c>
      <c r="JY201" s="110" t="str">
        <f t="shared" si="663"/>
        <v/>
      </c>
      <c r="JZ201" s="110" t="str">
        <f t="shared" si="592"/>
        <v/>
      </c>
      <c r="KA201" s="108" t="str">
        <f t="shared" si="664"/>
        <v/>
      </c>
    </row>
    <row r="202" spans="1:287" s="108" customFormat="1" ht="21.95" customHeight="1">
      <c r="A202" s="89">
        <v>196</v>
      </c>
      <c r="B202" s="90" t="str">
        <f>IF('Marks Entry'!B202="","",'Marks Entry'!B202)</f>
        <v/>
      </c>
      <c r="C202" s="94" t="str">
        <f>IF('Marks Entry'!D202="","",'Marks Entry'!D202)</f>
        <v/>
      </c>
      <c r="D202" s="91" t="str">
        <f>IF('Marks Entry'!E202="","",'Marks Entry'!E202)</f>
        <v/>
      </c>
      <c r="E202" s="92" t="str">
        <f>IF('Marks Entry'!F202="","",'Marks Entry'!F202)</f>
        <v/>
      </c>
      <c r="F202" s="93" t="str">
        <f>IF('Marks Entry'!G202="","",'Marks Entry'!G202)</f>
        <v/>
      </c>
      <c r="G202" s="93" t="str">
        <f>IF('Marks Entry'!H202="","",'Marks Entry'!H202)</f>
        <v/>
      </c>
      <c r="H202" s="93" t="str">
        <f>IF('Marks Entry'!I202="","",'Marks Entry'!I202)</f>
        <v/>
      </c>
      <c r="I202" s="94" t="str">
        <f>IF('Marks Entry'!J202="","",'Marks Entry'!J202)</f>
        <v/>
      </c>
      <c r="J202" s="95" t="str">
        <f>IF('Marks Entry'!K202="","",'Marks Entry'!K202)</f>
        <v/>
      </c>
      <c r="K202" s="68" t="str">
        <f>IF('Marks Entry'!L202="","",'Marks Entry'!L202)</f>
        <v/>
      </c>
      <c r="L202" s="68" t="str">
        <f>IF('Marks Entry'!M202="","",'Marks Entry'!M202)</f>
        <v/>
      </c>
      <c r="M202" s="68" t="str">
        <f>IF('Marks Entry'!N202="","",'Marks Entry'!N202)</f>
        <v/>
      </c>
      <c r="N202" s="514" t="str">
        <f t="shared" si="593"/>
        <v/>
      </c>
      <c r="O202" s="68" t="str">
        <f>IF('Marks Entry'!O202="","",'Marks Entry'!O202)</f>
        <v/>
      </c>
      <c r="P202" s="515" t="str">
        <f t="shared" si="594"/>
        <v/>
      </c>
      <c r="Q202" s="68" t="str">
        <f>IF('Marks Entry'!P202="","",'Marks Entry'!P202)</f>
        <v/>
      </c>
      <c r="R202" s="96" t="str">
        <f t="shared" si="595"/>
        <v/>
      </c>
      <c r="S202" s="65">
        <f t="shared" si="596"/>
        <v>0</v>
      </c>
      <c r="T202" s="65">
        <f t="shared" si="597"/>
        <v>0</v>
      </c>
      <c r="U202" s="66" t="str">
        <f t="shared" si="507"/>
        <v/>
      </c>
      <c r="V202" s="65" t="str">
        <f t="shared" si="508"/>
        <v/>
      </c>
      <c r="W202" s="65" t="str">
        <f t="shared" si="598"/>
        <v/>
      </c>
      <c r="X202" s="65" t="str">
        <f t="shared" si="509"/>
        <v/>
      </c>
      <c r="Y202" s="68" t="str">
        <f>IF('Marks Entry'!Q202="","",'Marks Entry'!Q202)</f>
        <v/>
      </c>
      <c r="Z202" s="68" t="str">
        <f>IF('Marks Entry'!R202="","",'Marks Entry'!R202)</f>
        <v/>
      </c>
      <c r="AA202" s="68" t="str">
        <f>IF('Marks Entry'!S202="","",'Marks Entry'!S202)</f>
        <v/>
      </c>
      <c r="AB202" s="514" t="str">
        <f t="shared" si="510"/>
        <v/>
      </c>
      <c r="AC202" s="68" t="str">
        <f>IF('Marks Entry'!T202="","",'Marks Entry'!T202)</f>
        <v/>
      </c>
      <c r="AD202" s="515" t="str">
        <f t="shared" si="511"/>
        <v/>
      </c>
      <c r="AE202" s="68" t="str">
        <f>IF('Marks Entry'!U202="","",'Marks Entry'!U202)</f>
        <v/>
      </c>
      <c r="AF202" s="96" t="str">
        <f t="shared" si="512"/>
        <v/>
      </c>
      <c r="AG202" s="65">
        <f t="shared" si="513"/>
        <v>0</v>
      </c>
      <c r="AH202" s="65">
        <f t="shared" si="514"/>
        <v>0</v>
      </c>
      <c r="AI202" s="66" t="str">
        <f t="shared" si="515"/>
        <v/>
      </c>
      <c r="AJ202" s="65" t="str">
        <f t="shared" si="516"/>
        <v/>
      </c>
      <c r="AK202" s="65" t="str">
        <f t="shared" si="517"/>
        <v/>
      </c>
      <c r="AL202" s="65" t="str">
        <f t="shared" si="518"/>
        <v/>
      </c>
      <c r="AM202" s="524" t="str">
        <f>IF('Marks Entry'!V202="","",IF('Marks Entry'!V202=1,'School Profile'!$I$9,IF('Marks Entry'!V202=2,'School Profile'!$I$10,IF('Marks Entry'!V202=3,'School Profile'!$I$11,IF('Marks Entry'!V202=4,'School Profile'!$I$12,IF('Marks Entry'!V202=5,'School Profile'!$I$13,IF('Marks Entry'!V202=6,'School Profile'!$I$14,"")))))))</f>
        <v/>
      </c>
      <c r="AN202" s="68" t="str">
        <f>IF('Marks Entry'!W202="","",'Marks Entry'!W202)</f>
        <v/>
      </c>
      <c r="AO202" s="68" t="str">
        <f>IF('Marks Entry'!X202="","",'Marks Entry'!X202)</f>
        <v/>
      </c>
      <c r="AP202" s="68" t="str">
        <f>IF('Marks Entry'!Y202="","",'Marks Entry'!Y202)</f>
        <v/>
      </c>
      <c r="AQ202" s="514" t="str">
        <f t="shared" si="519"/>
        <v/>
      </c>
      <c r="AR202" s="68" t="str">
        <f>IF('Marks Entry'!Z202="","",'Marks Entry'!Z202)</f>
        <v/>
      </c>
      <c r="AS202" s="515" t="str">
        <f t="shared" si="520"/>
        <v/>
      </c>
      <c r="AT202" s="68" t="str">
        <f>IF('Marks Entry'!AA202="","",'Marks Entry'!AA202)</f>
        <v/>
      </c>
      <c r="AU202" s="96" t="str">
        <f t="shared" si="521"/>
        <v/>
      </c>
      <c r="AV202" s="65">
        <f t="shared" si="522"/>
        <v>0</v>
      </c>
      <c r="AW202" s="65">
        <f t="shared" si="523"/>
        <v>0</v>
      </c>
      <c r="AX202" s="66" t="str">
        <f t="shared" si="524"/>
        <v/>
      </c>
      <c r="AY202" s="65" t="str">
        <f t="shared" si="525"/>
        <v/>
      </c>
      <c r="AZ202" s="65" t="str">
        <f t="shared" si="526"/>
        <v/>
      </c>
      <c r="BA202" s="65" t="str">
        <f t="shared" si="527"/>
        <v/>
      </c>
      <c r="BB202" s="68" t="str">
        <f>IF('Marks Entry'!AB202="","",'Marks Entry'!AB202)</f>
        <v/>
      </c>
      <c r="BC202" s="68" t="str">
        <f>IF('Marks Entry'!AC202="","",'Marks Entry'!AC202)</f>
        <v/>
      </c>
      <c r="BD202" s="68" t="str">
        <f>IF('Marks Entry'!AD202="","",'Marks Entry'!AD202)</f>
        <v/>
      </c>
      <c r="BE202" s="514" t="str">
        <f t="shared" si="528"/>
        <v/>
      </c>
      <c r="BF202" s="68" t="str">
        <f>IF('Marks Entry'!AE202="","",'Marks Entry'!AE202)</f>
        <v/>
      </c>
      <c r="BG202" s="515" t="str">
        <f t="shared" si="529"/>
        <v/>
      </c>
      <c r="BH202" s="68" t="str">
        <f>IF('Marks Entry'!AF202="","",'Marks Entry'!AF202)</f>
        <v/>
      </c>
      <c r="BI202" s="96" t="str">
        <f t="shared" si="530"/>
        <v/>
      </c>
      <c r="BJ202" s="65">
        <f t="shared" si="531"/>
        <v>0</v>
      </c>
      <c r="BK202" s="65">
        <f t="shared" si="599"/>
        <v>0</v>
      </c>
      <c r="BL202" s="66" t="str">
        <f t="shared" si="532"/>
        <v/>
      </c>
      <c r="BM202" s="65" t="str">
        <f t="shared" si="533"/>
        <v/>
      </c>
      <c r="BN202" s="65" t="str">
        <f t="shared" si="534"/>
        <v/>
      </c>
      <c r="BO202" s="65" t="str">
        <f t="shared" si="535"/>
        <v/>
      </c>
      <c r="BP202" s="68" t="str">
        <f>IF('Marks Entry'!AG202="","",'Marks Entry'!AG202)</f>
        <v/>
      </c>
      <c r="BQ202" s="68" t="str">
        <f>IF('Marks Entry'!AH202="","",'Marks Entry'!AH202)</f>
        <v/>
      </c>
      <c r="BR202" s="68" t="str">
        <f>IF('Marks Entry'!AI202="","",'Marks Entry'!AI202)</f>
        <v/>
      </c>
      <c r="BS202" s="514" t="str">
        <f t="shared" si="536"/>
        <v/>
      </c>
      <c r="BT202" s="68" t="str">
        <f>IF('Marks Entry'!AJ202="","",'Marks Entry'!AJ202)</f>
        <v/>
      </c>
      <c r="BU202" s="515" t="str">
        <f t="shared" si="537"/>
        <v/>
      </c>
      <c r="BV202" s="68" t="str">
        <f>IF('Marks Entry'!AK202="","",'Marks Entry'!AK202)</f>
        <v/>
      </c>
      <c r="BW202" s="96" t="str">
        <f t="shared" si="538"/>
        <v/>
      </c>
      <c r="BX202" s="65">
        <f t="shared" si="539"/>
        <v>0</v>
      </c>
      <c r="BY202" s="65">
        <f t="shared" si="540"/>
        <v>0</v>
      </c>
      <c r="BZ202" s="66" t="str">
        <f t="shared" si="541"/>
        <v/>
      </c>
      <c r="CA202" s="65" t="str">
        <f t="shared" si="542"/>
        <v/>
      </c>
      <c r="CB202" s="65" t="str">
        <f t="shared" si="543"/>
        <v/>
      </c>
      <c r="CC202" s="65" t="str">
        <f t="shared" si="544"/>
        <v/>
      </c>
      <c r="CD202" s="66">
        <f t="shared" si="545"/>
        <v>0</v>
      </c>
      <c r="CE202" s="68" t="str">
        <f>IF('Marks Entry'!AL202="","",'Marks Entry'!AL202)</f>
        <v/>
      </c>
      <c r="CF202" s="68" t="str">
        <f>IF('Marks Entry'!AM202="","",'Marks Entry'!AM202)</f>
        <v/>
      </c>
      <c r="CG202" s="68" t="str">
        <f>IF('Marks Entry'!AN202="","",'Marks Entry'!AN202)</f>
        <v/>
      </c>
      <c r="CH202" s="514" t="str">
        <f t="shared" si="546"/>
        <v/>
      </c>
      <c r="CI202" s="68" t="str">
        <f>IF('Marks Entry'!AO202="","",'Marks Entry'!AO202)</f>
        <v/>
      </c>
      <c r="CJ202" s="515" t="str">
        <f t="shared" si="547"/>
        <v/>
      </c>
      <c r="CK202" s="68" t="str">
        <f>IF('Marks Entry'!AP202="","",'Marks Entry'!AP202)</f>
        <v/>
      </c>
      <c r="CL202" s="96" t="str">
        <f t="shared" si="548"/>
        <v/>
      </c>
      <c r="CM202" s="65">
        <f t="shared" si="549"/>
        <v>0</v>
      </c>
      <c r="CN202" s="65">
        <f t="shared" si="550"/>
        <v>0</v>
      </c>
      <c r="CO202" s="66" t="str">
        <f t="shared" si="551"/>
        <v/>
      </c>
      <c r="CP202" s="65" t="str">
        <f t="shared" si="552"/>
        <v/>
      </c>
      <c r="CQ202" s="65" t="str">
        <f t="shared" si="553"/>
        <v/>
      </c>
      <c r="CR202" s="65" t="str">
        <f t="shared" si="554"/>
        <v/>
      </c>
      <c r="CS202" s="616"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8" t="str">
        <f>IF('School Profile'!$D$20="NO","",IF('Marks Entry'!AR202="","",'Marks Entry'!AR202))</f>
        <v/>
      </c>
      <c r="CU202" s="68" t="str">
        <f>IF('School Profile'!$D$20="NO","",IF('Marks Entry'!AS202="","",'Marks Entry'!AS202))</f>
        <v/>
      </c>
      <c r="CV202" s="68" t="str">
        <f>IF('School Profile'!$D$20="NO","",IF('Marks Entry'!AT202="","",'Marks Entry'!AT202))</f>
        <v/>
      </c>
      <c r="CW202" s="514" t="str">
        <f>IF('School Profile'!$D$20="NO","",IF(AND(CT202="",CU202="",CV202=""),"",SUM(CT202:CV202)))</f>
        <v/>
      </c>
      <c r="CX202" s="68" t="str">
        <f>IF('School Profile'!$D$20="NO","",IF('Marks Entry'!AU202="","",'Marks Entry'!AU202))</f>
        <v/>
      </c>
      <c r="CY202" s="68" t="str">
        <f>IF('School Profile'!$D$20="NO","",IF('Marks Entry'!AV202="","",'Marks Entry'!AV202))</f>
        <v/>
      </c>
      <c r="CZ202" s="515" t="str">
        <f>IF('School Profile'!$D$20="NO","",IF(AND(CX202="",CY202=""),"",SUM(CX202,CY202)))</f>
        <v/>
      </c>
      <c r="DA202" s="69" t="str">
        <f>IF('School Profile'!$D$20="NO","",IF(AND(CW202="",CZ202=""),"",SUM(CW202+CZ202)))</f>
        <v/>
      </c>
      <c r="DB202" s="68" t="str">
        <f>IF('School Profile'!$D$20="NO","",IF('Marks Entry'!AW202="","",'Marks Entry'!AW202))</f>
        <v/>
      </c>
      <c r="DC202" s="68" t="str">
        <f>IF('School Profile'!$D$20="NO","",IF('Marks Entry'!AX202="","",'Marks Entry'!AX202))</f>
        <v/>
      </c>
      <c r="DD202" s="515" t="str">
        <f>IF('School Profile'!$D$20="NO","",IF(AND(DB202="",DC202=""),"",SUM(DB202,DC202)))</f>
        <v/>
      </c>
      <c r="DE202" s="96" t="str">
        <f>IF('School Profile'!$D$20="NO","",IF(AND(DA202="",DD202=""),"",SUM(DA202,DD202)))</f>
        <v/>
      </c>
      <c r="DF202" s="532">
        <f t="shared" si="555"/>
        <v>0</v>
      </c>
      <c r="DG202" s="65">
        <f t="shared" si="556"/>
        <v>0</v>
      </c>
      <c r="DH202" s="66" t="str">
        <f t="shared" si="557"/>
        <v/>
      </c>
      <c r="DI202" s="65" t="str">
        <f t="shared" si="558"/>
        <v/>
      </c>
      <c r="DJ202" s="65" t="str">
        <f t="shared" si="559"/>
        <v/>
      </c>
      <c r="DK202" s="65" t="str">
        <f t="shared" si="560"/>
        <v/>
      </c>
      <c r="DL202" s="97" t="str">
        <f t="shared" si="600"/>
        <v/>
      </c>
      <c r="DM202" s="97" t="str">
        <f t="shared" si="601"/>
        <v/>
      </c>
      <c r="DN202" s="97" t="str">
        <f t="shared" si="602"/>
        <v/>
      </c>
      <c r="DO202" s="97" t="str">
        <f t="shared" si="603"/>
        <v/>
      </c>
      <c r="DP202" s="97" t="str">
        <f t="shared" si="604"/>
        <v/>
      </c>
      <c r="DQ202" s="97" t="str">
        <f t="shared" si="605"/>
        <v/>
      </c>
      <c r="DR202" s="97" t="str">
        <f t="shared" si="606"/>
        <v/>
      </c>
      <c r="DS202" s="98">
        <f t="shared" si="607"/>
        <v>0</v>
      </c>
      <c r="DT202" s="98">
        <f t="shared" si="608"/>
        <v>0</v>
      </c>
      <c r="DU202" s="98">
        <f t="shared" si="609"/>
        <v>0</v>
      </c>
      <c r="DV202" s="98">
        <f t="shared" si="610"/>
        <v>0</v>
      </c>
      <c r="DW202" s="98">
        <f t="shared" si="611"/>
        <v>0</v>
      </c>
      <c r="DX202" s="98" t="str">
        <f t="shared" si="612"/>
        <v/>
      </c>
      <c r="DY202" s="99" t="str">
        <f t="shared" si="613"/>
        <v/>
      </c>
      <c r="DZ202" s="74" t="str">
        <f>IF('Marks Entry'!AY202="","",'Marks Entry'!AY202)</f>
        <v/>
      </c>
      <c r="EA202" s="74" t="str">
        <f>IF('Marks Entry'!AZ202="","",'Marks Entry'!AZ202)</f>
        <v/>
      </c>
      <c r="EB202" s="74" t="str">
        <f>IF('Marks Entry'!BA202="","",'Marks Entry'!BA202)</f>
        <v/>
      </c>
      <c r="EC202" s="527" t="str">
        <f t="shared" si="561"/>
        <v/>
      </c>
      <c r="ED202" s="74" t="str">
        <f>IF('Marks Entry'!BB202="","",'Marks Entry'!BB202)</f>
        <v/>
      </c>
      <c r="EE202" s="528" t="str">
        <f t="shared" si="562"/>
        <v/>
      </c>
      <c r="EF202" s="74" t="str">
        <f>IF('Marks Entry'!BC202="","",'Marks Entry'!BC202)</f>
        <v/>
      </c>
      <c r="EG202" s="530" t="str">
        <f t="shared" si="563"/>
        <v/>
      </c>
      <c r="EH202" s="368" t="str">
        <f t="shared" si="614"/>
        <v/>
      </c>
      <c r="EI202" s="65">
        <f t="shared" si="615"/>
        <v>0</v>
      </c>
      <c r="EJ202" s="65">
        <f t="shared" si="616"/>
        <v>0</v>
      </c>
      <c r="EK202" s="66" t="str">
        <f t="shared" si="617"/>
        <v/>
      </c>
      <c r="EL202" s="74" t="str">
        <f>IF('Marks Entry'!BD202="","",'Marks Entry'!BD202)</f>
        <v/>
      </c>
      <c r="EM202" s="74" t="str">
        <f>IF('Marks Entry'!BE202="","",'Marks Entry'!BE202)</f>
        <v/>
      </c>
      <c r="EN202" s="74" t="str">
        <f>IF('Marks Entry'!BF202="","",'Marks Entry'!BF202)</f>
        <v/>
      </c>
      <c r="EO202" s="527" t="str">
        <f t="shared" si="564"/>
        <v/>
      </c>
      <c r="EP202" s="74" t="str">
        <f>IF('Marks Entry'!BG202="","",'Marks Entry'!BG202)</f>
        <v/>
      </c>
      <c r="EQ202" s="74" t="str">
        <f>IF('Marks Entry'!BH202="","",'Marks Entry'!BH202)</f>
        <v/>
      </c>
      <c r="ER202" s="528" t="str">
        <f t="shared" si="565"/>
        <v/>
      </c>
      <c r="ES202" s="529" t="str">
        <f t="shared" si="566"/>
        <v/>
      </c>
      <c r="ET202" s="74" t="str">
        <f>IF('Marks Entry'!BI202="","",'Marks Entry'!BI202)</f>
        <v/>
      </c>
      <c r="EU202" s="74" t="str">
        <f>IF('Marks Entry'!BJ202="","",'Marks Entry'!BJ202)</f>
        <v/>
      </c>
      <c r="EV202" s="528" t="str">
        <f t="shared" si="567"/>
        <v/>
      </c>
      <c r="EW202" s="530" t="str">
        <f t="shared" si="568"/>
        <v/>
      </c>
      <c r="EX202" s="368" t="str">
        <f t="shared" si="618"/>
        <v/>
      </c>
      <c r="EY202" s="65">
        <f t="shared" si="619"/>
        <v>0</v>
      </c>
      <c r="EZ202" s="65">
        <f t="shared" si="620"/>
        <v>0</v>
      </c>
      <c r="FA202" s="66" t="str">
        <f t="shared" si="621"/>
        <v/>
      </c>
      <c r="FB202" s="74" t="str">
        <f>IF('Marks Entry'!BK202="","",'Marks Entry'!BK202)</f>
        <v/>
      </c>
      <c r="FC202" s="74" t="str">
        <f>IF('Marks Entry'!BL202="","",'Marks Entry'!BL202)</f>
        <v/>
      </c>
      <c r="FD202" s="74" t="str">
        <f>IF('Marks Entry'!BM202="","",'Marks Entry'!BM202)</f>
        <v/>
      </c>
      <c r="FE202" s="74" t="str">
        <f>IF('Marks Entry'!BN202="","",'Marks Entry'!BN202)</f>
        <v/>
      </c>
      <c r="FF202" s="74" t="str">
        <f>IF('Marks Entry'!BO202="","",'Marks Entry'!BO202)</f>
        <v/>
      </c>
      <c r="FG202" s="74" t="str">
        <f>IF('Marks Entry'!BP202="","",'Marks Entry'!BP202)</f>
        <v/>
      </c>
      <c r="FH202" s="527" t="str">
        <f t="shared" si="569"/>
        <v/>
      </c>
      <c r="FI202" s="74" t="str">
        <f>IF('Marks Entry'!BQ202="","",'Marks Entry'!BQ202)</f>
        <v/>
      </c>
      <c r="FJ202" s="74" t="str">
        <f>IF('Marks Entry'!BR202="","",'Marks Entry'!BR202)</f>
        <v/>
      </c>
      <c r="FK202" s="528" t="str">
        <f t="shared" si="570"/>
        <v/>
      </c>
      <c r="FL202" s="529" t="str">
        <f t="shared" si="571"/>
        <v/>
      </c>
      <c r="FM202" s="74" t="str">
        <f>IF('Marks Entry'!BS202="","",'Marks Entry'!BS202)</f>
        <v/>
      </c>
      <c r="FN202" s="74" t="str">
        <f>IF('Marks Entry'!BT202="","",'Marks Entry'!BT202)</f>
        <v/>
      </c>
      <c r="FO202" s="528" t="str">
        <f t="shared" si="572"/>
        <v/>
      </c>
      <c r="FP202" s="530" t="str">
        <f t="shared" si="573"/>
        <v/>
      </c>
      <c r="FQ202" s="368" t="str">
        <f t="shared" si="622"/>
        <v/>
      </c>
      <c r="FR202" s="65">
        <f t="shared" si="623"/>
        <v>0</v>
      </c>
      <c r="FS202" s="65">
        <f t="shared" si="624"/>
        <v>0</v>
      </c>
      <c r="FT202" s="66" t="str">
        <f t="shared" si="625"/>
        <v/>
      </c>
      <c r="FU202" s="74" t="str">
        <f>IF('Marks Entry'!BU202="","",'Marks Entry'!BU202)</f>
        <v/>
      </c>
      <c r="FV202" s="74" t="str">
        <f>IF('Marks Entry'!BV202="","",'Marks Entry'!BV202)</f>
        <v/>
      </c>
      <c r="FW202" s="74" t="str">
        <f>IF('Marks Entry'!BW202="","",'Marks Entry'!BW202)</f>
        <v/>
      </c>
      <c r="FX202" s="75" t="str">
        <f t="shared" si="574"/>
        <v/>
      </c>
      <c r="FY202" s="368" t="str">
        <f t="shared" si="626"/>
        <v/>
      </c>
      <c r="FZ202" s="65">
        <f t="shared" si="627"/>
        <v>0</v>
      </c>
      <c r="GA202" s="66">
        <f t="shared" si="628"/>
        <v>0</v>
      </c>
      <c r="GB202" s="66" t="str">
        <f t="shared" si="629"/>
        <v/>
      </c>
      <c r="GC202" s="74" t="str">
        <f>IF('Marks Entry'!BX202="","",'Marks Entry'!BX202)</f>
        <v/>
      </c>
      <c r="GD202" s="74" t="str">
        <f>IF('Marks Entry'!BY202="","",'Marks Entry'!BY202)</f>
        <v/>
      </c>
      <c r="GE202" s="74" t="str">
        <f>IF('Marks Entry'!BZ202="","",'Marks Entry'!BZ202)</f>
        <v/>
      </c>
      <c r="GF202" s="75" t="str">
        <f t="shared" si="630"/>
        <v/>
      </c>
      <c r="GG202" s="368" t="str">
        <f t="shared" si="631"/>
        <v/>
      </c>
      <c r="GH202" s="65">
        <f t="shared" si="632"/>
        <v>0</v>
      </c>
      <c r="GI202" s="66">
        <f t="shared" si="633"/>
        <v>0</v>
      </c>
      <c r="GJ202" s="66" t="str">
        <f t="shared" si="634"/>
        <v/>
      </c>
      <c r="GK202" s="100" t="str">
        <f>IF(AND(F202="",B202=""),"",IF('Student DATA Entry'!M199="","",'Student DATA Entry'!M199))</f>
        <v/>
      </c>
      <c r="GL202" s="101" t="str">
        <f>IF(AND(B202="",F202=""),"",IF('Student DATA Entry'!N199="","",'Student DATA Entry'!N199))</f>
        <v/>
      </c>
      <c r="GM202" s="581" t="str">
        <f t="shared" si="635"/>
        <v/>
      </c>
      <c r="GN202" s="94" t="str">
        <f t="shared" si="636"/>
        <v/>
      </c>
      <c r="GO202" s="94" t="str">
        <f t="shared" si="637"/>
        <v/>
      </c>
      <c r="GP202" s="102" t="str">
        <f t="shared" si="575"/>
        <v/>
      </c>
      <c r="GQ202" s="94" t="str">
        <f t="shared" si="638"/>
        <v/>
      </c>
      <c r="GR202" s="103" t="str">
        <f t="shared" si="639"/>
        <v/>
      </c>
      <c r="GS202" s="102" t="str">
        <f t="shared" si="576"/>
        <v/>
      </c>
      <c r="GT202" s="104" t="str">
        <f t="shared" si="640"/>
        <v/>
      </c>
      <c r="GU202" s="94" t="str">
        <f>IF('Marks Entry'!V202=1,GT202,"")</f>
        <v/>
      </c>
      <c r="GV202" s="94" t="str">
        <f>IF('Marks Entry'!V202=2,GT202,"")</f>
        <v/>
      </c>
      <c r="GW202" s="94" t="str">
        <f>IF('Marks Entry'!V202=3,GT202,"")</f>
        <v/>
      </c>
      <c r="GX202" s="94" t="str">
        <f>IF('Marks Entry'!V202=4,GT202,"")</f>
        <v/>
      </c>
      <c r="GY202" s="94" t="str">
        <f>IF('Marks Entry'!V202=5,GT202,"")</f>
        <v/>
      </c>
      <c r="GZ202" s="94" t="str">
        <f t="shared" si="641"/>
        <v/>
      </c>
      <c r="HA202" s="105" t="str">
        <f t="shared" si="577"/>
        <v/>
      </c>
      <c r="HB202" s="94" t="str">
        <f t="shared" si="642"/>
        <v/>
      </c>
      <c r="HC202" s="94" t="str">
        <f t="shared" si="643"/>
        <v/>
      </c>
      <c r="HD202" s="105" t="str">
        <f t="shared" si="578"/>
        <v/>
      </c>
      <c r="HE202" s="94" t="str">
        <f t="shared" si="644"/>
        <v/>
      </c>
      <c r="HF202" s="94" t="str">
        <f t="shared" si="645"/>
        <v/>
      </c>
      <c r="HG202" s="105" t="str">
        <f t="shared" si="579"/>
        <v/>
      </c>
      <c r="HH202" s="94" t="str">
        <f t="shared" si="646"/>
        <v/>
      </c>
      <c r="HI202" s="94" t="str">
        <f t="shared" si="647"/>
        <v/>
      </c>
      <c r="HJ202" s="105" t="str">
        <f t="shared" si="580"/>
        <v/>
      </c>
      <c r="HK202" s="94" t="str">
        <f t="shared" si="648"/>
        <v/>
      </c>
      <c r="HL202" s="94" t="str">
        <f t="shared" si="649"/>
        <v/>
      </c>
      <c r="HM202" s="105" t="str">
        <f t="shared" si="581"/>
        <v/>
      </c>
      <c r="HN202" s="367" t="str">
        <f t="shared" si="650"/>
        <v xml:space="preserve">      </v>
      </c>
      <c r="HO202" s="418" t="str">
        <f t="shared" si="582"/>
        <v xml:space="preserve">      </v>
      </c>
      <c r="HP202" s="367" t="str">
        <f t="shared" si="651"/>
        <v xml:space="preserve">      </v>
      </c>
      <c r="HQ202" s="107" t="str">
        <f t="shared" si="652"/>
        <v xml:space="preserve">      </v>
      </c>
      <c r="HR202" s="366" t="str">
        <f t="shared" si="653"/>
        <v xml:space="preserve">      </v>
      </c>
      <c r="HS202" s="544" t="str">
        <f t="shared" si="583"/>
        <v/>
      </c>
      <c r="HT202" s="542" t="str">
        <f t="shared" si="654"/>
        <v/>
      </c>
      <c r="HU202" s="541" t="str">
        <f t="shared" si="655"/>
        <v/>
      </c>
      <c r="HV202" s="540" t="str">
        <f t="shared" si="656"/>
        <v/>
      </c>
      <c r="HW202" s="537" t="str">
        <f t="shared" si="657"/>
        <v/>
      </c>
      <c r="HX202" s="539" t="str">
        <f t="shared" si="658"/>
        <v/>
      </c>
      <c r="HY202" s="553" t="str">
        <f>IFERROR(IF(OR(HS202="SUPPLEMENTARY",HS202="RE-EXAM"),'Supp. Result Entry'!AQ200,""),"")</f>
        <v/>
      </c>
      <c r="HZ202" s="538" t="str">
        <f t="shared" si="659"/>
        <v/>
      </c>
      <c r="IA202" s="415" t="str">
        <f t="shared" si="660"/>
        <v/>
      </c>
      <c r="IB202" s="415" t="str">
        <f>IF(AND(HZ202="",IA202=""),"",IF(OR(HS202="SUPPLEMENTARY",HS202="RE-EXAM"),'Supp. Result Entry'!AQ200,HS202))</f>
        <v/>
      </c>
      <c r="IC202" s="87"/>
      <c r="IS202" s="109" t="str">
        <f>IF('Supp. Result Entry'!T200="","",'Supp. Result Entry'!$T$4)</f>
        <v/>
      </c>
      <c r="IT202" s="110" t="str">
        <f>IF('Supp. Result Entry'!W200="","",'Supp. Result Entry'!$W$4)</f>
        <v/>
      </c>
      <c r="IU202" s="110" t="str">
        <f>IF('Supp. Result Entry'!Z200="","",'Supp. Result Entry'!$Z$4)</f>
        <v/>
      </c>
      <c r="IV202" s="110" t="str">
        <f>IF('Supp. Result Entry'!AC200="","",'Supp. Result Entry'!$AC$4)</f>
        <v/>
      </c>
      <c r="IW202" s="110" t="str">
        <f>IF('Supp. Result Entry'!AF200="","",'Supp. Result Entry'!$AF$4)</f>
        <v/>
      </c>
      <c r="IX202" s="110" t="str">
        <f>IF('Supp. Result Entry'!AI200="","",'Supp. Result Entry'!$AI$4)</f>
        <v/>
      </c>
      <c r="IY202" s="110" t="str">
        <f>IF('Supp. Result Entry'!AI200="","",'Supp. Result Entry'!$AL$4)</f>
        <v/>
      </c>
      <c r="IZ202" s="110" t="str">
        <f>IF('Supp. Result Entry'!U200="","",'Supp. Result Entry'!U200)</f>
        <v/>
      </c>
      <c r="JA202" s="110" t="str">
        <f>IF('Supp. Result Entry'!X200="","",'Supp. Result Entry'!X200)</f>
        <v/>
      </c>
      <c r="JB202" s="110" t="str">
        <f>IF('Supp. Result Entry'!AA200="","",'Supp. Result Entry'!AA200)</f>
        <v/>
      </c>
      <c r="JC202" s="110" t="str">
        <f>IF('Supp. Result Entry'!AD200="","",'Supp. Result Entry'!AD200)</f>
        <v/>
      </c>
      <c r="JD202" s="110" t="str">
        <f>IF('Supp. Result Entry'!AG200="","",'Supp. Result Entry'!AG200)</f>
        <v/>
      </c>
      <c r="JE202" s="110" t="str">
        <f>IF('Supp. Result Entry'!AJ200="","",'Supp. Result Entry'!AJ200)</f>
        <v/>
      </c>
      <c r="JF202" s="110" t="str">
        <f>IF('Supp. Result Entry'!AM200="","",'Supp. Result Entry'!AM200)</f>
        <v/>
      </c>
      <c r="JG202" s="110" t="str">
        <f>IF('Supp. Result Entry'!V200="","",'Supp. Result Entry'!V200)</f>
        <v/>
      </c>
      <c r="JH202" s="110" t="str">
        <f>IF('Supp. Result Entry'!Y200="","",'Supp. Result Entry'!Y200)</f>
        <v/>
      </c>
      <c r="JI202" s="110" t="str">
        <f>IF('Supp. Result Entry'!AB200="","",'Supp. Result Entry'!AB200)</f>
        <v/>
      </c>
      <c r="JJ202" s="110" t="str">
        <f>IF('Supp. Result Entry'!AE200="","",'Supp. Result Entry'!AE200)</f>
        <v/>
      </c>
      <c r="JK202" s="110" t="str">
        <f>IF('Supp. Result Entry'!AH200="","",'Supp. Result Entry'!AH200)</f>
        <v/>
      </c>
      <c r="JL202" s="110" t="str">
        <f>IF('Supp. Result Entry'!AK200="","",'Supp. Result Entry'!AK200)</f>
        <v/>
      </c>
      <c r="JM202" s="110" t="str">
        <f>IF('Supp. Result Entry'!AN200="","",'Supp. Result Entry'!AN200)</f>
        <v/>
      </c>
      <c r="JN202" s="110">
        <f>COUNTIF('Supp. Result Entry'!K200:Q200,"S")</f>
        <v>0</v>
      </c>
      <c r="JO202" s="110">
        <f t="shared" si="584"/>
        <v>0</v>
      </c>
      <c r="JP202" s="110">
        <f t="shared" si="661"/>
        <v>0</v>
      </c>
      <c r="JQ202" s="110" t="str">
        <f t="shared" si="585"/>
        <v/>
      </c>
      <c r="JR202" s="110" t="str">
        <f t="shared" si="586"/>
        <v/>
      </c>
      <c r="JS202" s="110" t="str">
        <f t="shared" si="587"/>
        <v/>
      </c>
      <c r="JT202" s="110" t="str">
        <f t="shared" si="588"/>
        <v/>
      </c>
      <c r="JU202" s="110" t="str">
        <f t="shared" si="589"/>
        <v/>
      </c>
      <c r="JV202" s="110" t="str">
        <f t="shared" si="590"/>
        <v/>
      </c>
      <c r="JW202" s="110" t="str">
        <f t="shared" si="591"/>
        <v/>
      </c>
      <c r="JX202" s="110" t="str">
        <f t="shared" si="662"/>
        <v/>
      </c>
      <c r="JY202" s="110" t="str">
        <f t="shared" si="663"/>
        <v/>
      </c>
      <c r="JZ202" s="110" t="str">
        <f t="shared" si="592"/>
        <v/>
      </c>
      <c r="KA202" s="108" t="str">
        <f t="shared" si="664"/>
        <v/>
      </c>
    </row>
    <row r="203" spans="1:287" s="108" customFormat="1" ht="21.95" customHeight="1">
      <c r="A203" s="89">
        <v>197</v>
      </c>
      <c r="B203" s="90" t="str">
        <f>IF('Marks Entry'!B203="","",'Marks Entry'!B203)</f>
        <v/>
      </c>
      <c r="C203" s="94" t="str">
        <f>IF('Marks Entry'!D203="","",'Marks Entry'!D203)</f>
        <v/>
      </c>
      <c r="D203" s="91" t="str">
        <f>IF('Marks Entry'!E203="","",'Marks Entry'!E203)</f>
        <v/>
      </c>
      <c r="E203" s="92" t="str">
        <f>IF('Marks Entry'!F203="","",'Marks Entry'!F203)</f>
        <v/>
      </c>
      <c r="F203" s="93" t="str">
        <f>IF('Marks Entry'!G203="","",'Marks Entry'!G203)</f>
        <v/>
      </c>
      <c r="G203" s="93" t="str">
        <f>IF('Marks Entry'!H203="","",'Marks Entry'!H203)</f>
        <v/>
      </c>
      <c r="H203" s="93" t="str">
        <f>IF('Marks Entry'!I203="","",'Marks Entry'!I203)</f>
        <v/>
      </c>
      <c r="I203" s="94" t="str">
        <f>IF('Marks Entry'!J203="","",'Marks Entry'!J203)</f>
        <v/>
      </c>
      <c r="J203" s="95" t="str">
        <f>IF('Marks Entry'!K203="","",'Marks Entry'!K203)</f>
        <v/>
      </c>
      <c r="K203" s="68" t="str">
        <f>IF('Marks Entry'!L203="","",'Marks Entry'!L203)</f>
        <v/>
      </c>
      <c r="L203" s="68" t="str">
        <f>IF('Marks Entry'!M203="","",'Marks Entry'!M203)</f>
        <v/>
      </c>
      <c r="M203" s="68" t="str">
        <f>IF('Marks Entry'!N203="","",'Marks Entry'!N203)</f>
        <v/>
      </c>
      <c r="N203" s="514" t="str">
        <f t="shared" si="593"/>
        <v/>
      </c>
      <c r="O203" s="68" t="str">
        <f>IF('Marks Entry'!O203="","",'Marks Entry'!O203)</f>
        <v/>
      </c>
      <c r="P203" s="515" t="str">
        <f t="shared" si="594"/>
        <v/>
      </c>
      <c r="Q203" s="68" t="str">
        <f>IF('Marks Entry'!P203="","",'Marks Entry'!P203)</f>
        <v/>
      </c>
      <c r="R203" s="96" t="str">
        <f t="shared" si="595"/>
        <v/>
      </c>
      <c r="S203" s="65">
        <f t="shared" si="596"/>
        <v>0</v>
      </c>
      <c r="T203" s="65">
        <f t="shared" si="597"/>
        <v>0</v>
      </c>
      <c r="U203" s="66" t="str">
        <f t="shared" si="507"/>
        <v/>
      </c>
      <c r="V203" s="65" t="str">
        <f t="shared" si="508"/>
        <v/>
      </c>
      <c r="W203" s="65" t="str">
        <f t="shared" si="598"/>
        <v/>
      </c>
      <c r="X203" s="65" t="str">
        <f t="shared" si="509"/>
        <v/>
      </c>
      <c r="Y203" s="68" t="str">
        <f>IF('Marks Entry'!Q203="","",'Marks Entry'!Q203)</f>
        <v/>
      </c>
      <c r="Z203" s="68" t="str">
        <f>IF('Marks Entry'!R203="","",'Marks Entry'!R203)</f>
        <v/>
      </c>
      <c r="AA203" s="68" t="str">
        <f>IF('Marks Entry'!S203="","",'Marks Entry'!S203)</f>
        <v/>
      </c>
      <c r="AB203" s="514" t="str">
        <f t="shared" si="510"/>
        <v/>
      </c>
      <c r="AC203" s="68" t="str">
        <f>IF('Marks Entry'!T203="","",'Marks Entry'!T203)</f>
        <v/>
      </c>
      <c r="AD203" s="515" t="str">
        <f t="shared" si="511"/>
        <v/>
      </c>
      <c r="AE203" s="68" t="str">
        <f>IF('Marks Entry'!U203="","",'Marks Entry'!U203)</f>
        <v/>
      </c>
      <c r="AF203" s="96" t="str">
        <f t="shared" si="512"/>
        <v/>
      </c>
      <c r="AG203" s="65">
        <f t="shared" si="513"/>
        <v>0</v>
      </c>
      <c r="AH203" s="65">
        <f t="shared" si="514"/>
        <v>0</v>
      </c>
      <c r="AI203" s="66" t="str">
        <f t="shared" si="515"/>
        <v/>
      </c>
      <c r="AJ203" s="65" t="str">
        <f t="shared" si="516"/>
        <v/>
      </c>
      <c r="AK203" s="65" t="str">
        <f t="shared" si="517"/>
        <v/>
      </c>
      <c r="AL203" s="65" t="str">
        <f t="shared" si="518"/>
        <v/>
      </c>
      <c r="AM203" s="524" t="str">
        <f>IF('Marks Entry'!V203="","",IF('Marks Entry'!V203=1,'School Profile'!$I$9,IF('Marks Entry'!V203=2,'School Profile'!$I$10,IF('Marks Entry'!V203=3,'School Profile'!$I$11,IF('Marks Entry'!V203=4,'School Profile'!$I$12,IF('Marks Entry'!V203=5,'School Profile'!$I$13,IF('Marks Entry'!V203=6,'School Profile'!$I$14,"")))))))</f>
        <v/>
      </c>
      <c r="AN203" s="68" t="str">
        <f>IF('Marks Entry'!W203="","",'Marks Entry'!W203)</f>
        <v/>
      </c>
      <c r="AO203" s="68" t="str">
        <f>IF('Marks Entry'!X203="","",'Marks Entry'!X203)</f>
        <v/>
      </c>
      <c r="AP203" s="68" t="str">
        <f>IF('Marks Entry'!Y203="","",'Marks Entry'!Y203)</f>
        <v/>
      </c>
      <c r="AQ203" s="514" t="str">
        <f t="shared" si="519"/>
        <v/>
      </c>
      <c r="AR203" s="68" t="str">
        <f>IF('Marks Entry'!Z203="","",'Marks Entry'!Z203)</f>
        <v/>
      </c>
      <c r="AS203" s="515" t="str">
        <f t="shared" si="520"/>
        <v/>
      </c>
      <c r="AT203" s="68" t="str">
        <f>IF('Marks Entry'!AA203="","",'Marks Entry'!AA203)</f>
        <v/>
      </c>
      <c r="AU203" s="96" t="str">
        <f t="shared" si="521"/>
        <v/>
      </c>
      <c r="AV203" s="65">
        <f t="shared" si="522"/>
        <v>0</v>
      </c>
      <c r="AW203" s="65">
        <f t="shared" si="523"/>
        <v>0</v>
      </c>
      <c r="AX203" s="66" t="str">
        <f t="shared" si="524"/>
        <v/>
      </c>
      <c r="AY203" s="65" t="str">
        <f t="shared" si="525"/>
        <v/>
      </c>
      <c r="AZ203" s="65" t="str">
        <f t="shared" si="526"/>
        <v/>
      </c>
      <c r="BA203" s="65" t="str">
        <f t="shared" si="527"/>
        <v/>
      </c>
      <c r="BB203" s="68" t="str">
        <f>IF('Marks Entry'!AB203="","",'Marks Entry'!AB203)</f>
        <v/>
      </c>
      <c r="BC203" s="68" t="str">
        <f>IF('Marks Entry'!AC203="","",'Marks Entry'!AC203)</f>
        <v/>
      </c>
      <c r="BD203" s="68" t="str">
        <f>IF('Marks Entry'!AD203="","",'Marks Entry'!AD203)</f>
        <v/>
      </c>
      <c r="BE203" s="514" t="str">
        <f t="shared" si="528"/>
        <v/>
      </c>
      <c r="BF203" s="68" t="str">
        <f>IF('Marks Entry'!AE203="","",'Marks Entry'!AE203)</f>
        <v/>
      </c>
      <c r="BG203" s="515" t="str">
        <f t="shared" si="529"/>
        <v/>
      </c>
      <c r="BH203" s="68" t="str">
        <f>IF('Marks Entry'!AF203="","",'Marks Entry'!AF203)</f>
        <v/>
      </c>
      <c r="BI203" s="96" t="str">
        <f t="shared" si="530"/>
        <v/>
      </c>
      <c r="BJ203" s="65">
        <f t="shared" si="531"/>
        <v>0</v>
      </c>
      <c r="BK203" s="65">
        <f t="shared" si="599"/>
        <v>0</v>
      </c>
      <c r="BL203" s="66" t="str">
        <f t="shared" si="532"/>
        <v/>
      </c>
      <c r="BM203" s="65" t="str">
        <f t="shared" si="533"/>
        <v/>
      </c>
      <c r="BN203" s="65" t="str">
        <f t="shared" si="534"/>
        <v/>
      </c>
      <c r="BO203" s="65" t="str">
        <f t="shared" si="535"/>
        <v/>
      </c>
      <c r="BP203" s="68" t="str">
        <f>IF('Marks Entry'!AG203="","",'Marks Entry'!AG203)</f>
        <v/>
      </c>
      <c r="BQ203" s="68" t="str">
        <f>IF('Marks Entry'!AH203="","",'Marks Entry'!AH203)</f>
        <v/>
      </c>
      <c r="BR203" s="68" t="str">
        <f>IF('Marks Entry'!AI203="","",'Marks Entry'!AI203)</f>
        <v/>
      </c>
      <c r="BS203" s="514" t="str">
        <f t="shared" si="536"/>
        <v/>
      </c>
      <c r="BT203" s="68" t="str">
        <f>IF('Marks Entry'!AJ203="","",'Marks Entry'!AJ203)</f>
        <v/>
      </c>
      <c r="BU203" s="515" t="str">
        <f t="shared" si="537"/>
        <v/>
      </c>
      <c r="BV203" s="68" t="str">
        <f>IF('Marks Entry'!AK203="","",'Marks Entry'!AK203)</f>
        <v/>
      </c>
      <c r="BW203" s="96" t="str">
        <f t="shared" si="538"/>
        <v/>
      </c>
      <c r="BX203" s="65">
        <f t="shared" si="539"/>
        <v>0</v>
      </c>
      <c r="BY203" s="65">
        <f t="shared" si="540"/>
        <v>0</v>
      </c>
      <c r="BZ203" s="66" t="str">
        <f t="shared" si="541"/>
        <v/>
      </c>
      <c r="CA203" s="65" t="str">
        <f t="shared" si="542"/>
        <v/>
      </c>
      <c r="CB203" s="65" t="str">
        <f t="shared" si="543"/>
        <v/>
      </c>
      <c r="CC203" s="65" t="str">
        <f t="shared" si="544"/>
        <v/>
      </c>
      <c r="CD203" s="66">
        <f t="shared" si="545"/>
        <v>0</v>
      </c>
      <c r="CE203" s="68" t="str">
        <f>IF('Marks Entry'!AL203="","",'Marks Entry'!AL203)</f>
        <v/>
      </c>
      <c r="CF203" s="68" t="str">
        <f>IF('Marks Entry'!AM203="","",'Marks Entry'!AM203)</f>
        <v/>
      </c>
      <c r="CG203" s="68" t="str">
        <f>IF('Marks Entry'!AN203="","",'Marks Entry'!AN203)</f>
        <v/>
      </c>
      <c r="CH203" s="514" t="str">
        <f t="shared" si="546"/>
        <v/>
      </c>
      <c r="CI203" s="68" t="str">
        <f>IF('Marks Entry'!AO203="","",'Marks Entry'!AO203)</f>
        <v/>
      </c>
      <c r="CJ203" s="515" t="str">
        <f t="shared" si="547"/>
        <v/>
      </c>
      <c r="CK203" s="68" t="str">
        <f>IF('Marks Entry'!AP203="","",'Marks Entry'!AP203)</f>
        <v/>
      </c>
      <c r="CL203" s="96" t="str">
        <f t="shared" si="548"/>
        <v/>
      </c>
      <c r="CM203" s="65">
        <f t="shared" si="549"/>
        <v>0</v>
      </c>
      <c r="CN203" s="65">
        <f t="shared" si="550"/>
        <v>0</v>
      </c>
      <c r="CO203" s="66" t="str">
        <f t="shared" si="551"/>
        <v/>
      </c>
      <c r="CP203" s="65" t="str">
        <f t="shared" si="552"/>
        <v/>
      </c>
      <c r="CQ203" s="65" t="str">
        <f t="shared" si="553"/>
        <v/>
      </c>
      <c r="CR203" s="65" t="str">
        <f t="shared" si="554"/>
        <v/>
      </c>
      <c r="CS203" s="616"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8" t="str">
        <f>IF('School Profile'!$D$20="NO","",IF('Marks Entry'!AR203="","",'Marks Entry'!AR203))</f>
        <v/>
      </c>
      <c r="CU203" s="68" t="str">
        <f>IF('School Profile'!$D$20="NO","",IF('Marks Entry'!AS203="","",'Marks Entry'!AS203))</f>
        <v/>
      </c>
      <c r="CV203" s="68" t="str">
        <f>IF('School Profile'!$D$20="NO","",IF('Marks Entry'!AT203="","",'Marks Entry'!AT203))</f>
        <v/>
      </c>
      <c r="CW203" s="514" t="str">
        <f>IF('School Profile'!$D$20="NO","",IF(AND(CT203="",CU203="",CV203=""),"",SUM(CT203:CV203)))</f>
        <v/>
      </c>
      <c r="CX203" s="68" t="str">
        <f>IF('School Profile'!$D$20="NO","",IF('Marks Entry'!AU203="","",'Marks Entry'!AU203))</f>
        <v/>
      </c>
      <c r="CY203" s="68" t="str">
        <f>IF('School Profile'!$D$20="NO","",IF('Marks Entry'!AV203="","",'Marks Entry'!AV203))</f>
        <v/>
      </c>
      <c r="CZ203" s="515" t="str">
        <f>IF('School Profile'!$D$20="NO","",IF(AND(CX203="",CY203=""),"",SUM(CX203,CY203)))</f>
        <v/>
      </c>
      <c r="DA203" s="69" t="str">
        <f>IF('School Profile'!$D$20="NO","",IF(AND(CW203="",CZ203=""),"",SUM(CW203+CZ203)))</f>
        <v/>
      </c>
      <c r="DB203" s="68" t="str">
        <f>IF('School Profile'!$D$20="NO","",IF('Marks Entry'!AW203="","",'Marks Entry'!AW203))</f>
        <v/>
      </c>
      <c r="DC203" s="68" t="str">
        <f>IF('School Profile'!$D$20="NO","",IF('Marks Entry'!AX203="","",'Marks Entry'!AX203))</f>
        <v/>
      </c>
      <c r="DD203" s="515" t="str">
        <f>IF('School Profile'!$D$20="NO","",IF(AND(DB203="",DC203=""),"",SUM(DB203,DC203)))</f>
        <v/>
      </c>
      <c r="DE203" s="96" t="str">
        <f>IF('School Profile'!$D$20="NO","",IF(AND(DA203="",DD203=""),"",SUM(DA203,DD203)))</f>
        <v/>
      </c>
      <c r="DF203" s="532">
        <f t="shared" si="555"/>
        <v>0</v>
      </c>
      <c r="DG203" s="65">
        <f t="shared" si="556"/>
        <v>0</v>
      </c>
      <c r="DH203" s="66" t="str">
        <f t="shared" si="557"/>
        <v/>
      </c>
      <c r="DI203" s="65" t="str">
        <f t="shared" si="558"/>
        <v/>
      </c>
      <c r="DJ203" s="65" t="str">
        <f t="shared" si="559"/>
        <v/>
      </c>
      <c r="DK203" s="65" t="str">
        <f t="shared" si="560"/>
        <v/>
      </c>
      <c r="DL203" s="97" t="str">
        <f t="shared" si="600"/>
        <v/>
      </c>
      <c r="DM203" s="97" t="str">
        <f t="shared" si="601"/>
        <v/>
      </c>
      <c r="DN203" s="97" t="str">
        <f t="shared" si="602"/>
        <v/>
      </c>
      <c r="DO203" s="97" t="str">
        <f t="shared" si="603"/>
        <v/>
      </c>
      <c r="DP203" s="97" t="str">
        <f t="shared" si="604"/>
        <v/>
      </c>
      <c r="DQ203" s="97" t="str">
        <f t="shared" si="605"/>
        <v/>
      </c>
      <c r="DR203" s="97" t="str">
        <f t="shared" si="606"/>
        <v/>
      </c>
      <c r="DS203" s="98">
        <f t="shared" si="607"/>
        <v>0</v>
      </c>
      <c r="DT203" s="98">
        <f t="shared" si="608"/>
        <v>0</v>
      </c>
      <c r="DU203" s="98">
        <f t="shared" si="609"/>
        <v>0</v>
      </c>
      <c r="DV203" s="98">
        <f t="shared" si="610"/>
        <v>0</v>
      </c>
      <c r="DW203" s="98">
        <f t="shared" si="611"/>
        <v>0</v>
      </c>
      <c r="DX203" s="98" t="str">
        <f t="shared" si="612"/>
        <v/>
      </c>
      <c r="DY203" s="99" t="str">
        <f t="shared" si="613"/>
        <v/>
      </c>
      <c r="DZ203" s="74" t="str">
        <f>IF('Marks Entry'!AY203="","",'Marks Entry'!AY203)</f>
        <v/>
      </c>
      <c r="EA203" s="74" t="str">
        <f>IF('Marks Entry'!AZ203="","",'Marks Entry'!AZ203)</f>
        <v/>
      </c>
      <c r="EB203" s="74" t="str">
        <f>IF('Marks Entry'!BA203="","",'Marks Entry'!BA203)</f>
        <v/>
      </c>
      <c r="EC203" s="527" t="str">
        <f t="shared" si="561"/>
        <v/>
      </c>
      <c r="ED203" s="74" t="str">
        <f>IF('Marks Entry'!BB203="","",'Marks Entry'!BB203)</f>
        <v/>
      </c>
      <c r="EE203" s="528" t="str">
        <f t="shared" si="562"/>
        <v/>
      </c>
      <c r="EF203" s="74" t="str">
        <f>IF('Marks Entry'!BC203="","",'Marks Entry'!BC203)</f>
        <v/>
      </c>
      <c r="EG203" s="530" t="str">
        <f t="shared" si="563"/>
        <v/>
      </c>
      <c r="EH203" s="368" t="str">
        <f t="shared" si="614"/>
        <v/>
      </c>
      <c r="EI203" s="65">
        <f t="shared" si="615"/>
        <v>0</v>
      </c>
      <c r="EJ203" s="65">
        <f t="shared" si="616"/>
        <v>0</v>
      </c>
      <c r="EK203" s="66" t="str">
        <f t="shared" si="617"/>
        <v/>
      </c>
      <c r="EL203" s="74" t="str">
        <f>IF('Marks Entry'!BD203="","",'Marks Entry'!BD203)</f>
        <v/>
      </c>
      <c r="EM203" s="74" t="str">
        <f>IF('Marks Entry'!BE203="","",'Marks Entry'!BE203)</f>
        <v/>
      </c>
      <c r="EN203" s="74" t="str">
        <f>IF('Marks Entry'!BF203="","",'Marks Entry'!BF203)</f>
        <v/>
      </c>
      <c r="EO203" s="527" t="str">
        <f t="shared" si="564"/>
        <v/>
      </c>
      <c r="EP203" s="74" t="str">
        <f>IF('Marks Entry'!BG203="","",'Marks Entry'!BG203)</f>
        <v/>
      </c>
      <c r="EQ203" s="74" t="str">
        <f>IF('Marks Entry'!BH203="","",'Marks Entry'!BH203)</f>
        <v/>
      </c>
      <c r="ER203" s="528" t="str">
        <f t="shared" si="565"/>
        <v/>
      </c>
      <c r="ES203" s="529" t="str">
        <f t="shared" si="566"/>
        <v/>
      </c>
      <c r="ET203" s="74" t="str">
        <f>IF('Marks Entry'!BI203="","",'Marks Entry'!BI203)</f>
        <v/>
      </c>
      <c r="EU203" s="74" t="str">
        <f>IF('Marks Entry'!BJ203="","",'Marks Entry'!BJ203)</f>
        <v/>
      </c>
      <c r="EV203" s="528" t="str">
        <f t="shared" si="567"/>
        <v/>
      </c>
      <c r="EW203" s="530" t="str">
        <f t="shared" si="568"/>
        <v/>
      </c>
      <c r="EX203" s="368" t="str">
        <f t="shared" si="618"/>
        <v/>
      </c>
      <c r="EY203" s="65">
        <f t="shared" si="619"/>
        <v>0</v>
      </c>
      <c r="EZ203" s="65">
        <f t="shared" si="620"/>
        <v>0</v>
      </c>
      <c r="FA203" s="66" t="str">
        <f t="shared" si="621"/>
        <v/>
      </c>
      <c r="FB203" s="74" t="str">
        <f>IF('Marks Entry'!BK203="","",'Marks Entry'!BK203)</f>
        <v/>
      </c>
      <c r="FC203" s="74" t="str">
        <f>IF('Marks Entry'!BL203="","",'Marks Entry'!BL203)</f>
        <v/>
      </c>
      <c r="FD203" s="74" t="str">
        <f>IF('Marks Entry'!BM203="","",'Marks Entry'!BM203)</f>
        <v/>
      </c>
      <c r="FE203" s="74" t="str">
        <f>IF('Marks Entry'!BN203="","",'Marks Entry'!BN203)</f>
        <v/>
      </c>
      <c r="FF203" s="74" t="str">
        <f>IF('Marks Entry'!BO203="","",'Marks Entry'!BO203)</f>
        <v/>
      </c>
      <c r="FG203" s="74" t="str">
        <f>IF('Marks Entry'!BP203="","",'Marks Entry'!BP203)</f>
        <v/>
      </c>
      <c r="FH203" s="527" t="str">
        <f t="shared" si="569"/>
        <v/>
      </c>
      <c r="FI203" s="74" t="str">
        <f>IF('Marks Entry'!BQ203="","",'Marks Entry'!BQ203)</f>
        <v/>
      </c>
      <c r="FJ203" s="74" t="str">
        <f>IF('Marks Entry'!BR203="","",'Marks Entry'!BR203)</f>
        <v/>
      </c>
      <c r="FK203" s="528" t="str">
        <f t="shared" si="570"/>
        <v/>
      </c>
      <c r="FL203" s="529" t="str">
        <f t="shared" si="571"/>
        <v/>
      </c>
      <c r="FM203" s="74" t="str">
        <f>IF('Marks Entry'!BS203="","",'Marks Entry'!BS203)</f>
        <v/>
      </c>
      <c r="FN203" s="74" t="str">
        <f>IF('Marks Entry'!BT203="","",'Marks Entry'!BT203)</f>
        <v/>
      </c>
      <c r="FO203" s="528" t="str">
        <f t="shared" si="572"/>
        <v/>
      </c>
      <c r="FP203" s="530" t="str">
        <f t="shared" si="573"/>
        <v/>
      </c>
      <c r="FQ203" s="368" t="str">
        <f t="shared" si="622"/>
        <v/>
      </c>
      <c r="FR203" s="65">
        <f t="shared" si="623"/>
        <v>0</v>
      </c>
      <c r="FS203" s="65">
        <f t="shared" si="624"/>
        <v>0</v>
      </c>
      <c r="FT203" s="66" t="str">
        <f t="shared" si="625"/>
        <v/>
      </c>
      <c r="FU203" s="74" t="str">
        <f>IF('Marks Entry'!BU203="","",'Marks Entry'!BU203)</f>
        <v/>
      </c>
      <c r="FV203" s="74" t="str">
        <f>IF('Marks Entry'!BV203="","",'Marks Entry'!BV203)</f>
        <v/>
      </c>
      <c r="FW203" s="74" t="str">
        <f>IF('Marks Entry'!BW203="","",'Marks Entry'!BW203)</f>
        <v/>
      </c>
      <c r="FX203" s="75" t="str">
        <f t="shared" si="574"/>
        <v/>
      </c>
      <c r="FY203" s="368" t="str">
        <f t="shared" si="626"/>
        <v/>
      </c>
      <c r="FZ203" s="65">
        <f t="shared" si="627"/>
        <v>0</v>
      </c>
      <c r="GA203" s="66">
        <f t="shared" si="628"/>
        <v>0</v>
      </c>
      <c r="GB203" s="66" t="str">
        <f t="shared" si="629"/>
        <v/>
      </c>
      <c r="GC203" s="74" t="str">
        <f>IF('Marks Entry'!BX203="","",'Marks Entry'!BX203)</f>
        <v/>
      </c>
      <c r="GD203" s="74" t="str">
        <f>IF('Marks Entry'!BY203="","",'Marks Entry'!BY203)</f>
        <v/>
      </c>
      <c r="GE203" s="74" t="str">
        <f>IF('Marks Entry'!BZ203="","",'Marks Entry'!BZ203)</f>
        <v/>
      </c>
      <c r="GF203" s="75" t="str">
        <f t="shared" si="630"/>
        <v/>
      </c>
      <c r="GG203" s="368" t="str">
        <f t="shared" si="631"/>
        <v/>
      </c>
      <c r="GH203" s="65">
        <f t="shared" si="632"/>
        <v>0</v>
      </c>
      <c r="GI203" s="66">
        <f t="shared" si="633"/>
        <v>0</v>
      </c>
      <c r="GJ203" s="66" t="str">
        <f t="shared" si="634"/>
        <v/>
      </c>
      <c r="GK203" s="100" t="str">
        <f>IF(AND(F203="",B203=""),"",IF('Student DATA Entry'!M200="","",'Student DATA Entry'!M200))</f>
        <v/>
      </c>
      <c r="GL203" s="101" t="str">
        <f>IF(AND(B203="",F203=""),"",IF('Student DATA Entry'!N200="","",'Student DATA Entry'!N200))</f>
        <v/>
      </c>
      <c r="GM203" s="581" t="str">
        <f t="shared" si="635"/>
        <v/>
      </c>
      <c r="GN203" s="94" t="str">
        <f t="shared" si="636"/>
        <v/>
      </c>
      <c r="GO203" s="94" t="str">
        <f t="shared" si="637"/>
        <v/>
      </c>
      <c r="GP203" s="102" t="str">
        <f t="shared" si="575"/>
        <v/>
      </c>
      <c r="GQ203" s="94" t="str">
        <f t="shared" si="638"/>
        <v/>
      </c>
      <c r="GR203" s="103" t="str">
        <f t="shared" si="639"/>
        <v/>
      </c>
      <c r="GS203" s="102" t="str">
        <f t="shared" si="576"/>
        <v/>
      </c>
      <c r="GT203" s="104" t="str">
        <f t="shared" si="640"/>
        <v/>
      </c>
      <c r="GU203" s="94" t="str">
        <f>IF('Marks Entry'!V203=1,GT203,"")</f>
        <v/>
      </c>
      <c r="GV203" s="94" t="str">
        <f>IF('Marks Entry'!V203=2,GT203,"")</f>
        <v/>
      </c>
      <c r="GW203" s="94" t="str">
        <f>IF('Marks Entry'!V203=3,GT203,"")</f>
        <v/>
      </c>
      <c r="GX203" s="94" t="str">
        <f>IF('Marks Entry'!V203=4,GT203,"")</f>
        <v/>
      </c>
      <c r="GY203" s="94" t="str">
        <f>IF('Marks Entry'!V203=5,GT203,"")</f>
        <v/>
      </c>
      <c r="GZ203" s="94" t="str">
        <f t="shared" si="641"/>
        <v/>
      </c>
      <c r="HA203" s="105" t="str">
        <f t="shared" si="577"/>
        <v/>
      </c>
      <c r="HB203" s="94" t="str">
        <f t="shared" si="642"/>
        <v/>
      </c>
      <c r="HC203" s="94" t="str">
        <f t="shared" si="643"/>
        <v/>
      </c>
      <c r="HD203" s="105" t="str">
        <f t="shared" si="578"/>
        <v/>
      </c>
      <c r="HE203" s="94" t="str">
        <f t="shared" si="644"/>
        <v/>
      </c>
      <c r="HF203" s="94" t="str">
        <f t="shared" si="645"/>
        <v/>
      </c>
      <c r="HG203" s="105" t="str">
        <f t="shared" si="579"/>
        <v/>
      </c>
      <c r="HH203" s="94" t="str">
        <f t="shared" si="646"/>
        <v/>
      </c>
      <c r="HI203" s="94" t="str">
        <f t="shared" si="647"/>
        <v/>
      </c>
      <c r="HJ203" s="105" t="str">
        <f t="shared" si="580"/>
        <v/>
      </c>
      <c r="HK203" s="94" t="str">
        <f t="shared" si="648"/>
        <v/>
      </c>
      <c r="HL203" s="94" t="str">
        <f t="shared" si="649"/>
        <v/>
      </c>
      <c r="HM203" s="105" t="str">
        <f t="shared" si="581"/>
        <v/>
      </c>
      <c r="HN203" s="367" t="str">
        <f t="shared" si="650"/>
        <v xml:space="preserve">      </v>
      </c>
      <c r="HO203" s="418" t="str">
        <f t="shared" si="582"/>
        <v xml:space="preserve">      </v>
      </c>
      <c r="HP203" s="367" t="str">
        <f t="shared" si="651"/>
        <v xml:space="preserve">      </v>
      </c>
      <c r="HQ203" s="107" t="str">
        <f t="shared" si="652"/>
        <v xml:space="preserve">      </v>
      </c>
      <c r="HR203" s="366" t="str">
        <f t="shared" si="653"/>
        <v xml:space="preserve">      </v>
      </c>
      <c r="HS203" s="544" t="str">
        <f t="shared" si="583"/>
        <v/>
      </c>
      <c r="HT203" s="542" t="str">
        <f t="shared" si="654"/>
        <v/>
      </c>
      <c r="HU203" s="541" t="str">
        <f t="shared" si="655"/>
        <v/>
      </c>
      <c r="HV203" s="540" t="str">
        <f t="shared" si="656"/>
        <v/>
      </c>
      <c r="HW203" s="537" t="str">
        <f t="shared" si="657"/>
        <v/>
      </c>
      <c r="HX203" s="539" t="str">
        <f t="shared" si="658"/>
        <v/>
      </c>
      <c r="HY203" s="553" t="str">
        <f>IFERROR(IF(OR(HS203="SUPPLEMENTARY",HS203="RE-EXAM"),'Supp. Result Entry'!AQ201,""),"")</f>
        <v/>
      </c>
      <c r="HZ203" s="538" t="str">
        <f t="shared" si="659"/>
        <v/>
      </c>
      <c r="IA203" s="415" t="str">
        <f t="shared" si="660"/>
        <v/>
      </c>
      <c r="IB203" s="415" t="str">
        <f>IF(AND(HZ203="",IA203=""),"",IF(OR(HS203="SUPPLEMENTARY",HS203="RE-EXAM"),'Supp. Result Entry'!AQ201,HS203))</f>
        <v/>
      </c>
      <c r="IC203" s="87"/>
      <c r="IS203" s="109" t="str">
        <f>IF('Supp. Result Entry'!T201="","",'Supp. Result Entry'!$T$4)</f>
        <v/>
      </c>
      <c r="IT203" s="110" t="str">
        <f>IF('Supp. Result Entry'!W201="","",'Supp. Result Entry'!$W$4)</f>
        <v/>
      </c>
      <c r="IU203" s="110" t="str">
        <f>IF('Supp. Result Entry'!Z201="","",'Supp. Result Entry'!$Z$4)</f>
        <v/>
      </c>
      <c r="IV203" s="110" t="str">
        <f>IF('Supp. Result Entry'!AC201="","",'Supp. Result Entry'!$AC$4)</f>
        <v/>
      </c>
      <c r="IW203" s="110" t="str">
        <f>IF('Supp. Result Entry'!AF201="","",'Supp. Result Entry'!$AF$4)</f>
        <v/>
      </c>
      <c r="IX203" s="110" t="str">
        <f>IF('Supp. Result Entry'!AI201="","",'Supp. Result Entry'!$AI$4)</f>
        <v/>
      </c>
      <c r="IY203" s="110" t="str">
        <f>IF('Supp. Result Entry'!AI201="","",'Supp. Result Entry'!$AL$4)</f>
        <v/>
      </c>
      <c r="IZ203" s="110" t="str">
        <f>IF('Supp. Result Entry'!U201="","",'Supp. Result Entry'!U201)</f>
        <v/>
      </c>
      <c r="JA203" s="110" t="str">
        <f>IF('Supp. Result Entry'!X201="","",'Supp. Result Entry'!X201)</f>
        <v/>
      </c>
      <c r="JB203" s="110" t="str">
        <f>IF('Supp. Result Entry'!AA201="","",'Supp. Result Entry'!AA201)</f>
        <v/>
      </c>
      <c r="JC203" s="110" t="str">
        <f>IF('Supp. Result Entry'!AD201="","",'Supp. Result Entry'!AD201)</f>
        <v/>
      </c>
      <c r="JD203" s="110" t="str">
        <f>IF('Supp. Result Entry'!AG201="","",'Supp. Result Entry'!AG201)</f>
        <v/>
      </c>
      <c r="JE203" s="110" t="str">
        <f>IF('Supp. Result Entry'!AJ201="","",'Supp. Result Entry'!AJ201)</f>
        <v/>
      </c>
      <c r="JF203" s="110" t="str">
        <f>IF('Supp. Result Entry'!AM201="","",'Supp. Result Entry'!AM201)</f>
        <v/>
      </c>
      <c r="JG203" s="110" t="str">
        <f>IF('Supp. Result Entry'!V201="","",'Supp. Result Entry'!V201)</f>
        <v/>
      </c>
      <c r="JH203" s="110" t="str">
        <f>IF('Supp. Result Entry'!Y201="","",'Supp. Result Entry'!Y201)</f>
        <v/>
      </c>
      <c r="JI203" s="110" t="str">
        <f>IF('Supp. Result Entry'!AB201="","",'Supp. Result Entry'!AB201)</f>
        <v/>
      </c>
      <c r="JJ203" s="110" t="str">
        <f>IF('Supp. Result Entry'!AE201="","",'Supp. Result Entry'!AE201)</f>
        <v/>
      </c>
      <c r="JK203" s="110" t="str">
        <f>IF('Supp. Result Entry'!AH201="","",'Supp. Result Entry'!AH201)</f>
        <v/>
      </c>
      <c r="JL203" s="110" t="str">
        <f>IF('Supp. Result Entry'!AK201="","",'Supp. Result Entry'!AK201)</f>
        <v/>
      </c>
      <c r="JM203" s="110" t="str">
        <f>IF('Supp. Result Entry'!AN201="","",'Supp. Result Entry'!AN201)</f>
        <v/>
      </c>
      <c r="JN203" s="110">
        <f>COUNTIF('Supp. Result Entry'!K201:Q201,"S")</f>
        <v>0</v>
      </c>
      <c r="JO203" s="110">
        <f t="shared" si="584"/>
        <v>0</v>
      </c>
      <c r="JP203" s="110">
        <f t="shared" si="661"/>
        <v>0</v>
      </c>
      <c r="JQ203" s="110" t="str">
        <f t="shared" si="585"/>
        <v/>
      </c>
      <c r="JR203" s="110" t="str">
        <f t="shared" si="586"/>
        <v/>
      </c>
      <c r="JS203" s="110" t="str">
        <f t="shared" si="587"/>
        <v/>
      </c>
      <c r="JT203" s="110" t="str">
        <f t="shared" si="588"/>
        <v/>
      </c>
      <c r="JU203" s="110" t="str">
        <f t="shared" si="589"/>
        <v/>
      </c>
      <c r="JV203" s="110" t="str">
        <f t="shared" si="590"/>
        <v/>
      </c>
      <c r="JW203" s="110" t="str">
        <f t="shared" si="591"/>
        <v/>
      </c>
      <c r="JX203" s="110" t="str">
        <f t="shared" si="662"/>
        <v/>
      </c>
      <c r="JY203" s="110" t="str">
        <f t="shared" si="663"/>
        <v/>
      </c>
      <c r="JZ203" s="110" t="str">
        <f t="shared" si="592"/>
        <v/>
      </c>
      <c r="KA203" s="108" t="str">
        <f t="shared" si="664"/>
        <v/>
      </c>
    </row>
    <row r="204" spans="1:287" s="108" customFormat="1" ht="21.95" customHeight="1">
      <c r="A204" s="89">
        <v>198</v>
      </c>
      <c r="B204" s="90" t="str">
        <f>IF('Marks Entry'!B204="","",'Marks Entry'!B204)</f>
        <v/>
      </c>
      <c r="C204" s="94" t="str">
        <f>IF('Marks Entry'!D204="","",'Marks Entry'!D204)</f>
        <v/>
      </c>
      <c r="D204" s="91" t="str">
        <f>IF('Marks Entry'!E204="","",'Marks Entry'!E204)</f>
        <v/>
      </c>
      <c r="E204" s="92" t="str">
        <f>IF('Marks Entry'!F204="","",'Marks Entry'!F204)</f>
        <v/>
      </c>
      <c r="F204" s="93" t="str">
        <f>IF('Marks Entry'!G204="","",'Marks Entry'!G204)</f>
        <v/>
      </c>
      <c r="G204" s="93" t="str">
        <f>IF('Marks Entry'!H204="","",'Marks Entry'!H204)</f>
        <v/>
      </c>
      <c r="H204" s="93" t="str">
        <f>IF('Marks Entry'!I204="","",'Marks Entry'!I204)</f>
        <v/>
      </c>
      <c r="I204" s="94" t="str">
        <f>IF('Marks Entry'!J204="","",'Marks Entry'!J204)</f>
        <v/>
      </c>
      <c r="J204" s="95" t="str">
        <f>IF('Marks Entry'!K204="","",'Marks Entry'!K204)</f>
        <v/>
      </c>
      <c r="K204" s="68" t="str">
        <f>IF('Marks Entry'!L204="","",'Marks Entry'!L204)</f>
        <v/>
      </c>
      <c r="L204" s="68" t="str">
        <f>IF('Marks Entry'!M204="","",'Marks Entry'!M204)</f>
        <v/>
      </c>
      <c r="M204" s="68" t="str">
        <f>IF('Marks Entry'!N204="","",'Marks Entry'!N204)</f>
        <v/>
      </c>
      <c r="N204" s="514" t="str">
        <f t="shared" si="593"/>
        <v/>
      </c>
      <c r="O204" s="68" t="str">
        <f>IF('Marks Entry'!O204="","",'Marks Entry'!O204)</f>
        <v/>
      </c>
      <c r="P204" s="515" t="str">
        <f t="shared" si="594"/>
        <v/>
      </c>
      <c r="Q204" s="68" t="str">
        <f>IF('Marks Entry'!P204="","",'Marks Entry'!P204)</f>
        <v/>
      </c>
      <c r="R204" s="96" t="str">
        <f t="shared" si="595"/>
        <v/>
      </c>
      <c r="S204" s="65">
        <f t="shared" si="596"/>
        <v>0</v>
      </c>
      <c r="T204" s="65">
        <f t="shared" si="597"/>
        <v>0</v>
      </c>
      <c r="U204" s="66" t="str">
        <f t="shared" si="507"/>
        <v/>
      </c>
      <c r="V204" s="65" t="str">
        <f t="shared" si="508"/>
        <v/>
      </c>
      <c r="W204" s="65" t="str">
        <f t="shared" si="598"/>
        <v/>
      </c>
      <c r="X204" s="65" t="str">
        <f t="shared" si="509"/>
        <v/>
      </c>
      <c r="Y204" s="68" t="str">
        <f>IF('Marks Entry'!Q204="","",'Marks Entry'!Q204)</f>
        <v/>
      </c>
      <c r="Z204" s="68" t="str">
        <f>IF('Marks Entry'!R204="","",'Marks Entry'!R204)</f>
        <v/>
      </c>
      <c r="AA204" s="68" t="str">
        <f>IF('Marks Entry'!S204="","",'Marks Entry'!S204)</f>
        <v/>
      </c>
      <c r="AB204" s="514" t="str">
        <f t="shared" si="510"/>
        <v/>
      </c>
      <c r="AC204" s="68" t="str">
        <f>IF('Marks Entry'!T204="","",'Marks Entry'!T204)</f>
        <v/>
      </c>
      <c r="AD204" s="515" t="str">
        <f t="shared" si="511"/>
        <v/>
      </c>
      <c r="AE204" s="68" t="str">
        <f>IF('Marks Entry'!U204="","",'Marks Entry'!U204)</f>
        <v/>
      </c>
      <c r="AF204" s="96" t="str">
        <f t="shared" si="512"/>
        <v/>
      </c>
      <c r="AG204" s="65">
        <f t="shared" si="513"/>
        <v>0</v>
      </c>
      <c r="AH204" s="65">
        <f t="shared" si="514"/>
        <v>0</v>
      </c>
      <c r="AI204" s="66" t="str">
        <f t="shared" si="515"/>
        <v/>
      </c>
      <c r="AJ204" s="65" t="str">
        <f t="shared" si="516"/>
        <v/>
      </c>
      <c r="AK204" s="65" t="str">
        <f t="shared" si="517"/>
        <v/>
      </c>
      <c r="AL204" s="65" t="str">
        <f t="shared" si="518"/>
        <v/>
      </c>
      <c r="AM204" s="524" t="str">
        <f>IF('Marks Entry'!V204="","",IF('Marks Entry'!V204=1,'School Profile'!$I$9,IF('Marks Entry'!V204=2,'School Profile'!$I$10,IF('Marks Entry'!V204=3,'School Profile'!$I$11,IF('Marks Entry'!V204=4,'School Profile'!$I$12,IF('Marks Entry'!V204=5,'School Profile'!$I$13,IF('Marks Entry'!V204=6,'School Profile'!$I$14,"")))))))</f>
        <v/>
      </c>
      <c r="AN204" s="68" t="str">
        <f>IF('Marks Entry'!W204="","",'Marks Entry'!W204)</f>
        <v/>
      </c>
      <c r="AO204" s="68" t="str">
        <f>IF('Marks Entry'!X204="","",'Marks Entry'!X204)</f>
        <v/>
      </c>
      <c r="AP204" s="68" t="str">
        <f>IF('Marks Entry'!Y204="","",'Marks Entry'!Y204)</f>
        <v/>
      </c>
      <c r="AQ204" s="514" t="str">
        <f t="shared" si="519"/>
        <v/>
      </c>
      <c r="AR204" s="68" t="str">
        <f>IF('Marks Entry'!Z204="","",'Marks Entry'!Z204)</f>
        <v/>
      </c>
      <c r="AS204" s="515" t="str">
        <f t="shared" si="520"/>
        <v/>
      </c>
      <c r="AT204" s="68" t="str">
        <f>IF('Marks Entry'!AA204="","",'Marks Entry'!AA204)</f>
        <v/>
      </c>
      <c r="AU204" s="96" t="str">
        <f t="shared" si="521"/>
        <v/>
      </c>
      <c r="AV204" s="65">
        <f t="shared" si="522"/>
        <v>0</v>
      </c>
      <c r="AW204" s="65">
        <f t="shared" si="523"/>
        <v>0</v>
      </c>
      <c r="AX204" s="66" t="str">
        <f t="shared" si="524"/>
        <v/>
      </c>
      <c r="AY204" s="65" t="str">
        <f t="shared" si="525"/>
        <v/>
      </c>
      <c r="AZ204" s="65" t="str">
        <f t="shared" si="526"/>
        <v/>
      </c>
      <c r="BA204" s="65" t="str">
        <f t="shared" si="527"/>
        <v/>
      </c>
      <c r="BB204" s="68" t="str">
        <f>IF('Marks Entry'!AB204="","",'Marks Entry'!AB204)</f>
        <v/>
      </c>
      <c r="BC204" s="68" t="str">
        <f>IF('Marks Entry'!AC204="","",'Marks Entry'!AC204)</f>
        <v/>
      </c>
      <c r="BD204" s="68" t="str">
        <f>IF('Marks Entry'!AD204="","",'Marks Entry'!AD204)</f>
        <v/>
      </c>
      <c r="BE204" s="514" t="str">
        <f t="shared" si="528"/>
        <v/>
      </c>
      <c r="BF204" s="68" t="str">
        <f>IF('Marks Entry'!AE204="","",'Marks Entry'!AE204)</f>
        <v/>
      </c>
      <c r="BG204" s="515" t="str">
        <f t="shared" si="529"/>
        <v/>
      </c>
      <c r="BH204" s="68" t="str">
        <f>IF('Marks Entry'!AF204="","",'Marks Entry'!AF204)</f>
        <v/>
      </c>
      <c r="BI204" s="96" t="str">
        <f t="shared" si="530"/>
        <v/>
      </c>
      <c r="BJ204" s="65">
        <f t="shared" si="531"/>
        <v>0</v>
      </c>
      <c r="BK204" s="65">
        <f t="shared" si="599"/>
        <v>0</v>
      </c>
      <c r="BL204" s="66" t="str">
        <f t="shared" si="532"/>
        <v/>
      </c>
      <c r="BM204" s="65" t="str">
        <f t="shared" si="533"/>
        <v/>
      </c>
      <c r="BN204" s="65" t="str">
        <f t="shared" si="534"/>
        <v/>
      </c>
      <c r="BO204" s="65" t="str">
        <f t="shared" si="535"/>
        <v/>
      </c>
      <c r="BP204" s="68" t="str">
        <f>IF('Marks Entry'!AG204="","",'Marks Entry'!AG204)</f>
        <v/>
      </c>
      <c r="BQ204" s="68" t="str">
        <f>IF('Marks Entry'!AH204="","",'Marks Entry'!AH204)</f>
        <v/>
      </c>
      <c r="BR204" s="68" t="str">
        <f>IF('Marks Entry'!AI204="","",'Marks Entry'!AI204)</f>
        <v/>
      </c>
      <c r="BS204" s="514" t="str">
        <f t="shared" si="536"/>
        <v/>
      </c>
      <c r="BT204" s="68" t="str">
        <f>IF('Marks Entry'!AJ204="","",'Marks Entry'!AJ204)</f>
        <v/>
      </c>
      <c r="BU204" s="515" t="str">
        <f t="shared" si="537"/>
        <v/>
      </c>
      <c r="BV204" s="68" t="str">
        <f>IF('Marks Entry'!AK204="","",'Marks Entry'!AK204)</f>
        <v/>
      </c>
      <c r="BW204" s="96" t="str">
        <f t="shared" si="538"/>
        <v/>
      </c>
      <c r="BX204" s="65">
        <f t="shared" si="539"/>
        <v>0</v>
      </c>
      <c r="BY204" s="65">
        <f t="shared" si="540"/>
        <v>0</v>
      </c>
      <c r="BZ204" s="66" t="str">
        <f t="shared" si="541"/>
        <v/>
      </c>
      <c r="CA204" s="65" t="str">
        <f t="shared" si="542"/>
        <v/>
      </c>
      <c r="CB204" s="65" t="str">
        <f t="shared" si="543"/>
        <v/>
      </c>
      <c r="CC204" s="65" t="str">
        <f t="shared" si="544"/>
        <v/>
      </c>
      <c r="CD204" s="66">
        <f t="shared" si="545"/>
        <v>0</v>
      </c>
      <c r="CE204" s="68" t="str">
        <f>IF('Marks Entry'!AL204="","",'Marks Entry'!AL204)</f>
        <v/>
      </c>
      <c r="CF204" s="68" t="str">
        <f>IF('Marks Entry'!AM204="","",'Marks Entry'!AM204)</f>
        <v/>
      </c>
      <c r="CG204" s="68" t="str">
        <f>IF('Marks Entry'!AN204="","",'Marks Entry'!AN204)</f>
        <v/>
      </c>
      <c r="CH204" s="514" t="str">
        <f t="shared" si="546"/>
        <v/>
      </c>
      <c r="CI204" s="68" t="str">
        <f>IF('Marks Entry'!AO204="","",'Marks Entry'!AO204)</f>
        <v/>
      </c>
      <c r="CJ204" s="515" t="str">
        <f t="shared" si="547"/>
        <v/>
      </c>
      <c r="CK204" s="68" t="str">
        <f>IF('Marks Entry'!AP204="","",'Marks Entry'!AP204)</f>
        <v/>
      </c>
      <c r="CL204" s="96" t="str">
        <f t="shared" si="548"/>
        <v/>
      </c>
      <c r="CM204" s="65">
        <f t="shared" si="549"/>
        <v>0</v>
      </c>
      <c r="CN204" s="65">
        <f t="shared" si="550"/>
        <v>0</v>
      </c>
      <c r="CO204" s="66" t="str">
        <f t="shared" si="551"/>
        <v/>
      </c>
      <c r="CP204" s="65" t="str">
        <f t="shared" si="552"/>
        <v/>
      </c>
      <c r="CQ204" s="65" t="str">
        <f t="shared" si="553"/>
        <v/>
      </c>
      <c r="CR204" s="65" t="str">
        <f t="shared" si="554"/>
        <v/>
      </c>
      <c r="CS204" s="616"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8" t="str">
        <f>IF('School Profile'!$D$20="NO","",IF('Marks Entry'!AR204="","",'Marks Entry'!AR204))</f>
        <v/>
      </c>
      <c r="CU204" s="68" t="str">
        <f>IF('School Profile'!$D$20="NO","",IF('Marks Entry'!AS204="","",'Marks Entry'!AS204))</f>
        <v/>
      </c>
      <c r="CV204" s="68" t="str">
        <f>IF('School Profile'!$D$20="NO","",IF('Marks Entry'!AT204="","",'Marks Entry'!AT204))</f>
        <v/>
      </c>
      <c r="CW204" s="514" t="str">
        <f>IF('School Profile'!$D$20="NO","",IF(AND(CT204="",CU204="",CV204=""),"",SUM(CT204:CV204)))</f>
        <v/>
      </c>
      <c r="CX204" s="68" t="str">
        <f>IF('School Profile'!$D$20="NO","",IF('Marks Entry'!AU204="","",'Marks Entry'!AU204))</f>
        <v/>
      </c>
      <c r="CY204" s="68" t="str">
        <f>IF('School Profile'!$D$20="NO","",IF('Marks Entry'!AV204="","",'Marks Entry'!AV204))</f>
        <v/>
      </c>
      <c r="CZ204" s="515" t="str">
        <f>IF('School Profile'!$D$20="NO","",IF(AND(CX204="",CY204=""),"",SUM(CX204,CY204)))</f>
        <v/>
      </c>
      <c r="DA204" s="69" t="str">
        <f>IF('School Profile'!$D$20="NO","",IF(AND(CW204="",CZ204=""),"",SUM(CW204+CZ204)))</f>
        <v/>
      </c>
      <c r="DB204" s="68" t="str">
        <f>IF('School Profile'!$D$20="NO","",IF('Marks Entry'!AW204="","",'Marks Entry'!AW204))</f>
        <v/>
      </c>
      <c r="DC204" s="68" t="str">
        <f>IF('School Profile'!$D$20="NO","",IF('Marks Entry'!AX204="","",'Marks Entry'!AX204))</f>
        <v/>
      </c>
      <c r="DD204" s="515" t="str">
        <f>IF('School Profile'!$D$20="NO","",IF(AND(DB204="",DC204=""),"",SUM(DB204,DC204)))</f>
        <v/>
      </c>
      <c r="DE204" s="96" t="str">
        <f>IF('School Profile'!$D$20="NO","",IF(AND(DA204="",DD204=""),"",SUM(DA204,DD204)))</f>
        <v/>
      </c>
      <c r="DF204" s="532">
        <f t="shared" si="555"/>
        <v>0</v>
      </c>
      <c r="DG204" s="65">
        <f t="shared" si="556"/>
        <v>0</v>
      </c>
      <c r="DH204" s="66" t="str">
        <f t="shared" si="557"/>
        <v/>
      </c>
      <c r="DI204" s="65" t="str">
        <f t="shared" si="558"/>
        <v/>
      </c>
      <c r="DJ204" s="65" t="str">
        <f t="shared" si="559"/>
        <v/>
      </c>
      <c r="DK204" s="65" t="str">
        <f t="shared" si="560"/>
        <v/>
      </c>
      <c r="DL204" s="97" t="str">
        <f t="shared" si="600"/>
        <v/>
      </c>
      <c r="DM204" s="97" t="str">
        <f t="shared" si="601"/>
        <v/>
      </c>
      <c r="DN204" s="97" t="str">
        <f t="shared" si="602"/>
        <v/>
      </c>
      <c r="DO204" s="97" t="str">
        <f t="shared" si="603"/>
        <v/>
      </c>
      <c r="DP204" s="97" t="str">
        <f t="shared" si="604"/>
        <v/>
      </c>
      <c r="DQ204" s="97" t="str">
        <f t="shared" si="605"/>
        <v/>
      </c>
      <c r="DR204" s="97" t="str">
        <f t="shared" si="606"/>
        <v/>
      </c>
      <c r="DS204" s="98">
        <f t="shared" si="607"/>
        <v>0</v>
      </c>
      <c r="DT204" s="98">
        <f t="shared" si="608"/>
        <v>0</v>
      </c>
      <c r="DU204" s="98">
        <f t="shared" si="609"/>
        <v>0</v>
      </c>
      <c r="DV204" s="98">
        <f t="shared" si="610"/>
        <v>0</v>
      </c>
      <c r="DW204" s="98">
        <f t="shared" si="611"/>
        <v>0</v>
      </c>
      <c r="DX204" s="98" t="str">
        <f t="shared" si="612"/>
        <v/>
      </c>
      <c r="DY204" s="99" t="str">
        <f t="shared" si="613"/>
        <v/>
      </c>
      <c r="DZ204" s="74" t="str">
        <f>IF('Marks Entry'!AY204="","",'Marks Entry'!AY204)</f>
        <v/>
      </c>
      <c r="EA204" s="74" t="str">
        <f>IF('Marks Entry'!AZ204="","",'Marks Entry'!AZ204)</f>
        <v/>
      </c>
      <c r="EB204" s="74" t="str">
        <f>IF('Marks Entry'!BA204="","",'Marks Entry'!BA204)</f>
        <v/>
      </c>
      <c r="EC204" s="527" t="str">
        <f t="shared" si="561"/>
        <v/>
      </c>
      <c r="ED204" s="74" t="str">
        <f>IF('Marks Entry'!BB204="","",'Marks Entry'!BB204)</f>
        <v/>
      </c>
      <c r="EE204" s="528" t="str">
        <f t="shared" si="562"/>
        <v/>
      </c>
      <c r="EF204" s="74" t="str">
        <f>IF('Marks Entry'!BC204="","",'Marks Entry'!BC204)</f>
        <v/>
      </c>
      <c r="EG204" s="530" t="str">
        <f t="shared" si="563"/>
        <v/>
      </c>
      <c r="EH204" s="368" t="str">
        <f t="shared" si="614"/>
        <v/>
      </c>
      <c r="EI204" s="65">
        <f t="shared" si="615"/>
        <v>0</v>
      </c>
      <c r="EJ204" s="65">
        <f t="shared" si="616"/>
        <v>0</v>
      </c>
      <c r="EK204" s="66" t="str">
        <f t="shared" si="617"/>
        <v/>
      </c>
      <c r="EL204" s="74" t="str">
        <f>IF('Marks Entry'!BD204="","",'Marks Entry'!BD204)</f>
        <v/>
      </c>
      <c r="EM204" s="74" t="str">
        <f>IF('Marks Entry'!BE204="","",'Marks Entry'!BE204)</f>
        <v/>
      </c>
      <c r="EN204" s="74" t="str">
        <f>IF('Marks Entry'!BF204="","",'Marks Entry'!BF204)</f>
        <v/>
      </c>
      <c r="EO204" s="527" t="str">
        <f t="shared" si="564"/>
        <v/>
      </c>
      <c r="EP204" s="74" t="str">
        <f>IF('Marks Entry'!BG204="","",'Marks Entry'!BG204)</f>
        <v/>
      </c>
      <c r="EQ204" s="74" t="str">
        <f>IF('Marks Entry'!BH204="","",'Marks Entry'!BH204)</f>
        <v/>
      </c>
      <c r="ER204" s="528" t="str">
        <f t="shared" si="565"/>
        <v/>
      </c>
      <c r="ES204" s="529" t="str">
        <f t="shared" si="566"/>
        <v/>
      </c>
      <c r="ET204" s="74" t="str">
        <f>IF('Marks Entry'!BI204="","",'Marks Entry'!BI204)</f>
        <v/>
      </c>
      <c r="EU204" s="74" t="str">
        <f>IF('Marks Entry'!BJ204="","",'Marks Entry'!BJ204)</f>
        <v/>
      </c>
      <c r="EV204" s="528" t="str">
        <f t="shared" si="567"/>
        <v/>
      </c>
      <c r="EW204" s="530" t="str">
        <f t="shared" si="568"/>
        <v/>
      </c>
      <c r="EX204" s="368" t="str">
        <f t="shared" si="618"/>
        <v/>
      </c>
      <c r="EY204" s="65">
        <f t="shared" si="619"/>
        <v>0</v>
      </c>
      <c r="EZ204" s="65">
        <f t="shared" si="620"/>
        <v>0</v>
      </c>
      <c r="FA204" s="66" t="str">
        <f t="shared" si="621"/>
        <v/>
      </c>
      <c r="FB204" s="74" t="str">
        <f>IF('Marks Entry'!BK204="","",'Marks Entry'!BK204)</f>
        <v/>
      </c>
      <c r="FC204" s="74" t="str">
        <f>IF('Marks Entry'!BL204="","",'Marks Entry'!BL204)</f>
        <v/>
      </c>
      <c r="FD204" s="74" t="str">
        <f>IF('Marks Entry'!BM204="","",'Marks Entry'!BM204)</f>
        <v/>
      </c>
      <c r="FE204" s="74" t="str">
        <f>IF('Marks Entry'!BN204="","",'Marks Entry'!BN204)</f>
        <v/>
      </c>
      <c r="FF204" s="74" t="str">
        <f>IF('Marks Entry'!BO204="","",'Marks Entry'!BO204)</f>
        <v/>
      </c>
      <c r="FG204" s="74" t="str">
        <f>IF('Marks Entry'!BP204="","",'Marks Entry'!BP204)</f>
        <v/>
      </c>
      <c r="FH204" s="527" t="str">
        <f t="shared" si="569"/>
        <v/>
      </c>
      <c r="FI204" s="74" t="str">
        <f>IF('Marks Entry'!BQ204="","",'Marks Entry'!BQ204)</f>
        <v/>
      </c>
      <c r="FJ204" s="74" t="str">
        <f>IF('Marks Entry'!BR204="","",'Marks Entry'!BR204)</f>
        <v/>
      </c>
      <c r="FK204" s="528" t="str">
        <f t="shared" si="570"/>
        <v/>
      </c>
      <c r="FL204" s="529" t="str">
        <f t="shared" si="571"/>
        <v/>
      </c>
      <c r="FM204" s="74" t="str">
        <f>IF('Marks Entry'!BS204="","",'Marks Entry'!BS204)</f>
        <v/>
      </c>
      <c r="FN204" s="74" t="str">
        <f>IF('Marks Entry'!BT204="","",'Marks Entry'!BT204)</f>
        <v/>
      </c>
      <c r="FO204" s="528" t="str">
        <f t="shared" si="572"/>
        <v/>
      </c>
      <c r="FP204" s="530" t="str">
        <f t="shared" si="573"/>
        <v/>
      </c>
      <c r="FQ204" s="368" t="str">
        <f t="shared" si="622"/>
        <v/>
      </c>
      <c r="FR204" s="65">
        <f t="shared" si="623"/>
        <v>0</v>
      </c>
      <c r="FS204" s="65">
        <f t="shared" si="624"/>
        <v>0</v>
      </c>
      <c r="FT204" s="66" t="str">
        <f t="shared" si="625"/>
        <v/>
      </c>
      <c r="FU204" s="74" t="str">
        <f>IF('Marks Entry'!BU204="","",'Marks Entry'!BU204)</f>
        <v/>
      </c>
      <c r="FV204" s="74" t="str">
        <f>IF('Marks Entry'!BV204="","",'Marks Entry'!BV204)</f>
        <v/>
      </c>
      <c r="FW204" s="74" t="str">
        <f>IF('Marks Entry'!BW204="","",'Marks Entry'!BW204)</f>
        <v/>
      </c>
      <c r="FX204" s="75" t="str">
        <f t="shared" si="574"/>
        <v/>
      </c>
      <c r="FY204" s="368" t="str">
        <f t="shared" si="626"/>
        <v/>
      </c>
      <c r="FZ204" s="65">
        <f t="shared" si="627"/>
        <v>0</v>
      </c>
      <c r="GA204" s="66">
        <f t="shared" si="628"/>
        <v>0</v>
      </c>
      <c r="GB204" s="66" t="str">
        <f t="shared" si="629"/>
        <v/>
      </c>
      <c r="GC204" s="74" t="str">
        <f>IF('Marks Entry'!BX204="","",'Marks Entry'!BX204)</f>
        <v/>
      </c>
      <c r="GD204" s="74" t="str">
        <f>IF('Marks Entry'!BY204="","",'Marks Entry'!BY204)</f>
        <v/>
      </c>
      <c r="GE204" s="74" t="str">
        <f>IF('Marks Entry'!BZ204="","",'Marks Entry'!BZ204)</f>
        <v/>
      </c>
      <c r="GF204" s="75" t="str">
        <f t="shared" si="630"/>
        <v/>
      </c>
      <c r="GG204" s="368" t="str">
        <f t="shared" si="631"/>
        <v/>
      </c>
      <c r="GH204" s="65">
        <f t="shared" si="632"/>
        <v>0</v>
      </c>
      <c r="GI204" s="66">
        <f t="shared" si="633"/>
        <v>0</v>
      </c>
      <c r="GJ204" s="66" t="str">
        <f t="shared" si="634"/>
        <v/>
      </c>
      <c r="GK204" s="100" t="str">
        <f>IF(AND(F204="",B204=""),"",IF('Student DATA Entry'!M201="","",'Student DATA Entry'!M201))</f>
        <v/>
      </c>
      <c r="GL204" s="101" t="str">
        <f>IF(AND(B204="",F204=""),"",IF('Student DATA Entry'!N201="","",'Student DATA Entry'!N201))</f>
        <v/>
      </c>
      <c r="GM204" s="581" t="str">
        <f t="shared" si="635"/>
        <v/>
      </c>
      <c r="GN204" s="94" t="str">
        <f t="shared" si="636"/>
        <v/>
      </c>
      <c r="GO204" s="94" t="str">
        <f t="shared" si="637"/>
        <v/>
      </c>
      <c r="GP204" s="102" t="str">
        <f t="shared" si="575"/>
        <v/>
      </c>
      <c r="GQ204" s="94" t="str">
        <f t="shared" si="638"/>
        <v/>
      </c>
      <c r="GR204" s="103" t="str">
        <f t="shared" si="639"/>
        <v/>
      </c>
      <c r="GS204" s="102" t="str">
        <f t="shared" si="576"/>
        <v/>
      </c>
      <c r="GT204" s="104" t="str">
        <f t="shared" si="640"/>
        <v/>
      </c>
      <c r="GU204" s="94" t="str">
        <f>IF('Marks Entry'!V204=1,GT204,"")</f>
        <v/>
      </c>
      <c r="GV204" s="94" t="str">
        <f>IF('Marks Entry'!V204=2,GT204,"")</f>
        <v/>
      </c>
      <c r="GW204" s="94" t="str">
        <f>IF('Marks Entry'!V204=3,GT204,"")</f>
        <v/>
      </c>
      <c r="GX204" s="94" t="str">
        <f>IF('Marks Entry'!V204=4,GT204,"")</f>
        <v/>
      </c>
      <c r="GY204" s="94" t="str">
        <f>IF('Marks Entry'!V204=5,GT204,"")</f>
        <v/>
      </c>
      <c r="GZ204" s="94" t="str">
        <f t="shared" si="641"/>
        <v/>
      </c>
      <c r="HA204" s="105" t="str">
        <f t="shared" si="577"/>
        <v/>
      </c>
      <c r="HB204" s="94" t="str">
        <f t="shared" si="642"/>
        <v/>
      </c>
      <c r="HC204" s="94" t="str">
        <f t="shared" si="643"/>
        <v/>
      </c>
      <c r="HD204" s="105" t="str">
        <f t="shared" si="578"/>
        <v/>
      </c>
      <c r="HE204" s="94" t="str">
        <f t="shared" si="644"/>
        <v/>
      </c>
      <c r="HF204" s="94" t="str">
        <f t="shared" si="645"/>
        <v/>
      </c>
      <c r="HG204" s="105" t="str">
        <f t="shared" si="579"/>
        <v/>
      </c>
      <c r="HH204" s="94" t="str">
        <f t="shared" si="646"/>
        <v/>
      </c>
      <c r="HI204" s="94" t="str">
        <f t="shared" si="647"/>
        <v/>
      </c>
      <c r="HJ204" s="105" t="str">
        <f t="shared" si="580"/>
        <v/>
      </c>
      <c r="HK204" s="94" t="str">
        <f t="shared" si="648"/>
        <v/>
      </c>
      <c r="HL204" s="94" t="str">
        <f t="shared" si="649"/>
        <v/>
      </c>
      <c r="HM204" s="105" t="str">
        <f t="shared" si="581"/>
        <v/>
      </c>
      <c r="HN204" s="367" t="str">
        <f t="shared" si="650"/>
        <v xml:space="preserve">      </v>
      </c>
      <c r="HO204" s="418" t="str">
        <f t="shared" si="582"/>
        <v xml:space="preserve">      </v>
      </c>
      <c r="HP204" s="367" t="str">
        <f t="shared" si="651"/>
        <v xml:space="preserve">      </v>
      </c>
      <c r="HQ204" s="107" t="str">
        <f t="shared" si="652"/>
        <v xml:space="preserve">      </v>
      </c>
      <c r="HR204" s="366" t="str">
        <f t="shared" si="653"/>
        <v xml:space="preserve">      </v>
      </c>
      <c r="HS204" s="544" t="str">
        <f t="shared" si="583"/>
        <v/>
      </c>
      <c r="HT204" s="542" t="str">
        <f t="shared" si="654"/>
        <v/>
      </c>
      <c r="HU204" s="541" t="str">
        <f t="shared" si="655"/>
        <v/>
      </c>
      <c r="HV204" s="540" t="str">
        <f t="shared" si="656"/>
        <v/>
      </c>
      <c r="HW204" s="537" t="str">
        <f t="shared" si="657"/>
        <v/>
      </c>
      <c r="HX204" s="539" t="str">
        <f t="shared" si="658"/>
        <v/>
      </c>
      <c r="HY204" s="553" t="str">
        <f>IFERROR(IF(OR(HS204="SUPPLEMENTARY",HS204="RE-EXAM"),'Supp. Result Entry'!AQ202,""),"")</f>
        <v/>
      </c>
      <c r="HZ204" s="538" t="str">
        <f t="shared" si="659"/>
        <v/>
      </c>
      <c r="IA204" s="415" t="str">
        <f t="shared" si="660"/>
        <v/>
      </c>
      <c r="IB204" s="415" t="str">
        <f>IF(AND(HZ204="",IA204=""),"",IF(OR(HS204="SUPPLEMENTARY",HS204="RE-EXAM"),'Supp. Result Entry'!AQ202,HS204))</f>
        <v/>
      </c>
      <c r="IC204" s="87"/>
      <c r="IS204" s="109" t="str">
        <f>IF('Supp. Result Entry'!T202="","",'Supp. Result Entry'!$T$4)</f>
        <v/>
      </c>
      <c r="IT204" s="110" t="str">
        <f>IF('Supp. Result Entry'!W202="","",'Supp. Result Entry'!$W$4)</f>
        <v/>
      </c>
      <c r="IU204" s="110" t="str">
        <f>IF('Supp. Result Entry'!Z202="","",'Supp. Result Entry'!$Z$4)</f>
        <v/>
      </c>
      <c r="IV204" s="110" t="str">
        <f>IF('Supp. Result Entry'!AC202="","",'Supp. Result Entry'!$AC$4)</f>
        <v/>
      </c>
      <c r="IW204" s="110" t="str">
        <f>IF('Supp. Result Entry'!AF202="","",'Supp. Result Entry'!$AF$4)</f>
        <v/>
      </c>
      <c r="IX204" s="110" t="str">
        <f>IF('Supp. Result Entry'!AI202="","",'Supp. Result Entry'!$AI$4)</f>
        <v/>
      </c>
      <c r="IY204" s="110" t="str">
        <f>IF('Supp. Result Entry'!AI202="","",'Supp. Result Entry'!$AL$4)</f>
        <v/>
      </c>
      <c r="IZ204" s="110" t="str">
        <f>IF('Supp. Result Entry'!U202="","",'Supp. Result Entry'!U202)</f>
        <v/>
      </c>
      <c r="JA204" s="110" t="str">
        <f>IF('Supp. Result Entry'!X202="","",'Supp. Result Entry'!X202)</f>
        <v/>
      </c>
      <c r="JB204" s="110" t="str">
        <f>IF('Supp. Result Entry'!AA202="","",'Supp. Result Entry'!AA202)</f>
        <v/>
      </c>
      <c r="JC204" s="110" t="str">
        <f>IF('Supp. Result Entry'!AD202="","",'Supp. Result Entry'!AD202)</f>
        <v/>
      </c>
      <c r="JD204" s="110" t="str">
        <f>IF('Supp. Result Entry'!AG202="","",'Supp. Result Entry'!AG202)</f>
        <v/>
      </c>
      <c r="JE204" s="110" t="str">
        <f>IF('Supp. Result Entry'!AJ202="","",'Supp. Result Entry'!AJ202)</f>
        <v/>
      </c>
      <c r="JF204" s="110" t="str">
        <f>IF('Supp. Result Entry'!AM202="","",'Supp. Result Entry'!AM202)</f>
        <v/>
      </c>
      <c r="JG204" s="110" t="str">
        <f>IF('Supp. Result Entry'!V202="","",'Supp. Result Entry'!V202)</f>
        <v/>
      </c>
      <c r="JH204" s="110" t="str">
        <f>IF('Supp. Result Entry'!Y202="","",'Supp. Result Entry'!Y202)</f>
        <v/>
      </c>
      <c r="JI204" s="110" t="str">
        <f>IF('Supp. Result Entry'!AB202="","",'Supp. Result Entry'!AB202)</f>
        <v/>
      </c>
      <c r="JJ204" s="110" t="str">
        <f>IF('Supp. Result Entry'!AE202="","",'Supp. Result Entry'!AE202)</f>
        <v/>
      </c>
      <c r="JK204" s="110" t="str">
        <f>IF('Supp. Result Entry'!AH202="","",'Supp. Result Entry'!AH202)</f>
        <v/>
      </c>
      <c r="JL204" s="110" t="str">
        <f>IF('Supp. Result Entry'!AK202="","",'Supp. Result Entry'!AK202)</f>
        <v/>
      </c>
      <c r="JM204" s="110" t="str">
        <f>IF('Supp. Result Entry'!AN202="","",'Supp. Result Entry'!AN202)</f>
        <v/>
      </c>
      <c r="JN204" s="110">
        <f>COUNTIF('Supp. Result Entry'!K202:Q202,"S")</f>
        <v>0</v>
      </c>
      <c r="JO204" s="110">
        <f t="shared" si="584"/>
        <v>0</v>
      </c>
      <c r="JP204" s="110">
        <f t="shared" si="661"/>
        <v>0</v>
      </c>
      <c r="JQ204" s="110" t="str">
        <f t="shared" si="585"/>
        <v/>
      </c>
      <c r="JR204" s="110" t="str">
        <f t="shared" si="586"/>
        <v/>
      </c>
      <c r="JS204" s="110" t="str">
        <f t="shared" si="587"/>
        <v/>
      </c>
      <c r="JT204" s="110" t="str">
        <f t="shared" si="588"/>
        <v/>
      </c>
      <c r="JU204" s="110" t="str">
        <f t="shared" si="589"/>
        <v/>
      </c>
      <c r="JV204" s="110" t="str">
        <f t="shared" si="590"/>
        <v/>
      </c>
      <c r="JW204" s="110" t="str">
        <f t="shared" si="591"/>
        <v/>
      </c>
      <c r="JX204" s="110" t="str">
        <f t="shared" si="662"/>
        <v/>
      </c>
      <c r="JY204" s="110" t="str">
        <f t="shared" si="663"/>
        <v/>
      </c>
      <c r="JZ204" s="110" t="str">
        <f t="shared" si="592"/>
        <v/>
      </c>
      <c r="KA204" s="108" t="str">
        <f t="shared" si="664"/>
        <v/>
      </c>
    </row>
    <row r="205" spans="1:287" s="108" customFormat="1" ht="21.95" customHeight="1">
      <c r="A205" s="89">
        <v>199</v>
      </c>
      <c r="B205" s="90" t="str">
        <f>IF('Marks Entry'!B205="","",'Marks Entry'!B205)</f>
        <v/>
      </c>
      <c r="C205" s="94" t="str">
        <f>IF('Marks Entry'!D205="","",'Marks Entry'!D205)</f>
        <v/>
      </c>
      <c r="D205" s="91" t="str">
        <f>IF('Marks Entry'!E205="","",'Marks Entry'!E205)</f>
        <v/>
      </c>
      <c r="E205" s="92" t="str">
        <f>IF('Marks Entry'!F205="","",'Marks Entry'!F205)</f>
        <v/>
      </c>
      <c r="F205" s="93" t="str">
        <f>IF('Marks Entry'!G205="","",'Marks Entry'!G205)</f>
        <v/>
      </c>
      <c r="G205" s="93" t="str">
        <f>IF('Marks Entry'!H205="","",'Marks Entry'!H205)</f>
        <v/>
      </c>
      <c r="H205" s="93" t="str">
        <f>IF('Marks Entry'!I205="","",'Marks Entry'!I205)</f>
        <v/>
      </c>
      <c r="I205" s="94" t="str">
        <f>IF('Marks Entry'!J205="","",'Marks Entry'!J205)</f>
        <v/>
      </c>
      <c r="J205" s="95" t="str">
        <f>IF('Marks Entry'!K205="","",'Marks Entry'!K205)</f>
        <v/>
      </c>
      <c r="K205" s="68" t="str">
        <f>IF('Marks Entry'!L205="","",'Marks Entry'!L205)</f>
        <v/>
      </c>
      <c r="L205" s="68" t="str">
        <f>IF('Marks Entry'!M205="","",'Marks Entry'!M205)</f>
        <v/>
      </c>
      <c r="M205" s="68" t="str">
        <f>IF('Marks Entry'!N205="","",'Marks Entry'!N205)</f>
        <v/>
      </c>
      <c r="N205" s="514" t="str">
        <f t="shared" si="593"/>
        <v/>
      </c>
      <c r="O205" s="68" t="str">
        <f>IF('Marks Entry'!O205="","",'Marks Entry'!O205)</f>
        <v/>
      </c>
      <c r="P205" s="515" t="str">
        <f t="shared" si="594"/>
        <v/>
      </c>
      <c r="Q205" s="68" t="str">
        <f>IF('Marks Entry'!P205="","",'Marks Entry'!P205)</f>
        <v/>
      </c>
      <c r="R205" s="96" t="str">
        <f t="shared" si="595"/>
        <v/>
      </c>
      <c r="S205" s="65">
        <f t="shared" si="596"/>
        <v>0</v>
      </c>
      <c r="T205" s="65">
        <f t="shared" si="597"/>
        <v>0</v>
      </c>
      <c r="U205" s="66" t="str">
        <f t="shared" si="507"/>
        <v/>
      </c>
      <c r="V205" s="65" t="str">
        <f t="shared" si="508"/>
        <v/>
      </c>
      <c r="W205" s="65" t="str">
        <f t="shared" si="598"/>
        <v/>
      </c>
      <c r="X205" s="65" t="str">
        <f t="shared" si="509"/>
        <v/>
      </c>
      <c r="Y205" s="68" t="str">
        <f>IF('Marks Entry'!Q205="","",'Marks Entry'!Q205)</f>
        <v/>
      </c>
      <c r="Z205" s="68" t="str">
        <f>IF('Marks Entry'!R205="","",'Marks Entry'!R205)</f>
        <v/>
      </c>
      <c r="AA205" s="68" t="str">
        <f>IF('Marks Entry'!S205="","",'Marks Entry'!S205)</f>
        <v/>
      </c>
      <c r="AB205" s="514" t="str">
        <f t="shared" si="510"/>
        <v/>
      </c>
      <c r="AC205" s="68" t="str">
        <f>IF('Marks Entry'!T205="","",'Marks Entry'!T205)</f>
        <v/>
      </c>
      <c r="AD205" s="515" t="str">
        <f t="shared" si="511"/>
        <v/>
      </c>
      <c r="AE205" s="68" t="str">
        <f>IF('Marks Entry'!U205="","",'Marks Entry'!U205)</f>
        <v/>
      </c>
      <c r="AF205" s="96" t="str">
        <f t="shared" si="512"/>
        <v/>
      </c>
      <c r="AG205" s="65">
        <f t="shared" si="513"/>
        <v>0</v>
      </c>
      <c r="AH205" s="65">
        <f t="shared" si="514"/>
        <v>0</v>
      </c>
      <c r="AI205" s="66" t="str">
        <f t="shared" si="515"/>
        <v/>
      </c>
      <c r="AJ205" s="65" t="str">
        <f t="shared" si="516"/>
        <v/>
      </c>
      <c r="AK205" s="65" t="str">
        <f t="shared" si="517"/>
        <v/>
      </c>
      <c r="AL205" s="65" t="str">
        <f t="shared" si="518"/>
        <v/>
      </c>
      <c r="AM205" s="524" t="str">
        <f>IF('Marks Entry'!V205="","",IF('Marks Entry'!V205=1,'School Profile'!$I$9,IF('Marks Entry'!V205=2,'School Profile'!$I$10,IF('Marks Entry'!V205=3,'School Profile'!$I$11,IF('Marks Entry'!V205=4,'School Profile'!$I$12,IF('Marks Entry'!V205=5,'School Profile'!$I$13,IF('Marks Entry'!V205=6,'School Profile'!$I$14,"")))))))</f>
        <v/>
      </c>
      <c r="AN205" s="68" t="str">
        <f>IF('Marks Entry'!W205="","",'Marks Entry'!W205)</f>
        <v/>
      </c>
      <c r="AO205" s="68" t="str">
        <f>IF('Marks Entry'!X205="","",'Marks Entry'!X205)</f>
        <v/>
      </c>
      <c r="AP205" s="68" t="str">
        <f>IF('Marks Entry'!Y205="","",'Marks Entry'!Y205)</f>
        <v/>
      </c>
      <c r="AQ205" s="514" t="str">
        <f t="shared" si="519"/>
        <v/>
      </c>
      <c r="AR205" s="68" t="str">
        <f>IF('Marks Entry'!Z205="","",'Marks Entry'!Z205)</f>
        <v/>
      </c>
      <c r="AS205" s="515" t="str">
        <f t="shared" si="520"/>
        <v/>
      </c>
      <c r="AT205" s="68" t="str">
        <f>IF('Marks Entry'!AA205="","",'Marks Entry'!AA205)</f>
        <v/>
      </c>
      <c r="AU205" s="96" t="str">
        <f t="shared" si="521"/>
        <v/>
      </c>
      <c r="AV205" s="65">
        <f t="shared" si="522"/>
        <v>0</v>
      </c>
      <c r="AW205" s="65">
        <f t="shared" si="523"/>
        <v>0</v>
      </c>
      <c r="AX205" s="66" t="str">
        <f t="shared" si="524"/>
        <v/>
      </c>
      <c r="AY205" s="65" t="str">
        <f t="shared" si="525"/>
        <v/>
      </c>
      <c r="AZ205" s="65" t="str">
        <f t="shared" si="526"/>
        <v/>
      </c>
      <c r="BA205" s="65" t="str">
        <f t="shared" si="527"/>
        <v/>
      </c>
      <c r="BB205" s="68" t="str">
        <f>IF('Marks Entry'!AB205="","",'Marks Entry'!AB205)</f>
        <v/>
      </c>
      <c r="BC205" s="68" t="str">
        <f>IF('Marks Entry'!AC205="","",'Marks Entry'!AC205)</f>
        <v/>
      </c>
      <c r="BD205" s="68" t="str">
        <f>IF('Marks Entry'!AD205="","",'Marks Entry'!AD205)</f>
        <v/>
      </c>
      <c r="BE205" s="514" t="str">
        <f t="shared" si="528"/>
        <v/>
      </c>
      <c r="BF205" s="68" t="str">
        <f>IF('Marks Entry'!AE205="","",'Marks Entry'!AE205)</f>
        <v/>
      </c>
      <c r="BG205" s="515" t="str">
        <f t="shared" si="529"/>
        <v/>
      </c>
      <c r="BH205" s="68" t="str">
        <f>IF('Marks Entry'!AF205="","",'Marks Entry'!AF205)</f>
        <v/>
      </c>
      <c r="BI205" s="96" t="str">
        <f t="shared" si="530"/>
        <v/>
      </c>
      <c r="BJ205" s="65">
        <f t="shared" si="531"/>
        <v>0</v>
      </c>
      <c r="BK205" s="65">
        <f t="shared" si="599"/>
        <v>0</v>
      </c>
      <c r="BL205" s="66" t="str">
        <f t="shared" si="532"/>
        <v/>
      </c>
      <c r="BM205" s="65" t="str">
        <f t="shared" si="533"/>
        <v/>
      </c>
      <c r="BN205" s="65" t="str">
        <f t="shared" si="534"/>
        <v/>
      </c>
      <c r="BO205" s="65" t="str">
        <f t="shared" si="535"/>
        <v/>
      </c>
      <c r="BP205" s="68" t="str">
        <f>IF('Marks Entry'!AG205="","",'Marks Entry'!AG205)</f>
        <v/>
      </c>
      <c r="BQ205" s="68" t="str">
        <f>IF('Marks Entry'!AH205="","",'Marks Entry'!AH205)</f>
        <v/>
      </c>
      <c r="BR205" s="68" t="str">
        <f>IF('Marks Entry'!AI205="","",'Marks Entry'!AI205)</f>
        <v/>
      </c>
      <c r="BS205" s="514" t="str">
        <f t="shared" si="536"/>
        <v/>
      </c>
      <c r="BT205" s="68" t="str">
        <f>IF('Marks Entry'!AJ205="","",'Marks Entry'!AJ205)</f>
        <v/>
      </c>
      <c r="BU205" s="515" t="str">
        <f t="shared" si="537"/>
        <v/>
      </c>
      <c r="BV205" s="68" t="str">
        <f>IF('Marks Entry'!AK205="","",'Marks Entry'!AK205)</f>
        <v/>
      </c>
      <c r="BW205" s="96" t="str">
        <f t="shared" si="538"/>
        <v/>
      </c>
      <c r="BX205" s="65">
        <f t="shared" si="539"/>
        <v>0</v>
      </c>
      <c r="BY205" s="65">
        <f t="shared" si="540"/>
        <v>0</v>
      </c>
      <c r="BZ205" s="66" t="str">
        <f t="shared" si="541"/>
        <v/>
      </c>
      <c r="CA205" s="65" t="str">
        <f t="shared" si="542"/>
        <v/>
      </c>
      <c r="CB205" s="65" t="str">
        <f t="shared" si="543"/>
        <v/>
      </c>
      <c r="CC205" s="65" t="str">
        <f t="shared" si="544"/>
        <v/>
      </c>
      <c r="CD205" s="66">
        <f t="shared" si="545"/>
        <v>0</v>
      </c>
      <c r="CE205" s="68" t="str">
        <f>IF('Marks Entry'!AL205="","",'Marks Entry'!AL205)</f>
        <v/>
      </c>
      <c r="CF205" s="68" t="str">
        <f>IF('Marks Entry'!AM205="","",'Marks Entry'!AM205)</f>
        <v/>
      </c>
      <c r="CG205" s="68" t="str">
        <f>IF('Marks Entry'!AN205="","",'Marks Entry'!AN205)</f>
        <v/>
      </c>
      <c r="CH205" s="514" t="str">
        <f t="shared" si="546"/>
        <v/>
      </c>
      <c r="CI205" s="68" t="str">
        <f>IF('Marks Entry'!AO205="","",'Marks Entry'!AO205)</f>
        <v/>
      </c>
      <c r="CJ205" s="515" t="str">
        <f t="shared" si="547"/>
        <v/>
      </c>
      <c r="CK205" s="68" t="str">
        <f>IF('Marks Entry'!AP205="","",'Marks Entry'!AP205)</f>
        <v/>
      </c>
      <c r="CL205" s="96" t="str">
        <f t="shared" si="548"/>
        <v/>
      </c>
      <c r="CM205" s="65">
        <f t="shared" si="549"/>
        <v>0</v>
      </c>
      <c r="CN205" s="65">
        <f t="shared" si="550"/>
        <v>0</v>
      </c>
      <c r="CO205" s="66" t="str">
        <f t="shared" si="551"/>
        <v/>
      </c>
      <c r="CP205" s="65" t="str">
        <f t="shared" si="552"/>
        <v/>
      </c>
      <c r="CQ205" s="65" t="str">
        <f t="shared" si="553"/>
        <v/>
      </c>
      <c r="CR205" s="65" t="str">
        <f t="shared" si="554"/>
        <v/>
      </c>
      <c r="CS205" s="616"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8" t="str">
        <f>IF('School Profile'!$D$20="NO","",IF('Marks Entry'!AR205="","",'Marks Entry'!AR205))</f>
        <v/>
      </c>
      <c r="CU205" s="68" t="str">
        <f>IF('School Profile'!$D$20="NO","",IF('Marks Entry'!AS205="","",'Marks Entry'!AS205))</f>
        <v/>
      </c>
      <c r="CV205" s="68" t="str">
        <f>IF('School Profile'!$D$20="NO","",IF('Marks Entry'!AT205="","",'Marks Entry'!AT205))</f>
        <v/>
      </c>
      <c r="CW205" s="514" t="str">
        <f>IF('School Profile'!$D$20="NO","",IF(AND(CT205="",CU205="",CV205=""),"",SUM(CT205:CV205)))</f>
        <v/>
      </c>
      <c r="CX205" s="68" t="str">
        <f>IF('School Profile'!$D$20="NO","",IF('Marks Entry'!AU205="","",'Marks Entry'!AU205))</f>
        <v/>
      </c>
      <c r="CY205" s="68" t="str">
        <f>IF('School Profile'!$D$20="NO","",IF('Marks Entry'!AV205="","",'Marks Entry'!AV205))</f>
        <v/>
      </c>
      <c r="CZ205" s="515" t="str">
        <f>IF('School Profile'!$D$20="NO","",IF(AND(CX205="",CY205=""),"",SUM(CX205,CY205)))</f>
        <v/>
      </c>
      <c r="DA205" s="69" t="str">
        <f>IF('School Profile'!$D$20="NO","",IF(AND(CW205="",CZ205=""),"",SUM(CW205+CZ205)))</f>
        <v/>
      </c>
      <c r="DB205" s="68" t="str">
        <f>IF('School Profile'!$D$20="NO","",IF('Marks Entry'!AW205="","",'Marks Entry'!AW205))</f>
        <v/>
      </c>
      <c r="DC205" s="68" t="str">
        <f>IF('School Profile'!$D$20="NO","",IF('Marks Entry'!AX205="","",'Marks Entry'!AX205))</f>
        <v/>
      </c>
      <c r="DD205" s="515" t="str">
        <f>IF('School Profile'!$D$20="NO","",IF(AND(DB205="",DC205=""),"",SUM(DB205,DC205)))</f>
        <v/>
      </c>
      <c r="DE205" s="96" t="str">
        <f>IF('School Profile'!$D$20="NO","",IF(AND(DA205="",DD205=""),"",SUM(DA205,DD205)))</f>
        <v/>
      </c>
      <c r="DF205" s="532">
        <f t="shared" si="555"/>
        <v>0</v>
      </c>
      <c r="DG205" s="65">
        <f t="shared" si="556"/>
        <v>0</v>
      </c>
      <c r="DH205" s="66" t="str">
        <f t="shared" si="557"/>
        <v/>
      </c>
      <c r="DI205" s="65" t="str">
        <f t="shared" si="558"/>
        <v/>
      </c>
      <c r="DJ205" s="65" t="str">
        <f t="shared" si="559"/>
        <v/>
      </c>
      <c r="DK205" s="65" t="str">
        <f t="shared" si="560"/>
        <v/>
      </c>
      <c r="DL205" s="97" t="str">
        <f t="shared" si="600"/>
        <v/>
      </c>
      <c r="DM205" s="97" t="str">
        <f t="shared" si="601"/>
        <v/>
      </c>
      <c r="DN205" s="97" t="str">
        <f t="shared" si="602"/>
        <v/>
      </c>
      <c r="DO205" s="97" t="str">
        <f t="shared" si="603"/>
        <v/>
      </c>
      <c r="DP205" s="97" t="str">
        <f t="shared" si="604"/>
        <v/>
      </c>
      <c r="DQ205" s="97" t="str">
        <f t="shared" si="605"/>
        <v/>
      </c>
      <c r="DR205" s="97" t="str">
        <f t="shared" si="606"/>
        <v/>
      </c>
      <c r="DS205" s="98">
        <f t="shared" si="607"/>
        <v>0</v>
      </c>
      <c r="DT205" s="98">
        <f t="shared" si="608"/>
        <v>0</v>
      </c>
      <c r="DU205" s="98">
        <f t="shared" si="609"/>
        <v>0</v>
      </c>
      <c r="DV205" s="98">
        <f t="shared" si="610"/>
        <v>0</v>
      </c>
      <c r="DW205" s="98">
        <f t="shared" si="611"/>
        <v>0</v>
      </c>
      <c r="DX205" s="98" t="str">
        <f t="shared" si="612"/>
        <v/>
      </c>
      <c r="DY205" s="99" t="str">
        <f t="shared" si="613"/>
        <v/>
      </c>
      <c r="DZ205" s="74" t="str">
        <f>IF('Marks Entry'!AY205="","",'Marks Entry'!AY205)</f>
        <v/>
      </c>
      <c r="EA205" s="74" t="str">
        <f>IF('Marks Entry'!AZ205="","",'Marks Entry'!AZ205)</f>
        <v/>
      </c>
      <c r="EB205" s="74" t="str">
        <f>IF('Marks Entry'!BA205="","",'Marks Entry'!BA205)</f>
        <v/>
      </c>
      <c r="EC205" s="527" t="str">
        <f t="shared" si="561"/>
        <v/>
      </c>
      <c r="ED205" s="74" t="str">
        <f>IF('Marks Entry'!BB205="","",'Marks Entry'!BB205)</f>
        <v/>
      </c>
      <c r="EE205" s="528" t="str">
        <f t="shared" si="562"/>
        <v/>
      </c>
      <c r="EF205" s="74" t="str">
        <f>IF('Marks Entry'!BC205="","",'Marks Entry'!BC205)</f>
        <v/>
      </c>
      <c r="EG205" s="530" t="str">
        <f t="shared" si="563"/>
        <v/>
      </c>
      <c r="EH205" s="368" t="str">
        <f t="shared" si="614"/>
        <v/>
      </c>
      <c r="EI205" s="65">
        <f t="shared" si="615"/>
        <v>0</v>
      </c>
      <c r="EJ205" s="65">
        <f t="shared" si="616"/>
        <v>0</v>
      </c>
      <c r="EK205" s="66" t="str">
        <f t="shared" si="617"/>
        <v/>
      </c>
      <c r="EL205" s="74" t="str">
        <f>IF('Marks Entry'!BD205="","",'Marks Entry'!BD205)</f>
        <v/>
      </c>
      <c r="EM205" s="74" t="str">
        <f>IF('Marks Entry'!BE205="","",'Marks Entry'!BE205)</f>
        <v/>
      </c>
      <c r="EN205" s="74" t="str">
        <f>IF('Marks Entry'!BF205="","",'Marks Entry'!BF205)</f>
        <v/>
      </c>
      <c r="EO205" s="527" t="str">
        <f t="shared" si="564"/>
        <v/>
      </c>
      <c r="EP205" s="74" t="str">
        <f>IF('Marks Entry'!BG205="","",'Marks Entry'!BG205)</f>
        <v/>
      </c>
      <c r="EQ205" s="74" t="str">
        <f>IF('Marks Entry'!BH205="","",'Marks Entry'!BH205)</f>
        <v/>
      </c>
      <c r="ER205" s="528" t="str">
        <f t="shared" si="565"/>
        <v/>
      </c>
      <c r="ES205" s="529" t="str">
        <f t="shared" si="566"/>
        <v/>
      </c>
      <c r="ET205" s="74" t="str">
        <f>IF('Marks Entry'!BI205="","",'Marks Entry'!BI205)</f>
        <v/>
      </c>
      <c r="EU205" s="74" t="str">
        <f>IF('Marks Entry'!BJ205="","",'Marks Entry'!BJ205)</f>
        <v/>
      </c>
      <c r="EV205" s="528" t="str">
        <f t="shared" si="567"/>
        <v/>
      </c>
      <c r="EW205" s="530" t="str">
        <f t="shared" si="568"/>
        <v/>
      </c>
      <c r="EX205" s="368" t="str">
        <f t="shared" si="618"/>
        <v/>
      </c>
      <c r="EY205" s="65">
        <f t="shared" si="619"/>
        <v>0</v>
      </c>
      <c r="EZ205" s="65">
        <f t="shared" si="620"/>
        <v>0</v>
      </c>
      <c r="FA205" s="66" t="str">
        <f t="shared" si="621"/>
        <v/>
      </c>
      <c r="FB205" s="74" t="str">
        <f>IF('Marks Entry'!BK205="","",'Marks Entry'!BK205)</f>
        <v/>
      </c>
      <c r="FC205" s="74" t="str">
        <f>IF('Marks Entry'!BL205="","",'Marks Entry'!BL205)</f>
        <v/>
      </c>
      <c r="FD205" s="74" t="str">
        <f>IF('Marks Entry'!BM205="","",'Marks Entry'!BM205)</f>
        <v/>
      </c>
      <c r="FE205" s="74" t="str">
        <f>IF('Marks Entry'!BN205="","",'Marks Entry'!BN205)</f>
        <v/>
      </c>
      <c r="FF205" s="74" t="str">
        <f>IF('Marks Entry'!BO205="","",'Marks Entry'!BO205)</f>
        <v/>
      </c>
      <c r="FG205" s="74" t="str">
        <f>IF('Marks Entry'!BP205="","",'Marks Entry'!BP205)</f>
        <v/>
      </c>
      <c r="FH205" s="527" t="str">
        <f t="shared" si="569"/>
        <v/>
      </c>
      <c r="FI205" s="74" t="str">
        <f>IF('Marks Entry'!BQ205="","",'Marks Entry'!BQ205)</f>
        <v/>
      </c>
      <c r="FJ205" s="74" t="str">
        <f>IF('Marks Entry'!BR205="","",'Marks Entry'!BR205)</f>
        <v/>
      </c>
      <c r="FK205" s="528" t="str">
        <f t="shared" si="570"/>
        <v/>
      </c>
      <c r="FL205" s="529" t="str">
        <f t="shared" si="571"/>
        <v/>
      </c>
      <c r="FM205" s="74" t="str">
        <f>IF('Marks Entry'!BS205="","",'Marks Entry'!BS205)</f>
        <v/>
      </c>
      <c r="FN205" s="74" t="str">
        <f>IF('Marks Entry'!BT205="","",'Marks Entry'!BT205)</f>
        <v/>
      </c>
      <c r="FO205" s="528" t="str">
        <f t="shared" si="572"/>
        <v/>
      </c>
      <c r="FP205" s="530" t="str">
        <f t="shared" si="573"/>
        <v/>
      </c>
      <c r="FQ205" s="368" t="str">
        <f t="shared" si="622"/>
        <v/>
      </c>
      <c r="FR205" s="65">
        <f t="shared" si="623"/>
        <v>0</v>
      </c>
      <c r="FS205" s="65">
        <f t="shared" si="624"/>
        <v>0</v>
      </c>
      <c r="FT205" s="66" t="str">
        <f t="shared" si="625"/>
        <v/>
      </c>
      <c r="FU205" s="74" t="str">
        <f>IF('Marks Entry'!BU205="","",'Marks Entry'!BU205)</f>
        <v/>
      </c>
      <c r="FV205" s="74" t="str">
        <f>IF('Marks Entry'!BV205="","",'Marks Entry'!BV205)</f>
        <v/>
      </c>
      <c r="FW205" s="74" t="str">
        <f>IF('Marks Entry'!BW205="","",'Marks Entry'!BW205)</f>
        <v/>
      </c>
      <c r="FX205" s="75" t="str">
        <f t="shared" si="574"/>
        <v/>
      </c>
      <c r="FY205" s="368" t="str">
        <f t="shared" si="626"/>
        <v/>
      </c>
      <c r="FZ205" s="65">
        <f t="shared" si="627"/>
        <v>0</v>
      </c>
      <c r="GA205" s="66">
        <f t="shared" si="628"/>
        <v>0</v>
      </c>
      <c r="GB205" s="66" t="str">
        <f t="shared" si="629"/>
        <v/>
      </c>
      <c r="GC205" s="74" t="str">
        <f>IF('Marks Entry'!BX205="","",'Marks Entry'!BX205)</f>
        <v/>
      </c>
      <c r="GD205" s="74" t="str">
        <f>IF('Marks Entry'!BY205="","",'Marks Entry'!BY205)</f>
        <v/>
      </c>
      <c r="GE205" s="74" t="str">
        <f>IF('Marks Entry'!BZ205="","",'Marks Entry'!BZ205)</f>
        <v/>
      </c>
      <c r="GF205" s="75" t="str">
        <f t="shared" si="630"/>
        <v/>
      </c>
      <c r="GG205" s="368" t="str">
        <f t="shared" si="631"/>
        <v/>
      </c>
      <c r="GH205" s="65">
        <f t="shared" si="632"/>
        <v>0</v>
      </c>
      <c r="GI205" s="66">
        <f t="shared" si="633"/>
        <v>0</v>
      </c>
      <c r="GJ205" s="66" t="str">
        <f t="shared" si="634"/>
        <v/>
      </c>
      <c r="GK205" s="100" t="str">
        <f>IF(AND(F205="",B205=""),"",IF('Student DATA Entry'!M202="","",'Student DATA Entry'!M202))</f>
        <v/>
      </c>
      <c r="GL205" s="101" t="str">
        <f>IF(AND(B205="",F205=""),"",IF('Student DATA Entry'!N202="","",'Student DATA Entry'!N202))</f>
        <v/>
      </c>
      <c r="GM205" s="581" t="str">
        <f t="shared" si="635"/>
        <v/>
      </c>
      <c r="GN205" s="94" t="str">
        <f t="shared" si="636"/>
        <v/>
      </c>
      <c r="GO205" s="94" t="str">
        <f t="shared" si="637"/>
        <v/>
      </c>
      <c r="GP205" s="102" t="str">
        <f t="shared" si="575"/>
        <v/>
      </c>
      <c r="GQ205" s="94" t="str">
        <f t="shared" si="638"/>
        <v/>
      </c>
      <c r="GR205" s="103" t="str">
        <f t="shared" si="639"/>
        <v/>
      </c>
      <c r="GS205" s="102" t="str">
        <f t="shared" si="576"/>
        <v/>
      </c>
      <c r="GT205" s="104" t="str">
        <f t="shared" si="640"/>
        <v/>
      </c>
      <c r="GU205" s="94" t="str">
        <f>IF('Marks Entry'!V205=1,GT205,"")</f>
        <v/>
      </c>
      <c r="GV205" s="94" t="str">
        <f>IF('Marks Entry'!V205=2,GT205,"")</f>
        <v/>
      </c>
      <c r="GW205" s="94" t="str">
        <f>IF('Marks Entry'!V205=3,GT205,"")</f>
        <v/>
      </c>
      <c r="GX205" s="94" t="str">
        <f>IF('Marks Entry'!V205=4,GT205,"")</f>
        <v/>
      </c>
      <c r="GY205" s="94" t="str">
        <f>IF('Marks Entry'!V205=5,GT205,"")</f>
        <v/>
      </c>
      <c r="GZ205" s="94" t="str">
        <f t="shared" si="641"/>
        <v/>
      </c>
      <c r="HA205" s="105" t="str">
        <f t="shared" si="577"/>
        <v/>
      </c>
      <c r="HB205" s="94" t="str">
        <f t="shared" si="642"/>
        <v/>
      </c>
      <c r="HC205" s="94" t="str">
        <f t="shared" si="643"/>
        <v/>
      </c>
      <c r="HD205" s="105" t="str">
        <f t="shared" si="578"/>
        <v/>
      </c>
      <c r="HE205" s="94" t="str">
        <f t="shared" si="644"/>
        <v/>
      </c>
      <c r="HF205" s="94" t="str">
        <f t="shared" si="645"/>
        <v/>
      </c>
      <c r="HG205" s="105" t="str">
        <f t="shared" si="579"/>
        <v/>
      </c>
      <c r="HH205" s="94" t="str">
        <f t="shared" si="646"/>
        <v/>
      </c>
      <c r="HI205" s="94" t="str">
        <f t="shared" si="647"/>
        <v/>
      </c>
      <c r="HJ205" s="105" t="str">
        <f t="shared" si="580"/>
        <v/>
      </c>
      <c r="HK205" s="94" t="str">
        <f t="shared" si="648"/>
        <v/>
      </c>
      <c r="HL205" s="94" t="str">
        <f t="shared" si="649"/>
        <v/>
      </c>
      <c r="HM205" s="105" t="str">
        <f t="shared" si="581"/>
        <v/>
      </c>
      <c r="HN205" s="367" t="str">
        <f t="shared" si="650"/>
        <v xml:space="preserve">      </v>
      </c>
      <c r="HO205" s="418" t="str">
        <f t="shared" si="582"/>
        <v xml:space="preserve">      </v>
      </c>
      <c r="HP205" s="367" t="str">
        <f t="shared" si="651"/>
        <v xml:space="preserve">      </v>
      </c>
      <c r="HQ205" s="107" t="str">
        <f t="shared" si="652"/>
        <v xml:space="preserve">      </v>
      </c>
      <c r="HR205" s="366" t="str">
        <f t="shared" si="653"/>
        <v xml:space="preserve">      </v>
      </c>
      <c r="HS205" s="544" t="str">
        <f t="shared" si="583"/>
        <v/>
      </c>
      <c r="HT205" s="542" t="str">
        <f t="shared" si="654"/>
        <v/>
      </c>
      <c r="HU205" s="541" t="str">
        <f t="shared" si="655"/>
        <v/>
      </c>
      <c r="HV205" s="540" t="str">
        <f t="shared" si="656"/>
        <v/>
      </c>
      <c r="HW205" s="537" t="str">
        <f t="shared" si="657"/>
        <v/>
      </c>
      <c r="HX205" s="539" t="str">
        <f t="shared" si="658"/>
        <v/>
      </c>
      <c r="HY205" s="553" t="str">
        <f>IFERROR(IF(OR(HS205="SUPPLEMENTARY",HS205="RE-EXAM"),'Supp. Result Entry'!AQ203,""),"")</f>
        <v/>
      </c>
      <c r="HZ205" s="538" t="str">
        <f t="shared" si="659"/>
        <v/>
      </c>
      <c r="IA205" s="415" t="str">
        <f t="shared" si="660"/>
        <v/>
      </c>
      <c r="IB205" s="415" t="str">
        <f>IF(AND(HZ205="",IA205=""),"",IF(OR(HS205="SUPPLEMENTARY",HS205="RE-EXAM"),'Supp. Result Entry'!AQ203,HS205))</f>
        <v/>
      </c>
      <c r="IC205" s="87"/>
      <c r="IS205" s="109" t="str">
        <f>IF('Supp. Result Entry'!T203="","",'Supp. Result Entry'!$T$4)</f>
        <v/>
      </c>
      <c r="IT205" s="110" t="str">
        <f>IF('Supp. Result Entry'!W203="","",'Supp. Result Entry'!$W$4)</f>
        <v/>
      </c>
      <c r="IU205" s="110" t="str">
        <f>IF('Supp. Result Entry'!Z203="","",'Supp. Result Entry'!$Z$4)</f>
        <v/>
      </c>
      <c r="IV205" s="110" t="str">
        <f>IF('Supp. Result Entry'!AC203="","",'Supp. Result Entry'!$AC$4)</f>
        <v/>
      </c>
      <c r="IW205" s="110" t="str">
        <f>IF('Supp. Result Entry'!AF203="","",'Supp. Result Entry'!$AF$4)</f>
        <v/>
      </c>
      <c r="IX205" s="110" t="str">
        <f>IF('Supp. Result Entry'!AI203="","",'Supp. Result Entry'!$AI$4)</f>
        <v/>
      </c>
      <c r="IY205" s="110" t="str">
        <f>IF('Supp. Result Entry'!AI203="","",'Supp. Result Entry'!$AL$4)</f>
        <v/>
      </c>
      <c r="IZ205" s="110" t="str">
        <f>IF('Supp. Result Entry'!U203="","",'Supp. Result Entry'!U203)</f>
        <v/>
      </c>
      <c r="JA205" s="110" t="str">
        <f>IF('Supp. Result Entry'!X203="","",'Supp. Result Entry'!X203)</f>
        <v/>
      </c>
      <c r="JB205" s="110" t="str">
        <f>IF('Supp. Result Entry'!AA203="","",'Supp. Result Entry'!AA203)</f>
        <v/>
      </c>
      <c r="JC205" s="110" t="str">
        <f>IF('Supp. Result Entry'!AD203="","",'Supp. Result Entry'!AD203)</f>
        <v/>
      </c>
      <c r="JD205" s="110" t="str">
        <f>IF('Supp. Result Entry'!AG203="","",'Supp. Result Entry'!AG203)</f>
        <v/>
      </c>
      <c r="JE205" s="110" t="str">
        <f>IF('Supp. Result Entry'!AJ203="","",'Supp. Result Entry'!AJ203)</f>
        <v/>
      </c>
      <c r="JF205" s="110" t="str">
        <f>IF('Supp. Result Entry'!AM203="","",'Supp. Result Entry'!AM203)</f>
        <v/>
      </c>
      <c r="JG205" s="110" t="str">
        <f>IF('Supp. Result Entry'!V203="","",'Supp. Result Entry'!V203)</f>
        <v/>
      </c>
      <c r="JH205" s="110" t="str">
        <f>IF('Supp. Result Entry'!Y203="","",'Supp. Result Entry'!Y203)</f>
        <v/>
      </c>
      <c r="JI205" s="110" t="str">
        <f>IF('Supp. Result Entry'!AB203="","",'Supp. Result Entry'!AB203)</f>
        <v/>
      </c>
      <c r="JJ205" s="110" t="str">
        <f>IF('Supp. Result Entry'!AE203="","",'Supp. Result Entry'!AE203)</f>
        <v/>
      </c>
      <c r="JK205" s="110" t="str">
        <f>IF('Supp. Result Entry'!AH203="","",'Supp. Result Entry'!AH203)</f>
        <v/>
      </c>
      <c r="JL205" s="110" t="str">
        <f>IF('Supp. Result Entry'!AK203="","",'Supp. Result Entry'!AK203)</f>
        <v/>
      </c>
      <c r="JM205" s="110" t="str">
        <f>IF('Supp. Result Entry'!AN203="","",'Supp. Result Entry'!AN203)</f>
        <v/>
      </c>
      <c r="JN205" s="110">
        <f>COUNTIF('Supp. Result Entry'!K203:Q203,"S")</f>
        <v>0</v>
      </c>
      <c r="JO205" s="110">
        <f t="shared" si="584"/>
        <v>0</v>
      </c>
      <c r="JP205" s="110">
        <f t="shared" si="661"/>
        <v>0</v>
      </c>
      <c r="JQ205" s="110" t="str">
        <f t="shared" si="585"/>
        <v/>
      </c>
      <c r="JR205" s="110" t="str">
        <f t="shared" si="586"/>
        <v/>
      </c>
      <c r="JS205" s="110" t="str">
        <f t="shared" si="587"/>
        <v/>
      </c>
      <c r="JT205" s="110" t="str">
        <f t="shared" si="588"/>
        <v/>
      </c>
      <c r="JU205" s="110" t="str">
        <f t="shared" si="589"/>
        <v/>
      </c>
      <c r="JV205" s="110" t="str">
        <f t="shared" si="590"/>
        <v/>
      </c>
      <c r="JW205" s="110" t="str">
        <f t="shared" si="591"/>
        <v/>
      </c>
      <c r="JX205" s="110" t="str">
        <f t="shared" si="662"/>
        <v/>
      </c>
      <c r="JY205" s="110" t="str">
        <f t="shared" si="663"/>
        <v/>
      </c>
      <c r="JZ205" s="110" t="str">
        <f t="shared" si="592"/>
        <v/>
      </c>
      <c r="KA205" s="108" t="str">
        <f t="shared" si="664"/>
        <v/>
      </c>
    </row>
    <row r="206" spans="1:287" s="108" customFormat="1" ht="21.95" customHeight="1" thickBot="1">
      <c r="A206" s="89">
        <v>200</v>
      </c>
      <c r="B206" s="90" t="str">
        <f>IF('Marks Entry'!B206="","",'Marks Entry'!B206)</f>
        <v/>
      </c>
      <c r="C206" s="94" t="str">
        <f>IF('Marks Entry'!D206="","",'Marks Entry'!D206)</f>
        <v/>
      </c>
      <c r="D206" s="91" t="str">
        <f>IF('Marks Entry'!E206="","",'Marks Entry'!E206)</f>
        <v/>
      </c>
      <c r="E206" s="92" t="str">
        <f>IF('Marks Entry'!F206="","",'Marks Entry'!F206)</f>
        <v/>
      </c>
      <c r="F206" s="93" t="str">
        <f>IF('Marks Entry'!G206="","",'Marks Entry'!G206)</f>
        <v/>
      </c>
      <c r="G206" s="93" t="str">
        <f>IF('Marks Entry'!H206="","",'Marks Entry'!H206)</f>
        <v/>
      </c>
      <c r="H206" s="93" t="str">
        <f>IF('Marks Entry'!I206="","",'Marks Entry'!I206)</f>
        <v/>
      </c>
      <c r="I206" s="94" t="str">
        <f>IF('Marks Entry'!J206="","",'Marks Entry'!J206)</f>
        <v/>
      </c>
      <c r="J206" s="95" t="str">
        <f>IF('Marks Entry'!K206="","",'Marks Entry'!K206)</f>
        <v/>
      </c>
      <c r="K206" s="68" t="str">
        <f>IF('Marks Entry'!L206="","",'Marks Entry'!L206)</f>
        <v/>
      </c>
      <c r="L206" s="68" t="str">
        <f>IF('Marks Entry'!M206="","",'Marks Entry'!M206)</f>
        <v/>
      </c>
      <c r="M206" s="68" t="str">
        <f>IF('Marks Entry'!N206="","",'Marks Entry'!N206)</f>
        <v/>
      </c>
      <c r="N206" s="514" t="str">
        <f t="shared" si="593"/>
        <v/>
      </c>
      <c r="O206" s="68" t="str">
        <f>IF('Marks Entry'!O206="","",'Marks Entry'!O206)</f>
        <v/>
      </c>
      <c r="P206" s="515" t="str">
        <f t="shared" si="594"/>
        <v/>
      </c>
      <c r="Q206" s="68" t="str">
        <f>IF('Marks Entry'!P206="","",'Marks Entry'!P206)</f>
        <v/>
      </c>
      <c r="R206" s="96" t="str">
        <f t="shared" si="595"/>
        <v/>
      </c>
      <c r="S206" s="65">
        <f t="shared" si="596"/>
        <v>0</v>
      </c>
      <c r="T206" s="65">
        <f t="shared" si="597"/>
        <v>0</v>
      </c>
      <c r="U206" s="66" t="str">
        <f t="shared" si="507"/>
        <v/>
      </c>
      <c r="V206" s="65" t="str">
        <f t="shared" si="508"/>
        <v/>
      </c>
      <c r="W206" s="65" t="str">
        <f t="shared" si="598"/>
        <v/>
      </c>
      <c r="X206" s="65" t="str">
        <f t="shared" si="509"/>
        <v/>
      </c>
      <c r="Y206" s="68" t="str">
        <f>IF('Marks Entry'!Q206="","",'Marks Entry'!Q206)</f>
        <v/>
      </c>
      <c r="Z206" s="68" t="str">
        <f>IF('Marks Entry'!R206="","",'Marks Entry'!R206)</f>
        <v/>
      </c>
      <c r="AA206" s="68" t="str">
        <f>IF('Marks Entry'!S206="","",'Marks Entry'!S206)</f>
        <v/>
      </c>
      <c r="AB206" s="514" t="str">
        <f t="shared" si="510"/>
        <v/>
      </c>
      <c r="AC206" s="68" t="str">
        <f>IF('Marks Entry'!T206="","",'Marks Entry'!T206)</f>
        <v/>
      </c>
      <c r="AD206" s="515" t="str">
        <f t="shared" si="511"/>
        <v/>
      </c>
      <c r="AE206" s="68" t="str">
        <f>IF('Marks Entry'!U206="","",'Marks Entry'!U206)</f>
        <v/>
      </c>
      <c r="AF206" s="96" t="str">
        <f t="shared" si="512"/>
        <v/>
      </c>
      <c r="AG206" s="65">
        <f t="shared" si="513"/>
        <v>0</v>
      </c>
      <c r="AH206" s="65">
        <f t="shared" si="514"/>
        <v>0</v>
      </c>
      <c r="AI206" s="66" t="str">
        <f t="shared" si="515"/>
        <v/>
      </c>
      <c r="AJ206" s="65" t="str">
        <f t="shared" si="516"/>
        <v/>
      </c>
      <c r="AK206" s="65" t="str">
        <f t="shared" si="517"/>
        <v/>
      </c>
      <c r="AL206" s="65" t="str">
        <f t="shared" si="518"/>
        <v/>
      </c>
      <c r="AM206" s="524" t="str">
        <f>IF('Marks Entry'!V206="","",IF('Marks Entry'!V206=1,'School Profile'!$I$9,IF('Marks Entry'!V206=2,'School Profile'!$I$10,IF('Marks Entry'!V206=3,'School Profile'!$I$11,IF('Marks Entry'!V206=4,'School Profile'!$I$12,IF('Marks Entry'!V206=5,'School Profile'!$I$13,IF('Marks Entry'!V206=6,'School Profile'!$I$14,"")))))))</f>
        <v/>
      </c>
      <c r="AN206" s="68" t="str">
        <f>IF('Marks Entry'!W206="","",'Marks Entry'!W206)</f>
        <v/>
      </c>
      <c r="AO206" s="68" t="str">
        <f>IF('Marks Entry'!X206="","",'Marks Entry'!X206)</f>
        <v/>
      </c>
      <c r="AP206" s="68" t="str">
        <f>IF('Marks Entry'!Y206="","",'Marks Entry'!Y206)</f>
        <v/>
      </c>
      <c r="AQ206" s="514" t="str">
        <f t="shared" si="519"/>
        <v/>
      </c>
      <c r="AR206" s="68" t="str">
        <f>IF('Marks Entry'!Z206="","",'Marks Entry'!Z206)</f>
        <v/>
      </c>
      <c r="AS206" s="515" t="str">
        <f t="shared" si="520"/>
        <v/>
      </c>
      <c r="AT206" s="68" t="str">
        <f>IF('Marks Entry'!AA206="","",'Marks Entry'!AA206)</f>
        <v/>
      </c>
      <c r="AU206" s="96" t="str">
        <f t="shared" si="521"/>
        <v/>
      </c>
      <c r="AV206" s="65">
        <f t="shared" si="522"/>
        <v>0</v>
      </c>
      <c r="AW206" s="65">
        <f t="shared" si="523"/>
        <v>0</v>
      </c>
      <c r="AX206" s="66" t="str">
        <f t="shared" si="524"/>
        <v/>
      </c>
      <c r="AY206" s="65" t="str">
        <f t="shared" si="525"/>
        <v/>
      </c>
      <c r="AZ206" s="65" t="str">
        <f t="shared" si="526"/>
        <v/>
      </c>
      <c r="BA206" s="65" t="str">
        <f t="shared" si="527"/>
        <v/>
      </c>
      <c r="BB206" s="68" t="str">
        <f>IF('Marks Entry'!AB206="","",'Marks Entry'!AB206)</f>
        <v/>
      </c>
      <c r="BC206" s="68" t="str">
        <f>IF('Marks Entry'!AC206="","",'Marks Entry'!AC206)</f>
        <v/>
      </c>
      <c r="BD206" s="68" t="str">
        <f>IF('Marks Entry'!AD206="","",'Marks Entry'!AD206)</f>
        <v/>
      </c>
      <c r="BE206" s="514" t="str">
        <f t="shared" si="528"/>
        <v/>
      </c>
      <c r="BF206" s="68" t="str">
        <f>IF('Marks Entry'!AE206="","",'Marks Entry'!AE206)</f>
        <v/>
      </c>
      <c r="BG206" s="515" t="str">
        <f t="shared" si="529"/>
        <v/>
      </c>
      <c r="BH206" s="68" t="str">
        <f>IF('Marks Entry'!AF206="","",'Marks Entry'!AF206)</f>
        <v/>
      </c>
      <c r="BI206" s="96" t="str">
        <f t="shared" si="530"/>
        <v/>
      </c>
      <c r="BJ206" s="65">
        <f t="shared" si="531"/>
        <v>0</v>
      </c>
      <c r="BK206" s="65">
        <f t="shared" si="599"/>
        <v>0</v>
      </c>
      <c r="BL206" s="66" t="str">
        <f t="shared" si="532"/>
        <v/>
      </c>
      <c r="BM206" s="65" t="str">
        <f t="shared" si="533"/>
        <v/>
      </c>
      <c r="BN206" s="65" t="str">
        <f t="shared" si="534"/>
        <v/>
      </c>
      <c r="BO206" s="65" t="str">
        <f t="shared" si="535"/>
        <v/>
      </c>
      <c r="BP206" s="68" t="str">
        <f>IF('Marks Entry'!AG206="","",'Marks Entry'!AG206)</f>
        <v/>
      </c>
      <c r="BQ206" s="68" t="str">
        <f>IF('Marks Entry'!AH206="","",'Marks Entry'!AH206)</f>
        <v/>
      </c>
      <c r="BR206" s="68" t="str">
        <f>IF('Marks Entry'!AI206="","",'Marks Entry'!AI206)</f>
        <v/>
      </c>
      <c r="BS206" s="514" t="str">
        <f t="shared" si="536"/>
        <v/>
      </c>
      <c r="BT206" s="68" t="str">
        <f>IF('Marks Entry'!AJ206="","",'Marks Entry'!AJ206)</f>
        <v/>
      </c>
      <c r="BU206" s="515" t="str">
        <f t="shared" si="537"/>
        <v/>
      </c>
      <c r="BV206" s="68" t="str">
        <f>IF('Marks Entry'!AK206="","",'Marks Entry'!AK206)</f>
        <v/>
      </c>
      <c r="BW206" s="96" t="str">
        <f t="shared" si="538"/>
        <v/>
      </c>
      <c r="BX206" s="65">
        <f t="shared" si="539"/>
        <v>0</v>
      </c>
      <c r="BY206" s="65">
        <f t="shared" si="540"/>
        <v>0</v>
      </c>
      <c r="BZ206" s="66" t="str">
        <f t="shared" si="541"/>
        <v/>
      </c>
      <c r="CA206" s="65" t="str">
        <f t="shared" si="542"/>
        <v/>
      </c>
      <c r="CB206" s="65" t="str">
        <f t="shared" si="543"/>
        <v/>
      </c>
      <c r="CC206" s="65" t="str">
        <f t="shared" si="544"/>
        <v/>
      </c>
      <c r="CD206" s="66">
        <f t="shared" si="545"/>
        <v>0</v>
      </c>
      <c r="CE206" s="68" t="str">
        <f>IF('Marks Entry'!AL206="","",'Marks Entry'!AL206)</f>
        <v/>
      </c>
      <c r="CF206" s="68" t="str">
        <f>IF('Marks Entry'!AM206="","",'Marks Entry'!AM206)</f>
        <v/>
      </c>
      <c r="CG206" s="68" t="str">
        <f>IF('Marks Entry'!AN206="","",'Marks Entry'!AN206)</f>
        <v/>
      </c>
      <c r="CH206" s="514" t="str">
        <f t="shared" si="546"/>
        <v/>
      </c>
      <c r="CI206" s="68" t="str">
        <f>IF('Marks Entry'!AO206="","",'Marks Entry'!AO206)</f>
        <v/>
      </c>
      <c r="CJ206" s="515" t="str">
        <f t="shared" si="547"/>
        <v/>
      </c>
      <c r="CK206" s="68" t="str">
        <f>IF('Marks Entry'!AP206="","",'Marks Entry'!AP206)</f>
        <v/>
      </c>
      <c r="CL206" s="96" t="str">
        <f t="shared" si="548"/>
        <v/>
      </c>
      <c r="CM206" s="65">
        <f t="shared" si="549"/>
        <v>0</v>
      </c>
      <c r="CN206" s="65">
        <f t="shared" si="550"/>
        <v>0</v>
      </c>
      <c r="CO206" s="66" t="str">
        <f t="shared" si="551"/>
        <v/>
      </c>
      <c r="CP206" s="65" t="str">
        <f t="shared" si="552"/>
        <v/>
      </c>
      <c r="CQ206" s="65" t="str">
        <f t="shared" si="553"/>
        <v/>
      </c>
      <c r="CR206" s="65" t="str">
        <f t="shared" si="554"/>
        <v/>
      </c>
      <c r="CS206" s="616"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8" t="str">
        <f>IF('School Profile'!$D$20="NO","",IF('Marks Entry'!AR206="","",'Marks Entry'!AR206))</f>
        <v/>
      </c>
      <c r="CU206" s="68" t="str">
        <f>IF('School Profile'!$D$20="NO","",IF('Marks Entry'!AS206="","",'Marks Entry'!AS206))</f>
        <v/>
      </c>
      <c r="CV206" s="68" t="str">
        <f>IF('School Profile'!$D$20="NO","",IF('Marks Entry'!AT206="","",'Marks Entry'!AT206))</f>
        <v/>
      </c>
      <c r="CW206" s="514" t="str">
        <f>IF('School Profile'!$D$20="NO","",IF(AND(CT206="",CU206="",CV206=""),"",SUM(CT206:CV206)))</f>
        <v/>
      </c>
      <c r="CX206" s="68" t="str">
        <f>IF('School Profile'!$D$20="NO","",IF('Marks Entry'!AU206="","",'Marks Entry'!AU206))</f>
        <v/>
      </c>
      <c r="CY206" s="68" t="str">
        <f>IF('School Profile'!$D$20="NO","",IF('Marks Entry'!AV206="","",'Marks Entry'!AV206))</f>
        <v/>
      </c>
      <c r="CZ206" s="515" t="str">
        <f>IF('School Profile'!$D$20="NO","",IF(AND(CX206="",CY206=""),"",SUM(CX206,CY206)))</f>
        <v/>
      </c>
      <c r="DA206" s="69" t="str">
        <f>IF('School Profile'!$D$20="NO","",IF(AND(CW206="",CZ206=""),"",SUM(CW206+CZ206)))</f>
        <v/>
      </c>
      <c r="DB206" s="68" t="str">
        <f>IF('School Profile'!$D$20="NO","",IF('Marks Entry'!AW206="","",'Marks Entry'!AW206))</f>
        <v/>
      </c>
      <c r="DC206" s="68" t="str">
        <f>IF('School Profile'!$D$20="NO","",IF('Marks Entry'!AX206="","",'Marks Entry'!AX206))</f>
        <v/>
      </c>
      <c r="DD206" s="515" t="str">
        <f>IF('School Profile'!$D$20="NO","",IF(AND(DB206="",DC206=""),"",SUM(DB206,DC206)))</f>
        <v/>
      </c>
      <c r="DE206" s="96" t="str">
        <f>IF('School Profile'!$D$20="NO","",IF(AND(DA206="",DD206=""),"",SUM(DA206,DD206)))</f>
        <v/>
      </c>
      <c r="DF206" s="532">
        <f t="shared" si="555"/>
        <v>0</v>
      </c>
      <c r="DG206" s="65">
        <f t="shared" si="556"/>
        <v>0</v>
      </c>
      <c r="DH206" s="66" t="str">
        <f t="shared" si="557"/>
        <v/>
      </c>
      <c r="DI206" s="65" t="str">
        <f t="shared" si="558"/>
        <v/>
      </c>
      <c r="DJ206" s="65" t="str">
        <f t="shared" si="559"/>
        <v/>
      </c>
      <c r="DK206" s="65" t="str">
        <f t="shared" si="560"/>
        <v/>
      </c>
      <c r="DL206" s="97" t="str">
        <f t="shared" si="600"/>
        <v/>
      </c>
      <c r="DM206" s="97" t="str">
        <f t="shared" si="601"/>
        <v/>
      </c>
      <c r="DN206" s="97" t="str">
        <f t="shared" si="602"/>
        <v/>
      </c>
      <c r="DO206" s="97" t="str">
        <f t="shared" si="603"/>
        <v/>
      </c>
      <c r="DP206" s="97" t="str">
        <f t="shared" si="604"/>
        <v/>
      </c>
      <c r="DQ206" s="97" t="str">
        <f t="shared" si="605"/>
        <v/>
      </c>
      <c r="DR206" s="97" t="str">
        <f t="shared" si="606"/>
        <v/>
      </c>
      <c r="DS206" s="98">
        <f t="shared" si="607"/>
        <v>0</v>
      </c>
      <c r="DT206" s="98">
        <f t="shared" si="608"/>
        <v>0</v>
      </c>
      <c r="DU206" s="98">
        <f t="shared" si="609"/>
        <v>0</v>
      </c>
      <c r="DV206" s="98">
        <f t="shared" si="610"/>
        <v>0</v>
      </c>
      <c r="DW206" s="98">
        <f t="shared" si="611"/>
        <v>0</v>
      </c>
      <c r="DX206" s="98" t="str">
        <f t="shared" si="612"/>
        <v/>
      </c>
      <c r="DY206" s="99" t="str">
        <f t="shared" si="613"/>
        <v/>
      </c>
      <c r="DZ206" s="74" t="str">
        <f>IF('Marks Entry'!AY206="","",'Marks Entry'!AY206)</f>
        <v/>
      </c>
      <c r="EA206" s="74" t="str">
        <f>IF('Marks Entry'!AZ206="","",'Marks Entry'!AZ206)</f>
        <v/>
      </c>
      <c r="EB206" s="74" t="str">
        <f>IF('Marks Entry'!BA206="","",'Marks Entry'!BA206)</f>
        <v/>
      </c>
      <c r="EC206" s="527" t="str">
        <f t="shared" si="561"/>
        <v/>
      </c>
      <c r="ED206" s="74" t="str">
        <f>IF('Marks Entry'!BB206="","",'Marks Entry'!BB206)</f>
        <v/>
      </c>
      <c r="EE206" s="528" t="str">
        <f t="shared" si="562"/>
        <v/>
      </c>
      <c r="EF206" s="74" t="str">
        <f>IF('Marks Entry'!BC206="","",'Marks Entry'!BC206)</f>
        <v/>
      </c>
      <c r="EG206" s="530" t="str">
        <f t="shared" si="563"/>
        <v/>
      </c>
      <c r="EH206" s="368" t="str">
        <f t="shared" si="614"/>
        <v/>
      </c>
      <c r="EI206" s="65">
        <f t="shared" si="615"/>
        <v>0</v>
      </c>
      <c r="EJ206" s="65">
        <f t="shared" si="616"/>
        <v>0</v>
      </c>
      <c r="EK206" s="66" t="str">
        <f t="shared" si="617"/>
        <v/>
      </c>
      <c r="EL206" s="74" t="str">
        <f>IF('Marks Entry'!BD206="","",'Marks Entry'!BD206)</f>
        <v/>
      </c>
      <c r="EM206" s="74" t="str">
        <f>IF('Marks Entry'!BE206="","",'Marks Entry'!BE206)</f>
        <v/>
      </c>
      <c r="EN206" s="74" t="str">
        <f>IF('Marks Entry'!BF206="","",'Marks Entry'!BF206)</f>
        <v/>
      </c>
      <c r="EO206" s="527" t="str">
        <f t="shared" si="564"/>
        <v/>
      </c>
      <c r="EP206" s="74" t="str">
        <f>IF('Marks Entry'!BG206="","",'Marks Entry'!BG206)</f>
        <v/>
      </c>
      <c r="EQ206" s="74" t="str">
        <f>IF('Marks Entry'!BH206="","",'Marks Entry'!BH206)</f>
        <v/>
      </c>
      <c r="ER206" s="528" t="str">
        <f t="shared" si="565"/>
        <v/>
      </c>
      <c r="ES206" s="529" t="str">
        <f t="shared" si="566"/>
        <v/>
      </c>
      <c r="ET206" s="74" t="str">
        <f>IF('Marks Entry'!BI206="","",'Marks Entry'!BI206)</f>
        <v/>
      </c>
      <c r="EU206" s="74" t="str">
        <f>IF('Marks Entry'!BJ206="","",'Marks Entry'!BJ206)</f>
        <v/>
      </c>
      <c r="EV206" s="528" t="str">
        <f t="shared" si="567"/>
        <v/>
      </c>
      <c r="EW206" s="530" t="str">
        <f t="shared" si="568"/>
        <v/>
      </c>
      <c r="EX206" s="368" t="str">
        <f t="shared" si="618"/>
        <v/>
      </c>
      <c r="EY206" s="65">
        <f>COUNTIF(EL206:EN206,"NA")*10</f>
        <v>0</v>
      </c>
      <c r="EZ206" s="65">
        <f>(COUNTIF(EL206:EN206,"ML")*10)+(COUNTIF(ER206,"ML")*70)+(COUNTIF(EV206,"ML")*100)</f>
        <v>0</v>
      </c>
      <c r="FA206" s="66" t="str">
        <f>IF(OR($B206="NSO",$B206=0),"",IF(AND(EL206="",EM206="",EP206="",ET206=""),"",IF(AND(EM206="",EP206="",EQ206="",ET206="",EU206=""),($EL$6)-EY206-EZ206,IF(AND(EL206="",EP206="",EQ206="",ET206="",EU206=""),($EM$6)-EY206-EZ206,IF(AND(EP206="",EQ206="",ET206="",EU206=""),($EL$6+$EM$6)-EY206-EZ206,IF(AND(ET206="",EU206=""),($EP$6+$EQ$6)-EY206-EZ206,($EW$6)-EY206-EZ206))))))</f>
        <v/>
      </c>
      <c r="FB206" s="74" t="str">
        <f>IF('Marks Entry'!BK206="","",'Marks Entry'!BK206)</f>
        <v/>
      </c>
      <c r="FC206" s="74" t="str">
        <f>IF('Marks Entry'!BL206="","",'Marks Entry'!BL206)</f>
        <v/>
      </c>
      <c r="FD206" s="74" t="str">
        <f>IF('Marks Entry'!BM206="","",'Marks Entry'!BM206)</f>
        <v/>
      </c>
      <c r="FE206" s="74" t="str">
        <f>IF('Marks Entry'!BN206="","",'Marks Entry'!BN206)</f>
        <v/>
      </c>
      <c r="FF206" s="74" t="str">
        <f>IF('Marks Entry'!BO206="","",'Marks Entry'!BO206)</f>
        <v/>
      </c>
      <c r="FG206" s="74" t="str">
        <f>IF('Marks Entry'!BP206="","",'Marks Entry'!BP206)</f>
        <v/>
      </c>
      <c r="FH206" s="527" t="str">
        <f t="shared" si="569"/>
        <v/>
      </c>
      <c r="FI206" s="74" t="str">
        <f>IF('Marks Entry'!BQ206="","",'Marks Entry'!BQ206)</f>
        <v/>
      </c>
      <c r="FJ206" s="74" t="str">
        <f>IF('Marks Entry'!BR206="","",'Marks Entry'!BR206)</f>
        <v/>
      </c>
      <c r="FK206" s="528" t="str">
        <f t="shared" si="570"/>
        <v/>
      </c>
      <c r="FL206" s="529" t="str">
        <f t="shared" si="571"/>
        <v/>
      </c>
      <c r="FM206" s="74" t="str">
        <f>IF('Marks Entry'!BS206="","",'Marks Entry'!BS206)</f>
        <v/>
      </c>
      <c r="FN206" s="74" t="str">
        <f>IF('Marks Entry'!BT206="","",'Marks Entry'!BT206)</f>
        <v/>
      </c>
      <c r="FO206" s="528" t="str">
        <f t="shared" si="572"/>
        <v/>
      </c>
      <c r="FP206" s="530" t="str">
        <f t="shared" si="573"/>
        <v/>
      </c>
      <c r="FQ206" s="368" t="str">
        <f t="shared" si="622"/>
        <v/>
      </c>
      <c r="FR206" s="65">
        <f t="shared" si="623"/>
        <v>0</v>
      </c>
      <c r="FS206" s="65">
        <f t="shared" si="624"/>
        <v>0</v>
      </c>
      <c r="FT206" s="66" t="str">
        <f t="shared" si="625"/>
        <v/>
      </c>
      <c r="FU206" s="74" t="str">
        <f>IF('Marks Entry'!BU206="","",'Marks Entry'!BU206)</f>
        <v/>
      </c>
      <c r="FV206" s="74" t="str">
        <f>IF('Marks Entry'!BV206="","",'Marks Entry'!BV206)</f>
        <v/>
      </c>
      <c r="FW206" s="74" t="str">
        <f>IF('Marks Entry'!BW206="","",'Marks Entry'!BW206)</f>
        <v/>
      </c>
      <c r="FX206" s="75" t="str">
        <f t="shared" si="574"/>
        <v/>
      </c>
      <c r="FY206" s="368" t="str">
        <f t="shared" si="626"/>
        <v/>
      </c>
      <c r="FZ206" s="65">
        <f t="shared" si="627"/>
        <v>0</v>
      </c>
      <c r="GA206" s="66">
        <f t="shared" si="628"/>
        <v>0</v>
      </c>
      <c r="GB206" s="66" t="str">
        <f t="shared" si="629"/>
        <v/>
      </c>
      <c r="GC206" s="74" t="str">
        <f>IF('Marks Entry'!BX206="","",'Marks Entry'!BX206)</f>
        <v/>
      </c>
      <c r="GD206" s="74" t="str">
        <f>IF('Marks Entry'!BY206="","",'Marks Entry'!BY206)</f>
        <v/>
      </c>
      <c r="GE206" s="74" t="str">
        <f>IF('Marks Entry'!BZ206="","",'Marks Entry'!BZ206)</f>
        <v/>
      </c>
      <c r="GF206" s="75" t="str">
        <f t="shared" si="630"/>
        <v/>
      </c>
      <c r="GG206" s="368" t="str">
        <f t="shared" si="631"/>
        <v/>
      </c>
      <c r="GH206" s="65">
        <f t="shared" si="632"/>
        <v>0</v>
      </c>
      <c r="GI206" s="66">
        <f t="shared" si="633"/>
        <v>0</v>
      </c>
      <c r="GJ206" s="66" t="str">
        <f t="shared" si="634"/>
        <v/>
      </c>
      <c r="GK206" s="100" t="str">
        <f>IF(AND(F206="",B206=""),"",IF('Student DATA Entry'!M203="","",'Student DATA Entry'!M203))</f>
        <v/>
      </c>
      <c r="GL206" s="101" t="str">
        <f>IF(AND(B206="",F206=""),"",IF('Student DATA Entry'!N203="","",'Student DATA Entry'!N203))</f>
        <v/>
      </c>
      <c r="GM206" s="581" t="str">
        <f t="shared" si="635"/>
        <v/>
      </c>
      <c r="GN206" s="94" t="str">
        <f t="shared" si="636"/>
        <v/>
      </c>
      <c r="GO206" s="94" t="str">
        <f t="shared" si="637"/>
        <v/>
      </c>
      <c r="GP206" s="102" t="str">
        <f t="shared" si="575"/>
        <v/>
      </c>
      <c r="GQ206" s="94" t="str">
        <f t="shared" si="638"/>
        <v/>
      </c>
      <c r="GR206" s="103" t="str">
        <f t="shared" si="639"/>
        <v/>
      </c>
      <c r="GS206" s="102" t="str">
        <f t="shared" si="576"/>
        <v/>
      </c>
      <c r="GT206" s="104" t="str">
        <f t="shared" si="640"/>
        <v/>
      </c>
      <c r="GU206" s="94" t="str">
        <f>IF('Marks Entry'!V206=1,GT206,"")</f>
        <v/>
      </c>
      <c r="GV206" s="94" t="str">
        <f>IF('Marks Entry'!V206=2,GT206,"")</f>
        <v/>
      </c>
      <c r="GW206" s="94" t="str">
        <f>IF('Marks Entry'!V206=3,GT206,"")</f>
        <v/>
      </c>
      <c r="GX206" s="94" t="str">
        <f>IF('Marks Entry'!V206=4,GT206,"")</f>
        <v/>
      </c>
      <c r="GY206" s="94" t="str">
        <f>IF('Marks Entry'!V206=5,GT206,"")</f>
        <v/>
      </c>
      <c r="GZ206" s="94" t="str">
        <f t="shared" si="641"/>
        <v/>
      </c>
      <c r="HA206" s="105" t="str">
        <f t="shared" si="577"/>
        <v/>
      </c>
      <c r="HB206" s="94" t="str">
        <f t="shared" si="642"/>
        <v/>
      </c>
      <c r="HC206" s="94" t="str">
        <f t="shared" si="643"/>
        <v/>
      </c>
      <c r="HD206" s="105" t="str">
        <f t="shared" si="578"/>
        <v/>
      </c>
      <c r="HE206" s="94" t="str">
        <f t="shared" si="644"/>
        <v/>
      </c>
      <c r="HF206" s="94" t="str">
        <f t="shared" si="645"/>
        <v/>
      </c>
      <c r="HG206" s="105" t="str">
        <f t="shared" si="579"/>
        <v/>
      </c>
      <c r="HH206" s="94" t="str">
        <f t="shared" si="646"/>
        <v/>
      </c>
      <c r="HI206" s="94" t="str">
        <f t="shared" si="647"/>
        <v/>
      </c>
      <c r="HJ206" s="105" t="str">
        <f t="shared" si="580"/>
        <v/>
      </c>
      <c r="HK206" s="94" t="str">
        <f t="shared" si="648"/>
        <v/>
      </c>
      <c r="HL206" s="94" t="str">
        <f t="shared" si="649"/>
        <v/>
      </c>
      <c r="HM206" s="105" t="str">
        <f t="shared" si="581"/>
        <v/>
      </c>
      <c r="HN206" s="367" t="str">
        <f t="shared" si="650"/>
        <v xml:space="preserve">      </v>
      </c>
      <c r="HO206" s="418" t="str">
        <f t="shared" si="582"/>
        <v xml:space="preserve">      </v>
      </c>
      <c r="HP206" s="587" t="str">
        <f t="shared" si="651"/>
        <v xml:space="preserve">      </v>
      </c>
      <c r="HQ206" s="588" t="str">
        <f t="shared" si="652"/>
        <v xml:space="preserve">      </v>
      </c>
      <c r="HR206" s="589" t="str">
        <f t="shared" si="653"/>
        <v xml:space="preserve">      </v>
      </c>
      <c r="HS206" s="590" t="str">
        <f t="shared" si="583"/>
        <v/>
      </c>
      <c r="HT206" s="591" t="str">
        <f t="shared" si="654"/>
        <v/>
      </c>
      <c r="HU206" s="592" t="str">
        <f t="shared" si="655"/>
        <v/>
      </c>
      <c r="HV206" s="593" t="str">
        <f t="shared" si="656"/>
        <v/>
      </c>
      <c r="HW206" s="594" t="str">
        <f t="shared" si="657"/>
        <v/>
      </c>
      <c r="HX206" s="539" t="str">
        <f t="shared" si="658"/>
        <v/>
      </c>
      <c r="HY206" s="595" t="str">
        <f>IFERROR(IF(OR(HS206="SUPPLEMENTARY",HS206="RE-EXAM"),'Supp. Result Entry'!AQ204,""),"")</f>
        <v/>
      </c>
      <c r="HZ206" s="596" t="str">
        <f t="shared" si="659"/>
        <v/>
      </c>
      <c r="IA206" s="589" t="str">
        <f t="shared" si="660"/>
        <v/>
      </c>
      <c r="IB206" s="589" t="str">
        <f>IF(AND(HZ206="",IA206=""),"",IF(OR(HS206="SUPPLEMENTARY",HS206="RE-EXAM"),'Supp. Result Entry'!AQ204,HS206))</f>
        <v/>
      </c>
      <c r="IC206" s="597"/>
      <c r="IS206" s="109" t="str">
        <f>IF('Supp. Result Entry'!T204="","",'Supp. Result Entry'!$T$4)</f>
        <v/>
      </c>
      <c r="IT206" s="110" t="str">
        <f>IF('Supp. Result Entry'!W204="","",'Supp. Result Entry'!$W$4)</f>
        <v/>
      </c>
      <c r="IU206" s="110" t="str">
        <f>IF('Supp. Result Entry'!Z204="","",'Supp. Result Entry'!$Z$4)</f>
        <v/>
      </c>
      <c r="IV206" s="110" t="str">
        <f>IF('Supp. Result Entry'!AC204="","",'Supp. Result Entry'!$AC$4)</f>
        <v/>
      </c>
      <c r="IW206" s="110" t="str">
        <f>IF('Supp. Result Entry'!AF204="","",'Supp. Result Entry'!$AF$4)</f>
        <v/>
      </c>
      <c r="IX206" s="110" t="str">
        <f>IF('Supp. Result Entry'!AI204="","",'Supp. Result Entry'!$AI$4)</f>
        <v/>
      </c>
      <c r="IY206" s="110" t="str">
        <f>IF('Supp. Result Entry'!AI204="","",'Supp. Result Entry'!$AL$4)</f>
        <v/>
      </c>
      <c r="IZ206" s="110" t="str">
        <f>IF('Supp. Result Entry'!U204="","",'Supp. Result Entry'!U204)</f>
        <v/>
      </c>
      <c r="JA206" s="110" t="str">
        <f>IF('Supp. Result Entry'!X204="","",'Supp. Result Entry'!X204)</f>
        <v/>
      </c>
      <c r="JB206" s="110" t="str">
        <f>IF('Supp. Result Entry'!AA204="","",'Supp. Result Entry'!AA204)</f>
        <v/>
      </c>
      <c r="JC206" s="110" t="str">
        <f>IF('Supp. Result Entry'!AD204="","",'Supp. Result Entry'!AD204)</f>
        <v/>
      </c>
      <c r="JD206" s="110" t="str">
        <f>IF('Supp. Result Entry'!AG204="","",'Supp. Result Entry'!AG204)</f>
        <v/>
      </c>
      <c r="JE206" s="110" t="str">
        <f>IF('Supp. Result Entry'!AJ204="","",'Supp. Result Entry'!AJ204)</f>
        <v/>
      </c>
      <c r="JF206" s="110" t="str">
        <f>IF('Supp. Result Entry'!AM204="","",'Supp. Result Entry'!AM204)</f>
        <v/>
      </c>
      <c r="JG206" s="110" t="str">
        <f>IF('Supp. Result Entry'!V204="","",'Supp. Result Entry'!V204)</f>
        <v/>
      </c>
      <c r="JH206" s="110" t="str">
        <f>IF('Supp. Result Entry'!Y204="","",'Supp. Result Entry'!Y204)</f>
        <v/>
      </c>
      <c r="JI206" s="110" t="str">
        <f>IF('Supp. Result Entry'!AB204="","",'Supp. Result Entry'!AB204)</f>
        <v/>
      </c>
      <c r="JJ206" s="110" t="str">
        <f>IF('Supp. Result Entry'!AE204="","",'Supp. Result Entry'!AE204)</f>
        <v/>
      </c>
      <c r="JK206" s="110" t="str">
        <f>IF('Supp. Result Entry'!AH204="","",'Supp. Result Entry'!AH204)</f>
        <v/>
      </c>
      <c r="JL206" s="110" t="str">
        <f>IF('Supp. Result Entry'!AK204="","",'Supp. Result Entry'!AK204)</f>
        <v/>
      </c>
      <c r="JM206" s="110" t="str">
        <f>IF('Supp. Result Entry'!AN204="","",'Supp. Result Entry'!AN204)</f>
        <v/>
      </c>
      <c r="JN206" s="110">
        <f>COUNTIF('Supp. Result Entry'!K204:Q204,"S")</f>
        <v>0</v>
      </c>
      <c r="JO206" s="110">
        <f t="shared" si="584"/>
        <v>0</v>
      </c>
      <c r="JP206" s="110">
        <f t="shared" si="661"/>
        <v>0</v>
      </c>
      <c r="JQ206" s="110" t="str">
        <f t="shared" si="585"/>
        <v/>
      </c>
      <c r="JR206" s="110" t="str">
        <f t="shared" si="586"/>
        <v/>
      </c>
      <c r="JS206" s="110" t="str">
        <f t="shared" si="587"/>
        <v/>
      </c>
      <c r="JT206" s="110" t="str">
        <f t="shared" si="588"/>
        <v/>
      </c>
      <c r="JU206" s="110" t="str">
        <f t="shared" si="589"/>
        <v/>
      </c>
      <c r="JV206" s="110" t="str">
        <f t="shared" si="590"/>
        <v/>
      </c>
      <c r="JW206" s="110" t="str">
        <f t="shared" si="591"/>
        <v/>
      </c>
      <c r="JX206" s="110" t="str">
        <f t="shared" si="662"/>
        <v/>
      </c>
      <c r="JY206" s="110" t="str">
        <f t="shared" si="663"/>
        <v/>
      </c>
      <c r="JZ206" s="110" t="str">
        <f t="shared" si="592"/>
        <v/>
      </c>
      <c r="KA206" s="108" t="str">
        <f t="shared" si="664"/>
        <v/>
      </c>
    </row>
    <row r="207" spans="1:287" s="108" customFormat="1" ht="20.25" customHeight="1" thickBot="1">
      <c r="A207" s="1097"/>
      <c r="B207" s="1098"/>
      <c r="C207" s="1098"/>
      <c r="D207" s="1098"/>
      <c r="E207" s="1098"/>
      <c r="F207" s="1098"/>
      <c r="G207" s="1099"/>
      <c r="H207" s="1099"/>
      <c r="I207" s="1099"/>
      <c r="J207" s="1099"/>
      <c r="K207" s="1099"/>
      <c r="L207" s="1099"/>
      <c r="M207" s="1099"/>
      <c r="N207" s="1099"/>
      <c r="O207" s="1099"/>
      <c r="P207" s="1099"/>
      <c r="Q207" s="1099"/>
      <c r="R207" s="1099"/>
      <c r="S207" s="1099"/>
      <c r="T207" s="1099"/>
      <c r="U207" s="1099"/>
      <c r="V207" s="1099"/>
      <c r="W207" s="1099"/>
      <c r="X207" s="1099"/>
      <c r="Y207" s="1099"/>
      <c r="Z207" s="1099"/>
      <c r="AA207" s="1099"/>
      <c r="AB207" s="1099"/>
      <c r="AC207" s="1099"/>
      <c r="AD207" s="1099"/>
      <c r="AE207" s="1099"/>
      <c r="AF207" s="1099"/>
      <c r="AG207" s="1099"/>
      <c r="AH207" s="1099"/>
      <c r="AI207" s="1099"/>
      <c r="AJ207" s="1099"/>
      <c r="AK207" s="1099"/>
      <c r="AL207" s="1099"/>
      <c r="AM207" s="1099"/>
      <c r="AN207" s="1099"/>
      <c r="AO207" s="1099"/>
      <c r="AP207" s="1099"/>
      <c r="AQ207" s="1099"/>
      <c r="AR207" s="1099"/>
      <c r="AS207" s="1099"/>
      <c r="AT207" s="1099"/>
      <c r="AU207" s="1098"/>
      <c r="AV207" s="1098"/>
      <c r="AW207" s="1098"/>
      <c r="AX207" s="1098"/>
      <c r="AY207" s="1098"/>
      <c r="AZ207" s="1098"/>
      <c r="BA207" s="1098"/>
      <c r="BB207" s="1098"/>
      <c r="BC207" s="1098"/>
      <c r="BD207" s="1098"/>
      <c r="BE207" s="1098"/>
      <c r="BF207" s="1099"/>
      <c r="BG207" s="1099"/>
      <c r="BH207" s="1099"/>
      <c r="BI207" s="1099"/>
      <c r="BJ207" s="1099"/>
      <c r="BK207" s="1099"/>
      <c r="BL207" s="1099"/>
      <c r="BM207" s="1099"/>
      <c r="BN207" s="1099"/>
      <c r="BO207" s="1099"/>
      <c r="BP207" s="1099"/>
      <c r="BQ207" s="1099"/>
      <c r="BR207" s="1099"/>
      <c r="BS207" s="1099"/>
      <c r="BT207" s="1099"/>
      <c r="BU207" s="1099"/>
      <c r="BV207" s="1099"/>
      <c r="BW207" s="1099"/>
      <c r="BX207" s="1099"/>
      <c r="BY207" s="1099"/>
      <c r="BZ207" s="1099"/>
      <c r="CA207" s="1099"/>
      <c r="CB207" s="1099"/>
      <c r="CC207" s="1099"/>
      <c r="CD207" s="1099"/>
      <c r="CE207" s="1099"/>
      <c r="CF207" s="1099"/>
      <c r="CG207" s="1099"/>
      <c r="CH207" s="1099"/>
      <c r="CI207" s="1099"/>
      <c r="CJ207" s="1099"/>
      <c r="CK207" s="1099"/>
      <c r="CL207" s="1099"/>
      <c r="CM207" s="1099"/>
      <c r="CN207" s="1099"/>
      <c r="CO207" s="1099"/>
      <c r="CP207" s="1099"/>
      <c r="CQ207" s="1099"/>
      <c r="CR207" s="1099"/>
      <c r="CS207" s="1099"/>
      <c r="CT207" s="1099"/>
      <c r="CU207" s="1099"/>
      <c r="CV207" s="1099"/>
      <c r="CW207" s="1099"/>
      <c r="CX207" s="1099"/>
      <c r="CY207" s="1099"/>
      <c r="CZ207" s="1099"/>
      <c r="DA207" s="1099"/>
      <c r="DB207" s="1099"/>
      <c r="DC207" s="1099"/>
      <c r="DD207" s="1099"/>
      <c r="DE207" s="1099"/>
      <c r="DF207" s="1099"/>
      <c r="DG207" s="1099"/>
      <c r="DH207" s="1099"/>
      <c r="DI207" s="1099"/>
      <c r="DJ207" s="1099"/>
      <c r="DK207" s="1099"/>
      <c r="DL207" s="1099"/>
      <c r="DM207" s="1099"/>
      <c r="DN207" s="1099"/>
      <c r="DO207" s="1099"/>
      <c r="DP207" s="1099"/>
      <c r="DQ207" s="1099"/>
      <c r="DR207" s="1099"/>
      <c r="DS207" s="1099"/>
      <c r="DT207" s="1099"/>
      <c r="DU207" s="1099"/>
      <c r="DV207" s="1099"/>
      <c r="DW207" s="1099"/>
      <c r="DX207" s="1099"/>
      <c r="DY207" s="1099"/>
      <c r="DZ207" s="1099"/>
      <c r="EA207" s="1099"/>
      <c r="EB207" s="1099"/>
      <c r="EC207" s="1099"/>
      <c r="ED207" s="1099"/>
      <c r="EE207" s="1099"/>
      <c r="EF207" s="1099"/>
      <c r="EG207" s="1099"/>
      <c r="EH207" s="1099"/>
      <c r="EI207" s="1098"/>
      <c r="EJ207" s="1098"/>
      <c r="EK207" s="1098"/>
      <c r="EL207" s="1098"/>
      <c r="EM207" s="1098"/>
      <c r="EN207" s="1098"/>
      <c r="EO207" s="1098"/>
      <c r="EP207" s="1098"/>
      <c r="EQ207" s="1098"/>
      <c r="ER207" s="1098"/>
      <c r="ES207" s="1098"/>
      <c r="ET207" s="1098"/>
      <c r="EU207" s="1098"/>
      <c r="EV207" s="1098"/>
      <c r="EW207" s="1098"/>
      <c r="EX207" s="1098"/>
      <c r="EY207" s="1098"/>
      <c r="EZ207" s="1098"/>
      <c r="FA207" s="1098"/>
      <c r="FB207" s="1098"/>
      <c r="FC207" s="1098"/>
      <c r="FD207" s="1098"/>
      <c r="FE207" s="1098"/>
      <c r="FF207" s="1098"/>
      <c r="FG207" s="1098"/>
      <c r="FH207" s="1098"/>
      <c r="FI207" s="1098"/>
      <c r="FJ207" s="1098"/>
      <c r="FK207" s="1098"/>
      <c r="FL207" s="1098"/>
      <c r="FM207" s="1098"/>
      <c r="FN207" s="1098"/>
      <c r="FO207" s="1098"/>
      <c r="FP207" s="1098"/>
      <c r="FQ207" s="1098"/>
      <c r="FR207" s="1098"/>
      <c r="FS207" s="1098"/>
      <c r="FT207" s="1098"/>
      <c r="FU207" s="1098"/>
      <c r="FV207" s="1098"/>
      <c r="FW207" s="1098"/>
      <c r="FX207" s="1098"/>
      <c r="FY207" s="1098"/>
      <c r="FZ207" s="1098"/>
      <c r="GA207" s="1098"/>
      <c r="GB207" s="1098"/>
      <c r="GC207" s="1098"/>
      <c r="GD207" s="1098"/>
      <c r="GE207" s="1098"/>
      <c r="GF207" s="1098"/>
      <c r="GG207" s="1098"/>
      <c r="GH207" s="1098"/>
      <c r="GI207" s="1098"/>
      <c r="GJ207" s="1098"/>
      <c r="GK207" s="1098"/>
      <c r="GL207" s="1099"/>
      <c r="GM207" s="1099"/>
      <c r="GN207" s="1099"/>
      <c r="GO207" s="1099"/>
      <c r="GP207" s="1099"/>
      <c r="GQ207" s="1099"/>
      <c r="GR207" s="1099"/>
      <c r="GS207" s="1099"/>
      <c r="GT207" s="1099"/>
      <c r="GU207" s="1099"/>
      <c r="GV207" s="1099"/>
      <c r="GW207" s="1099"/>
      <c r="GX207" s="1099"/>
      <c r="GY207" s="1099"/>
      <c r="GZ207" s="1099"/>
      <c r="HA207" s="1099"/>
      <c r="HB207" s="1099"/>
      <c r="HC207" s="1099"/>
      <c r="HD207" s="1099"/>
      <c r="HE207" s="1099"/>
      <c r="HF207" s="1099"/>
      <c r="HG207" s="1099"/>
      <c r="HH207" s="1099"/>
      <c r="HI207" s="1099"/>
      <c r="HJ207" s="1099"/>
      <c r="HK207" s="1099"/>
      <c r="HL207" s="1099"/>
      <c r="HM207" s="1099"/>
      <c r="HN207" s="1099"/>
      <c r="HO207" s="1099"/>
      <c r="HP207" s="1296" t="str">
        <f>IF('School Profile'!$D$12="Hindi","मुख्य परीक्षा परिणाम - 2023","Main Exam Result - 2023")</f>
        <v>मुख्य परीक्षा परिणाम - 2023</v>
      </c>
      <c r="HQ207" s="1297"/>
      <c r="HR207" s="1297"/>
      <c r="HS207" s="1297"/>
      <c r="HT207" s="1297"/>
      <c r="HU207" s="1297"/>
      <c r="HV207" s="1297"/>
      <c r="HW207" s="1298"/>
      <c r="HX207" s="586"/>
      <c r="HY207" s="1239" t="str">
        <f>IF('School Profile'!$D$12="Hindi","पूरक परीक्षा के पश्चात् अंतिम परिणाम- 2023","Final Result after Supplementary Exam Result 2023")</f>
        <v>पूरक परीक्षा के पश्चात् अंतिम परिणाम- 2023</v>
      </c>
      <c r="HZ207" s="1240"/>
      <c r="IA207" s="1240"/>
      <c r="IB207" s="1240"/>
      <c r="IC207" s="1241"/>
      <c r="IS207" s="109" t="str">
        <f>IF('Supp. Result Entry'!T205="","",'Supp. Result Entry'!$T$4)</f>
        <v/>
      </c>
      <c r="IT207" s="110" t="str">
        <f>IF('Supp. Result Entry'!W205="","",'Supp. Result Entry'!$W$4)</f>
        <v/>
      </c>
      <c r="IU207" s="110" t="str">
        <f>IF('Supp. Result Entry'!Z205="","",'Supp. Result Entry'!$Z$4)</f>
        <v/>
      </c>
      <c r="IV207" s="110" t="str">
        <f>IF('Supp. Result Entry'!AC205="","",'Supp. Result Entry'!$AC$4)</f>
        <v/>
      </c>
      <c r="IW207" s="110" t="str">
        <f>IF('Supp. Result Entry'!AF205="","",'Supp. Result Entry'!$AF$4)</f>
        <v/>
      </c>
      <c r="IX207" s="110" t="str">
        <f>IF('Supp. Result Entry'!AI205="","",'Supp. Result Entry'!$AI$4)</f>
        <v/>
      </c>
      <c r="IY207" s="110" t="str">
        <f>IF('Supp. Result Entry'!AI205="","",'Supp. Result Entry'!$AL$4)</f>
        <v/>
      </c>
      <c r="IZ207" s="110" t="str">
        <f>IF('Supp. Result Entry'!U205="","",'Supp. Result Entry'!U205)</f>
        <v/>
      </c>
      <c r="JA207" s="110" t="str">
        <f>IF('Supp. Result Entry'!X205="","",'Supp. Result Entry'!X205)</f>
        <v/>
      </c>
      <c r="JB207" s="110" t="str">
        <f>IF('Supp. Result Entry'!AA205="","",'Supp. Result Entry'!AA205)</f>
        <v/>
      </c>
      <c r="JC207" s="110" t="str">
        <f>IF('Supp. Result Entry'!AD205="","",'Supp. Result Entry'!AD205)</f>
        <v/>
      </c>
      <c r="JD207" s="110" t="str">
        <f>IF('Supp. Result Entry'!AG205="","",'Supp. Result Entry'!AG205)</f>
        <v/>
      </c>
      <c r="JE207" s="110" t="str">
        <f>IF('Supp. Result Entry'!AJ205="","",'Supp. Result Entry'!AJ205)</f>
        <v/>
      </c>
      <c r="JF207" s="110" t="str">
        <f>IF('Supp. Result Entry'!AM205="","",'Supp. Result Entry'!AM205)</f>
        <v/>
      </c>
      <c r="JG207" s="110" t="str">
        <f>IF('Supp. Result Entry'!V205="","",'Supp. Result Entry'!V205)</f>
        <v/>
      </c>
      <c r="JH207" s="110" t="str">
        <f>IF('Supp. Result Entry'!Y205="","",'Supp. Result Entry'!Y205)</f>
        <v/>
      </c>
      <c r="JI207" s="110" t="str">
        <f>IF('Supp. Result Entry'!AB205="","",'Supp. Result Entry'!AB205)</f>
        <v/>
      </c>
      <c r="JJ207" s="110" t="str">
        <f>IF('Supp. Result Entry'!AE205="","",'Supp. Result Entry'!AE205)</f>
        <v/>
      </c>
      <c r="JK207" s="110" t="str">
        <f>IF('Supp. Result Entry'!AH205="","",'Supp. Result Entry'!AH205)</f>
        <v/>
      </c>
      <c r="JL207" s="110" t="str">
        <f>IF('Supp. Result Entry'!AK205="","",'Supp. Result Entry'!AK205)</f>
        <v/>
      </c>
      <c r="JM207" s="110" t="str">
        <f>IF('Supp. Result Entry'!AN205="","",'Supp. Result Entry'!AN205)</f>
        <v/>
      </c>
      <c r="JN207" s="110">
        <f>COUNTIF('Supp. Result Entry'!K205:Q205,"S")</f>
        <v>0</v>
      </c>
      <c r="JO207" s="110">
        <f t="shared" si="584"/>
        <v>0</v>
      </c>
      <c r="JP207" s="110">
        <f t="shared" si="661"/>
        <v>0</v>
      </c>
      <c r="JQ207" s="110" t="str">
        <f t="shared" si="585"/>
        <v/>
      </c>
      <c r="JR207" s="110" t="str">
        <f t="shared" si="586"/>
        <v/>
      </c>
      <c r="JS207" s="110" t="str">
        <f t="shared" si="587"/>
        <v/>
      </c>
      <c r="JT207" s="110" t="str">
        <f t="shared" si="588"/>
        <v/>
      </c>
      <c r="JU207" s="110" t="str">
        <f t="shared" si="589"/>
        <v/>
      </c>
      <c r="JV207" s="110" t="str">
        <f t="shared" si="590"/>
        <v/>
      </c>
      <c r="JW207" s="110" t="str">
        <f t="shared" si="591"/>
        <v/>
      </c>
      <c r="JX207" s="110" t="str">
        <f t="shared" si="662"/>
        <v/>
      </c>
      <c r="JY207" s="110" t="str">
        <f t="shared" si="663"/>
        <v/>
      </c>
      <c r="JZ207" s="110" t="str">
        <f t="shared" si="592"/>
        <v/>
      </c>
      <c r="KA207" s="108" t="str">
        <f t="shared" si="664"/>
        <v/>
      </c>
    </row>
    <row r="208" spans="1:287" s="117" customFormat="1" ht="24" customHeight="1">
      <c r="A208" s="1100" t="str">
        <f>IF('School Profile'!D12="Hindi","विषयवार सांख्यिकी सूचना","Subject-Wise Result Statistics")</f>
        <v>विषयवार सांख्यिकी सूचना</v>
      </c>
      <c r="B208" s="1101"/>
      <c r="C208" s="1101"/>
      <c r="D208" s="1101"/>
      <c r="E208" s="1101"/>
      <c r="F208" s="1102"/>
      <c r="G208" s="1109" t="str">
        <f>IF('School Profile'!$D$12="Hindi","विषय का नाम :","Subject Name :")</f>
        <v>विषय का नाम :</v>
      </c>
      <c r="H208" s="1109"/>
      <c r="I208" s="1132" t="s">
        <v>41</v>
      </c>
      <c r="J208" s="1132"/>
      <c r="K208" s="1131" t="str">
        <f>K3</f>
        <v>हिंदी</v>
      </c>
      <c r="L208" s="1131"/>
      <c r="M208" s="1131"/>
      <c r="N208" s="1131"/>
      <c r="O208" s="1131"/>
      <c r="P208" s="1131"/>
      <c r="Q208" s="1131"/>
      <c r="R208" s="1131"/>
      <c r="S208" s="1131"/>
      <c r="T208" s="1131"/>
      <c r="U208" s="1131"/>
      <c r="V208" s="1131"/>
      <c r="W208" s="1131"/>
      <c r="X208" s="1131"/>
      <c r="Y208" s="1131" t="str">
        <f>Y3</f>
        <v>अंग्रेजी</v>
      </c>
      <c r="Z208" s="1131"/>
      <c r="AA208" s="1131"/>
      <c r="AB208" s="1131"/>
      <c r="AC208" s="1131"/>
      <c r="AD208" s="1131"/>
      <c r="AE208" s="1131"/>
      <c r="AF208" s="1131"/>
      <c r="AG208" s="1131"/>
      <c r="AH208" s="1131"/>
      <c r="AI208" s="1131"/>
      <c r="AJ208" s="1131"/>
      <c r="AK208" s="1131"/>
      <c r="AL208" s="1131"/>
      <c r="AM208" s="1133" t="str">
        <f>AM3</f>
        <v>संस्कृत (71)</v>
      </c>
      <c r="AN208" s="1134"/>
      <c r="AO208" s="1134"/>
      <c r="AP208" s="1134"/>
      <c r="AQ208" s="1135"/>
      <c r="AR208" s="1133" t="str">
        <f>AN3</f>
        <v xml:space="preserve">उर्दू (72) </v>
      </c>
      <c r="AS208" s="1134"/>
      <c r="AT208" s="1134"/>
      <c r="AU208" s="1134"/>
      <c r="AV208" s="1134"/>
      <c r="AW208" s="1134"/>
      <c r="AX208" s="1134"/>
      <c r="AY208" s="1134"/>
      <c r="AZ208" s="1134"/>
      <c r="BA208" s="1134"/>
      <c r="BB208" s="1135"/>
      <c r="BC208" s="1142" t="str">
        <f>AQ3</f>
        <v>गुजराती (73)</v>
      </c>
      <c r="BD208" s="1142"/>
      <c r="BE208" s="1142"/>
      <c r="BF208" s="1142"/>
      <c r="BG208" s="1142"/>
      <c r="BH208" s="1142" t="str">
        <f>AS3</f>
        <v xml:space="preserve">सिंधी (74) </v>
      </c>
      <c r="BI208" s="1142"/>
      <c r="BJ208" s="1142"/>
      <c r="BK208" s="1142"/>
      <c r="BL208" s="1142"/>
      <c r="BM208" s="1142"/>
      <c r="BN208" s="1142"/>
      <c r="BO208" s="1142"/>
      <c r="BP208" s="1142"/>
      <c r="BQ208" s="1142"/>
      <c r="BR208" s="1142"/>
      <c r="BS208" s="1142" t="str">
        <f>AV3</f>
        <v>पंजाबी (75)</v>
      </c>
      <c r="BT208" s="1142"/>
      <c r="BU208" s="1142"/>
      <c r="BV208" s="1142"/>
      <c r="BW208" s="1142"/>
      <c r="BX208" s="112"/>
      <c r="BY208" s="113"/>
      <c r="BZ208" s="376"/>
      <c r="CA208" s="377"/>
      <c r="CB208" s="377"/>
      <c r="CC208" s="378"/>
      <c r="CD208" s="373"/>
      <c r="CE208" s="1142" t="str">
        <f>BB3</f>
        <v>गणित</v>
      </c>
      <c r="CF208" s="1142"/>
      <c r="CG208" s="1142"/>
      <c r="CH208" s="1142"/>
      <c r="CI208" s="1142"/>
      <c r="CJ208" s="1142" t="str">
        <f>BP3</f>
        <v>विज्ञान</v>
      </c>
      <c r="CK208" s="1142"/>
      <c r="CL208" s="1142"/>
      <c r="CM208" s="1142"/>
      <c r="CN208" s="1142"/>
      <c r="CO208" s="1142"/>
      <c r="CP208" s="1142"/>
      <c r="CQ208" s="1142"/>
      <c r="CR208" s="1142"/>
      <c r="CS208" s="1142"/>
      <c r="CT208" s="1142"/>
      <c r="CU208" s="1142" t="str">
        <f>CE3</f>
        <v>सामाजिक विज्ञान</v>
      </c>
      <c r="CV208" s="1142"/>
      <c r="CW208" s="1142"/>
      <c r="CX208" s="1142"/>
      <c r="CY208" s="1142"/>
      <c r="CZ208" s="1133" t="str">
        <f>IF('School Profile'!$D$20="NO","",CS3)</f>
        <v>व्यावसायिक शिक्षा विषय</v>
      </c>
      <c r="DA208" s="1134"/>
      <c r="DB208" s="1134"/>
      <c r="DC208" s="1134"/>
      <c r="DD208" s="1134"/>
      <c r="DE208" s="1135"/>
      <c r="DF208" s="377"/>
      <c r="DG208" s="378"/>
      <c r="DH208" s="114"/>
      <c r="DI208" s="114"/>
      <c r="DJ208" s="114"/>
      <c r="DK208" s="114"/>
      <c r="DL208" s="115"/>
      <c r="DM208" s="115"/>
      <c r="DN208" s="115"/>
      <c r="DO208" s="115"/>
      <c r="DP208" s="115"/>
      <c r="DQ208" s="115"/>
      <c r="DR208" s="115"/>
      <c r="DS208" s="115"/>
      <c r="DT208" s="115"/>
      <c r="DU208" s="115"/>
      <c r="DV208" s="115"/>
      <c r="DW208" s="115"/>
      <c r="DX208" s="115"/>
      <c r="DY208" s="115"/>
      <c r="DZ208" s="1255" t="str">
        <f>DZ3</f>
        <v>राजस्थान का स्वंत्रता आन्दोलन व शोर्य परम्परा</v>
      </c>
      <c r="EA208" s="1256"/>
      <c r="EB208" s="1256"/>
      <c r="EC208" s="1256"/>
      <c r="ED208" s="1256"/>
      <c r="EE208" s="1256"/>
      <c r="EF208" s="1257"/>
      <c r="EG208" s="1261"/>
      <c r="EH208" s="1262"/>
      <c r="EI208" s="364"/>
      <c r="EJ208" s="364"/>
      <c r="EK208" s="364"/>
      <c r="EL208" s="1282" t="str">
        <f>EL3</f>
        <v>सूचना प्रोद्योगिकी की अवधारणा - I</v>
      </c>
      <c r="EM208" s="1282"/>
      <c r="EN208" s="1282"/>
      <c r="EO208" s="1282"/>
      <c r="EP208" s="1282"/>
      <c r="EQ208" s="1282"/>
      <c r="ER208" s="1282"/>
      <c r="ES208" s="1275"/>
      <c r="ET208" s="1276"/>
      <c r="EU208" s="1276"/>
      <c r="EV208" s="1276"/>
      <c r="EW208" s="1276"/>
      <c r="EX208" s="1276"/>
      <c r="EY208" s="364"/>
      <c r="EZ208" s="364"/>
      <c r="FA208" s="364"/>
      <c r="FB208" s="1282" t="str">
        <f>FB3</f>
        <v>स्वा. एवं शा. शिक्षा</v>
      </c>
      <c r="FC208" s="1282"/>
      <c r="FD208" s="1282"/>
      <c r="FE208" s="1282"/>
      <c r="FF208" s="1282"/>
      <c r="FG208" s="1282"/>
      <c r="FH208" s="1282"/>
      <c r="FI208" s="567"/>
      <c r="FJ208" s="1282" t="str">
        <f>FU3</f>
        <v>समाजोपयोगी उत्पादन कार्य एवं समाज सेवा</v>
      </c>
      <c r="FK208" s="1282"/>
      <c r="FL208" s="1282"/>
      <c r="FM208" s="1282"/>
      <c r="FN208" s="1282"/>
      <c r="FO208" s="1282"/>
      <c r="FP208" s="1282"/>
      <c r="FQ208" s="568"/>
      <c r="FR208" s="364"/>
      <c r="FS208" s="364"/>
      <c r="FT208" s="364"/>
      <c r="FU208" s="1282" t="str">
        <f>GC3</f>
        <v>कला शिक्षा</v>
      </c>
      <c r="FV208" s="1282"/>
      <c r="FW208" s="1282"/>
      <c r="FX208" s="1282"/>
      <c r="FY208" s="1282"/>
      <c r="FZ208" s="1282"/>
      <c r="GA208" s="1282"/>
      <c r="GB208" s="1282"/>
      <c r="GC208" s="1282"/>
      <c r="GD208" s="1282"/>
      <c r="GE208" s="1276"/>
      <c r="GF208" s="1276"/>
      <c r="GG208" s="1276"/>
      <c r="GH208" s="364"/>
      <c r="GI208" s="364"/>
      <c r="GJ208" s="364"/>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200" t="str">
        <f>IF('School Profile'!$D$12="Hindi","परिणाम घोषित दिनांक","Date of result declaration")</f>
        <v>परिणाम घोषित दिनांक</v>
      </c>
      <c r="HQ208" s="1201"/>
      <c r="HR208" s="585">
        <f>IF('School Profile'!D11="","",'School Profile'!D11)</f>
        <v>45793</v>
      </c>
      <c r="HS208" s="1235" t="str">
        <f>IF('School Profile'!$D$12="Hindi","कुल प्रविष्ट","Total appeared")</f>
        <v>कुल प्रविष्ट</v>
      </c>
      <c r="HT208" s="1235"/>
      <c r="HU208" s="1235"/>
      <c r="HV208" s="1304">
        <f>COUNTA(HS7:HS206)-COUNTIF(HS7:HS206,"0")-COUNTIF(HS7:HS206,"blank")-COUNTIF(HS7:HS206,"")-COUNTIF(HS7:HS206,"NSO")</f>
        <v>31</v>
      </c>
      <c r="HW208" s="1305"/>
      <c r="HX208" s="1299"/>
      <c r="HY208" s="1302" t="str">
        <f>IF('School Profile'!$D$12="Hindi","कुल प्रविष्ट","Total appeared")</f>
        <v>कुल प्रविष्ट</v>
      </c>
      <c r="HZ208" s="1303"/>
      <c r="IA208" s="1303"/>
      <c r="IB208" s="583">
        <f>COUNTA(IB7:IB206)-COUNTIF(IB7:IB206,"0")-COUNTIF(IB7:IB206,"blank")-COUNTIF(IB7:IB206,"")-COUNTIF(IB7:IB206,"NSO")</f>
        <v>1</v>
      </c>
      <c r="IC208" s="598" t="s">
        <v>142</v>
      </c>
      <c r="ID208" s="582"/>
      <c r="IS208" s="109" t="str">
        <f>IF('Supp. Result Entry'!T206="","",'Supp. Result Entry'!$T$4)</f>
        <v/>
      </c>
      <c r="IT208" s="110" t="str">
        <f>IF('Supp. Result Entry'!W206="","",'Supp. Result Entry'!$W$4)</f>
        <v/>
      </c>
      <c r="IU208" s="110" t="str">
        <f>IF('Supp. Result Entry'!Z206="","",'Supp. Result Entry'!$Z$4)</f>
        <v/>
      </c>
      <c r="IV208" s="110" t="str">
        <f>IF('Supp. Result Entry'!AC206="","",'Supp. Result Entry'!$AC$4)</f>
        <v/>
      </c>
      <c r="IW208" s="110" t="str">
        <f>IF('Supp. Result Entry'!AF206="","",'Supp. Result Entry'!$AF$4)</f>
        <v/>
      </c>
      <c r="IX208" s="110" t="str">
        <f>IF('Supp. Result Entry'!AI206="","",'Supp. Result Entry'!$AI$4)</f>
        <v/>
      </c>
      <c r="IY208" s="110" t="str">
        <f>IF('Supp. Result Entry'!AI206="","",'Supp. Result Entry'!$AL$4)</f>
        <v/>
      </c>
      <c r="IZ208" s="110" t="str">
        <f>IF('Supp. Result Entry'!U206="","",'Supp. Result Entry'!U206)</f>
        <v/>
      </c>
      <c r="JA208" s="110" t="str">
        <f>IF('Supp. Result Entry'!X206="","",'Supp. Result Entry'!X206)</f>
        <v/>
      </c>
      <c r="JB208" s="110" t="str">
        <f>IF('Supp. Result Entry'!AA206="","",'Supp. Result Entry'!AA206)</f>
        <v/>
      </c>
      <c r="JC208" s="110" t="str">
        <f>IF('Supp. Result Entry'!AD206="","",'Supp. Result Entry'!AD206)</f>
        <v/>
      </c>
      <c r="JD208" s="110" t="str">
        <f>IF('Supp. Result Entry'!AG206="","",'Supp. Result Entry'!AG206)</f>
        <v/>
      </c>
      <c r="JE208" s="110" t="str">
        <f>IF('Supp. Result Entry'!AJ206="","",'Supp. Result Entry'!AJ206)</f>
        <v/>
      </c>
      <c r="JF208" s="110" t="str">
        <f>IF('Supp. Result Entry'!AM206="","",'Supp. Result Entry'!AM206)</f>
        <v/>
      </c>
      <c r="JG208" s="110" t="str">
        <f>IF('Supp. Result Entry'!V206="","",'Supp. Result Entry'!V206)</f>
        <v/>
      </c>
      <c r="JH208" s="110" t="str">
        <f>IF('Supp. Result Entry'!Y206="","",'Supp. Result Entry'!Y206)</f>
        <v/>
      </c>
      <c r="JI208" s="110" t="str">
        <f>IF('Supp. Result Entry'!AB206="","",'Supp. Result Entry'!AB206)</f>
        <v/>
      </c>
      <c r="JJ208" s="110" t="str">
        <f>IF('Supp. Result Entry'!AE206="","",'Supp. Result Entry'!AE206)</f>
        <v/>
      </c>
      <c r="JK208" s="110" t="str">
        <f>IF('Supp. Result Entry'!AH206="","",'Supp. Result Entry'!AH206)</f>
        <v/>
      </c>
      <c r="JL208" s="110" t="str">
        <f>IF('Supp. Result Entry'!AK206="","",'Supp. Result Entry'!AK206)</f>
        <v/>
      </c>
      <c r="JM208" s="110" t="str">
        <f>IF('Supp. Result Entry'!AN206="","",'Supp. Result Entry'!AN206)</f>
        <v/>
      </c>
      <c r="JN208" s="110">
        <f>COUNTIF('Supp. Result Entry'!K206:Q206,"S")</f>
        <v>0</v>
      </c>
      <c r="JO208" s="110">
        <f t="shared" si="584"/>
        <v>0</v>
      </c>
      <c r="JP208" s="110">
        <f t="shared" si="661"/>
        <v>0</v>
      </c>
      <c r="JQ208" s="110" t="str">
        <f t="shared" si="585"/>
        <v/>
      </c>
      <c r="JR208" s="110" t="str">
        <f t="shared" si="586"/>
        <v/>
      </c>
      <c r="JS208" s="110" t="str">
        <f t="shared" si="587"/>
        <v/>
      </c>
      <c r="JT208" s="110" t="str">
        <f t="shared" si="588"/>
        <v/>
      </c>
      <c r="JU208" s="110" t="str">
        <f t="shared" si="589"/>
        <v/>
      </c>
      <c r="JV208" s="110" t="str">
        <f t="shared" si="590"/>
        <v/>
      </c>
      <c r="JW208" s="110" t="str">
        <f t="shared" si="591"/>
        <v/>
      </c>
      <c r="JX208" s="110" t="str">
        <f t="shared" si="662"/>
        <v/>
      </c>
      <c r="JY208" s="110" t="str">
        <f t="shared" si="663"/>
        <v/>
      </c>
      <c r="JZ208" s="110" t="str">
        <f t="shared" si="592"/>
        <v/>
      </c>
      <c r="KA208" s="108" t="str">
        <f t="shared" si="664"/>
        <v/>
      </c>
    </row>
    <row r="209" spans="1:287" s="122" customFormat="1" ht="24.75" customHeight="1">
      <c r="A209" s="1103"/>
      <c r="B209" s="1104"/>
      <c r="C209" s="1104"/>
      <c r="D209" s="1104"/>
      <c r="E209" s="1104"/>
      <c r="F209" s="1105"/>
      <c r="G209" s="1109" t="str">
        <f>IF('School Profile'!$D$12="Hindi","विषयाध्यापक का नाम :","Name Of Subject Teacher :")</f>
        <v>विषयाध्यापक का नाम :</v>
      </c>
      <c r="H209" s="1109"/>
      <c r="I209" s="1132" t="s">
        <v>41</v>
      </c>
      <c r="J209" s="1132"/>
      <c r="K209" s="1131" t="str">
        <f>IFERROR(IF('Marks Entry'!L3="","",UPPER('Marks Entry'!L3)),"")</f>
        <v>RADHESHYAM</v>
      </c>
      <c r="L209" s="1131"/>
      <c r="M209" s="1131"/>
      <c r="N209" s="1131"/>
      <c r="O209" s="1131"/>
      <c r="P209" s="1131"/>
      <c r="Q209" s="1131"/>
      <c r="R209" s="1131"/>
      <c r="S209" s="1131"/>
      <c r="T209" s="1131"/>
      <c r="U209" s="1131"/>
      <c r="V209" s="1131"/>
      <c r="W209" s="1131"/>
      <c r="X209" s="1131"/>
      <c r="Y209" s="1131" t="str">
        <f>IFERROR(IF('Marks Entry'!Q3="","",UPPER('Marks Entry'!Q3)),"")</f>
        <v>HEERALAL JAT</v>
      </c>
      <c r="Z209" s="1131"/>
      <c r="AA209" s="1131"/>
      <c r="AB209" s="1131"/>
      <c r="AC209" s="1131"/>
      <c r="AD209" s="1131"/>
      <c r="AE209" s="1131"/>
      <c r="AF209" s="1131"/>
      <c r="AG209" s="1131"/>
      <c r="AH209" s="1131"/>
      <c r="AI209" s="1131"/>
      <c r="AJ209" s="1131"/>
      <c r="AK209" s="1131"/>
      <c r="AL209" s="1131"/>
      <c r="AM209" s="1136" t="str">
        <f>IFERROR(IF(AM208="","",VLOOKUP(AM208,'School Profile'!$I$9:$J$14,2,0)),"")</f>
        <v>Suresh kumar Singariya</v>
      </c>
      <c r="AN209" s="1137"/>
      <c r="AO209" s="1137"/>
      <c r="AP209" s="1137"/>
      <c r="AQ209" s="1138"/>
      <c r="AR209" s="1136">
        <f>IFERROR(IF(AR208="","",VLOOKUP(AR208,'School Profile'!$I$9:$J$14,2,0)),"")</f>
        <v>0</v>
      </c>
      <c r="AS209" s="1137"/>
      <c r="AT209" s="1137"/>
      <c r="AU209" s="1137"/>
      <c r="AV209" s="1137"/>
      <c r="AW209" s="1137"/>
      <c r="AX209" s="1137"/>
      <c r="AY209" s="1137"/>
      <c r="AZ209" s="1137"/>
      <c r="BA209" s="1137"/>
      <c r="BB209" s="1138"/>
      <c r="BC209" s="1148">
        <f>IFERROR(IF(BC208="","",VLOOKUP(BC208,'School Profile'!$I$9:$J$14,2,0)),"")</f>
        <v>0</v>
      </c>
      <c r="BD209" s="1148"/>
      <c r="BE209" s="1148"/>
      <c r="BF209" s="1148"/>
      <c r="BG209" s="1148"/>
      <c r="BH209" s="1148">
        <f>IFERROR(IF(BH208="","",VLOOKUP(BH208,'School Profile'!$I$9:$J$14,2,0)),"")</f>
        <v>0</v>
      </c>
      <c r="BI209" s="1148"/>
      <c r="BJ209" s="1148"/>
      <c r="BK209" s="1148"/>
      <c r="BL209" s="1148"/>
      <c r="BM209" s="1148"/>
      <c r="BN209" s="1148"/>
      <c r="BO209" s="1148"/>
      <c r="BP209" s="1148"/>
      <c r="BQ209" s="1148"/>
      <c r="BR209" s="1148"/>
      <c r="BS209" s="1142">
        <f>IFERROR(IF(BS208="","",VLOOKUP(BS208,'School Profile'!$I$9:$J$14,2,0)),"")</f>
        <v>0</v>
      </c>
      <c r="BT209" s="1142"/>
      <c r="BU209" s="1142"/>
      <c r="BV209" s="1142"/>
      <c r="BW209" s="1142"/>
      <c r="BX209" s="118"/>
      <c r="BY209" s="119"/>
      <c r="BZ209" s="375"/>
      <c r="CA209" s="375"/>
      <c r="CB209" s="375"/>
      <c r="CC209" s="120"/>
      <c r="CD209" s="375"/>
      <c r="CE209" s="1148" t="str">
        <f>IFERROR(IF(CE208="","",IF('School Profile'!J15="","",'School Profile'!J15)),"")</f>
        <v>Yogendra</v>
      </c>
      <c r="CF209" s="1148"/>
      <c r="CG209" s="1148"/>
      <c r="CH209" s="1148"/>
      <c r="CI209" s="1148"/>
      <c r="CJ209" s="1148" t="str">
        <f>IFERROR(IF(CJ208="","",IF('School Profile'!J16="","",'School Profile'!J16)),"")</f>
        <v>Rakesh kumar Sharma</v>
      </c>
      <c r="CK209" s="1148"/>
      <c r="CL209" s="1148"/>
      <c r="CM209" s="1148"/>
      <c r="CN209" s="1148"/>
      <c r="CO209" s="1148"/>
      <c r="CP209" s="1148"/>
      <c r="CQ209" s="1148"/>
      <c r="CR209" s="1148"/>
      <c r="CS209" s="1148"/>
      <c r="CT209" s="1148"/>
      <c r="CU209" s="1148" t="str">
        <f>IFERROR(IF(CU208="","",IF('School Profile'!J17="","",'School Profile'!J17)),"")</f>
        <v>Sharad Sharma</v>
      </c>
      <c r="CV209" s="1148"/>
      <c r="CW209" s="1148"/>
      <c r="CX209" s="1148"/>
      <c r="CY209" s="1148"/>
      <c r="CZ209" s="1136" t="str">
        <f>IFERROR(IF('School Profile'!$D$20="NO","",IF(CZ208="","",IF('Marks Entry'!AQ2="","",'Marks Entry'!AQ2))),"")</f>
        <v>Pravin kumar</v>
      </c>
      <c r="DA209" s="1137"/>
      <c r="DB209" s="1137"/>
      <c r="DC209" s="1137"/>
      <c r="DD209" s="1137"/>
      <c r="DE209" s="1138"/>
      <c r="DF209" s="379"/>
      <c r="DG209" s="380"/>
      <c r="DH209" s="115"/>
      <c r="DI209" s="115"/>
      <c r="DJ209" s="115"/>
      <c r="DK209" s="115"/>
      <c r="DL209" s="115"/>
      <c r="DM209" s="115"/>
      <c r="DN209" s="115"/>
      <c r="DO209" s="115"/>
      <c r="DP209" s="115"/>
      <c r="DQ209" s="115"/>
      <c r="DR209" s="115"/>
      <c r="DS209" s="115"/>
      <c r="DT209" s="115"/>
      <c r="DU209" s="115"/>
      <c r="DV209" s="115"/>
      <c r="DW209" s="115"/>
      <c r="DX209" s="115"/>
      <c r="DY209" s="115"/>
      <c r="DZ209" s="1258" t="str">
        <f>IFERROR(IF('School Profile'!J18="","",'School Profile'!J18),"")</f>
        <v>Lalit Kumar</v>
      </c>
      <c r="EA209" s="1259"/>
      <c r="EB209" s="1259"/>
      <c r="EC209" s="1259"/>
      <c r="ED209" s="1259"/>
      <c r="EE209" s="1259"/>
      <c r="EF209" s="1260"/>
      <c r="EG209" s="1263"/>
      <c r="EH209" s="1264"/>
      <c r="EI209" s="365"/>
      <c r="EJ209" s="365"/>
      <c r="EK209" s="365"/>
      <c r="EL209" s="1274" t="str">
        <f>IFERROR(IF('School Profile'!J19="","",'School Profile'!J19),"")</f>
        <v>Ghanshyam Singh</v>
      </c>
      <c r="EM209" s="1274"/>
      <c r="EN209" s="1274"/>
      <c r="EO209" s="1274"/>
      <c r="EP209" s="1274"/>
      <c r="EQ209" s="1274"/>
      <c r="ER209" s="1274"/>
      <c r="ES209" s="1277"/>
      <c r="ET209" s="1278"/>
      <c r="EU209" s="1278"/>
      <c r="EV209" s="1278"/>
      <c r="EW209" s="1278"/>
      <c r="EX209" s="1278"/>
      <c r="EY209" s="365"/>
      <c r="EZ209" s="365"/>
      <c r="FA209" s="365"/>
      <c r="FB209" s="1274" t="str">
        <f>IFERROR(IF('School Profile'!J20="","",'School Profile'!J20),"")</f>
        <v>Lalit Kumar</v>
      </c>
      <c r="FC209" s="1274"/>
      <c r="FD209" s="1274"/>
      <c r="FE209" s="1274"/>
      <c r="FF209" s="1274"/>
      <c r="FG209" s="1274"/>
      <c r="FH209" s="1274"/>
      <c r="FI209" s="569"/>
      <c r="FJ209" s="1274" t="str">
        <f>IFERROR(IF('School Profile'!J21="","",'School Profile'!J21),"")</f>
        <v>Mukesh Kumar</v>
      </c>
      <c r="FK209" s="1274"/>
      <c r="FL209" s="1274"/>
      <c r="FM209" s="1274"/>
      <c r="FN209" s="1274"/>
      <c r="FO209" s="1274"/>
      <c r="FP209" s="1274"/>
      <c r="FQ209" s="570"/>
      <c r="FR209" s="365"/>
      <c r="FS209" s="365"/>
      <c r="FT209" s="365"/>
      <c r="FU209" s="1274" t="str">
        <f>IFERROR(IF('School Profile'!J22="","",'School Profile'!J22),"")</f>
        <v>Sharda Choudhary</v>
      </c>
      <c r="FV209" s="1274"/>
      <c r="FW209" s="1274"/>
      <c r="FX209" s="1274"/>
      <c r="FY209" s="1274"/>
      <c r="FZ209" s="1274"/>
      <c r="GA209" s="1274"/>
      <c r="GB209" s="1274"/>
      <c r="GC209" s="1274"/>
      <c r="GD209" s="1274"/>
      <c r="GE209" s="1278"/>
      <c r="GF209" s="1278"/>
      <c r="GG209" s="1278"/>
      <c r="GH209" s="365"/>
      <c r="GI209" s="365"/>
      <c r="GJ209" s="365"/>
      <c r="GK209" s="121"/>
      <c r="GL209" s="121"/>
      <c r="GM209" s="121"/>
      <c r="GN209" s="121"/>
      <c r="GO209" s="121"/>
      <c r="GP209" s="121"/>
      <c r="GQ209" s="121"/>
      <c r="GR209" s="121"/>
      <c r="GS209" s="121"/>
      <c r="GT209" s="121"/>
      <c r="GU209" s="121"/>
      <c r="GV209" s="121"/>
      <c r="GW209" s="121"/>
      <c r="GX209" s="121"/>
      <c r="GY209" s="121"/>
      <c r="GZ209" s="121"/>
      <c r="HA209" s="121"/>
      <c r="HB209" s="121"/>
      <c r="HC209" s="121"/>
      <c r="HD209" s="121"/>
      <c r="HE209" s="121"/>
      <c r="HF209" s="121"/>
      <c r="HG209" s="121"/>
      <c r="HH209" s="121"/>
      <c r="HI209" s="121"/>
      <c r="HJ209" s="121"/>
      <c r="HK209" s="121"/>
      <c r="HL209" s="121"/>
      <c r="HM209" s="121"/>
      <c r="HN209" s="121"/>
      <c r="HO209" s="121"/>
      <c r="HP209" s="1198" t="str">
        <f>IF('School Profile'!$D$12="Hindi","परिणाम तैयारकर्ता","Signature of the maker")</f>
        <v>परिणाम तैयारकर्ता</v>
      </c>
      <c r="HQ209" s="1199"/>
      <c r="HR209" s="1218" t="str">
        <f>CONCATENATE("( ",UPPER('School Profile'!D17)," )")</f>
        <v>( SURESH KUMAR )</v>
      </c>
      <c r="HS209" s="1080" t="str">
        <f>IF('School Profile'!$D$12="Hindi","प्रथम श्रेणी","1st Div.")</f>
        <v>प्रथम श्रेणी</v>
      </c>
      <c r="HT209" s="1080"/>
      <c r="HU209" s="1080"/>
      <c r="HV209" s="1128">
        <f>COUNTIF(HV7:HV206,"1st")</f>
        <v>23</v>
      </c>
      <c r="HW209" s="1129"/>
      <c r="HX209" s="1300"/>
      <c r="HY209" s="1237" t="str">
        <f>IF('School Profile'!$D$12="Hindi","प्रथम श्रेणी","1st Div.")</f>
        <v>प्रथम श्रेणी</v>
      </c>
      <c r="HZ209" s="1080"/>
      <c r="IA209" s="1080"/>
      <c r="IB209" s="550">
        <f>COUNTIF(IA7:IA206,"I")</f>
        <v>1</v>
      </c>
      <c r="IC209" s="601">
        <f>SUM(HV209,IB209)</f>
        <v>24</v>
      </c>
      <c r="IS209" s="109" t="str">
        <f>IF('Supp. Result Entry'!T207="","",'Supp. Result Entry'!$T$4)</f>
        <v/>
      </c>
      <c r="IT209" s="110" t="str">
        <f>IF('Supp. Result Entry'!W207="","",'Supp. Result Entry'!$W$4)</f>
        <v/>
      </c>
      <c r="IU209" s="110" t="str">
        <f>IF('Supp. Result Entry'!Z207="","",'Supp. Result Entry'!$Z$4)</f>
        <v/>
      </c>
      <c r="IV209" s="110" t="str">
        <f>IF('Supp. Result Entry'!AC207="","",'Supp. Result Entry'!$AC$4)</f>
        <v/>
      </c>
      <c r="IW209" s="110" t="str">
        <f>IF('Supp. Result Entry'!AF207="","",'Supp. Result Entry'!$AF$4)</f>
        <v/>
      </c>
      <c r="IX209" s="110" t="str">
        <f>IF('Supp. Result Entry'!AI207="","",'Supp. Result Entry'!$AI$4)</f>
        <v/>
      </c>
      <c r="IY209" s="110" t="str">
        <f>IF('Supp. Result Entry'!AI207="","",'Supp. Result Entry'!$AL$4)</f>
        <v/>
      </c>
      <c r="IZ209" s="110" t="str">
        <f>IF('Supp. Result Entry'!U207="","",'Supp. Result Entry'!U207)</f>
        <v/>
      </c>
      <c r="JA209" s="110" t="str">
        <f>IF('Supp. Result Entry'!X207="","",'Supp. Result Entry'!X207)</f>
        <v/>
      </c>
      <c r="JB209" s="110" t="str">
        <f>IF('Supp. Result Entry'!AA207="","",'Supp. Result Entry'!AA207)</f>
        <v/>
      </c>
      <c r="JC209" s="110" t="str">
        <f>IF('Supp. Result Entry'!AD207="","",'Supp. Result Entry'!AD207)</f>
        <v/>
      </c>
      <c r="JD209" s="110" t="str">
        <f>IF('Supp. Result Entry'!AG207="","",'Supp. Result Entry'!AG207)</f>
        <v/>
      </c>
      <c r="JE209" s="110" t="str">
        <f>IF('Supp. Result Entry'!AJ207="","",'Supp. Result Entry'!AJ207)</f>
        <v/>
      </c>
      <c r="JF209" s="110" t="str">
        <f>IF('Supp. Result Entry'!AM207="","",'Supp. Result Entry'!AM207)</f>
        <v/>
      </c>
      <c r="JG209" s="110" t="str">
        <f>IF('Supp. Result Entry'!V207="","",'Supp. Result Entry'!V207)</f>
        <v/>
      </c>
      <c r="JH209" s="110" t="str">
        <f>IF('Supp. Result Entry'!Y207="","",'Supp. Result Entry'!Y207)</f>
        <v/>
      </c>
      <c r="JI209" s="110" t="str">
        <f>IF('Supp. Result Entry'!AB207="","",'Supp. Result Entry'!AB207)</f>
        <v/>
      </c>
      <c r="JJ209" s="110" t="str">
        <f>IF('Supp. Result Entry'!AE207="","",'Supp. Result Entry'!AE207)</f>
        <v/>
      </c>
      <c r="JK209" s="110" t="str">
        <f>IF('Supp. Result Entry'!AH207="","",'Supp. Result Entry'!AH207)</f>
        <v/>
      </c>
      <c r="JL209" s="110" t="str">
        <f>IF('Supp. Result Entry'!AK207="","",'Supp. Result Entry'!AK207)</f>
        <v/>
      </c>
      <c r="JM209" s="110" t="str">
        <f>IF('Supp. Result Entry'!AN207="","",'Supp. Result Entry'!AN207)</f>
        <v/>
      </c>
      <c r="JN209" s="110">
        <f>COUNTIF('Supp. Result Entry'!K207:Q207,"S")</f>
        <v>0</v>
      </c>
      <c r="JO209" s="110">
        <f t="shared" si="584"/>
        <v>0</v>
      </c>
      <c r="JP209" s="110">
        <f t="shared" si="661"/>
        <v>0</v>
      </c>
      <c r="JQ209" s="110" t="str">
        <f t="shared" si="585"/>
        <v/>
      </c>
      <c r="JR209" s="110" t="str">
        <f t="shared" si="586"/>
        <v/>
      </c>
      <c r="JS209" s="110" t="str">
        <f t="shared" si="587"/>
        <v/>
      </c>
      <c r="JT209" s="110" t="str">
        <f t="shared" si="588"/>
        <v/>
      </c>
      <c r="JU209" s="110" t="str">
        <f t="shared" si="589"/>
        <v/>
      </c>
      <c r="JV209" s="110" t="str">
        <f t="shared" si="590"/>
        <v/>
      </c>
      <c r="JW209" s="110" t="str">
        <f t="shared" si="591"/>
        <v/>
      </c>
      <c r="JX209" s="110" t="str">
        <f t="shared" si="662"/>
        <v/>
      </c>
      <c r="JY209" s="110" t="str">
        <f t="shared" si="663"/>
        <v/>
      </c>
      <c r="JZ209" s="110" t="str">
        <f t="shared" si="592"/>
        <v/>
      </c>
      <c r="KA209" s="108" t="str">
        <f t="shared" si="664"/>
        <v/>
      </c>
    </row>
    <row r="210" spans="1:287" s="127" customFormat="1" ht="22.5" customHeight="1">
      <c r="A210" s="1103"/>
      <c r="B210" s="1104"/>
      <c r="C210" s="1104"/>
      <c r="D210" s="1104"/>
      <c r="E210" s="1104"/>
      <c r="F210" s="1105"/>
      <c r="G210" s="1109" t="str">
        <f>IF('School Profile'!$D$12="Hindi","परीक्षा में बैठने वाले विद्यार्थियों की संख्या :","No. of students appeared :")</f>
        <v>परीक्षा में बैठने वाले विद्यार्थियों की संख्या :</v>
      </c>
      <c r="H210" s="1109"/>
      <c r="I210" s="1132" t="s">
        <v>41</v>
      </c>
      <c r="J210" s="1132"/>
      <c r="K210" s="1220">
        <f>IF(AND(K208="",K209=""),"",COUNTA(GN7:GN206)-COUNTIF(GN7:GN206,"RE")-COUNTIF(GN7:GN206,"AB")-COUNTIF(GN7:GN206,""))</f>
        <v>30</v>
      </c>
      <c r="L210" s="1220"/>
      <c r="M210" s="1220"/>
      <c r="N210" s="1220"/>
      <c r="O210" s="1220"/>
      <c r="P210" s="1220"/>
      <c r="Q210" s="1220"/>
      <c r="R210" s="1152"/>
      <c r="S210" s="1152"/>
      <c r="T210" s="1152"/>
      <c r="U210" s="1152"/>
      <c r="V210" s="1152"/>
      <c r="W210" s="1152"/>
      <c r="X210" s="1152"/>
      <c r="Y210" s="1152">
        <f>IF(AND(Y208="",Y209=""),"",COUNTA(GQ7:GQ206)-COUNTIF(GQ7:GQ206,"RE")-COUNTIF(GQ7:GQ206,"AB")-COUNTIF(GQ7:GQ206,""))</f>
        <v>31</v>
      </c>
      <c r="Z210" s="1152"/>
      <c r="AA210" s="1152"/>
      <c r="AB210" s="1152"/>
      <c r="AC210" s="1152"/>
      <c r="AD210" s="1152"/>
      <c r="AE210" s="1152"/>
      <c r="AF210" s="1152"/>
      <c r="AG210" s="1152"/>
      <c r="AH210" s="1152"/>
      <c r="AI210" s="1152"/>
      <c r="AJ210" s="1152"/>
      <c r="AK210" s="1152"/>
      <c r="AL210" s="1152"/>
      <c r="AM210" s="1139">
        <f>IF(AND(AM208="",AM209=""),"",COUNTA(GU7:GU206)-COUNTIF(GU7:GU206,"RE")-COUNTIF(GU7:GU206,"AB")-COUNTIF(GU7:GU206,""))</f>
        <v>11</v>
      </c>
      <c r="AN210" s="1140"/>
      <c r="AO210" s="1140"/>
      <c r="AP210" s="1140"/>
      <c r="AQ210" s="1141"/>
      <c r="AR210" s="1139">
        <f>IF(AND(AR208="",AR209=""),"",COUNTA(GV7:GV206)-COUNTIF(GV7:GV206,"RE")-COUNTIF(GV7:GV206,"AB")-COUNTIF(GV7:GV206,""))</f>
        <v>9</v>
      </c>
      <c r="AS210" s="1140"/>
      <c r="AT210" s="1140"/>
      <c r="AU210" s="1140"/>
      <c r="AV210" s="1140"/>
      <c r="AW210" s="1140"/>
      <c r="AX210" s="1140"/>
      <c r="AY210" s="1140"/>
      <c r="AZ210" s="1140"/>
      <c r="BA210" s="1140"/>
      <c r="BB210" s="1141"/>
      <c r="BC210" s="1152">
        <f>IF(AND(BC208="",BC209=""),"",COUNTA(GW7:GW206)-COUNTIF(GW7:GW206,"RE")-COUNTIF(GW7:GW206,"AB")-COUNTIF(GW7:GW206,""))</f>
        <v>4</v>
      </c>
      <c r="BD210" s="1152"/>
      <c r="BE210" s="1152"/>
      <c r="BF210" s="1152"/>
      <c r="BG210" s="1152"/>
      <c r="BH210" s="1152">
        <f>IF(AND(BH208="",BH209=""),"",COUNTA(GX7:GX206)-COUNTIF(GX7:GX206,"RE")-COUNTIF(GX7:GX206,"AB")-COUNTIF(GX7:GX206,""))</f>
        <v>4</v>
      </c>
      <c r="BI210" s="1152"/>
      <c r="BJ210" s="1152"/>
      <c r="BK210" s="1152"/>
      <c r="BL210" s="1152"/>
      <c r="BM210" s="1152"/>
      <c r="BN210" s="1152"/>
      <c r="BO210" s="1152"/>
      <c r="BP210" s="1152"/>
      <c r="BQ210" s="1152"/>
      <c r="BR210" s="1152"/>
      <c r="BS210" s="1152">
        <f>IF(AND(BS208="",BS209=""),"",COUNTA(GY7:GY206)-COUNTIF(GY7:GY206,"RE")-COUNTIF(GY7:GY206,"AB")-COUNTIF(GY7:GY206,""))</f>
        <v>3</v>
      </c>
      <c r="BT210" s="1152"/>
      <c r="BU210" s="1152"/>
      <c r="BV210" s="1152"/>
      <c r="BW210" s="1152"/>
      <c r="BX210" s="123"/>
      <c r="BY210" s="124"/>
      <c r="BZ210" s="374"/>
      <c r="CA210" s="374"/>
      <c r="CB210" s="374"/>
      <c r="CC210" s="125"/>
      <c r="CD210" s="374"/>
      <c r="CE210" s="1152">
        <f>IF(AND(CE208="",CE209=""),"",COUNTA(HB7:HB206)-COUNTIF(HB7:HB206,"RE")-COUNTIF(HB7:HB206,"AB")-COUNTIF(HB7:HB206,""))</f>
        <v>31</v>
      </c>
      <c r="CF210" s="1152"/>
      <c r="CG210" s="1152"/>
      <c r="CH210" s="1152"/>
      <c r="CI210" s="1152"/>
      <c r="CJ210" s="1152">
        <f>IF(AND(CJ208="",CJ209=""),"",COUNTA(HE7:HE206)-COUNTIF(HE7:HE206,"RE")-COUNTIF(HE7:HE206,"AB")-COUNTIF(HE7:HE206,""))</f>
        <v>31</v>
      </c>
      <c r="CK210" s="1152"/>
      <c r="CL210" s="1152"/>
      <c r="CM210" s="1152"/>
      <c r="CN210" s="1152"/>
      <c r="CO210" s="1152"/>
      <c r="CP210" s="1152"/>
      <c r="CQ210" s="1152"/>
      <c r="CR210" s="1152"/>
      <c r="CS210" s="1152"/>
      <c r="CT210" s="1152"/>
      <c r="CU210" s="1152">
        <f>IF(AND(CU208="",CU209=""),"",COUNTA(HH7:HH206)-COUNTIF(HH7:HH206,"RE")-COUNTIF(HH7:HH206,"AB")-COUNTIF(HH7:HH206,""))</f>
        <v>31</v>
      </c>
      <c r="CV210" s="1152"/>
      <c r="CW210" s="1152"/>
      <c r="CX210" s="1152"/>
      <c r="CY210" s="1152"/>
      <c r="CZ210" s="1139">
        <f>IF('School Profile'!$D$20="NO","",IF(AND(CZ208="",CZ209=""),"",COUNTA(HK7:HK206)-COUNTIF(HK7:HK206,"RE")-COUNTIF(HK7:HK206,"AB")-COUNTIF(HK7:HK206,"")))</f>
        <v>3</v>
      </c>
      <c r="DA210" s="1140"/>
      <c r="DB210" s="1140"/>
      <c r="DC210" s="1140"/>
      <c r="DD210" s="1140"/>
      <c r="DE210" s="1141"/>
      <c r="DF210" s="381"/>
      <c r="DG210" s="382"/>
      <c r="DH210" s="126"/>
      <c r="DI210" s="126"/>
      <c r="DJ210" s="126"/>
      <c r="DK210" s="126"/>
      <c r="DL210" s="115"/>
      <c r="DM210" s="115"/>
      <c r="DN210" s="115"/>
      <c r="DO210" s="115"/>
      <c r="DP210" s="115"/>
      <c r="DQ210" s="115"/>
      <c r="DR210" s="115"/>
      <c r="DS210" s="115"/>
      <c r="DT210" s="115"/>
      <c r="DU210" s="115"/>
      <c r="DV210" s="115"/>
      <c r="DW210" s="115"/>
      <c r="DX210" s="115"/>
      <c r="DY210" s="115"/>
      <c r="DZ210" s="1247">
        <f>IF(AND(DZ208="",DZ209=""),"",COUNTA(EH7:EH206)-COUNTIF(EH7:EH206,"RE")-COUNTIF(EH7:EH206,"AB")-COUNTIF(EH7:EH206,""))</f>
        <v>15</v>
      </c>
      <c r="EA210" s="1248"/>
      <c r="EB210" s="1248"/>
      <c r="EC210" s="1248"/>
      <c r="ED210" s="1248"/>
      <c r="EE210" s="1248"/>
      <c r="EF210" s="1249"/>
      <c r="EG210" s="1263"/>
      <c r="EH210" s="1264"/>
      <c r="EI210" s="365"/>
      <c r="EJ210" s="365"/>
      <c r="EK210" s="365"/>
      <c r="EL210" s="1293">
        <f>IF(AND(EL208="",EL209=""),"",COUNTA(EX7:EX206)-COUNTIF(EX7:EX206,"RE")-COUNTIF(EX7:EX206,"AB")-COUNTIF(EX7:EX206,""))</f>
        <v>15</v>
      </c>
      <c r="EM210" s="1293"/>
      <c r="EN210" s="1293"/>
      <c r="EO210" s="1293"/>
      <c r="EP210" s="1293"/>
      <c r="EQ210" s="1293"/>
      <c r="ER210" s="1293"/>
      <c r="ES210" s="1277"/>
      <c r="ET210" s="1278"/>
      <c r="EU210" s="1278"/>
      <c r="EV210" s="1278"/>
      <c r="EW210" s="1278"/>
      <c r="EX210" s="1278"/>
      <c r="EY210" s="365"/>
      <c r="EZ210" s="365"/>
      <c r="FA210" s="365"/>
      <c r="FB210" s="1293">
        <f>IF(AND(FB208="",FB209=""),"",COUNTA(FQ7:FQ206)-COUNTIF(FQ7:FQ206,"RE")-COUNTIF(FQ7:FQ206,"AB")-COUNTIF(FQ7:FQ206,""))</f>
        <v>15</v>
      </c>
      <c r="FC210" s="1293"/>
      <c r="FD210" s="1293"/>
      <c r="FE210" s="1293"/>
      <c r="FF210" s="1293"/>
      <c r="FG210" s="1293"/>
      <c r="FH210" s="1293"/>
      <c r="FI210" s="569"/>
      <c r="FJ210" s="1293">
        <f>IF(AND(FJ208="",FJ209=""),"",COUNTA(FY7:FY206)-COUNTIF(FY7:FY206,"RE")-COUNTIF(FY7:FY206,"AB")-COUNTIF(FY7:FY206,""))</f>
        <v>15</v>
      </c>
      <c r="FK210" s="1293"/>
      <c r="FL210" s="1293"/>
      <c r="FM210" s="1293"/>
      <c r="FN210" s="1293"/>
      <c r="FO210" s="1293"/>
      <c r="FP210" s="1293"/>
      <c r="FQ210" s="570"/>
      <c r="FR210" s="365"/>
      <c r="FS210" s="365"/>
      <c r="FT210" s="365"/>
      <c r="FU210" s="1293">
        <f>IF(AND(FU208="",FU209=""),"",COUNTA(GG7:GG206)-COUNTIF(GG7:GG206,"RE")-COUNTIF(GG7:GG206,"AB")-COUNTIF(GG7:GG206,""))</f>
        <v>15</v>
      </c>
      <c r="FV210" s="1293"/>
      <c r="FW210" s="1293"/>
      <c r="FX210" s="1293"/>
      <c r="FY210" s="1293"/>
      <c r="FZ210" s="1293"/>
      <c r="GA210" s="1293"/>
      <c r="GB210" s="1293"/>
      <c r="GC210" s="1293"/>
      <c r="GD210" s="1293"/>
      <c r="GE210" s="1278"/>
      <c r="GF210" s="1278"/>
      <c r="GG210" s="1278"/>
      <c r="GH210" s="365"/>
      <c r="GI210" s="365"/>
      <c r="GJ210" s="365"/>
      <c r="GK210" s="121"/>
      <c r="GL210" s="121"/>
      <c r="GM210" s="121"/>
      <c r="GN210" s="121"/>
      <c r="GO210" s="121"/>
      <c r="GP210" s="121"/>
      <c r="GQ210" s="121"/>
      <c r="GR210" s="121"/>
      <c r="GS210" s="121"/>
      <c r="GT210" s="121"/>
      <c r="GU210" s="121"/>
      <c r="GV210" s="121"/>
      <c r="GW210" s="121"/>
      <c r="GX210" s="121"/>
      <c r="GY210" s="121"/>
      <c r="GZ210" s="121"/>
      <c r="HA210" s="121"/>
      <c r="HB210" s="121"/>
      <c r="HC210" s="121"/>
      <c r="HD210" s="121"/>
      <c r="HE210" s="121"/>
      <c r="HF210" s="121"/>
      <c r="HG210" s="121"/>
      <c r="HH210" s="121"/>
      <c r="HI210" s="121"/>
      <c r="HJ210" s="121"/>
      <c r="HK210" s="121"/>
      <c r="HL210" s="121"/>
      <c r="HM210" s="121"/>
      <c r="HN210" s="121"/>
      <c r="HO210" s="121"/>
      <c r="HP210" s="1198"/>
      <c r="HQ210" s="1199"/>
      <c r="HR210" s="1218"/>
      <c r="HS210" s="1080" t="str">
        <f>IF('School Profile'!$D$12="Hindi","द्वितीय श्रेणी","2nd Div.")</f>
        <v>द्वितीय श्रेणी</v>
      </c>
      <c r="HT210" s="1080"/>
      <c r="HU210" s="1080"/>
      <c r="HV210" s="1128">
        <f>COUNTIF(HV7:HV206,"2nd")</f>
        <v>5</v>
      </c>
      <c r="HW210" s="1129"/>
      <c r="HX210" s="1300"/>
      <c r="HY210" s="1237" t="str">
        <f>IF('School Profile'!$D$12="Hindi","द्वितीय श्रेणी","2nd Div.")</f>
        <v>द्वितीय श्रेणी</v>
      </c>
      <c r="HZ210" s="1080"/>
      <c r="IA210" s="1080"/>
      <c r="IB210" s="550">
        <f>COUNTIF(IA7:IA206,"II")</f>
        <v>0</v>
      </c>
      <c r="IC210" s="601">
        <f>SUM(HV210,IB210)</f>
        <v>5</v>
      </c>
      <c r="IS210" s="109" t="str">
        <f>IF('Supp. Result Entry'!T208="","",'Supp. Result Entry'!$T$4)</f>
        <v/>
      </c>
      <c r="IT210" s="110" t="str">
        <f>IF('Supp. Result Entry'!W208="","",'Supp. Result Entry'!$W$4)</f>
        <v/>
      </c>
      <c r="IU210" s="110" t="str">
        <f>IF('Supp. Result Entry'!Z208="","",'Supp. Result Entry'!$Z$4)</f>
        <v/>
      </c>
      <c r="IV210" s="110" t="str">
        <f>IF('Supp. Result Entry'!AC208="","",'Supp. Result Entry'!$AC$4)</f>
        <v/>
      </c>
      <c r="IW210" s="110" t="str">
        <f>IF('Supp. Result Entry'!AF208="","",'Supp. Result Entry'!$AF$4)</f>
        <v/>
      </c>
      <c r="IX210" s="110" t="str">
        <f>IF('Supp. Result Entry'!AI208="","",'Supp. Result Entry'!$AI$4)</f>
        <v/>
      </c>
      <c r="IY210" s="110" t="str">
        <f>IF('Supp. Result Entry'!AI208="","",'Supp. Result Entry'!$AL$4)</f>
        <v/>
      </c>
      <c r="IZ210" s="110" t="str">
        <f>IF('Supp. Result Entry'!U208="","",'Supp. Result Entry'!U208)</f>
        <v/>
      </c>
      <c r="JA210" s="110" t="str">
        <f>IF('Supp. Result Entry'!X208="","",'Supp. Result Entry'!X208)</f>
        <v/>
      </c>
      <c r="JB210" s="110" t="str">
        <f>IF('Supp. Result Entry'!AA208="","",'Supp. Result Entry'!AA208)</f>
        <v/>
      </c>
      <c r="JC210" s="110" t="str">
        <f>IF('Supp. Result Entry'!AD208="","",'Supp. Result Entry'!AD208)</f>
        <v/>
      </c>
      <c r="JD210" s="110" t="str">
        <f>IF('Supp. Result Entry'!AG208="","",'Supp. Result Entry'!AG208)</f>
        <v/>
      </c>
      <c r="JE210" s="110" t="str">
        <f>IF('Supp. Result Entry'!AJ208="","",'Supp. Result Entry'!AJ208)</f>
        <v/>
      </c>
      <c r="JF210" s="110" t="str">
        <f>IF('Supp. Result Entry'!AM208="","",'Supp. Result Entry'!AM208)</f>
        <v/>
      </c>
      <c r="JG210" s="110" t="str">
        <f>IF('Supp. Result Entry'!V208="","",'Supp. Result Entry'!V208)</f>
        <v/>
      </c>
      <c r="JH210" s="110" t="str">
        <f>IF('Supp. Result Entry'!Y208="","",'Supp. Result Entry'!Y208)</f>
        <v/>
      </c>
      <c r="JI210" s="110" t="str">
        <f>IF('Supp. Result Entry'!AB208="","",'Supp. Result Entry'!AB208)</f>
        <v/>
      </c>
      <c r="JJ210" s="110" t="str">
        <f>IF('Supp. Result Entry'!AE208="","",'Supp. Result Entry'!AE208)</f>
        <v/>
      </c>
      <c r="JK210" s="110" t="str">
        <f>IF('Supp. Result Entry'!AH208="","",'Supp. Result Entry'!AH208)</f>
        <v/>
      </c>
      <c r="JL210" s="110" t="str">
        <f>IF('Supp. Result Entry'!AK208="","",'Supp. Result Entry'!AK208)</f>
        <v/>
      </c>
      <c r="JM210" s="110" t="str">
        <f>IF('Supp. Result Entry'!AN208="","",'Supp. Result Entry'!AN208)</f>
        <v/>
      </c>
      <c r="JN210" s="110">
        <f>COUNTIF('Supp. Result Entry'!K208:Q208,"S")</f>
        <v>0</v>
      </c>
      <c r="JO210" s="110">
        <f t="shared" si="584"/>
        <v>0</v>
      </c>
      <c r="JP210" s="110">
        <f t="shared" si="661"/>
        <v>0</v>
      </c>
      <c r="JQ210" s="110" t="str">
        <f t="shared" si="585"/>
        <v/>
      </c>
      <c r="JR210" s="110" t="str">
        <f t="shared" si="586"/>
        <v/>
      </c>
      <c r="JS210" s="110" t="str">
        <f t="shared" si="587"/>
        <v/>
      </c>
      <c r="JT210" s="110" t="str">
        <f t="shared" si="588"/>
        <v/>
      </c>
      <c r="JU210" s="110" t="str">
        <f t="shared" si="589"/>
        <v/>
      </c>
      <c r="JV210" s="110" t="str">
        <f t="shared" si="590"/>
        <v/>
      </c>
      <c r="JW210" s="110" t="str">
        <f t="shared" si="591"/>
        <v/>
      </c>
      <c r="JX210" s="110" t="str">
        <f t="shared" si="662"/>
        <v/>
      </c>
      <c r="JY210" s="110" t="str">
        <f t="shared" si="663"/>
        <v/>
      </c>
      <c r="JZ210" s="110" t="str">
        <f t="shared" si="592"/>
        <v/>
      </c>
      <c r="KA210" s="108" t="str">
        <f t="shared" si="664"/>
        <v/>
      </c>
    </row>
    <row r="211" spans="1:287" s="122" customFormat="1" ht="18.75" customHeight="1">
      <c r="A211" s="1103"/>
      <c r="B211" s="1104"/>
      <c r="C211" s="1104"/>
      <c r="D211" s="1104"/>
      <c r="E211" s="1104"/>
      <c r="F211" s="1105"/>
      <c r="G211" s="1109" t="str">
        <f>IF('School Profile'!$D$12="Hindi","ग्रेड :","Grade :")</f>
        <v>ग्रेड :</v>
      </c>
      <c r="H211" s="1109"/>
      <c r="I211" s="1132" t="s">
        <v>41</v>
      </c>
      <c r="J211" s="1217"/>
      <c r="K211" s="536" t="s">
        <v>37</v>
      </c>
      <c r="L211" s="536" t="s">
        <v>38</v>
      </c>
      <c r="M211" s="536" t="s">
        <v>39</v>
      </c>
      <c r="N211" s="1187" t="s">
        <v>74</v>
      </c>
      <c r="O211" s="1187"/>
      <c r="P211" s="536"/>
      <c r="Q211" s="1223" t="s">
        <v>14</v>
      </c>
      <c r="R211" s="1224"/>
      <c r="S211" s="1227"/>
      <c r="T211" s="1227"/>
      <c r="U211" s="1227"/>
      <c r="V211" s="1227"/>
      <c r="W211" s="128"/>
      <c r="X211" s="129"/>
      <c r="Y211" s="536" t="s">
        <v>37</v>
      </c>
      <c r="Z211" s="536" t="s">
        <v>38</v>
      </c>
      <c r="AA211" s="536" t="s">
        <v>39</v>
      </c>
      <c r="AB211" s="1187" t="s">
        <v>74</v>
      </c>
      <c r="AC211" s="1187"/>
      <c r="AD211" s="536"/>
      <c r="AE211" s="1223" t="s">
        <v>14</v>
      </c>
      <c r="AF211" s="1224"/>
      <c r="AG211" s="1222"/>
      <c r="AH211" s="1222"/>
      <c r="AI211" s="1222"/>
      <c r="AJ211" s="1222"/>
      <c r="AK211" s="1222"/>
      <c r="AL211" s="1222"/>
      <c r="AM211" s="536" t="s">
        <v>37</v>
      </c>
      <c r="AN211" s="536" t="s">
        <v>38</v>
      </c>
      <c r="AO211" s="536" t="s">
        <v>39</v>
      </c>
      <c r="AP211" s="536" t="s">
        <v>75</v>
      </c>
      <c r="AQ211" s="554" t="s">
        <v>14</v>
      </c>
      <c r="AR211" s="558" t="s">
        <v>37</v>
      </c>
      <c r="AS211" s="536" t="s">
        <v>38</v>
      </c>
      <c r="AT211" s="558" t="s">
        <v>39</v>
      </c>
      <c r="AU211" s="558" t="s">
        <v>75</v>
      </c>
      <c r="AV211" s="132"/>
      <c r="AW211" s="132"/>
      <c r="AX211" s="130"/>
      <c r="AY211" s="130"/>
      <c r="AZ211" s="130"/>
      <c r="BA211" s="133"/>
      <c r="BB211" s="130" t="s">
        <v>14</v>
      </c>
      <c r="BC211" s="536" t="s">
        <v>37</v>
      </c>
      <c r="BD211" s="536" t="s">
        <v>38</v>
      </c>
      <c r="BE211" s="536" t="s">
        <v>39</v>
      </c>
      <c r="BF211" s="536" t="s">
        <v>75</v>
      </c>
      <c r="BG211" s="554" t="s">
        <v>14</v>
      </c>
      <c r="BH211" s="548" t="s">
        <v>37</v>
      </c>
      <c r="BI211" s="548" t="s">
        <v>38</v>
      </c>
      <c r="BJ211" s="562"/>
      <c r="BK211" s="548"/>
      <c r="BL211" s="548"/>
      <c r="BM211" s="548"/>
      <c r="BN211" s="563"/>
      <c r="BO211" s="548" t="s">
        <v>39</v>
      </c>
      <c r="BP211" s="548" t="s">
        <v>39</v>
      </c>
      <c r="BQ211" s="548" t="s">
        <v>75</v>
      </c>
      <c r="BR211" s="561" t="s">
        <v>14</v>
      </c>
      <c r="BS211" s="536" t="s">
        <v>37</v>
      </c>
      <c r="BT211" s="536" t="s">
        <v>38</v>
      </c>
      <c r="BU211" s="536" t="s">
        <v>39</v>
      </c>
      <c r="BV211" s="536" t="s">
        <v>75</v>
      </c>
      <c r="BW211" s="554" t="s">
        <v>14</v>
      </c>
      <c r="BX211" s="131"/>
      <c r="BY211" s="132"/>
      <c r="BZ211" s="130"/>
      <c r="CA211" s="130"/>
      <c r="CB211" s="130"/>
      <c r="CC211" s="133"/>
      <c r="CD211" s="130"/>
      <c r="CE211" s="548" t="s">
        <v>37</v>
      </c>
      <c r="CF211" s="548" t="s">
        <v>38</v>
      </c>
      <c r="CG211" s="548" t="s">
        <v>39</v>
      </c>
      <c r="CH211" s="548" t="s">
        <v>75</v>
      </c>
      <c r="CI211" s="554" t="s">
        <v>14</v>
      </c>
      <c r="CJ211" s="564" t="s">
        <v>37</v>
      </c>
      <c r="CK211" s="564" t="s">
        <v>38</v>
      </c>
      <c r="CL211" s="564" t="s">
        <v>39</v>
      </c>
      <c r="CM211" s="564"/>
      <c r="CN211" s="564"/>
      <c r="CO211" s="564"/>
      <c r="CP211" s="564"/>
      <c r="CQ211" s="564"/>
      <c r="CR211" s="564"/>
      <c r="CS211" s="564" t="s">
        <v>75</v>
      </c>
      <c r="CT211" s="565" t="s">
        <v>14</v>
      </c>
      <c r="CU211" s="564" t="s">
        <v>37</v>
      </c>
      <c r="CV211" s="564" t="s">
        <v>38</v>
      </c>
      <c r="CW211" s="564" t="s">
        <v>39</v>
      </c>
      <c r="CX211" s="564" t="s">
        <v>75</v>
      </c>
      <c r="CY211" s="565" t="s">
        <v>14</v>
      </c>
      <c r="CZ211" s="564" t="s">
        <v>37</v>
      </c>
      <c r="DA211" s="564" t="s">
        <v>38</v>
      </c>
      <c r="DB211" s="564" t="s">
        <v>39</v>
      </c>
      <c r="DC211" s="564" t="s">
        <v>75</v>
      </c>
      <c r="DD211" s="564" t="s">
        <v>9</v>
      </c>
      <c r="DE211" s="565" t="s">
        <v>14</v>
      </c>
      <c r="DF211" s="566"/>
      <c r="DG211" s="134"/>
      <c r="DH211" s="135"/>
      <c r="DI211" s="135"/>
      <c r="DJ211" s="135"/>
      <c r="DK211" s="135"/>
      <c r="DL211" s="115"/>
      <c r="DM211" s="115"/>
      <c r="DN211" s="115"/>
      <c r="DO211" s="115"/>
      <c r="DP211" s="115"/>
      <c r="DQ211" s="115"/>
      <c r="DR211" s="115"/>
      <c r="DS211" s="115"/>
      <c r="DT211" s="115"/>
      <c r="DU211" s="115"/>
      <c r="DV211" s="115"/>
      <c r="DW211" s="115"/>
      <c r="DX211" s="115"/>
      <c r="DY211" s="115"/>
      <c r="DZ211" s="136" t="s">
        <v>8</v>
      </c>
      <c r="EA211" s="136" t="s">
        <v>13</v>
      </c>
      <c r="EB211" s="136" t="s">
        <v>40</v>
      </c>
      <c r="EC211" s="136" t="s">
        <v>36</v>
      </c>
      <c r="ED211" s="136" t="s">
        <v>134</v>
      </c>
      <c r="EE211" s="1270" t="s">
        <v>14</v>
      </c>
      <c r="EF211" s="1271"/>
      <c r="EG211" s="1263"/>
      <c r="EH211" s="1264"/>
      <c r="EI211" s="365"/>
      <c r="EJ211" s="365"/>
      <c r="EK211" s="365"/>
      <c r="EL211" s="136" t="s">
        <v>8</v>
      </c>
      <c r="EM211" s="136" t="s">
        <v>13</v>
      </c>
      <c r="EN211" s="136" t="s">
        <v>40</v>
      </c>
      <c r="EO211" s="136" t="s">
        <v>36</v>
      </c>
      <c r="EP211" s="136" t="s">
        <v>134</v>
      </c>
      <c r="EQ211" s="1270" t="s">
        <v>14</v>
      </c>
      <c r="ER211" s="1271"/>
      <c r="ES211" s="1277"/>
      <c r="ET211" s="1278"/>
      <c r="EU211" s="1278"/>
      <c r="EV211" s="1278"/>
      <c r="EW211" s="1278"/>
      <c r="EX211" s="1278"/>
      <c r="EY211" s="365"/>
      <c r="EZ211" s="365"/>
      <c r="FA211" s="365"/>
      <c r="FB211" s="136" t="s">
        <v>8</v>
      </c>
      <c r="FC211" s="136" t="s">
        <v>13</v>
      </c>
      <c r="FD211" s="136" t="s">
        <v>40</v>
      </c>
      <c r="FE211" s="136" t="s">
        <v>36</v>
      </c>
      <c r="FF211" s="136" t="s">
        <v>134</v>
      </c>
      <c r="FG211" s="1281" t="s">
        <v>14</v>
      </c>
      <c r="FH211" s="1281"/>
      <c r="FI211" s="569"/>
      <c r="FJ211" s="136" t="s">
        <v>8</v>
      </c>
      <c r="FK211" s="136" t="s">
        <v>13</v>
      </c>
      <c r="FL211" s="136" t="s">
        <v>40</v>
      </c>
      <c r="FM211" s="136" t="s">
        <v>36</v>
      </c>
      <c r="FN211" s="136" t="s">
        <v>134</v>
      </c>
      <c r="FO211" s="1281" t="s">
        <v>14</v>
      </c>
      <c r="FP211" s="1281"/>
      <c r="FQ211" s="570"/>
      <c r="FR211" s="365"/>
      <c r="FS211" s="365"/>
      <c r="FT211" s="365"/>
      <c r="FU211" s="136" t="s">
        <v>8</v>
      </c>
      <c r="FV211" s="136" t="s">
        <v>13</v>
      </c>
      <c r="FW211" s="136" t="s">
        <v>40</v>
      </c>
      <c r="FX211" s="136" t="s">
        <v>36</v>
      </c>
      <c r="FY211" s="136" t="s">
        <v>134</v>
      </c>
      <c r="FZ211" s="136" t="s">
        <v>171</v>
      </c>
      <c r="GA211" s="136" t="s">
        <v>171</v>
      </c>
      <c r="GB211" s="136" t="s">
        <v>171</v>
      </c>
      <c r="GC211" s="1281" t="s">
        <v>14</v>
      </c>
      <c r="GD211" s="1281"/>
      <c r="GE211" s="1278"/>
      <c r="GF211" s="1278"/>
      <c r="GG211" s="1278"/>
      <c r="GH211" s="365"/>
      <c r="GI211" s="365"/>
      <c r="GJ211" s="365"/>
      <c r="GK211" s="121"/>
      <c r="GL211" s="121"/>
      <c r="GM211" s="121"/>
      <c r="GN211" s="121"/>
      <c r="GO211" s="121"/>
      <c r="GP211" s="121"/>
      <c r="GQ211" s="121"/>
      <c r="GR211" s="121"/>
      <c r="GS211" s="121"/>
      <c r="GT211" s="121"/>
      <c r="GU211" s="121"/>
      <c r="GV211" s="121"/>
      <c r="GW211" s="121"/>
      <c r="GX211" s="121"/>
      <c r="GY211" s="121"/>
      <c r="GZ211" s="121"/>
      <c r="HA211" s="121"/>
      <c r="HB211" s="121"/>
      <c r="HC211" s="121"/>
      <c r="HD211" s="121"/>
      <c r="HE211" s="121"/>
      <c r="HF211" s="121"/>
      <c r="HG211" s="121"/>
      <c r="HH211" s="121"/>
      <c r="HI211" s="121"/>
      <c r="HJ211" s="121"/>
      <c r="HK211" s="121"/>
      <c r="HL211" s="121"/>
      <c r="HM211" s="121"/>
      <c r="HN211" s="121"/>
      <c r="HO211" s="121"/>
      <c r="HP211" s="1198" t="str">
        <f>IF('School Profile'!$D$12="Hindi","हस्ताक्षर कक्षाध्यापक","Signature of the class teacher")</f>
        <v>हस्ताक्षर कक्षाध्यापक</v>
      </c>
      <c r="HQ211" s="1199"/>
      <c r="HR211" s="1218" t="str">
        <f>CONCATENATE("( ",UPPER('School Profile'!D18)," )")</f>
        <v>( YOGESH )</v>
      </c>
      <c r="HS211" s="1080" t="str">
        <f>IF('School Profile'!$D$12="Hindi","तृतीय श्रेणी","3rd Div.")</f>
        <v>तृतीय श्रेणी</v>
      </c>
      <c r="HT211" s="1080"/>
      <c r="HU211" s="1080"/>
      <c r="HV211" s="1128">
        <f>COUNTIF(HV7:HV206,"3rd")</f>
        <v>0</v>
      </c>
      <c r="HW211" s="1129"/>
      <c r="HX211" s="1300"/>
      <c r="HY211" s="1237" t="str">
        <f>IF('School Profile'!$D$12="Hindi","तृतीय श्रेणी","3rd Div.")</f>
        <v>तृतीय श्रेणी</v>
      </c>
      <c r="HZ211" s="1080"/>
      <c r="IA211" s="1080"/>
      <c r="IB211" s="550">
        <f>COUNTIF(IA7:IA206,"III")</f>
        <v>0</v>
      </c>
      <c r="IC211" s="601">
        <f>SUM(HV211,IB211)</f>
        <v>0</v>
      </c>
      <c r="IS211" s="109" t="str">
        <f>IF('Supp. Result Entry'!T209="","",'Supp. Result Entry'!$T$4)</f>
        <v/>
      </c>
      <c r="IT211" s="110" t="str">
        <f>IF('Supp. Result Entry'!W209="","",'Supp. Result Entry'!$W$4)</f>
        <v/>
      </c>
      <c r="IU211" s="110" t="str">
        <f>IF('Supp. Result Entry'!Z209="","",'Supp. Result Entry'!$Z$4)</f>
        <v/>
      </c>
      <c r="IV211" s="110" t="str">
        <f>IF('Supp. Result Entry'!AC209="","",'Supp. Result Entry'!$AC$4)</f>
        <v/>
      </c>
      <c r="IW211" s="110" t="str">
        <f>IF('Supp. Result Entry'!AF209="","",'Supp. Result Entry'!$AF$4)</f>
        <v/>
      </c>
      <c r="IX211" s="110" t="str">
        <f>IF('Supp. Result Entry'!AI209="","",'Supp. Result Entry'!$AI$4)</f>
        <v/>
      </c>
      <c r="IY211" s="110" t="str">
        <f>IF('Supp. Result Entry'!AI209="","",'Supp. Result Entry'!$AL$4)</f>
        <v/>
      </c>
      <c r="IZ211" s="110" t="str">
        <f>IF('Supp. Result Entry'!U209="","",'Supp. Result Entry'!U209)</f>
        <v/>
      </c>
      <c r="JA211" s="110" t="str">
        <f>IF('Supp. Result Entry'!X209="","",'Supp. Result Entry'!X209)</f>
        <v/>
      </c>
      <c r="JB211" s="110" t="str">
        <f>IF('Supp. Result Entry'!AA209="","",'Supp. Result Entry'!AA209)</f>
        <v/>
      </c>
      <c r="JC211" s="110" t="str">
        <f>IF('Supp. Result Entry'!AD209="","",'Supp. Result Entry'!AD209)</f>
        <v/>
      </c>
      <c r="JD211" s="110" t="str">
        <f>IF('Supp. Result Entry'!AG209="","",'Supp. Result Entry'!AG209)</f>
        <v/>
      </c>
      <c r="JE211" s="110" t="str">
        <f>IF('Supp. Result Entry'!AJ209="","",'Supp. Result Entry'!AJ209)</f>
        <v/>
      </c>
      <c r="JF211" s="110" t="str">
        <f>IF('Supp. Result Entry'!AM209="","",'Supp. Result Entry'!AM209)</f>
        <v/>
      </c>
      <c r="JG211" s="110" t="str">
        <f>IF('Supp. Result Entry'!V209="","",'Supp. Result Entry'!V209)</f>
        <v/>
      </c>
      <c r="JH211" s="110" t="str">
        <f>IF('Supp. Result Entry'!Y209="","",'Supp. Result Entry'!Y209)</f>
        <v/>
      </c>
      <c r="JI211" s="110" t="str">
        <f>IF('Supp. Result Entry'!AB209="","",'Supp. Result Entry'!AB209)</f>
        <v/>
      </c>
      <c r="JJ211" s="110" t="str">
        <f>IF('Supp. Result Entry'!AE209="","",'Supp. Result Entry'!AE209)</f>
        <v/>
      </c>
      <c r="JK211" s="110" t="str">
        <f>IF('Supp. Result Entry'!AH209="","",'Supp. Result Entry'!AH209)</f>
        <v/>
      </c>
      <c r="JL211" s="110" t="str">
        <f>IF('Supp. Result Entry'!AK209="","",'Supp. Result Entry'!AK209)</f>
        <v/>
      </c>
      <c r="JM211" s="110" t="str">
        <f>IF('Supp. Result Entry'!AN209="","",'Supp. Result Entry'!AN209)</f>
        <v/>
      </c>
      <c r="JN211" s="110">
        <f>COUNTIF('Supp. Result Entry'!K209:Q209,"S")</f>
        <v>0</v>
      </c>
      <c r="JO211" s="110">
        <f t="shared" si="584"/>
        <v>0</v>
      </c>
      <c r="JP211" s="110">
        <f t="shared" si="661"/>
        <v>0</v>
      </c>
      <c r="JQ211" s="110" t="str">
        <f>IF(OR(JN211=0,JN211&lt;JP211),"",IF(OR(GN211="RE",GN211="REP"),SUM(Q211,IZ211),IF(GN211="S",IZ211,Q211)))</f>
        <v/>
      </c>
      <c r="JR211" s="110" t="str">
        <f>IF(OR(JN211=0,JN211&lt;JP211),"",IF(OR(GQ211="RE",GQ211="REP"),SUM(AE211,JA211),IF(GQ211="S",JA211,AE211)))</f>
        <v/>
      </c>
      <c r="JS211" s="110" t="str">
        <f t="shared" si="587"/>
        <v/>
      </c>
      <c r="JT211" s="110" t="str">
        <f t="shared" si="588"/>
        <v/>
      </c>
      <c r="JU211" s="110" t="str">
        <f t="shared" si="589"/>
        <v/>
      </c>
      <c r="JV211" s="110" t="str">
        <f t="shared" si="590"/>
        <v/>
      </c>
      <c r="JW211" s="110" t="str">
        <f t="shared" si="591"/>
        <v/>
      </c>
      <c r="JX211" s="110" t="str">
        <f t="shared" si="662"/>
        <v/>
      </c>
      <c r="JY211" s="110" t="str">
        <f t="shared" si="663"/>
        <v/>
      </c>
      <c r="JZ211" s="110" t="str">
        <f t="shared" si="592"/>
        <v/>
      </c>
      <c r="KA211" s="108" t="str">
        <f t="shared" si="664"/>
        <v/>
      </c>
    </row>
    <row r="212" spans="1:287" s="122" customFormat="1" ht="18.75" customHeight="1">
      <c r="A212" s="1103"/>
      <c r="B212" s="1104"/>
      <c r="C212" s="1104"/>
      <c r="D212" s="1104"/>
      <c r="E212" s="1104"/>
      <c r="F212" s="1105"/>
      <c r="G212" s="1109" t="str">
        <f>IF('School Profile'!$D$12="Hindi","ग्रेडवार उत्तीर्ण विद्यार्थी :","Total Passed Grade wise :")</f>
        <v>ग्रेडवार उत्तीर्ण विद्यार्थी :</v>
      </c>
      <c r="H212" s="1109"/>
      <c r="I212" s="1132" t="s">
        <v>41</v>
      </c>
      <c r="J212" s="1132"/>
      <c r="K212" s="546">
        <f>IF(AND(K208="",K209=""),"",COUNTIF(GN7:GN206,"D")+COUNTIF(GN7:GN206,"I"))</f>
        <v>22</v>
      </c>
      <c r="L212" s="557">
        <f>IF(AND(K208="",K209=""),"",COUNTIF(GN7:GN206,"II"))</f>
        <v>7</v>
      </c>
      <c r="M212" s="573">
        <f>IF(AND(K208="",K209=""),"",COUNTIF(GN7:GN206,"III"))</f>
        <v>0</v>
      </c>
      <c r="N212" s="1221">
        <f>IF(AND(K208="",K209=""),"",COUNTIF(GN7:GN206,"G"))</f>
        <v>0</v>
      </c>
      <c r="O212" s="1221"/>
      <c r="P212" s="574"/>
      <c r="Q212" s="1225">
        <f>SUM(K212,L212,M212,N212,P212)</f>
        <v>29</v>
      </c>
      <c r="R212" s="1226"/>
      <c r="S212" s="1222"/>
      <c r="T212" s="1222"/>
      <c r="U212" s="1222"/>
      <c r="V212" s="1222"/>
      <c r="W212" s="137"/>
      <c r="X212" s="138"/>
      <c r="Y212" s="546">
        <f>IF(AND(Y208="",Y209=""),"",COUNTIF(GQ7:GQ206,"D")+COUNTIF(GQ7:GQ206,"I"))</f>
        <v>30</v>
      </c>
      <c r="Z212" s="557">
        <f>IF(AND(Y208="",Y209=""),"",COUNTIF(GQ7:GQ206,"II"))</f>
        <v>0</v>
      </c>
      <c r="AA212" s="573">
        <f>IF(AND(Y208="",Y209=""),"",COUNTIF(GQ7:GQ206,"III"))</f>
        <v>1</v>
      </c>
      <c r="AB212" s="1221">
        <f>IF(AND(Y208="",Y209=""),"",COUNTIF(GQ7:GQ206,"G"))</f>
        <v>0</v>
      </c>
      <c r="AC212" s="1221"/>
      <c r="AD212" s="574"/>
      <c r="AE212" s="1225">
        <f>SUM(Y212,Z212,AA212,AB212,AD212)</f>
        <v>31</v>
      </c>
      <c r="AF212" s="1226"/>
      <c r="AG212" s="1142"/>
      <c r="AH212" s="1142"/>
      <c r="AI212" s="1142"/>
      <c r="AJ212" s="1142"/>
      <c r="AK212" s="1142"/>
      <c r="AL212" s="1142"/>
      <c r="AM212" s="546">
        <f>IF(AND(AM208="",AM209=""),"",COUNTIF(GU7:GU206,"I")+COUNTIF(GU7:GU206,"D"))</f>
        <v>2</v>
      </c>
      <c r="AN212" s="546">
        <f>IF(AND(AM208="",AM209=""),"",COUNTIF(GU7:GU206,"II"))</f>
        <v>9</v>
      </c>
      <c r="AO212" s="546">
        <f>IF(AND(AM208="",AM209=""),"",COUNTIF(GU7:GU206,"III"))</f>
        <v>0</v>
      </c>
      <c r="AP212" s="546">
        <f>IF(AND(AM208="",AM209=""),"",COUNTIF(GU7:GU206,"G"))</f>
        <v>0</v>
      </c>
      <c r="AQ212" s="555">
        <f>SUM(AM212,AN212,AO212,AP212)</f>
        <v>11</v>
      </c>
      <c r="AR212" s="575">
        <f>IF(AND(AR208="",AR209=""),"",COUNTIF(GV7:GV206,"I")+COUNTIF(GV7:GV206,"D"))</f>
        <v>0</v>
      </c>
      <c r="AS212" s="574">
        <f>IF(AND(AR208="",AR209=""),"",COUNTIF(GV7:GV206,"II"))</f>
        <v>9</v>
      </c>
      <c r="AT212" s="574">
        <f>IF(AND(AR208="",AR209=""),"",COUNTIF(GV7:GV206,"III"))</f>
        <v>0</v>
      </c>
      <c r="AU212" s="578">
        <f>IF(AND(AR208="",AR209=""),"",COUNTIF(GV7:GV206,"G"))</f>
        <v>0</v>
      </c>
      <c r="AV212" s="576"/>
      <c r="AW212" s="577"/>
      <c r="AX212" s="546"/>
      <c r="AY212" s="546"/>
      <c r="AZ212" s="546"/>
      <c r="BA212" s="120"/>
      <c r="BB212" s="559">
        <f>SUM(AR212,AS212,AT212,AU212)</f>
        <v>9</v>
      </c>
      <c r="BC212" s="546">
        <f>IF(AND(BC208="",BC209=""),"",COUNTIF(GW7:GW206,"I")+COUNTIF(GW7:GW206,"D"))</f>
        <v>1</v>
      </c>
      <c r="BD212" s="546">
        <f>IF(AND(BC208="",BC209=""),"",COUNTIF(GW7:GW206,"II"))</f>
        <v>3</v>
      </c>
      <c r="BE212" s="546">
        <f>IF(AND(BC208="",BC209=""),"",COUNTIF(GW7:GW206,"III"))</f>
        <v>0</v>
      </c>
      <c r="BF212" s="546">
        <f>IF(AND(BC208="",BC209=""),"",COUNTIF(GW7:GW206,"S"))</f>
        <v>0</v>
      </c>
      <c r="BG212" s="559">
        <f>SUM(BC212,BD212,BE212,BF212)</f>
        <v>4</v>
      </c>
      <c r="BH212" s="546">
        <f>IF(AND(BH208="",BH209=""),"",COUNTIF(GX7:GX206,"I")+COUNTIF(GX7:GX206,"D"))</f>
        <v>0</v>
      </c>
      <c r="BI212" s="546">
        <f>IF(AND(BH208="",BH209=""),"",COUNTIF(GX7:GX206,"II"))</f>
        <v>4</v>
      </c>
      <c r="BJ212" s="577"/>
      <c r="BK212" s="546"/>
      <c r="BL212" s="546"/>
      <c r="BM212" s="546"/>
      <c r="BN212" s="120"/>
      <c r="BO212" s="546"/>
      <c r="BP212" s="546">
        <f>IF(AND(BH208="",BH209=""),"",COUNTIF(GX7:GX206,"III"))</f>
        <v>0</v>
      </c>
      <c r="BQ212" s="546">
        <f>IF(AND(BH208="",BH209=""),"",COUNTIF(GX7:GX206,"G"))</f>
        <v>0</v>
      </c>
      <c r="BR212" s="559">
        <f>SUM(BH212,BI212,BP212,BQ212)</f>
        <v>4</v>
      </c>
      <c r="BS212" s="546">
        <f>IF(AND(BS208="",BS209=""),"",COUNTIF(GY7:GY206,"I")+COUNTIF(GY7:GY206,"D"))</f>
        <v>0</v>
      </c>
      <c r="BT212" s="546">
        <f>IF(AND(BS208="",BS209=""),"",COUNTIF(GY7:GY206,"II"))</f>
        <v>3</v>
      </c>
      <c r="BU212" s="546">
        <f>IF(AND(BS208="",BS209=""),"",COUNTIF(HM7:HM206,"III"))</f>
        <v>0</v>
      </c>
      <c r="BV212" s="546">
        <f>IF(AND(BS208="",BS209=""),"",COUNTIF(GY7:GY206,"G"))</f>
        <v>0</v>
      </c>
      <c r="BW212" s="560">
        <f>SUM(BS212,BT212,BU212,BV212)</f>
        <v>3</v>
      </c>
      <c r="BX212" s="139"/>
      <c r="BY212" s="140"/>
      <c r="BZ212" s="373"/>
      <c r="CA212" s="373"/>
      <c r="CB212" s="373"/>
      <c r="CC212" s="141"/>
      <c r="CD212" s="373"/>
      <c r="CE212" s="546">
        <f>IF(AND(CE208="",CE209=""),"",COUNTIF(HB7:HB206,"I")+COUNTIF(HB7:HB206,"D"))</f>
        <v>2</v>
      </c>
      <c r="CF212" s="546">
        <f>IF(AND(CE208="",CE209=""),"",COUNTIF(HB7:HB206,"II"))</f>
        <v>22</v>
      </c>
      <c r="CG212" s="546">
        <f>IF(AND(CE208="",CE209=""),"",COUNTIF(HB7:HB206,"III"))</f>
        <v>2</v>
      </c>
      <c r="CH212" s="546">
        <f>IF(AND(CE208="",CE209=""),"",COUNTIF(HB7:HB206,"G"))</f>
        <v>4</v>
      </c>
      <c r="CI212" s="560">
        <f>SUM(CE212,CF212,CG212,CH212)</f>
        <v>30</v>
      </c>
      <c r="CJ212" s="546">
        <f>IF(AND(CJ208="",CJ209=""),"",COUNTIF(HE7:HE206,"I")+COUNTIF(HE7:HE206,"D"))</f>
        <v>1</v>
      </c>
      <c r="CK212" s="546">
        <f>IF(AND(CJ208="",CJ209=""),"",COUNTIF(HE7:HE206,"II"))</f>
        <v>29</v>
      </c>
      <c r="CL212" s="546">
        <f>IF(AND(CJ208="",CJ209=""),"",COUNTIF(HE7:HE206,"III"))</f>
        <v>0</v>
      </c>
      <c r="CM212" s="546"/>
      <c r="CN212" s="546"/>
      <c r="CO212" s="546"/>
      <c r="CP212" s="546"/>
      <c r="CQ212" s="546"/>
      <c r="CR212" s="546"/>
      <c r="CS212" s="546">
        <f>IF(AND(CJ208="",CJ209=""),"",COUNTIF(HE7:HE206,"G"))</f>
        <v>1</v>
      </c>
      <c r="CT212" s="560">
        <f>SUM(CJ212,CK212,CL212,CS212)</f>
        <v>31</v>
      </c>
      <c r="CU212" s="546">
        <f>IF(AND(CU208="",CU209=""),"",COUNTIF(HH7:HH206,"I")+COUNTIF(HH7:HH206,"D"))</f>
        <v>3</v>
      </c>
      <c r="CV212" s="546">
        <f>IF(AND(CU208="",CU209=""),"",COUNTIF(HH7:HH206,"II"))</f>
        <v>28</v>
      </c>
      <c r="CW212" s="546">
        <f>IF(AND(CU208="",CU209=""),"",COUNTIF(HH7:HH206,"III"))</f>
        <v>0</v>
      </c>
      <c r="CX212" s="546">
        <f>IF(AND(CU208="",CU209=""),"",COUNTIF(HH7:HH206,"G"))</f>
        <v>0</v>
      </c>
      <c r="CY212" s="560">
        <f>SUM(CU212,CV212,CW212,CX212)</f>
        <v>31</v>
      </c>
      <c r="CZ212" s="546">
        <f>IF(AND(CZ208="",CZ209=""),"",COUNTIF(HK7:HK206,"I")+COUNTIF(HK7:HK206,"D"))</f>
        <v>2</v>
      </c>
      <c r="DA212" s="546">
        <f>IF(AND(CZ208="",CZ209=""),"",COUNTIF(HK7:HK206,"II"))</f>
        <v>1</v>
      </c>
      <c r="DB212" s="546">
        <f>IF(AND(CZ208="",CZ209=""),"",COUNTIF(HK7:HK206,"III"))</f>
        <v>0</v>
      </c>
      <c r="DC212" s="546">
        <f>IF(AND(CZ208="",CZ209=""),"",COUNTIF(HK7:HK206,"G"))</f>
        <v>0</v>
      </c>
      <c r="DD212" s="546">
        <f>IF(AND(CZ208="",CZ209=""),"",COUNTIF(HK7:HK206,"S"))</f>
        <v>0</v>
      </c>
      <c r="DE212" s="560">
        <f>SUM(CZ212,DA212,DB212,DC212,DD212)</f>
        <v>3</v>
      </c>
      <c r="DF212" s="556"/>
      <c r="DG212" s="373"/>
      <c r="DH212" s="135"/>
      <c r="DI212" s="135"/>
      <c r="DJ212" s="135"/>
      <c r="DK212" s="135"/>
      <c r="DL212" s="115"/>
      <c r="DM212" s="115"/>
      <c r="DN212" s="115"/>
      <c r="DO212" s="115"/>
      <c r="DP212" s="115"/>
      <c r="DQ212" s="115"/>
      <c r="DR212" s="115"/>
      <c r="DS212" s="115"/>
      <c r="DT212" s="115"/>
      <c r="DU212" s="115"/>
      <c r="DV212" s="115"/>
      <c r="DW212" s="115"/>
      <c r="DX212" s="115"/>
      <c r="DY212" s="115"/>
      <c r="DZ212" s="545">
        <f>IF(AND(DZ208="",DZ209=""),"",COUNTIF(EH7:EH206,"A"))</f>
        <v>15</v>
      </c>
      <c r="EA212" s="545">
        <f>IF(AND(DZ208="",DZ209=""),"",COUNTIF(EH7:EH206,"B"))</f>
        <v>0</v>
      </c>
      <c r="EB212" s="545">
        <f>IF(AND(DZ208="",DZ209=""),"",COUNTIF(EH7:EH206,"C"))</f>
        <v>0</v>
      </c>
      <c r="EC212" s="545">
        <f>IF(AND(DZ208="",DZ209=""),"",COUNTIF(EH7:EH206,"D"))</f>
        <v>0</v>
      </c>
      <c r="ED212" s="545">
        <f>IF(AND(DZ208="",DZ209=""),"",COUNTIF(EH7:EH206,"E"))</f>
        <v>0</v>
      </c>
      <c r="EE212" s="1272">
        <f>IF(AND(DZ208="",DZ209=""),"",SUM(DZ212,EA212,EB212,EC212,ED212))</f>
        <v>15</v>
      </c>
      <c r="EF212" s="1273"/>
      <c r="EG212" s="1263"/>
      <c r="EH212" s="1264"/>
      <c r="EI212" s="365"/>
      <c r="EJ212" s="365"/>
      <c r="EK212" s="365"/>
      <c r="EL212" s="545">
        <f>IF(AND(EL208="",EL209=""),"",COUNTIF(EX7:EX206,"A"))</f>
        <v>13</v>
      </c>
      <c r="EM212" s="545">
        <f>IF(AND(EL208="",EL209=""),"",COUNTIF(EX7:EX206,"B"))</f>
        <v>2</v>
      </c>
      <c r="EN212" s="545">
        <f>IF(AND(EL208="",EL209=""),"",COUNTIF(EX7:EX206,"C"))</f>
        <v>0</v>
      </c>
      <c r="EO212" s="545">
        <f>IF(AND(EL208="",EL209=""),"",COUNTIF(EX7:EX206,"D"))</f>
        <v>0</v>
      </c>
      <c r="EP212" s="545">
        <f>IF(AND(EL208="",EL209=""),"",COUNTIF(EX7:EX206,"E"))</f>
        <v>0</v>
      </c>
      <c r="EQ212" s="1272">
        <f>IF(AND(EL208="",EL209=""),"",SUM(EL212,EM212,EN212,EO212,EP212))</f>
        <v>15</v>
      </c>
      <c r="ER212" s="1273"/>
      <c r="ES212" s="1277"/>
      <c r="ET212" s="1278"/>
      <c r="EU212" s="1278"/>
      <c r="EV212" s="1278"/>
      <c r="EW212" s="1278"/>
      <c r="EX212" s="1278"/>
      <c r="EY212" s="365"/>
      <c r="EZ212" s="365"/>
      <c r="FA212" s="365"/>
      <c r="FB212" s="545">
        <f>IF(AND(FB208="",FB209=""),"",COUNTIF(FQ7:FQ206,"A"))</f>
        <v>12</v>
      </c>
      <c r="FC212" s="545">
        <f>IF(AND(FB208="",FB209=""),"",COUNTIF(FQ7:FQ206,"B"))</f>
        <v>3</v>
      </c>
      <c r="FD212" s="545">
        <f>IF(AND(FB208="",FB209=""),"",COUNTIF(FQ7:FQ206,"C"))</f>
        <v>0</v>
      </c>
      <c r="FE212" s="545">
        <f>IF(AND(FB208="",FB209=""),"",COUNTIF(FQ7:FQ206,"D"))</f>
        <v>0</v>
      </c>
      <c r="FF212" s="545">
        <f>IF(AND(FB208="",FB209=""),"",COUNTIF(FQ7:FQ206,"E"))</f>
        <v>0</v>
      </c>
      <c r="FG212" s="1272">
        <f>IF(AND(FB208="",FB209=""),"",SUM(FB212,FC212,FD212,FE212,FF212))</f>
        <v>15</v>
      </c>
      <c r="FH212" s="1273"/>
      <c r="FI212" s="569"/>
      <c r="FJ212" s="545">
        <f>IF(AND(FJ208="",FJ209=""),"",COUNTIF(FY7:FY206,"A"))</f>
        <v>5</v>
      </c>
      <c r="FK212" s="545">
        <f>IF(AND(FJ208="",FJ209=""),"",COUNTIF(FY7:FY206,"B"))</f>
        <v>10</v>
      </c>
      <c r="FL212" s="545">
        <f>IF(AND(FJ208="",FJ209=""),"",COUNTIF(FY7:FY206,"C"))</f>
        <v>0</v>
      </c>
      <c r="FM212" s="545">
        <f>IF(AND(FJ208="",FJ209=""),"",COUNTIF(FY7:FY206,"D"))</f>
        <v>0</v>
      </c>
      <c r="FN212" s="545">
        <f>IF(AND(FJ208="",FJ209=""),"",COUNTIF(FY7:FY206,"E"))</f>
        <v>0</v>
      </c>
      <c r="FO212" s="1272">
        <f>IF(AND(FJ208="",FJ209=""),"",SUM(FJ212,FK212,FL212,FM212,FN212))</f>
        <v>15</v>
      </c>
      <c r="FP212" s="1273"/>
      <c r="FQ212" s="570"/>
      <c r="FR212" s="365"/>
      <c r="FS212" s="365"/>
      <c r="FT212" s="365"/>
      <c r="FU212" s="545">
        <f>IF(AND(FU208="",FU209=""),"",COUNTIF(GG7:GG206,"A"))</f>
        <v>6</v>
      </c>
      <c r="FV212" s="545">
        <f>IF(AND(FU208="",FU209=""),"",COUNTIF(GG7:GG206,"B"))</f>
        <v>9</v>
      </c>
      <c r="FW212" s="545">
        <f>IF(AND(FU208="",FU209=""),"",COUNTIF(GG7:GG206,"C"))</f>
        <v>0</v>
      </c>
      <c r="FX212" s="580">
        <f>IF(AND(FU208="",FU209=""),"",COUNTIF(GG7:GG206,"D"))</f>
        <v>0</v>
      </c>
      <c r="FY212" s="580">
        <f>IF(AND(FU208="",FU209=""),"",COUNTIF(GG7:GG206,"E"))</f>
        <v>0</v>
      </c>
      <c r="FZ212" s="579"/>
      <c r="GA212" s="579"/>
      <c r="GB212" s="579"/>
      <c r="GC212" s="1294">
        <f>IF(AND(FU208="",FU209=""),"",SUM(FU212,FV212,FW212,FX212,FY212))</f>
        <v>15</v>
      </c>
      <c r="GD212" s="1294"/>
      <c r="GE212" s="1278"/>
      <c r="GF212" s="1278"/>
      <c r="GG212" s="1278"/>
      <c r="GH212" s="365"/>
      <c r="GI212" s="365"/>
      <c r="GJ212" s="365"/>
      <c r="GK212" s="121"/>
      <c r="GL212" s="121"/>
      <c r="GM212" s="121"/>
      <c r="GN212" s="121"/>
      <c r="GO212" s="121"/>
      <c r="GP212" s="121"/>
      <c r="GQ212" s="121"/>
      <c r="GR212" s="121"/>
      <c r="GS212" s="121"/>
      <c r="GT212" s="121"/>
      <c r="GU212" s="121"/>
      <c r="GV212" s="121"/>
      <c r="GW212" s="121"/>
      <c r="GX212" s="121"/>
      <c r="GY212" s="121"/>
      <c r="GZ212" s="121"/>
      <c r="HA212" s="121"/>
      <c r="HB212" s="121"/>
      <c r="HC212" s="121"/>
      <c r="HD212" s="121"/>
      <c r="HE212" s="121"/>
      <c r="HF212" s="121"/>
      <c r="HG212" s="121"/>
      <c r="HH212" s="121"/>
      <c r="HI212" s="121"/>
      <c r="HJ212" s="121"/>
      <c r="HK212" s="121"/>
      <c r="HL212" s="121"/>
      <c r="HM212" s="121"/>
      <c r="HN212" s="121"/>
      <c r="HO212" s="121"/>
      <c r="HP212" s="1198"/>
      <c r="HQ212" s="1199"/>
      <c r="HR212" s="1218"/>
      <c r="HS212" s="1080" t="str">
        <f>IF('School Profile'!$D$12="Hindi","उतीर्ण","Pass")</f>
        <v>उतीर्ण</v>
      </c>
      <c r="HT212" s="1080"/>
      <c r="HU212" s="1080"/>
      <c r="HV212" s="1153">
        <f>SUM(HV209:HW211)</f>
        <v>28</v>
      </c>
      <c r="HW212" s="1191"/>
      <c r="HX212" s="1300"/>
      <c r="HY212" s="1237" t="str">
        <f>IF('School Profile'!$D$12="Hindi","उतीर्ण","Pass")</f>
        <v>उतीर्ण</v>
      </c>
      <c r="HZ212" s="1080"/>
      <c r="IA212" s="1080"/>
      <c r="IB212" s="142">
        <f>SUM(IB209:IB211)</f>
        <v>1</v>
      </c>
      <c r="IC212" s="601">
        <f>SUM(HV212,IB212)</f>
        <v>29</v>
      </c>
      <c r="IS212" s="109" t="str">
        <f>IF('Supp. Result Entry'!T210="","",'Supp. Result Entry'!$T$4)</f>
        <v/>
      </c>
      <c r="IT212" s="110" t="str">
        <f>IF('Supp. Result Entry'!W210="","",'Supp. Result Entry'!$W$4)</f>
        <v/>
      </c>
      <c r="IU212" s="110" t="str">
        <f>IF('Supp. Result Entry'!Z210="","",'Supp. Result Entry'!$Z$4)</f>
        <v/>
      </c>
      <c r="IV212" s="110" t="str">
        <f>IF('Supp. Result Entry'!AC210="","",'Supp. Result Entry'!$AC$4)</f>
        <v/>
      </c>
      <c r="IW212" s="110" t="str">
        <f>IF('Supp. Result Entry'!AF210="","",'Supp. Result Entry'!$AF$4)</f>
        <v/>
      </c>
      <c r="IX212" s="110" t="str">
        <f>IF('Supp. Result Entry'!AI210="","",'Supp. Result Entry'!$AI$4)</f>
        <v/>
      </c>
      <c r="IY212" s="110" t="str">
        <f>IF('Supp. Result Entry'!AI210="","",'Supp. Result Entry'!$AL$4)</f>
        <v/>
      </c>
      <c r="IZ212" s="110" t="str">
        <f>IF('Supp. Result Entry'!U210="","",'Supp. Result Entry'!U210)</f>
        <v/>
      </c>
      <c r="JA212" s="110" t="str">
        <f>IF('Supp. Result Entry'!X210="","",'Supp. Result Entry'!X210)</f>
        <v/>
      </c>
      <c r="JB212" s="110" t="str">
        <f>IF('Supp. Result Entry'!AA210="","",'Supp. Result Entry'!AA210)</f>
        <v/>
      </c>
      <c r="JC212" s="110" t="str">
        <f>IF('Supp. Result Entry'!AD210="","",'Supp. Result Entry'!AD210)</f>
        <v/>
      </c>
      <c r="JD212" s="110" t="str">
        <f>IF('Supp. Result Entry'!AG210="","",'Supp. Result Entry'!AG210)</f>
        <v/>
      </c>
      <c r="JE212" s="110" t="str">
        <f>IF('Supp. Result Entry'!AJ210="","",'Supp. Result Entry'!AJ210)</f>
        <v/>
      </c>
      <c r="JF212" s="110" t="str">
        <f>IF('Supp. Result Entry'!AM210="","",'Supp. Result Entry'!AM210)</f>
        <v/>
      </c>
      <c r="JG212" s="110" t="str">
        <f>IF('Supp. Result Entry'!V210="","",'Supp. Result Entry'!V210)</f>
        <v/>
      </c>
      <c r="JH212" s="110" t="str">
        <f>IF('Supp. Result Entry'!Y210="","",'Supp. Result Entry'!Y210)</f>
        <v/>
      </c>
      <c r="JI212" s="110" t="str">
        <f>IF('Supp. Result Entry'!AB210="","",'Supp. Result Entry'!AB210)</f>
        <v/>
      </c>
      <c r="JJ212" s="110" t="str">
        <f>IF('Supp. Result Entry'!AE210="","",'Supp. Result Entry'!AE210)</f>
        <v/>
      </c>
      <c r="JK212" s="110" t="str">
        <f>IF('Supp. Result Entry'!AH210="","",'Supp. Result Entry'!AH210)</f>
        <v/>
      </c>
      <c r="JL212" s="110" t="str">
        <f>IF('Supp. Result Entry'!AK210="","",'Supp. Result Entry'!AK210)</f>
        <v/>
      </c>
      <c r="JM212" s="110" t="str">
        <f>IF('Supp. Result Entry'!AN210="","",'Supp. Result Entry'!AN210)</f>
        <v/>
      </c>
      <c r="JN212" s="110">
        <f>COUNTIF('Supp. Result Entry'!K210:Q210,"S")</f>
        <v>0</v>
      </c>
      <c r="JO212" s="110">
        <f t="shared" si="584"/>
        <v>0</v>
      </c>
      <c r="JP212" s="110">
        <f t="shared" si="661"/>
        <v>0</v>
      </c>
      <c r="JQ212" s="110" t="str">
        <f>IF(OR(JN212=0,JN212&lt;JP212),"",IF(OR(GN212="RE",GN212="REP"),SUM(Q212,IZ212),IF(GN212="S",IZ212,Q212)))</f>
        <v/>
      </c>
      <c r="JR212" s="110" t="str">
        <f>IF(OR(JN212=0,JN212&lt;JP212),"",IF(OR(GQ212="RE",GQ212="REP"),SUM(AE212,JA212),IF(GQ212="S",JA212,AE212)))</f>
        <v/>
      </c>
      <c r="JS212" s="110" t="str">
        <f t="shared" si="587"/>
        <v/>
      </c>
      <c r="JT212" s="110" t="str">
        <f t="shared" si="588"/>
        <v/>
      </c>
      <c r="JU212" s="110" t="str">
        <f t="shared" si="589"/>
        <v/>
      </c>
      <c r="JV212" s="110" t="str">
        <f t="shared" si="590"/>
        <v/>
      </c>
      <c r="JW212" s="110" t="str">
        <f t="shared" si="591"/>
        <v/>
      </c>
      <c r="JX212" s="110" t="str">
        <f t="shared" si="662"/>
        <v/>
      </c>
      <c r="JY212" s="110" t="str">
        <f t="shared" si="663"/>
        <v/>
      </c>
      <c r="JZ212" s="110" t="str">
        <f t="shared" si="592"/>
        <v/>
      </c>
      <c r="KA212" s="108" t="str">
        <f t="shared" si="664"/>
        <v/>
      </c>
    </row>
    <row r="213" spans="1:287" s="148" customFormat="1" ht="18.75" customHeight="1">
      <c r="A213" s="1103"/>
      <c r="B213" s="1104"/>
      <c r="C213" s="1104"/>
      <c r="D213" s="1104"/>
      <c r="E213" s="1104"/>
      <c r="F213" s="1105"/>
      <c r="G213" s="1109" t="str">
        <f>IF('School Profile'!$D$12="Hindi","कुल उत्तीर्ण प्रतिशत में  :","Total Pass  %  :")</f>
        <v>कुल उत्तीर्ण प्रतिशत में  :</v>
      </c>
      <c r="H213" s="1109"/>
      <c r="I213" s="1132" t="s">
        <v>41</v>
      </c>
      <c r="J213" s="1132"/>
      <c r="K213" s="1149">
        <f>IF(AND(K208="",K209=""),"",IF(K210=0,0,Q212/K210*100))</f>
        <v>96.666666666666671</v>
      </c>
      <c r="L213" s="1149"/>
      <c r="M213" s="1149"/>
      <c r="N213" s="1149"/>
      <c r="O213" s="1149"/>
      <c r="P213" s="1149"/>
      <c r="Q213" s="1149"/>
      <c r="R213" s="1149"/>
      <c r="S213" s="1149"/>
      <c r="T213" s="1149"/>
      <c r="U213" s="1149"/>
      <c r="V213" s="1149"/>
      <c r="W213" s="1149"/>
      <c r="X213" s="1149"/>
      <c r="Y213" s="1149">
        <f>IF(AND(Y208="",Y209=""),"",IF(Y210=0,0,AE212/Y210*100))</f>
        <v>100</v>
      </c>
      <c r="Z213" s="1149"/>
      <c r="AA213" s="1149"/>
      <c r="AB213" s="1149"/>
      <c r="AC213" s="1149"/>
      <c r="AD213" s="1149"/>
      <c r="AE213" s="1149"/>
      <c r="AF213" s="1149"/>
      <c r="AG213" s="1149"/>
      <c r="AH213" s="1149"/>
      <c r="AI213" s="1149"/>
      <c r="AJ213" s="1149"/>
      <c r="AK213" s="1149"/>
      <c r="AL213" s="1149"/>
      <c r="AM213" s="1188">
        <f>IF(AND(AM208="",AM209=""),"",IF(AM210=0,0,AQ212/AM210*100))</f>
        <v>100</v>
      </c>
      <c r="AN213" s="1189"/>
      <c r="AO213" s="1189"/>
      <c r="AP213" s="1189"/>
      <c r="AQ213" s="1190"/>
      <c r="AR213" s="1149">
        <f>IF(AND(AR208="",AR209=""),"",IF(AR210=0,0,BB212/AR210*100))</f>
        <v>100</v>
      </c>
      <c r="AS213" s="1149"/>
      <c r="AT213" s="1149"/>
      <c r="AU213" s="1149"/>
      <c r="AV213" s="1149"/>
      <c r="AW213" s="1149"/>
      <c r="AX213" s="1149"/>
      <c r="AY213" s="1149"/>
      <c r="AZ213" s="1149"/>
      <c r="BA213" s="1149"/>
      <c r="BB213" s="1149"/>
      <c r="BC213" s="1149">
        <f>IF(AND(BC208="",BC209=""),"",IF(BC210=0,0,BG212/BC210*100))</f>
        <v>100</v>
      </c>
      <c r="BD213" s="1149"/>
      <c r="BE213" s="1149"/>
      <c r="BF213" s="1149"/>
      <c r="BG213" s="1149"/>
      <c r="BH213" s="1188">
        <f>IF(AND(BH208="",BH209=""),"",IF(BH210=0,0,BR212/BH210*100))</f>
        <v>100</v>
      </c>
      <c r="BI213" s="1189"/>
      <c r="BJ213" s="1189"/>
      <c r="BK213" s="1189"/>
      <c r="BL213" s="1189"/>
      <c r="BM213" s="1189"/>
      <c r="BN213" s="1189"/>
      <c r="BO213" s="1189"/>
      <c r="BP213" s="1189"/>
      <c r="BQ213" s="1189"/>
      <c r="BR213" s="1190"/>
      <c r="BS213" s="1149">
        <f>IF(AND(BS208="",BS209=""),"",IF(BS210=0,0,BW212/BS210*100))</f>
        <v>100</v>
      </c>
      <c r="BT213" s="1149"/>
      <c r="BU213" s="1149"/>
      <c r="BV213" s="1149"/>
      <c r="BW213" s="1149"/>
      <c r="BX213" s="143"/>
      <c r="BY213" s="144"/>
      <c r="BZ213" s="372"/>
      <c r="CA213" s="372"/>
      <c r="CB213" s="372"/>
      <c r="CC213" s="145"/>
      <c r="CD213" s="146"/>
      <c r="CE213" s="1149">
        <f>IF(AND(CE208="",CE209=""),"",IF(CE210=0,0,CI212/CE210*100))</f>
        <v>96.774193548387103</v>
      </c>
      <c r="CF213" s="1149"/>
      <c r="CG213" s="1149"/>
      <c r="CH213" s="1149"/>
      <c r="CI213" s="1149"/>
      <c r="CJ213" s="1149">
        <f>IF(AND(CJ208="",CJ209=""),"",IF(CJ210=0,0,CT212/CJ210*100))</f>
        <v>100</v>
      </c>
      <c r="CK213" s="1149"/>
      <c r="CL213" s="1149"/>
      <c r="CM213" s="1149"/>
      <c r="CN213" s="1149"/>
      <c r="CO213" s="1149"/>
      <c r="CP213" s="1149"/>
      <c r="CQ213" s="1149"/>
      <c r="CR213" s="1149"/>
      <c r="CS213" s="1149"/>
      <c r="CT213" s="1149"/>
      <c r="CU213" s="1149">
        <f>IF(AND(CU208="",CU209=""),"",IF(CU210=0,0,CY212/CU210*100))</f>
        <v>100</v>
      </c>
      <c r="CV213" s="1149"/>
      <c r="CW213" s="1149"/>
      <c r="CX213" s="1149"/>
      <c r="CY213" s="1149"/>
      <c r="CZ213" s="1188">
        <f>IF(AND(CZ208="",CZ209=""),"",IF(CZ210=0,0,DE212/CZ210*100))</f>
        <v>100</v>
      </c>
      <c r="DA213" s="1189"/>
      <c r="DB213" s="1189"/>
      <c r="DC213" s="1189"/>
      <c r="DD213" s="1189"/>
      <c r="DE213" s="1190"/>
      <c r="DF213" s="383"/>
      <c r="DG213" s="384"/>
      <c r="DH213" s="147"/>
      <c r="DI213" s="147"/>
      <c r="DJ213" s="147"/>
      <c r="DK213" s="147"/>
      <c r="DL213" s="115"/>
      <c r="DM213" s="115"/>
      <c r="DN213" s="115"/>
      <c r="DO213" s="115"/>
      <c r="DP213" s="115"/>
      <c r="DQ213" s="115"/>
      <c r="DR213" s="115"/>
      <c r="DS213" s="115"/>
      <c r="DT213" s="115"/>
      <c r="DU213" s="115"/>
      <c r="DV213" s="115"/>
      <c r="DW213" s="115"/>
      <c r="DX213" s="115"/>
      <c r="DY213" s="115"/>
      <c r="DZ213" s="1267">
        <f>IF(AND(DZ208="",DZ209=""),"",IF(DZ210=0,0,EE212/DZ210*100))</f>
        <v>100</v>
      </c>
      <c r="EA213" s="1268"/>
      <c r="EB213" s="1268"/>
      <c r="EC213" s="1268"/>
      <c r="ED213" s="1268"/>
      <c r="EE213" s="1268"/>
      <c r="EF213" s="1269"/>
      <c r="EG213" s="1263"/>
      <c r="EH213" s="1264"/>
      <c r="EI213" s="365"/>
      <c r="EJ213" s="365"/>
      <c r="EK213" s="365"/>
      <c r="EL213" s="1295">
        <f>IF(AND(EL208="",EL209=""),"",IF(EL210=0,0,EQ212/EL210*100))</f>
        <v>100</v>
      </c>
      <c r="EM213" s="1295"/>
      <c r="EN213" s="1295"/>
      <c r="EO213" s="1295"/>
      <c r="EP213" s="1295"/>
      <c r="EQ213" s="1295"/>
      <c r="ER213" s="1295"/>
      <c r="ES213" s="1277"/>
      <c r="ET213" s="1278"/>
      <c r="EU213" s="1278"/>
      <c r="EV213" s="1278"/>
      <c r="EW213" s="1278"/>
      <c r="EX213" s="1278"/>
      <c r="EY213" s="365"/>
      <c r="EZ213" s="365"/>
      <c r="FA213" s="365"/>
      <c r="FB213" s="1295">
        <f>IF(AND(FB208="",FB209=""),"",IF(FB210=0,0,FG212/FB210*100))</f>
        <v>100</v>
      </c>
      <c r="FC213" s="1295"/>
      <c r="FD213" s="1295"/>
      <c r="FE213" s="1295"/>
      <c r="FF213" s="1295"/>
      <c r="FG213" s="1295"/>
      <c r="FH213" s="1295"/>
      <c r="FI213" s="569"/>
      <c r="FJ213" s="1295">
        <f>IF(AND(FJ208="",FJ209=""),"",IF(FJ210=0,0,FO212/FJ210*100))</f>
        <v>100</v>
      </c>
      <c r="FK213" s="1295"/>
      <c r="FL213" s="1295"/>
      <c r="FM213" s="1295"/>
      <c r="FN213" s="1295"/>
      <c r="FO213" s="1295"/>
      <c r="FP213" s="1295"/>
      <c r="FQ213" s="570"/>
      <c r="FR213" s="365"/>
      <c r="FS213" s="365"/>
      <c r="FT213" s="365"/>
      <c r="FU213" s="1267">
        <f>IF(AND(FU208="",FU209=""),"",IF(FU210=0,0,GC212/FU210*100))</f>
        <v>100</v>
      </c>
      <c r="FV213" s="1268"/>
      <c r="FW213" s="1268"/>
      <c r="FX213" s="1268"/>
      <c r="FY213" s="1268"/>
      <c r="FZ213" s="1268"/>
      <c r="GA213" s="1268"/>
      <c r="GB213" s="1268"/>
      <c r="GC213" s="1268"/>
      <c r="GD213" s="1269"/>
      <c r="GE213" s="1278"/>
      <c r="GF213" s="1278"/>
      <c r="GG213" s="1278"/>
      <c r="GH213" s="365"/>
      <c r="GI213" s="365"/>
      <c r="GJ213" s="365"/>
      <c r="GK213" s="121"/>
      <c r="GL213" s="121"/>
      <c r="GM213" s="121"/>
      <c r="GN213" s="121"/>
      <c r="GO213" s="121"/>
      <c r="GP213" s="121"/>
      <c r="GQ213" s="121"/>
      <c r="GR213" s="121"/>
      <c r="GS213" s="121"/>
      <c r="GT213" s="121"/>
      <c r="GU213" s="121"/>
      <c r="GV213" s="121"/>
      <c r="GW213" s="121"/>
      <c r="GX213" s="121"/>
      <c r="GY213" s="121"/>
      <c r="GZ213" s="121"/>
      <c r="HA213" s="121"/>
      <c r="HB213" s="121"/>
      <c r="HC213" s="121"/>
      <c r="HD213" s="121"/>
      <c r="HE213" s="121"/>
      <c r="HF213" s="121"/>
      <c r="HG213" s="121"/>
      <c r="HH213" s="121"/>
      <c r="HI213" s="121"/>
      <c r="HJ213" s="121"/>
      <c r="HK213" s="121"/>
      <c r="HL213" s="121"/>
      <c r="HM213" s="121"/>
      <c r="HN213" s="121"/>
      <c r="HO213" s="121"/>
      <c r="HP213" s="1198" t="str">
        <f>IF('School Profile'!$D$12="Hindi","हस्ताक्षर जांचकर्ता","Signature of the checker")</f>
        <v>हस्ताक्षर जांचकर्ता</v>
      </c>
      <c r="HQ213" s="1199"/>
      <c r="HR213" s="1218" t="str">
        <f>CONCATENATE("( ",UPPER('School Profile'!D16)," )")</f>
        <v>( RAKESH KUMAR )</v>
      </c>
      <c r="HS213" s="1080" t="str">
        <f>IF('School Profile'!$D$12="Hindi","पूरक","Supp.")</f>
        <v>पूरक</v>
      </c>
      <c r="HT213" s="1080"/>
      <c r="HU213" s="1080"/>
      <c r="HV213" s="1192">
        <f>COUNTIF(HS7:HS206,"Supplementary")</f>
        <v>1</v>
      </c>
      <c r="HW213" s="1193"/>
      <c r="HX213" s="1300"/>
      <c r="HY213" s="1237" t="str">
        <f>IF('School Profile'!$D$12="Hindi","पूरक","Supp.")</f>
        <v>पूरक</v>
      </c>
      <c r="HZ213" s="1080"/>
      <c r="IA213" s="1080"/>
      <c r="IB213" s="551">
        <f>COUNTIF(IB7:IB206,"Supplementary")</f>
        <v>0</v>
      </c>
      <c r="IC213" s="602">
        <f>IB213</f>
        <v>0</v>
      </c>
      <c r="IS213" s="109" t="str">
        <f>IF('Supp. Result Entry'!T211="","",'Supp. Result Entry'!$T$4)</f>
        <v/>
      </c>
      <c r="IT213" s="110" t="str">
        <f>IF('Supp. Result Entry'!W211="","",'Supp. Result Entry'!$W$4)</f>
        <v/>
      </c>
      <c r="IU213" s="110" t="str">
        <f>IF('Supp. Result Entry'!Z211="","",'Supp. Result Entry'!$Z$4)</f>
        <v/>
      </c>
      <c r="IV213" s="110" t="str">
        <f>IF('Supp. Result Entry'!AC211="","",'Supp. Result Entry'!$AC$4)</f>
        <v/>
      </c>
      <c r="IW213" s="110" t="str">
        <f>IF('Supp. Result Entry'!AF211="","",'Supp. Result Entry'!$AF$4)</f>
        <v/>
      </c>
      <c r="IX213" s="110" t="str">
        <f>IF('Supp. Result Entry'!AI211="","",'Supp. Result Entry'!$AI$4)</f>
        <v/>
      </c>
      <c r="IY213" s="110" t="str">
        <f>IF('Supp. Result Entry'!AI211="","",'Supp. Result Entry'!$AL$4)</f>
        <v/>
      </c>
      <c r="IZ213" s="110" t="str">
        <f>IF('Supp. Result Entry'!U211="","",'Supp. Result Entry'!U211)</f>
        <v/>
      </c>
      <c r="JA213" s="110" t="str">
        <f>IF('Supp. Result Entry'!X211="","",'Supp. Result Entry'!X211)</f>
        <v/>
      </c>
      <c r="JB213" s="110" t="str">
        <f>IF('Supp. Result Entry'!AA211="","",'Supp. Result Entry'!AA211)</f>
        <v/>
      </c>
      <c r="JC213" s="110" t="str">
        <f>IF('Supp. Result Entry'!AD211="","",'Supp. Result Entry'!AD211)</f>
        <v/>
      </c>
      <c r="JD213" s="110" t="str">
        <f>IF('Supp. Result Entry'!AG211="","",'Supp. Result Entry'!AG211)</f>
        <v/>
      </c>
      <c r="JE213" s="110" t="str">
        <f>IF('Supp. Result Entry'!AJ211="","",'Supp. Result Entry'!AJ211)</f>
        <v/>
      </c>
      <c r="JF213" s="110" t="str">
        <f>IF('Supp. Result Entry'!AM211="","",'Supp. Result Entry'!AM211)</f>
        <v/>
      </c>
      <c r="JG213" s="110" t="str">
        <f>IF('Supp. Result Entry'!V211="","",'Supp. Result Entry'!V211)</f>
        <v/>
      </c>
      <c r="JH213" s="110" t="str">
        <f>IF('Supp. Result Entry'!Y211="","",'Supp. Result Entry'!Y211)</f>
        <v/>
      </c>
      <c r="JI213" s="110" t="str">
        <f>IF('Supp. Result Entry'!AB211="","",'Supp. Result Entry'!AB211)</f>
        <v/>
      </c>
      <c r="JJ213" s="110" t="str">
        <f>IF('Supp. Result Entry'!AE211="","",'Supp. Result Entry'!AE211)</f>
        <v/>
      </c>
      <c r="JK213" s="110" t="str">
        <f>IF('Supp. Result Entry'!AH211="","",'Supp. Result Entry'!AH211)</f>
        <v/>
      </c>
      <c r="JL213" s="110" t="str">
        <f>IF('Supp. Result Entry'!AK211="","",'Supp. Result Entry'!AK211)</f>
        <v/>
      </c>
      <c r="JM213" s="110" t="str">
        <f>IF('Supp. Result Entry'!AN211="","",'Supp. Result Entry'!AN211)</f>
        <v/>
      </c>
      <c r="JN213" s="110">
        <f>COUNTIF('Supp. Result Entry'!K211:Q211,"S")</f>
        <v>0</v>
      </c>
      <c r="JO213" s="110">
        <f t="shared" si="584"/>
        <v>0</v>
      </c>
      <c r="JP213" s="110">
        <f t="shared" si="661"/>
        <v>0</v>
      </c>
      <c r="JQ213" s="110" t="str">
        <f t="shared" si="585"/>
        <v/>
      </c>
      <c r="JR213" s="110" t="str">
        <f t="shared" si="586"/>
        <v/>
      </c>
      <c r="JS213" s="110" t="str">
        <f t="shared" si="587"/>
        <v/>
      </c>
      <c r="JT213" s="110" t="str">
        <f t="shared" si="588"/>
        <v/>
      </c>
      <c r="JU213" s="110" t="str">
        <f t="shared" si="589"/>
        <v/>
      </c>
      <c r="JV213" s="110" t="str">
        <f t="shared" si="590"/>
        <v/>
      </c>
      <c r="JW213" s="110" t="str">
        <f t="shared" si="591"/>
        <v/>
      </c>
      <c r="JX213" s="110" t="str">
        <f t="shared" si="662"/>
        <v/>
      </c>
      <c r="JY213" s="110" t="str">
        <f t="shared" si="663"/>
        <v/>
      </c>
      <c r="JZ213" s="110" t="str">
        <f t="shared" si="592"/>
        <v/>
      </c>
      <c r="KA213" s="108" t="str">
        <f t="shared" si="664"/>
        <v/>
      </c>
    </row>
    <row r="214" spans="1:287" s="153" customFormat="1" ht="20.25" customHeight="1">
      <c r="A214" s="1103"/>
      <c r="B214" s="1104"/>
      <c r="C214" s="1104"/>
      <c r="D214" s="1104"/>
      <c r="E214" s="1104"/>
      <c r="F214" s="1105"/>
      <c r="G214" s="1109" t="str">
        <f>IF('School Profile'!$D$12="Hindi","पूरक परीक्षा  :","Supplementary  :")</f>
        <v>पूरक परीक्षा  :</v>
      </c>
      <c r="H214" s="1109"/>
      <c r="I214" s="1132" t="s">
        <v>41</v>
      </c>
      <c r="J214" s="1132"/>
      <c r="K214" s="1186">
        <f>IF(AND(K208="",K209=""),"",COUNTIF(GN7:GN206,"S"))</f>
        <v>0</v>
      </c>
      <c r="L214" s="1186"/>
      <c r="M214" s="1186"/>
      <c r="N214" s="1186"/>
      <c r="O214" s="1186"/>
      <c r="P214" s="1186"/>
      <c r="Q214" s="1186"/>
      <c r="R214" s="1186"/>
      <c r="S214" s="1186"/>
      <c r="T214" s="1186"/>
      <c r="U214" s="1186"/>
      <c r="V214" s="1186"/>
      <c r="W214" s="1186"/>
      <c r="X214" s="1186"/>
      <c r="Y214" s="1186">
        <f>IF(AND(Y208="",Y209=""),"",COUNTIF(GQ7:GQ206,"S"))</f>
        <v>0</v>
      </c>
      <c r="Z214" s="1186"/>
      <c r="AA214" s="1186"/>
      <c r="AB214" s="1186"/>
      <c r="AC214" s="1186"/>
      <c r="AD214" s="1186"/>
      <c r="AE214" s="1186"/>
      <c r="AF214" s="1186"/>
      <c r="AG214" s="1186"/>
      <c r="AH214" s="1186"/>
      <c r="AI214" s="1186"/>
      <c r="AJ214" s="1186"/>
      <c r="AK214" s="1186"/>
      <c r="AL214" s="1186"/>
      <c r="AM214" s="1122">
        <f>IF(AND(AM208="",AM209=""),"",COUNTIF(GU7:GU206,"s"))</f>
        <v>0</v>
      </c>
      <c r="AN214" s="1123"/>
      <c r="AO214" s="1123"/>
      <c r="AP214" s="1123"/>
      <c r="AQ214" s="1124"/>
      <c r="AR214" s="1122">
        <f>IF(AND(AR208="",AR209=""),"",COUNTIF(GV7:GV206,"S"))</f>
        <v>0</v>
      </c>
      <c r="AS214" s="1123"/>
      <c r="AT214" s="1123"/>
      <c r="AU214" s="1123"/>
      <c r="AV214" s="1123"/>
      <c r="AW214" s="1123"/>
      <c r="AX214" s="1123"/>
      <c r="AY214" s="1123"/>
      <c r="AZ214" s="1123"/>
      <c r="BA214" s="1123"/>
      <c r="BB214" s="1124"/>
      <c r="BC214" s="1122">
        <f>IF(AND(BC208="",BC209=""),"",COUNTIF(GW7:GW206,"S"))</f>
        <v>0</v>
      </c>
      <c r="BD214" s="1123"/>
      <c r="BE214" s="1123"/>
      <c r="BF214" s="1123"/>
      <c r="BG214" s="1124"/>
      <c r="BH214" s="1122">
        <f>IF(AND(BH208="",BH209=""),"",COUNTIF(GX7:GX206,"S"))</f>
        <v>0</v>
      </c>
      <c r="BI214" s="1123"/>
      <c r="BJ214" s="1123"/>
      <c r="BK214" s="1123"/>
      <c r="BL214" s="1123"/>
      <c r="BM214" s="1123"/>
      <c r="BN214" s="1123"/>
      <c r="BO214" s="1123"/>
      <c r="BP214" s="1123"/>
      <c r="BQ214" s="1123"/>
      <c r="BR214" s="1124"/>
      <c r="BS214" s="1147">
        <f>IF(AND(BS208="",BS209=""),"",COUNTIF(GY7:GY206,"S"))</f>
        <v>0</v>
      </c>
      <c r="BT214" s="1147"/>
      <c r="BU214" s="1147"/>
      <c r="BV214" s="1147"/>
      <c r="BW214" s="1147"/>
      <c r="BX214" s="149"/>
      <c r="BY214" s="150"/>
      <c r="BZ214" s="372"/>
      <c r="CA214" s="372"/>
      <c r="CB214" s="372"/>
      <c r="CC214" s="151"/>
      <c r="CD214" s="372"/>
      <c r="CE214" s="1147">
        <f>IF(AND(CE208="",CE209=""),"",COUNTIF(HB7:HB206,"S"))</f>
        <v>1</v>
      </c>
      <c r="CF214" s="1147"/>
      <c r="CG214" s="1147"/>
      <c r="CH214" s="1147"/>
      <c r="CI214" s="1147"/>
      <c r="CJ214" s="1147">
        <f>IF(AND(CJ208="",CJ209=""),"",COUNTIF(HE7:HE206,"S"))</f>
        <v>0</v>
      </c>
      <c r="CK214" s="1147"/>
      <c r="CL214" s="1147"/>
      <c r="CM214" s="1147"/>
      <c r="CN214" s="1147"/>
      <c r="CO214" s="1147"/>
      <c r="CP214" s="1147"/>
      <c r="CQ214" s="1147"/>
      <c r="CR214" s="1147"/>
      <c r="CS214" s="1147"/>
      <c r="CT214" s="1147"/>
      <c r="CU214" s="1147">
        <f>IF(AND(CU208="",CU209=""),"",COUNTIF(HH7:HH206,"S"))</f>
        <v>0</v>
      </c>
      <c r="CV214" s="1147"/>
      <c r="CW214" s="1147"/>
      <c r="CX214" s="1147"/>
      <c r="CY214" s="1147"/>
      <c r="CZ214" s="1122">
        <f>IF(AND(CZ208="",CZ209=""),"",COUNTIF(HK7:HK206,"S"))</f>
        <v>0</v>
      </c>
      <c r="DA214" s="1123"/>
      <c r="DB214" s="1123"/>
      <c r="DC214" s="1123"/>
      <c r="DD214" s="1123"/>
      <c r="DE214" s="1124"/>
      <c r="DF214" s="385"/>
      <c r="DG214" s="386"/>
      <c r="DH214" s="152"/>
      <c r="DI214" s="152"/>
      <c r="DJ214" s="152"/>
      <c r="DK214" s="152"/>
      <c r="DL214" s="115"/>
      <c r="DM214" s="115"/>
      <c r="DN214" s="115"/>
      <c r="DO214" s="115"/>
      <c r="DP214" s="115"/>
      <c r="DQ214" s="115"/>
      <c r="DR214" s="115"/>
      <c r="DS214" s="115"/>
      <c r="DT214" s="115"/>
      <c r="DU214" s="115"/>
      <c r="DV214" s="115"/>
      <c r="DW214" s="115"/>
      <c r="DX214" s="115"/>
      <c r="DY214" s="115"/>
      <c r="DZ214" s="1258">
        <f>IF(AND(DZ208="",DZ209=""),"",COUNTIF(EH7:EH206,"S"))</f>
        <v>0</v>
      </c>
      <c r="EA214" s="1259"/>
      <c r="EB214" s="1259"/>
      <c r="EC214" s="1259"/>
      <c r="ED214" s="1259"/>
      <c r="EE214" s="1259"/>
      <c r="EF214" s="1260"/>
      <c r="EG214" s="1263"/>
      <c r="EH214" s="1264"/>
      <c r="EI214" s="365"/>
      <c r="EJ214" s="365"/>
      <c r="EK214" s="365"/>
      <c r="EL214" s="1258">
        <f>IF(AND(EL208="",EL209=""),"",COUNTIF(EX7:EX206,"S"))</f>
        <v>0</v>
      </c>
      <c r="EM214" s="1259"/>
      <c r="EN214" s="1259"/>
      <c r="EO214" s="1259"/>
      <c r="EP214" s="1259"/>
      <c r="EQ214" s="1259"/>
      <c r="ER214" s="1260"/>
      <c r="ES214" s="1277"/>
      <c r="ET214" s="1278"/>
      <c r="EU214" s="1278"/>
      <c r="EV214" s="1278"/>
      <c r="EW214" s="1278"/>
      <c r="EX214" s="1278"/>
      <c r="EY214" s="365"/>
      <c r="EZ214" s="365"/>
      <c r="FA214" s="365"/>
      <c r="FB214" s="1258">
        <f>IF(AND(FB208="",FB209=""),"",COUNTIF(FQ7:FQ206,"S"))</f>
        <v>0</v>
      </c>
      <c r="FC214" s="1259"/>
      <c r="FD214" s="1259"/>
      <c r="FE214" s="1259"/>
      <c r="FF214" s="1259"/>
      <c r="FG214" s="1259"/>
      <c r="FH214" s="1260"/>
      <c r="FI214" s="569"/>
      <c r="FJ214" s="1258">
        <f>IF(AND(FJ208="",FJ209=""),"",COUNTIF(FY7:FY206,"S"))</f>
        <v>0</v>
      </c>
      <c r="FK214" s="1259"/>
      <c r="FL214" s="1259"/>
      <c r="FM214" s="1259"/>
      <c r="FN214" s="1259"/>
      <c r="FO214" s="1259"/>
      <c r="FP214" s="1260"/>
      <c r="FQ214" s="570"/>
      <c r="FR214" s="365"/>
      <c r="FS214" s="365"/>
      <c r="FT214" s="365"/>
      <c r="FU214" s="1258">
        <f>IF(AND(FU208="",FU209=""),"",COUNTIF(GG7:GG206,"S"))</f>
        <v>0</v>
      </c>
      <c r="FV214" s="1259"/>
      <c r="FW214" s="1259"/>
      <c r="FX214" s="1259"/>
      <c r="FY214" s="1259"/>
      <c r="FZ214" s="1259"/>
      <c r="GA214" s="1259"/>
      <c r="GB214" s="1259"/>
      <c r="GC214" s="1259"/>
      <c r="GD214" s="1260"/>
      <c r="GE214" s="1278"/>
      <c r="GF214" s="1278"/>
      <c r="GG214" s="1278"/>
      <c r="GH214" s="365"/>
      <c r="GI214" s="365"/>
      <c r="GJ214" s="365"/>
      <c r="GK214" s="121"/>
      <c r="GL214" s="121"/>
      <c r="GM214" s="121"/>
      <c r="GN214" s="121"/>
      <c r="GO214" s="121"/>
      <c r="GP214" s="121"/>
      <c r="GQ214" s="121"/>
      <c r="GR214" s="121"/>
      <c r="GS214" s="121"/>
      <c r="GT214" s="121"/>
      <c r="GU214" s="121"/>
      <c r="GV214" s="121"/>
      <c r="GW214" s="121"/>
      <c r="GX214" s="121"/>
      <c r="GY214" s="121"/>
      <c r="GZ214" s="121"/>
      <c r="HA214" s="121"/>
      <c r="HB214" s="121"/>
      <c r="HC214" s="121"/>
      <c r="HD214" s="121"/>
      <c r="HE214" s="121"/>
      <c r="HF214" s="121"/>
      <c r="HG214" s="121"/>
      <c r="HH214" s="121"/>
      <c r="HI214" s="121"/>
      <c r="HJ214" s="121"/>
      <c r="HK214" s="121"/>
      <c r="HL214" s="121"/>
      <c r="HM214" s="121"/>
      <c r="HN214" s="121"/>
      <c r="HO214" s="121"/>
      <c r="HP214" s="1198"/>
      <c r="HQ214" s="1199"/>
      <c r="HR214" s="1218"/>
      <c r="HS214" s="1080" t="str">
        <f>IF('School Profile'!$D$12="Hindi","अनुतीर्ण","Failed")</f>
        <v>अनुतीर्ण</v>
      </c>
      <c r="HT214" s="1080"/>
      <c r="HU214" s="1080"/>
      <c r="HV214" s="1194">
        <f>COUNTIF(HS7:HS206,"Fail")</f>
        <v>2</v>
      </c>
      <c r="HW214" s="1195"/>
      <c r="HX214" s="1300"/>
      <c r="HY214" s="1237" t="str">
        <f>IF('School Profile'!$D$12="Hindi","अनुतीर्ण","Failed")</f>
        <v>अनुतीर्ण</v>
      </c>
      <c r="HZ214" s="1080"/>
      <c r="IA214" s="1080"/>
      <c r="IB214" s="547">
        <f>COUNTIF(IB7:IB206,"FAIL")</f>
        <v>0</v>
      </c>
      <c r="IC214" s="603">
        <f>HV214</f>
        <v>2</v>
      </c>
      <c r="IS214" s="109" t="str">
        <f>IF('Supp. Result Entry'!T212="","",'Supp. Result Entry'!$T$4)</f>
        <v/>
      </c>
      <c r="IT214" s="110" t="str">
        <f>IF('Supp. Result Entry'!W212="","",'Supp. Result Entry'!$W$4)</f>
        <v/>
      </c>
      <c r="IU214" s="110" t="str">
        <f>IF('Supp. Result Entry'!Z212="","",'Supp. Result Entry'!$Z$4)</f>
        <v/>
      </c>
      <c r="IV214" s="110" t="str">
        <f>IF('Supp. Result Entry'!AC212="","",'Supp. Result Entry'!$AC$4)</f>
        <v/>
      </c>
      <c r="IW214" s="110" t="str">
        <f>IF('Supp. Result Entry'!AF212="","",'Supp. Result Entry'!$AF$4)</f>
        <v/>
      </c>
      <c r="IX214" s="110" t="str">
        <f>IF('Supp. Result Entry'!AI212="","",'Supp. Result Entry'!$AI$4)</f>
        <v/>
      </c>
      <c r="IY214" s="110" t="str">
        <f>IF('Supp. Result Entry'!AI212="","",'Supp. Result Entry'!$AL$4)</f>
        <v/>
      </c>
      <c r="IZ214" s="110" t="str">
        <f>IF('Supp. Result Entry'!U212="","",'Supp. Result Entry'!U212)</f>
        <v/>
      </c>
      <c r="JA214" s="110" t="str">
        <f>IF('Supp. Result Entry'!X212="","",'Supp. Result Entry'!X212)</f>
        <v/>
      </c>
      <c r="JB214" s="110" t="str">
        <f>IF('Supp. Result Entry'!AA212="","",'Supp. Result Entry'!AA212)</f>
        <v/>
      </c>
      <c r="JC214" s="110" t="str">
        <f>IF('Supp. Result Entry'!AD212="","",'Supp. Result Entry'!AD212)</f>
        <v/>
      </c>
      <c r="JD214" s="110" t="str">
        <f>IF('Supp. Result Entry'!AG212="","",'Supp. Result Entry'!AG212)</f>
        <v/>
      </c>
      <c r="JE214" s="110" t="str">
        <f>IF('Supp. Result Entry'!AJ212="","",'Supp. Result Entry'!AJ212)</f>
        <v/>
      </c>
      <c r="JF214" s="110" t="str">
        <f>IF('Supp. Result Entry'!AM212="","",'Supp. Result Entry'!AM212)</f>
        <v/>
      </c>
      <c r="JG214" s="110" t="str">
        <f>IF('Supp. Result Entry'!V212="","",'Supp. Result Entry'!V212)</f>
        <v/>
      </c>
      <c r="JH214" s="110" t="str">
        <f>IF('Supp. Result Entry'!Y212="","",'Supp. Result Entry'!Y212)</f>
        <v/>
      </c>
      <c r="JI214" s="110" t="str">
        <f>IF('Supp. Result Entry'!AB212="","",'Supp. Result Entry'!AB212)</f>
        <v/>
      </c>
      <c r="JJ214" s="110" t="str">
        <f>IF('Supp. Result Entry'!AE212="","",'Supp. Result Entry'!AE212)</f>
        <v/>
      </c>
      <c r="JK214" s="110" t="str">
        <f>IF('Supp. Result Entry'!AH212="","",'Supp. Result Entry'!AH212)</f>
        <v/>
      </c>
      <c r="JL214" s="110" t="str">
        <f>IF('Supp. Result Entry'!AK212="","",'Supp. Result Entry'!AK212)</f>
        <v/>
      </c>
      <c r="JM214" s="110" t="str">
        <f>IF('Supp. Result Entry'!AN212="","",'Supp. Result Entry'!AN212)</f>
        <v/>
      </c>
      <c r="JN214" s="110">
        <f>COUNTIF('Supp. Result Entry'!K212:Q212,"S")</f>
        <v>0</v>
      </c>
      <c r="JO214" s="110">
        <f t="shared" si="584"/>
        <v>0</v>
      </c>
      <c r="JP214" s="110">
        <f t="shared" si="661"/>
        <v>0</v>
      </c>
      <c r="JQ214" s="110" t="str">
        <f t="shared" si="585"/>
        <v/>
      </c>
      <c r="JR214" s="110" t="str">
        <f t="shared" si="586"/>
        <v/>
      </c>
      <c r="JS214" s="110" t="str">
        <f t="shared" si="587"/>
        <v/>
      </c>
      <c r="JT214" s="110" t="str">
        <f t="shared" si="588"/>
        <v/>
      </c>
      <c r="JU214" s="110" t="str">
        <f t="shared" si="589"/>
        <v/>
      </c>
      <c r="JV214" s="110" t="str">
        <f t="shared" si="590"/>
        <v/>
      </c>
      <c r="JW214" s="110" t="str">
        <f t="shared" si="591"/>
        <v/>
      </c>
      <c r="JX214" s="110" t="str">
        <f t="shared" si="662"/>
        <v/>
      </c>
      <c r="JY214" s="110" t="str">
        <f t="shared" si="663"/>
        <v/>
      </c>
      <c r="JZ214" s="110" t="str">
        <f t="shared" si="592"/>
        <v/>
      </c>
      <c r="KA214" s="108" t="str">
        <f t="shared" si="664"/>
        <v/>
      </c>
    </row>
    <row r="215" spans="1:287" s="156" customFormat="1" ht="20.25" customHeight="1">
      <c r="A215" s="1103"/>
      <c r="B215" s="1104"/>
      <c r="C215" s="1104"/>
      <c r="D215" s="1104"/>
      <c r="E215" s="1104"/>
      <c r="F215" s="1105"/>
      <c r="G215" s="1216" t="str">
        <f>IF('School Profile'!$D$12="Hindi","अनुतीर्ण  :","Failed  :")</f>
        <v>अनुतीर्ण  :</v>
      </c>
      <c r="H215" s="1216"/>
      <c r="I215" s="1132" t="s">
        <v>41</v>
      </c>
      <c r="J215" s="1132"/>
      <c r="K215" s="1186">
        <f>IF(AND(K208="",K209=""),"",COUNTIF(GN7:GN206,"F")+COUNTIF(GN7:GN206,"FP"))</f>
        <v>1</v>
      </c>
      <c r="L215" s="1186"/>
      <c r="M215" s="1186"/>
      <c r="N215" s="1186"/>
      <c r="O215" s="1186"/>
      <c r="P215" s="1186"/>
      <c r="Q215" s="1186"/>
      <c r="R215" s="1186"/>
      <c r="S215" s="1186"/>
      <c r="T215" s="1186"/>
      <c r="U215" s="1186"/>
      <c r="V215" s="1186"/>
      <c r="W215" s="1186"/>
      <c r="X215" s="1186"/>
      <c r="Y215" s="1186">
        <f>IF(AND(Y208="",Y209=""),"",COUNTIF(GQ7:GQ206,"F")+COUNTIF(GQ7:GQ206,"FP"))</f>
        <v>0</v>
      </c>
      <c r="Z215" s="1186"/>
      <c r="AA215" s="1186"/>
      <c r="AB215" s="1186"/>
      <c r="AC215" s="1186"/>
      <c r="AD215" s="1186"/>
      <c r="AE215" s="1186"/>
      <c r="AF215" s="1186"/>
      <c r="AG215" s="1186"/>
      <c r="AH215" s="1186"/>
      <c r="AI215" s="1186"/>
      <c r="AJ215" s="1186"/>
      <c r="AK215" s="1186"/>
      <c r="AL215" s="1186"/>
      <c r="AM215" s="1122">
        <f>IF(AND(AM208="",AM209=""),"",COUNTIF(GU7:GU206,"F")+COUNTIF(GU7:GU206,"FP"))</f>
        <v>0</v>
      </c>
      <c r="AN215" s="1123"/>
      <c r="AO215" s="1123"/>
      <c r="AP215" s="1123"/>
      <c r="AQ215" s="1124"/>
      <c r="AR215" s="1122">
        <f>IF(AND(AR208="",AR209=""),"",COUNTIF(GV7:GV206,"F")+COUNTIF(GV7:GV206,"FP"))</f>
        <v>0</v>
      </c>
      <c r="AS215" s="1123"/>
      <c r="AT215" s="1123"/>
      <c r="AU215" s="1123"/>
      <c r="AV215" s="1123"/>
      <c r="AW215" s="1123"/>
      <c r="AX215" s="1123"/>
      <c r="AY215" s="1123"/>
      <c r="AZ215" s="1123"/>
      <c r="BA215" s="1123"/>
      <c r="BB215" s="1124"/>
      <c r="BC215" s="1122">
        <f>IF(AND(BC208="",BC209=""),"",COUNTIF(GW7:GW206,"F")+COUNTIF(GW7:GW206,"FP"))</f>
        <v>0</v>
      </c>
      <c r="BD215" s="1123"/>
      <c r="BE215" s="1123"/>
      <c r="BF215" s="1123"/>
      <c r="BG215" s="1124"/>
      <c r="BH215" s="1122">
        <f>IF(AND(BH208="",BH209=""),"",COUNTIF(GX7:GX206,"F")+COUNTIF(GX7:GX206,"FP"))</f>
        <v>0</v>
      </c>
      <c r="BI215" s="1123"/>
      <c r="BJ215" s="1123"/>
      <c r="BK215" s="1123"/>
      <c r="BL215" s="1123"/>
      <c r="BM215" s="1123"/>
      <c r="BN215" s="1123"/>
      <c r="BO215" s="1123"/>
      <c r="BP215" s="1123"/>
      <c r="BQ215" s="1123"/>
      <c r="BR215" s="1124"/>
      <c r="BS215" s="1147">
        <f>IF(AND(BS208="",BS209=""),"",COUNTIF(GY7:GY206,"F")+COUNTIF(GY7:GY206,"FP"))</f>
        <v>0</v>
      </c>
      <c r="BT215" s="1147"/>
      <c r="BU215" s="1147"/>
      <c r="BV215" s="1147"/>
      <c r="BW215" s="1147"/>
      <c r="BX215" s="149"/>
      <c r="BY215" s="150"/>
      <c r="BZ215" s="372"/>
      <c r="CA215" s="372"/>
      <c r="CB215" s="372"/>
      <c r="CC215" s="151"/>
      <c r="CD215" s="372"/>
      <c r="CE215" s="1147">
        <f>IF(AND(CE208="",CE209=""),"",COUNTIF(HB7:HB206,"F")+COUNTIF(HB7:HB206,"FP"))</f>
        <v>0</v>
      </c>
      <c r="CF215" s="1147"/>
      <c r="CG215" s="1147"/>
      <c r="CH215" s="1147"/>
      <c r="CI215" s="1147"/>
      <c r="CJ215" s="1147">
        <f>IF(AND(CJ208="",CJ209=""),"",COUNTIF(HE7:HE206,"F")+COUNTIF(HE7:HE206,"FP"))</f>
        <v>0</v>
      </c>
      <c r="CK215" s="1147"/>
      <c r="CL215" s="1147"/>
      <c r="CM215" s="1147"/>
      <c r="CN215" s="1147"/>
      <c r="CO215" s="1147"/>
      <c r="CP215" s="1147"/>
      <c r="CQ215" s="1147"/>
      <c r="CR215" s="1147"/>
      <c r="CS215" s="1147"/>
      <c r="CT215" s="1147"/>
      <c r="CU215" s="1147">
        <f>IF(AND(CU208="",CU209=""),"",COUNTIF(HH7:HH206,"F")+COUNTIF(HH7:HH206,"FP"))</f>
        <v>0</v>
      </c>
      <c r="CV215" s="1147"/>
      <c r="CW215" s="1147"/>
      <c r="CX215" s="1147"/>
      <c r="CY215" s="1147"/>
      <c r="CZ215" s="1122">
        <f>IF(AND(CZ208="",CZ209=""),"",COUNTIF(HK7:HK206,"F")+COUNTIF(HK7:HK206,"FP"))</f>
        <v>0</v>
      </c>
      <c r="DA215" s="1123"/>
      <c r="DB215" s="1123"/>
      <c r="DC215" s="1123"/>
      <c r="DD215" s="1123"/>
      <c r="DE215" s="1124"/>
      <c r="DF215" s="385"/>
      <c r="DG215" s="386"/>
      <c r="DH215" s="154"/>
      <c r="DI215" s="154"/>
      <c r="DJ215" s="154"/>
      <c r="DK215" s="154"/>
      <c r="DL215" s="115"/>
      <c r="DM215" s="115"/>
      <c r="DN215" s="115"/>
      <c r="DO215" s="115"/>
      <c r="DP215" s="115"/>
      <c r="DQ215" s="115"/>
      <c r="DR215" s="115"/>
      <c r="DS215" s="115"/>
      <c r="DT215" s="115"/>
      <c r="DU215" s="115"/>
      <c r="DV215" s="115"/>
      <c r="DW215" s="115"/>
      <c r="DX215" s="115"/>
      <c r="DY215" s="115"/>
      <c r="DZ215" s="1258">
        <f>IF(AND(DZ208="",DZ209=""),"",COUNTIF(EH7:EH206,"F"))</f>
        <v>0</v>
      </c>
      <c r="EA215" s="1259"/>
      <c r="EB215" s="1259"/>
      <c r="EC215" s="1259"/>
      <c r="ED215" s="1259"/>
      <c r="EE215" s="1259"/>
      <c r="EF215" s="1260"/>
      <c r="EG215" s="1263"/>
      <c r="EH215" s="1264"/>
      <c r="EI215" s="365"/>
      <c r="EJ215" s="365"/>
      <c r="EK215" s="365"/>
      <c r="EL215" s="1274">
        <f>IF(AND(EL208="",EL209=""),"",COUNTIF(EX7:EX206,"F"))</f>
        <v>0</v>
      </c>
      <c r="EM215" s="1274"/>
      <c r="EN215" s="1274"/>
      <c r="EO215" s="1274"/>
      <c r="EP215" s="1274"/>
      <c r="EQ215" s="1274"/>
      <c r="ER215" s="1274"/>
      <c r="ES215" s="1277"/>
      <c r="ET215" s="1278"/>
      <c r="EU215" s="1278"/>
      <c r="EV215" s="1278"/>
      <c r="EW215" s="1278"/>
      <c r="EX215" s="1278"/>
      <c r="EY215" s="365"/>
      <c r="EZ215" s="365"/>
      <c r="FA215" s="365"/>
      <c r="FB215" s="1274">
        <f>IF(AND(FB208="",FB209=""),"",COUNTIF(FQ7:FQ206,"F"))</f>
        <v>0</v>
      </c>
      <c r="FC215" s="1274"/>
      <c r="FD215" s="1274"/>
      <c r="FE215" s="1274"/>
      <c r="FF215" s="1274"/>
      <c r="FG215" s="1274"/>
      <c r="FH215" s="1274"/>
      <c r="FI215" s="569"/>
      <c r="FJ215" s="1274">
        <f>IF(AND(FJ208="",FJ209=""),"",COUNTIF(FY7:FY206,"F"))</f>
        <v>0</v>
      </c>
      <c r="FK215" s="1274"/>
      <c r="FL215" s="1274"/>
      <c r="FM215" s="1274"/>
      <c r="FN215" s="1274"/>
      <c r="FO215" s="1274"/>
      <c r="FP215" s="1274"/>
      <c r="FQ215" s="570"/>
      <c r="FR215" s="365"/>
      <c r="FS215" s="365"/>
      <c r="FT215" s="365"/>
      <c r="FU215" s="1258">
        <f>IF(AND(FU208="",FU209=""),"",COUNTIF(GG7:GG206,"F"))</f>
        <v>0</v>
      </c>
      <c r="FV215" s="1259"/>
      <c r="FW215" s="1259"/>
      <c r="FX215" s="1259"/>
      <c r="FY215" s="1259"/>
      <c r="FZ215" s="1259"/>
      <c r="GA215" s="1259"/>
      <c r="GB215" s="1259"/>
      <c r="GC215" s="1259"/>
      <c r="GD215" s="1260"/>
      <c r="GE215" s="1278"/>
      <c r="GF215" s="1278"/>
      <c r="GG215" s="1278"/>
      <c r="GH215" s="365"/>
      <c r="GI215" s="365"/>
      <c r="GJ215" s="365"/>
      <c r="GK215" s="121"/>
      <c r="GL215" s="121"/>
      <c r="GM215" s="121"/>
      <c r="GN215" s="121"/>
      <c r="GO215" s="121"/>
      <c r="GP215" s="121"/>
      <c r="GQ215" s="121"/>
      <c r="GR215" s="121"/>
      <c r="GS215" s="121"/>
      <c r="GT215" s="121"/>
      <c r="GU215" s="121"/>
      <c r="GV215" s="121"/>
      <c r="GW215" s="121"/>
      <c r="GX215" s="121"/>
      <c r="GY215" s="121"/>
      <c r="GZ215" s="121"/>
      <c r="HA215" s="121"/>
      <c r="HB215" s="121"/>
      <c r="HC215" s="121"/>
      <c r="HD215" s="121"/>
      <c r="HE215" s="121"/>
      <c r="HF215" s="121"/>
      <c r="HG215" s="121"/>
      <c r="HH215" s="121"/>
      <c r="HI215" s="121"/>
      <c r="HJ215" s="121"/>
      <c r="HK215" s="121"/>
      <c r="HL215" s="121"/>
      <c r="HM215" s="121"/>
      <c r="HN215" s="121"/>
      <c r="HO215" s="121"/>
      <c r="HP215" s="1198" t="str">
        <f>IF('School Profile'!$D$12="Hindi","हस्ताक्षर परीक्षा प्रभारी","Signature of the exam. Incharge")</f>
        <v>हस्ताक्षर परीक्षा प्रभारी</v>
      </c>
      <c r="HQ215" s="1199"/>
      <c r="HR215" s="1218" t="str">
        <f>CONCATENATE("( ",UPPER('School Profile'!D15)," )")</f>
        <v>( HEERALAL JAT )</v>
      </c>
      <c r="HS215" s="1080" t="str">
        <f>IF('School Profile'!$D$12="Hindi","उतीर्ण प्रतिशत","Pass %")</f>
        <v>उतीर्ण प्रतिशत</v>
      </c>
      <c r="HT215" s="1080"/>
      <c r="HU215" s="1080"/>
      <c r="HV215" s="1196">
        <f>IFERROR(IF(HV208=0,0,HV212/HV208*100),"")</f>
        <v>90.322580645161281</v>
      </c>
      <c r="HW215" s="1197"/>
      <c r="HX215" s="1300"/>
      <c r="HY215" s="1237" t="str">
        <f>IF('School Profile'!$D$12="Hindi","उतीर्ण प्रतिशत","Pass %")</f>
        <v>उतीर्ण प्रतिशत</v>
      </c>
      <c r="HZ215" s="1080"/>
      <c r="IA215" s="1080"/>
      <c r="IB215" s="155">
        <f>IFERROR(IF(IB208=0,0,IB212/IB208*100),"")</f>
        <v>100</v>
      </c>
      <c r="IC215" s="604">
        <f>IFERROR(IF(HV208=0,0,IC212/HV208*100),"")</f>
        <v>93.548387096774192</v>
      </c>
      <c r="IS215" s="109" t="str">
        <f>IF('Supp. Result Entry'!T213="","",'Supp. Result Entry'!$T$4)</f>
        <v/>
      </c>
      <c r="IT215" s="110" t="str">
        <f>IF('Supp. Result Entry'!W213="","",'Supp. Result Entry'!$W$4)</f>
        <v/>
      </c>
      <c r="IU215" s="110" t="str">
        <f>IF('Supp. Result Entry'!Z213="","",'Supp. Result Entry'!$Z$4)</f>
        <v/>
      </c>
      <c r="IV215" s="110" t="str">
        <f>IF('Supp. Result Entry'!AC213="","",'Supp. Result Entry'!$AC$4)</f>
        <v/>
      </c>
      <c r="IW215" s="110" t="str">
        <f>IF('Supp. Result Entry'!AF213="","",'Supp. Result Entry'!$AF$4)</f>
        <v/>
      </c>
      <c r="IX215" s="110" t="str">
        <f>IF('Supp. Result Entry'!AI213="","",'Supp. Result Entry'!$AI$4)</f>
        <v/>
      </c>
      <c r="IY215" s="110" t="str">
        <f>IF('Supp. Result Entry'!AI213="","",'Supp. Result Entry'!$AL$4)</f>
        <v/>
      </c>
      <c r="IZ215" s="110" t="str">
        <f>IF('Supp. Result Entry'!U213="","",'Supp. Result Entry'!U213)</f>
        <v/>
      </c>
      <c r="JA215" s="110" t="str">
        <f>IF('Supp. Result Entry'!X213="","",'Supp. Result Entry'!X213)</f>
        <v/>
      </c>
      <c r="JB215" s="110" t="str">
        <f>IF('Supp. Result Entry'!AA213="","",'Supp. Result Entry'!AA213)</f>
        <v/>
      </c>
      <c r="JC215" s="110" t="str">
        <f>IF('Supp. Result Entry'!AD213="","",'Supp. Result Entry'!AD213)</f>
        <v/>
      </c>
      <c r="JD215" s="110" t="str">
        <f>IF('Supp. Result Entry'!AG213="","",'Supp. Result Entry'!AG213)</f>
        <v/>
      </c>
      <c r="JE215" s="110" t="str">
        <f>IF('Supp. Result Entry'!AJ213="","",'Supp. Result Entry'!AJ213)</f>
        <v/>
      </c>
      <c r="JF215" s="110" t="str">
        <f>IF('Supp. Result Entry'!AM213="","",'Supp. Result Entry'!AM213)</f>
        <v/>
      </c>
      <c r="JG215" s="110" t="str">
        <f>IF('Supp. Result Entry'!V213="","",'Supp. Result Entry'!V213)</f>
        <v/>
      </c>
      <c r="JH215" s="110" t="str">
        <f>IF('Supp. Result Entry'!Y213="","",'Supp. Result Entry'!Y213)</f>
        <v/>
      </c>
      <c r="JI215" s="110" t="str">
        <f>IF('Supp. Result Entry'!AB213="","",'Supp. Result Entry'!AB213)</f>
        <v/>
      </c>
      <c r="JJ215" s="110" t="str">
        <f>IF('Supp. Result Entry'!AE213="","",'Supp. Result Entry'!AE213)</f>
        <v/>
      </c>
      <c r="JK215" s="110" t="str">
        <f>IF('Supp. Result Entry'!AH213="","",'Supp. Result Entry'!AH213)</f>
        <v/>
      </c>
      <c r="JL215" s="110" t="str">
        <f>IF('Supp. Result Entry'!AK213="","",'Supp. Result Entry'!AK213)</f>
        <v/>
      </c>
      <c r="JM215" s="110" t="str">
        <f>IF('Supp. Result Entry'!AN213="","",'Supp. Result Entry'!AN213)</f>
        <v/>
      </c>
      <c r="JN215" s="110">
        <f>COUNTIF('Supp. Result Entry'!K213:Q213,"S")</f>
        <v>0</v>
      </c>
      <c r="JO215" s="110">
        <f t="shared" si="584"/>
        <v>0</v>
      </c>
      <c r="JP215" s="110">
        <f t="shared" si="661"/>
        <v>0</v>
      </c>
      <c r="JQ215" s="110" t="str">
        <f t="shared" si="585"/>
        <v/>
      </c>
      <c r="JR215" s="110" t="str">
        <f t="shared" si="586"/>
        <v/>
      </c>
      <c r="JS215" s="110" t="str">
        <f t="shared" si="587"/>
        <v/>
      </c>
      <c r="JT215" s="110" t="str">
        <f t="shared" si="588"/>
        <v/>
      </c>
      <c r="JU215" s="110" t="str">
        <f t="shared" si="589"/>
        <v/>
      </c>
      <c r="JV215" s="110" t="str">
        <f t="shared" si="590"/>
        <v/>
      </c>
      <c r="JW215" s="110" t="str">
        <f t="shared" si="591"/>
        <v/>
      </c>
      <c r="JX215" s="110" t="str">
        <f t="shared" si="662"/>
        <v/>
      </c>
      <c r="JY215" s="110" t="str">
        <f t="shared" si="663"/>
        <v/>
      </c>
      <c r="JZ215" s="110" t="str">
        <f t="shared" si="592"/>
        <v/>
      </c>
      <c r="KA215" s="108" t="str">
        <f t="shared" si="664"/>
        <v/>
      </c>
    </row>
    <row r="216" spans="1:287" s="158" customFormat="1" ht="20.25" customHeight="1">
      <c r="A216" s="1103"/>
      <c r="B216" s="1104"/>
      <c r="C216" s="1104"/>
      <c r="D216" s="1104"/>
      <c r="E216" s="1104"/>
      <c r="F216" s="1105"/>
      <c r="G216" s="1216" t="str">
        <f>IF('School Profile'!$D$12="Hindi","पुनः परीक्षा तक परिणाम रोका गया  :","Result with held until re-exam  :")</f>
        <v>पुनः परीक्षा तक परिणाम रोका गया  :</v>
      </c>
      <c r="H216" s="1216"/>
      <c r="I216" s="1132" t="s">
        <v>41</v>
      </c>
      <c r="J216" s="1132"/>
      <c r="K216" s="1186">
        <f>IF(AND(K208="",K209=""),"",COUNTIF(GN7:GN206,"RW"))</f>
        <v>0</v>
      </c>
      <c r="L216" s="1186"/>
      <c r="M216" s="1186"/>
      <c r="N216" s="1186"/>
      <c r="O216" s="1186"/>
      <c r="P216" s="1186"/>
      <c r="Q216" s="1186"/>
      <c r="R216" s="1186"/>
      <c r="S216" s="1186"/>
      <c r="T216" s="1186"/>
      <c r="U216" s="1186"/>
      <c r="V216" s="1186"/>
      <c r="W216" s="1186"/>
      <c r="X216" s="1186"/>
      <c r="Y216" s="1186">
        <f>IF(AND(Y208="",Y209=""),"",COUNTIF(GQ7:GQ206,"RW"))</f>
        <v>0</v>
      </c>
      <c r="Z216" s="1186"/>
      <c r="AA216" s="1186"/>
      <c r="AB216" s="1186"/>
      <c r="AC216" s="1186"/>
      <c r="AD216" s="1186"/>
      <c r="AE216" s="1186"/>
      <c r="AF216" s="1186"/>
      <c r="AG216" s="1186"/>
      <c r="AH216" s="1186"/>
      <c r="AI216" s="1186"/>
      <c r="AJ216" s="1186"/>
      <c r="AK216" s="1186"/>
      <c r="AL216" s="1186"/>
      <c r="AM216" s="1122">
        <f>IF(AND(AM208="",AM209=""),"",COUNTIF(GU7:GU206,"RW"))</f>
        <v>0</v>
      </c>
      <c r="AN216" s="1123"/>
      <c r="AO216" s="1123"/>
      <c r="AP216" s="1123"/>
      <c r="AQ216" s="1124"/>
      <c r="AR216" s="1122">
        <f>IF(AND(AR208="",AR209=""),"",COUNTIF(GV7:GV206,"RW"))</f>
        <v>0</v>
      </c>
      <c r="AS216" s="1123"/>
      <c r="AT216" s="1123"/>
      <c r="AU216" s="1123"/>
      <c r="AV216" s="1123"/>
      <c r="AW216" s="1123"/>
      <c r="AX216" s="1123"/>
      <c r="AY216" s="1123"/>
      <c r="AZ216" s="1123"/>
      <c r="BA216" s="1123"/>
      <c r="BB216" s="1124"/>
      <c r="BC216" s="1122">
        <f>IF(AND(BC208="",BC209=""),"",COUNTIF(GW7:GW206,"RW"))</f>
        <v>0</v>
      </c>
      <c r="BD216" s="1123"/>
      <c r="BE216" s="1123"/>
      <c r="BF216" s="1123"/>
      <c r="BG216" s="1124"/>
      <c r="BH216" s="1122">
        <f>IF(AND(BH208="",BH209=""),"",COUNTIF(GX7:GX206,"RW"))</f>
        <v>0</v>
      </c>
      <c r="BI216" s="1123"/>
      <c r="BJ216" s="1123"/>
      <c r="BK216" s="1123"/>
      <c r="BL216" s="1123"/>
      <c r="BM216" s="1123"/>
      <c r="BN216" s="1123"/>
      <c r="BO216" s="1123"/>
      <c r="BP216" s="1123"/>
      <c r="BQ216" s="1123"/>
      <c r="BR216" s="1124"/>
      <c r="BS216" s="1147">
        <f>IF(AND(BS208="",BS209=""),"",COUNTIF(GY7:GY206,"RW"))</f>
        <v>0</v>
      </c>
      <c r="BT216" s="1147"/>
      <c r="BU216" s="1147"/>
      <c r="BV216" s="1147"/>
      <c r="BW216" s="1147"/>
      <c r="BX216" s="149"/>
      <c r="BY216" s="150"/>
      <c r="BZ216" s="372"/>
      <c r="CA216" s="372"/>
      <c r="CB216" s="372"/>
      <c r="CC216" s="151"/>
      <c r="CD216" s="157"/>
      <c r="CE216" s="1147">
        <f>IF(AND(CE208="",CE209=""),"",COUNTIF(HB7:HB206,"RW"))</f>
        <v>0</v>
      </c>
      <c r="CF216" s="1147"/>
      <c r="CG216" s="1147"/>
      <c r="CH216" s="1147"/>
      <c r="CI216" s="1147"/>
      <c r="CJ216" s="1147">
        <f>IF(AND(CJ208="",CJ209=""),"",COUNTIF(HE7:HE206,"RW"))</f>
        <v>0</v>
      </c>
      <c r="CK216" s="1147"/>
      <c r="CL216" s="1147"/>
      <c r="CM216" s="1147"/>
      <c r="CN216" s="1147"/>
      <c r="CO216" s="1147"/>
      <c r="CP216" s="1147"/>
      <c r="CQ216" s="1147"/>
      <c r="CR216" s="1147"/>
      <c r="CS216" s="1147"/>
      <c r="CT216" s="1147"/>
      <c r="CU216" s="1147">
        <f>IF(AND(CU208="",CU209=""),"",COUNTIF(HH7:HH206,"RW"))</f>
        <v>0</v>
      </c>
      <c r="CV216" s="1147"/>
      <c r="CW216" s="1147"/>
      <c r="CX216" s="1147"/>
      <c r="CY216" s="1147"/>
      <c r="CZ216" s="1122">
        <f>IF(AND(CZ208="",CZ209=""),"",COUNTIF(HK7:HK206,"RW"))</f>
        <v>0</v>
      </c>
      <c r="DA216" s="1123"/>
      <c r="DB216" s="1123"/>
      <c r="DC216" s="1123"/>
      <c r="DD216" s="1123"/>
      <c r="DE216" s="1124"/>
      <c r="DF216" s="385"/>
      <c r="DG216" s="386"/>
      <c r="DH216" s="154"/>
      <c r="DI216" s="154"/>
      <c r="DJ216" s="154"/>
      <c r="DK216" s="154"/>
      <c r="DL216" s="115"/>
      <c r="DM216" s="115"/>
      <c r="DN216" s="115"/>
      <c r="DO216" s="115"/>
      <c r="DP216" s="115"/>
      <c r="DQ216" s="115"/>
      <c r="DR216" s="115"/>
      <c r="DS216" s="115"/>
      <c r="DT216" s="115"/>
      <c r="DU216" s="115"/>
      <c r="DV216" s="115"/>
      <c r="DW216" s="115"/>
      <c r="DX216" s="115"/>
      <c r="DY216" s="115"/>
      <c r="DZ216" s="1258">
        <f>IF(AND(DZ208="",DZ209=""),"",COUNTIF(EH7:EH206,"RW"))</f>
        <v>0</v>
      </c>
      <c r="EA216" s="1259"/>
      <c r="EB216" s="1259"/>
      <c r="EC216" s="1259"/>
      <c r="ED216" s="1259"/>
      <c r="EE216" s="1259"/>
      <c r="EF216" s="1260"/>
      <c r="EG216" s="1263"/>
      <c r="EH216" s="1264"/>
      <c r="EI216" s="365"/>
      <c r="EJ216" s="365"/>
      <c r="EK216" s="365"/>
      <c r="EL216" s="1274">
        <f>IF(AND(EL208="",EL209=""),"",COUNTIF(EX7:EX206,"RW"))</f>
        <v>0</v>
      </c>
      <c r="EM216" s="1274"/>
      <c r="EN216" s="1274"/>
      <c r="EO216" s="1274"/>
      <c r="EP216" s="1274"/>
      <c r="EQ216" s="1274"/>
      <c r="ER216" s="1274"/>
      <c r="ES216" s="1277"/>
      <c r="ET216" s="1278"/>
      <c r="EU216" s="1278"/>
      <c r="EV216" s="1278"/>
      <c r="EW216" s="1278"/>
      <c r="EX216" s="1278"/>
      <c r="EY216" s="365"/>
      <c r="EZ216" s="365"/>
      <c r="FA216" s="365"/>
      <c r="FB216" s="1274">
        <f>IF(AND(FB208="",FB209=""),"",COUNTIF(FQ7:FQ206,"RW"))</f>
        <v>0</v>
      </c>
      <c r="FC216" s="1274"/>
      <c r="FD216" s="1274"/>
      <c r="FE216" s="1274"/>
      <c r="FF216" s="1274"/>
      <c r="FG216" s="1274"/>
      <c r="FH216" s="1274"/>
      <c r="FI216" s="569"/>
      <c r="FJ216" s="1274">
        <f>IF(AND(FJ208="",FJ209=""),"",COUNTIF(FY7:FY206,"RW"))</f>
        <v>0</v>
      </c>
      <c r="FK216" s="1274"/>
      <c r="FL216" s="1274"/>
      <c r="FM216" s="1274"/>
      <c r="FN216" s="1274"/>
      <c r="FO216" s="1274"/>
      <c r="FP216" s="1274"/>
      <c r="FQ216" s="570"/>
      <c r="FR216" s="365"/>
      <c r="FS216" s="365"/>
      <c r="FT216" s="365"/>
      <c r="FU216" s="1258">
        <f>IF(AND(FU208="",FU209=""),"",COUNTIF(GG7:GG206,"RW"))</f>
        <v>0</v>
      </c>
      <c r="FV216" s="1259"/>
      <c r="FW216" s="1259"/>
      <c r="FX216" s="1259"/>
      <c r="FY216" s="1259"/>
      <c r="FZ216" s="1259"/>
      <c r="GA216" s="1259"/>
      <c r="GB216" s="1259"/>
      <c r="GC216" s="1259"/>
      <c r="GD216" s="1260"/>
      <c r="GE216" s="1278"/>
      <c r="GF216" s="1278"/>
      <c r="GG216" s="1278"/>
      <c r="GH216" s="365"/>
      <c r="GI216" s="365"/>
      <c r="GJ216" s="365"/>
      <c r="GK216" s="121"/>
      <c r="GL216" s="121"/>
      <c r="GM216" s="121"/>
      <c r="GN216" s="121"/>
      <c r="GO216" s="121"/>
      <c r="GP216" s="121"/>
      <c r="GQ216" s="121"/>
      <c r="GR216" s="121"/>
      <c r="GS216" s="121"/>
      <c r="GT216" s="121"/>
      <c r="GU216" s="121"/>
      <c r="GV216" s="121"/>
      <c r="GW216" s="121"/>
      <c r="GX216" s="121"/>
      <c r="GY216" s="121"/>
      <c r="GZ216" s="121"/>
      <c r="HA216" s="121"/>
      <c r="HB216" s="121"/>
      <c r="HC216" s="121"/>
      <c r="HD216" s="121"/>
      <c r="HE216" s="121"/>
      <c r="HF216" s="121"/>
      <c r="HG216" s="121"/>
      <c r="HH216" s="121"/>
      <c r="HI216" s="121"/>
      <c r="HJ216" s="121"/>
      <c r="HK216" s="121"/>
      <c r="HL216" s="121"/>
      <c r="HM216" s="121"/>
      <c r="HN216" s="121"/>
      <c r="HO216" s="121"/>
      <c r="HP216" s="1198"/>
      <c r="HQ216" s="1199"/>
      <c r="HR216" s="1218"/>
      <c r="HS216" s="1080" t="str">
        <f>IF('School Profile'!$D$12="Hindi","पुनः परीक्षा","Re-Exam")</f>
        <v>पुनः परीक्षा</v>
      </c>
      <c r="HT216" s="1080"/>
      <c r="HU216" s="1080"/>
      <c r="HV216" s="1306">
        <f>COUNTIF(HS7:HS206,"Re-Exam")</f>
        <v>0</v>
      </c>
      <c r="HW216" s="1307"/>
      <c r="HX216" s="1300"/>
      <c r="HY216" s="1237" t="str">
        <f>IF('School Profile'!$D$12="Hindi","पुनः परीक्षा","Re-Exam")</f>
        <v>पुनः परीक्षा</v>
      </c>
      <c r="HZ216" s="1080"/>
      <c r="IA216" s="1080"/>
      <c r="IB216" s="552">
        <f>COUNTIF(IB7:IB206,"RE-Exam")</f>
        <v>0</v>
      </c>
      <c r="IC216" s="605">
        <f>IB216</f>
        <v>0</v>
      </c>
      <c r="IS216" s="109" t="str">
        <f>IF('Supp. Result Entry'!T214="","",'Supp. Result Entry'!$T$4)</f>
        <v/>
      </c>
      <c r="IT216" s="110" t="str">
        <f>IF('Supp. Result Entry'!W214="","",'Supp. Result Entry'!$W$4)</f>
        <v/>
      </c>
      <c r="IU216" s="110" t="str">
        <f>IF('Supp. Result Entry'!Z214="","",'Supp. Result Entry'!$Z$4)</f>
        <v/>
      </c>
      <c r="IV216" s="110" t="str">
        <f>IF('Supp. Result Entry'!AC214="","",'Supp. Result Entry'!$AC$4)</f>
        <v/>
      </c>
      <c r="IW216" s="110" t="str">
        <f>IF('Supp. Result Entry'!AF214="","",'Supp. Result Entry'!$AF$4)</f>
        <v/>
      </c>
      <c r="IX216" s="110" t="str">
        <f>IF('Supp. Result Entry'!AI214="","",'Supp. Result Entry'!$AI$4)</f>
        <v/>
      </c>
      <c r="IY216" s="110" t="str">
        <f>IF('Supp. Result Entry'!AI214="","",'Supp. Result Entry'!$AL$4)</f>
        <v/>
      </c>
      <c r="IZ216" s="110" t="str">
        <f>IF('Supp. Result Entry'!U214="","",'Supp. Result Entry'!U214)</f>
        <v/>
      </c>
      <c r="JA216" s="110" t="str">
        <f>IF('Supp. Result Entry'!X214="","",'Supp. Result Entry'!X214)</f>
        <v/>
      </c>
      <c r="JB216" s="110" t="str">
        <f>IF('Supp. Result Entry'!AA214="","",'Supp. Result Entry'!AA214)</f>
        <v/>
      </c>
      <c r="JC216" s="110" t="str">
        <f>IF('Supp. Result Entry'!AD214="","",'Supp. Result Entry'!AD214)</f>
        <v/>
      </c>
      <c r="JD216" s="110" t="str">
        <f>IF('Supp. Result Entry'!AG214="","",'Supp. Result Entry'!AG214)</f>
        <v/>
      </c>
      <c r="JE216" s="110" t="str">
        <f>IF('Supp. Result Entry'!AJ214="","",'Supp. Result Entry'!AJ214)</f>
        <v/>
      </c>
      <c r="JF216" s="110" t="str">
        <f>IF('Supp. Result Entry'!AM214="","",'Supp. Result Entry'!AM214)</f>
        <v/>
      </c>
      <c r="JG216" s="110" t="str">
        <f>IF('Supp. Result Entry'!V214="","",'Supp. Result Entry'!V214)</f>
        <v/>
      </c>
      <c r="JH216" s="110" t="str">
        <f>IF('Supp. Result Entry'!Y214="","",'Supp. Result Entry'!Y214)</f>
        <v/>
      </c>
      <c r="JI216" s="110" t="str">
        <f>IF('Supp. Result Entry'!AB214="","",'Supp. Result Entry'!AB214)</f>
        <v/>
      </c>
      <c r="JJ216" s="110" t="str">
        <f>IF('Supp. Result Entry'!AE214="","",'Supp. Result Entry'!AE214)</f>
        <v/>
      </c>
      <c r="JK216" s="110" t="str">
        <f>IF('Supp. Result Entry'!AH214="","",'Supp. Result Entry'!AH214)</f>
        <v/>
      </c>
      <c r="JL216" s="110" t="str">
        <f>IF('Supp. Result Entry'!AK214="","",'Supp. Result Entry'!AK214)</f>
        <v/>
      </c>
      <c r="JM216" s="110" t="str">
        <f>IF('Supp. Result Entry'!AN214="","",'Supp. Result Entry'!AN214)</f>
        <v/>
      </c>
      <c r="JN216" s="110">
        <f>COUNTIF('Supp. Result Entry'!K214:Q214,"S")</f>
        <v>0</v>
      </c>
      <c r="JO216" s="110">
        <f t="shared" si="584"/>
        <v>0</v>
      </c>
      <c r="JP216" s="110">
        <f t="shared" si="661"/>
        <v>0</v>
      </c>
      <c r="JQ216" s="110" t="str">
        <f t="shared" si="585"/>
        <v/>
      </c>
      <c r="JR216" s="110" t="str">
        <f t="shared" si="586"/>
        <v/>
      </c>
      <c r="JS216" s="110" t="str">
        <f t="shared" si="587"/>
        <v/>
      </c>
      <c r="JT216" s="110" t="str">
        <f t="shared" si="588"/>
        <v/>
      </c>
      <c r="JU216" s="110" t="str">
        <f t="shared" si="589"/>
        <v/>
      </c>
      <c r="JV216" s="110" t="str">
        <f t="shared" si="590"/>
        <v/>
      </c>
      <c r="JW216" s="110" t="str">
        <f t="shared" si="591"/>
        <v/>
      </c>
      <c r="JX216" s="110" t="str">
        <f t="shared" si="662"/>
        <v/>
      </c>
      <c r="JY216" s="110" t="str">
        <f t="shared" si="663"/>
        <v/>
      </c>
      <c r="JZ216" s="110" t="str">
        <f t="shared" si="592"/>
        <v/>
      </c>
      <c r="KA216" s="108" t="str">
        <f t="shared" si="664"/>
        <v/>
      </c>
    </row>
    <row r="217" spans="1:287" s="156" customFormat="1" ht="21" customHeight="1">
      <c r="A217" s="1103"/>
      <c r="B217" s="1104"/>
      <c r="C217" s="1104"/>
      <c r="D217" s="1104"/>
      <c r="E217" s="1104"/>
      <c r="F217" s="1105"/>
      <c r="G217" s="1109" t="str">
        <f>IF('School Profile'!$D$12="Hindi","अनुपस्थिति  :","Absence  :")</f>
        <v>अनुपस्थिति  :</v>
      </c>
      <c r="H217" s="1109"/>
      <c r="I217" s="1132" t="s">
        <v>41</v>
      </c>
      <c r="J217" s="1132"/>
      <c r="K217" s="1186">
        <f>IF(AND(K208="",K209=""),"",COUNTIF(GN7:GN206,"AB"))</f>
        <v>1</v>
      </c>
      <c r="L217" s="1186"/>
      <c r="M217" s="1186"/>
      <c r="N217" s="1186"/>
      <c r="O217" s="1186"/>
      <c r="P217" s="1186"/>
      <c r="Q217" s="1186"/>
      <c r="R217" s="1186"/>
      <c r="S217" s="1186"/>
      <c r="T217" s="1186"/>
      <c r="U217" s="1186"/>
      <c r="V217" s="1186"/>
      <c r="W217" s="1186"/>
      <c r="X217" s="1186"/>
      <c r="Y217" s="1186">
        <f>IF(AND(Y208="",Y209=""),"",COUNTIF(GQ7:GQ206,"AB"))</f>
        <v>0</v>
      </c>
      <c r="Z217" s="1186"/>
      <c r="AA217" s="1186"/>
      <c r="AB217" s="1186"/>
      <c r="AC217" s="1186"/>
      <c r="AD217" s="1186"/>
      <c r="AE217" s="1186"/>
      <c r="AF217" s="1186"/>
      <c r="AG217" s="1186"/>
      <c r="AH217" s="1186"/>
      <c r="AI217" s="1186"/>
      <c r="AJ217" s="1186"/>
      <c r="AK217" s="1186"/>
      <c r="AL217" s="1186"/>
      <c r="AM217" s="1122">
        <f>IF(AND(AM208="",AM209=""),"",COUNTIF(GU7:GU206,"AB"))</f>
        <v>0</v>
      </c>
      <c r="AN217" s="1123"/>
      <c r="AO217" s="1123"/>
      <c r="AP217" s="1123"/>
      <c r="AQ217" s="1124"/>
      <c r="AR217" s="1122">
        <f>IF(AND(AR208="",AR209=""),"",COUNTIF(GV7:GV206,"AB"))</f>
        <v>0</v>
      </c>
      <c r="AS217" s="1123"/>
      <c r="AT217" s="1123"/>
      <c r="AU217" s="1123"/>
      <c r="AV217" s="1123"/>
      <c r="AW217" s="1123"/>
      <c r="AX217" s="1123"/>
      <c r="AY217" s="1123"/>
      <c r="AZ217" s="1123"/>
      <c r="BA217" s="1123"/>
      <c r="BB217" s="1124"/>
      <c r="BC217" s="1122">
        <f>IF(AND(BC208="",BC209=""),"",COUNTIF(GW7:GW206,"AB"))</f>
        <v>0</v>
      </c>
      <c r="BD217" s="1123"/>
      <c r="BE217" s="1123"/>
      <c r="BF217" s="1123"/>
      <c r="BG217" s="1124"/>
      <c r="BH217" s="1122">
        <f>IF(AND(BH208="",BH209=""),"",COUNTIF(GX7:GX206,"AB"))</f>
        <v>0</v>
      </c>
      <c r="BI217" s="1123"/>
      <c r="BJ217" s="1123"/>
      <c r="BK217" s="1123"/>
      <c r="BL217" s="1123"/>
      <c r="BM217" s="1123"/>
      <c r="BN217" s="1123"/>
      <c r="BO217" s="1123"/>
      <c r="BP217" s="1123"/>
      <c r="BQ217" s="1123"/>
      <c r="BR217" s="1124"/>
      <c r="BS217" s="1147">
        <f>IF(AND(BS208="",BS209=""),"",COUNTIF(GY7:GY206,"AB"))</f>
        <v>0</v>
      </c>
      <c r="BT217" s="1147"/>
      <c r="BU217" s="1147"/>
      <c r="BV217" s="1147"/>
      <c r="BW217" s="1147"/>
      <c r="BX217" s="149"/>
      <c r="BY217" s="150"/>
      <c r="BZ217" s="372"/>
      <c r="CA217" s="372"/>
      <c r="CB217" s="372"/>
      <c r="CC217" s="151"/>
      <c r="CD217" s="157"/>
      <c r="CE217" s="1147">
        <f>IF(AND(CE208="",CE209=""),"",COUNTIF(HB7:HB206,"AB"))</f>
        <v>0</v>
      </c>
      <c r="CF217" s="1147"/>
      <c r="CG217" s="1147"/>
      <c r="CH217" s="1147"/>
      <c r="CI217" s="1147"/>
      <c r="CJ217" s="1147">
        <f>IF(AND(CJ208="",CJ209=""),"",COUNTIF(HE7:HE206,"AB"))</f>
        <v>0</v>
      </c>
      <c r="CK217" s="1147"/>
      <c r="CL217" s="1147"/>
      <c r="CM217" s="1147"/>
      <c r="CN217" s="1147"/>
      <c r="CO217" s="1147"/>
      <c r="CP217" s="1147"/>
      <c r="CQ217" s="1147"/>
      <c r="CR217" s="1147"/>
      <c r="CS217" s="1147"/>
      <c r="CT217" s="1147"/>
      <c r="CU217" s="1147">
        <f>IF(AND(CU208="",CU209=""),"",COUNTIF(HH7:HH206,"AB"))</f>
        <v>0</v>
      </c>
      <c r="CV217" s="1147"/>
      <c r="CW217" s="1147"/>
      <c r="CX217" s="1147"/>
      <c r="CY217" s="1147"/>
      <c r="CZ217" s="1122">
        <f>IF(AND(CZ208="",CZ209=""),"",COUNTIF(HK7:HK206,"AB"))</f>
        <v>0</v>
      </c>
      <c r="DA217" s="1123"/>
      <c r="DB217" s="1123"/>
      <c r="DC217" s="1123"/>
      <c r="DD217" s="1123"/>
      <c r="DE217" s="1124"/>
      <c r="DF217" s="385"/>
      <c r="DG217" s="386"/>
      <c r="DH217" s="154"/>
      <c r="DI217" s="154"/>
      <c r="DJ217" s="154"/>
      <c r="DK217" s="154"/>
      <c r="DL217" s="115"/>
      <c r="DM217" s="115"/>
      <c r="DN217" s="115"/>
      <c r="DO217" s="115"/>
      <c r="DP217" s="115"/>
      <c r="DQ217" s="115"/>
      <c r="DR217" s="115"/>
      <c r="DS217" s="115"/>
      <c r="DT217" s="115"/>
      <c r="DU217" s="115"/>
      <c r="DV217" s="115"/>
      <c r="DW217" s="115"/>
      <c r="DX217" s="115"/>
      <c r="DY217" s="115"/>
      <c r="DZ217" s="1258">
        <f>IF(AND(DZ208="",DZ209=""),"",COUNTIF(EH7:EH206,"AB"))</f>
        <v>0</v>
      </c>
      <c r="EA217" s="1259"/>
      <c r="EB217" s="1259"/>
      <c r="EC217" s="1259"/>
      <c r="ED217" s="1259"/>
      <c r="EE217" s="1259"/>
      <c r="EF217" s="1260"/>
      <c r="EG217" s="1263"/>
      <c r="EH217" s="1264"/>
      <c r="EI217" s="365"/>
      <c r="EJ217" s="365"/>
      <c r="EK217" s="365"/>
      <c r="EL217" s="1274">
        <f>IF(AND(EL208="",EL209=""),"",COUNTIF(EX7:EX206,"AB"))</f>
        <v>0</v>
      </c>
      <c r="EM217" s="1274"/>
      <c r="EN217" s="1274"/>
      <c r="EO217" s="1274"/>
      <c r="EP217" s="1274"/>
      <c r="EQ217" s="1274"/>
      <c r="ER217" s="1274"/>
      <c r="ES217" s="1277"/>
      <c r="ET217" s="1278"/>
      <c r="EU217" s="1278"/>
      <c r="EV217" s="1278"/>
      <c r="EW217" s="1278"/>
      <c r="EX217" s="1278"/>
      <c r="EY217" s="365"/>
      <c r="EZ217" s="365"/>
      <c r="FA217" s="365"/>
      <c r="FB217" s="1274">
        <f>IF(AND(FB208="",FB209=""),"",COUNTIF(FQ7:FQ206,"AB"))</f>
        <v>0</v>
      </c>
      <c r="FC217" s="1274"/>
      <c r="FD217" s="1274"/>
      <c r="FE217" s="1274"/>
      <c r="FF217" s="1274"/>
      <c r="FG217" s="1274"/>
      <c r="FH217" s="1274"/>
      <c r="FI217" s="569"/>
      <c r="FJ217" s="1274">
        <f>IF(AND(FJ208="",FJ209=""),"",COUNTIF(FY7:FY206,"AB"))</f>
        <v>0</v>
      </c>
      <c r="FK217" s="1274"/>
      <c r="FL217" s="1274"/>
      <c r="FM217" s="1274"/>
      <c r="FN217" s="1274"/>
      <c r="FO217" s="1274"/>
      <c r="FP217" s="1274"/>
      <c r="FQ217" s="570"/>
      <c r="FR217" s="365"/>
      <c r="FS217" s="365"/>
      <c r="FT217" s="365"/>
      <c r="FU217" s="1258">
        <f>IF(AND(FU208="",FU209=""),"",COUNTIF(GG7:GG206,"AB"))</f>
        <v>0</v>
      </c>
      <c r="FV217" s="1259"/>
      <c r="FW217" s="1259"/>
      <c r="FX217" s="1259"/>
      <c r="FY217" s="1259"/>
      <c r="FZ217" s="1259"/>
      <c r="GA217" s="1259"/>
      <c r="GB217" s="1259"/>
      <c r="GC217" s="1259"/>
      <c r="GD217" s="1260"/>
      <c r="GE217" s="1278"/>
      <c r="GF217" s="1278"/>
      <c r="GG217" s="1278"/>
      <c r="GH217" s="365"/>
      <c r="GI217" s="365"/>
      <c r="GJ217" s="365"/>
      <c r="GK217" s="121"/>
      <c r="GL217" s="121"/>
      <c r="GM217" s="121"/>
      <c r="GN217" s="121"/>
      <c r="GO217" s="121"/>
      <c r="GP217" s="121"/>
      <c r="GQ217" s="121"/>
      <c r="GR217" s="121"/>
      <c r="GS217" s="121"/>
      <c r="GT217" s="121"/>
      <c r="GU217" s="121"/>
      <c r="GV217" s="121"/>
      <c r="GW217" s="121"/>
      <c r="GX217" s="121"/>
      <c r="GY217" s="121"/>
      <c r="GZ217" s="121"/>
      <c r="HA217" s="121"/>
      <c r="HB217" s="121"/>
      <c r="HC217" s="121"/>
      <c r="HD217" s="121"/>
      <c r="HE217" s="121"/>
      <c r="HF217" s="121"/>
      <c r="HG217" s="121"/>
      <c r="HH217" s="121"/>
      <c r="HI217" s="121"/>
      <c r="HJ217" s="121"/>
      <c r="HK217" s="121"/>
      <c r="HL217" s="121"/>
      <c r="HM217" s="121"/>
      <c r="HN217" s="121"/>
      <c r="HO217" s="121"/>
      <c r="HP217" s="1198" t="str">
        <f>IF('School Profile'!$D$12="Hindi","हस्ताक्षर संस्था प्रधान","Head of Institute's Signature")</f>
        <v>हस्ताक्षर संस्था प्रधान</v>
      </c>
      <c r="HQ217" s="1199"/>
      <c r="HR217" s="1218" t="str">
        <f>CONCATENATE("( ",UPPER('School Profile'!D14)," )")</f>
        <v>( USHA PALIYA )</v>
      </c>
      <c r="HS217" s="1080" t="str">
        <f>IF('School Profile'!$D$12="Hindi","नाम पृथक","NSO")</f>
        <v>नाम पृथक</v>
      </c>
      <c r="HT217" s="1080"/>
      <c r="HU217" s="1080"/>
      <c r="HV217" s="1230">
        <f>COUNTIF(B7:B206,"nso")</f>
        <v>0</v>
      </c>
      <c r="HW217" s="1231"/>
      <c r="HX217" s="1300"/>
      <c r="HY217" s="1237" t="str">
        <f>IF('School Profile'!$D$12="Hindi","नाम पृथक","NSO")</f>
        <v>नाम पृथक</v>
      </c>
      <c r="HZ217" s="1080"/>
      <c r="IA217" s="1080"/>
      <c r="IB217" s="549">
        <f>COUNTIF(IB7:IB206,"NSO")</f>
        <v>0</v>
      </c>
      <c r="IC217" s="605">
        <f>COUNTIF(B7:B206,"nso")</f>
        <v>0</v>
      </c>
      <c r="ID217" s="159"/>
      <c r="IS217" s="109" t="str">
        <f>IF('Supp. Result Entry'!T215="","",'Supp. Result Entry'!$T$4)</f>
        <v/>
      </c>
      <c r="IT217" s="110" t="str">
        <f>IF('Supp. Result Entry'!W215="","",'Supp. Result Entry'!$W$4)</f>
        <v/>
      </c>
      <c r="IU217" s="110" t="str">
        <f>IF('Supp. Result Entry'!Z215="","",'Supp. Result Entry'!$Z$4)</f>
        <v/>
      </c>
      <c r="IV217" s="110" t="str">
        <f>IF('Supp. Result Entry'!AC215="","",'Supp. Result Entry'!$AC$4)</f>
        <v/>
      </c>
      <c r="IW217" s="110" t="str">
        <f>IF('Supp. Result Entry'!AF215="","",'Supp. Result Entry'!$AF$4)</f>
        <v/>
      </c>
      <c r="IX217" s="110" t="str">
        <f>IF('Supp. Result Entry'!AI215="","",'Supp. Result Entry'!$AI$4)</f>
        <v/>
      </c>
      <c r="IY217" s="110" t="str">
        <f>IF('Supp. Result Entry'!AI215="","",'Supp. Result Entry'!$AL$4)</f>
        <v/>
      </c>
      <c r="IZ217" s="110" t="str">
        <f>IF('Supp. Result Entry'!U215="","",'Supp. Result Entry'!U215)</f>
        <v/>
      </c>
      <c r="JA217" s="110" t="str">
        <f>IF('Supp. Result Entry'!X215="","",'Supp. Result Entry'!X215)</f>
        <v/>
      </c>
      <c r="JB217" s="110" t="str">
        <f>IF('Supp. Result Entry'!AA215="","",'Supp. Result Entry'!AA215)</f>
        <v/>
      </c>
      <c r="JC217" s="110" t="str">
        <f>IF('Supp. Result Entry'!AD215="","",'Supp. Result Entry'!AD215)</f>
        <v/>
      </c>
      <c r="JD217" s="110" t="str">
        <f>IF('Supp. Result Entry'!AG215="","",'Supp. Result Entry'!AG215)</f>
        <v/>
      </c>
      <c r="JE217" s="110" t="str">
        <f>IF('Supp. Result Entry'!AJ215="","",'Supp. Result Entry'!AJ215)</f>
        <v/>
      </c>
      <c r="JF217" s="110" t="str">
        <f>IF('Supp. Result Entry'!AM215="","",'Supp. Result Entry'!AM215)</f>
        <v/>
      </c>
      <c r="JG217" s="110" t="str">
        <f>IF('Supp. Result Entry'!V215="","",'Supp. Result Entry'!V215)</f>
        <v/>
      </c>
      <c r="JH217" s="110" t="str">
        <f>IF('Supp. Result Entry'!Y215="","",'Supp. Result Entry'!Y215)</f>
        <v/>
      </c>
      <c r="JI217" s="110" t="str">
        <f>IF('Supp. Result Entry'!AB215="","",'Supp. Result Entry'!AB215)</f>
        <v/>
      </c>
      <c r="JJ217" s="110" t="str">
        <f>IF('Supp. Result Entry'!AE215="","",'Supp. Result Entry'!AE215)</f>
        <v/>
      </c>
      <c r="JK217" s="110" t="str">
        <f>IF('Supp. Result Entry'!AH215="","",'Supp. Result Entry'!AH215)</f>
        <v/>
      </c>
      <c r="JL217" s="110" t="str">
        <f>IF('Supp. Result Entry'!AK215="","",'Supp. Result Entry'!AK215)</f>
        <v/>
      </c>
      <c r="JM217" s="110" t="str">
        <f>IF('Supp. Result Entry'!AN215="","",'Supp. Result Entry'!AN215)</f>
        <v/>
      </c>
      <c r="JN217" s="110">
        <f>COUNTIF('Supp. Result Entry'!K215:Q215,"S")</f>
        <v>0</v>
      </c>
      <c r="JO217" s="110">
        <f t="shared" si="584"/>
        <v>0</v>
      </c>
      <c r="JP217" s="110">
        <f t="shared" si="661"/>
        <v>0</v>
      </c>
      <c r="JQ217" s="110" t="str">
        <f t="shared" si="585"/>
        <v/>
      </c>
      <c r="JR217" s="110" t="str">
        <f t="shared" si="586"/>
        <v/>
      </c>
      <c r="JS217" s="110" t="str">
        <f t="shared" si="587"/>
        <v/>
      </c>
      <c r="JT217" s="110" t="str">
        <f t="shared" si="588"/>
        <v/>
      </c>
      <c r="JU217" s="110" t="str">
        <f t="shared" si="589"/>
        <v/>
      </c>
      <c r="JV217" s="110" t="str">
        <f t="shared" si="590"/>
        <v/>
      </c>
      <c r="JW217" s="110" t="str">
        <f t="shared" si="591"/>
        <v/>
      </c>
      <c r="JX217" s="110" t="str">
        <f t="shared" si="662"/>
        <v/>
      </c>
      <c r="JY217" s="110" t="str">
        <f t="shared" si="663"/>
        <v/>
      </c>
      <c r="JZ217" s="110" t="str">
        <f t="shared" si="592"/>
        <v/>
      </c>
      <c r="KA217" s="108" t="str">
        <f t="shared" si="664"/>
        <v/>
      </c>
    </row>
    <row r="218" spans="1:287" s="156" customFormat="1" ht="20.25" customHeight="1" thickBot="1">
      <c r="A218" s="1106"/>
      <c r="B218" s="1107"/>
      <c r="C218" s="1107"/>
      <c r="D218" s="1107"/>
      <c r="E218" s="1107"/>
      <c r="F218" s="1108"/>
      <c r="G218" s="1109" t="str">
        <f>IF('School Profile'!$D$12="Hindi","पुनः परीक्षा वाले विद्यार्थियों की संख्या  :","No. of students for re-exam. :")</f>
        <v>पुनः परीक्षा वाले विद्यार्थियों की संख्या  :</v>
      </c>
      <c r="H218" s="1109"/>
      <c r="I218" s="1132" t="s">
        <v>41</v>
      </c>
      <c r="J218" s="1132"/>
      <c r="K218" s="1186">
        <f>IF(AND(K208="",K209=""),"",COUNTIF(GN7:GN206,"RE"))</f>
        <v>0</v>
      </c>
      <c r="L218" s="1186"/>
      <c r="M218" s="1186"/>
      <c r="N218" s="1186"/>
      <c r="O218" s="1186"/>
      <c r="P218" s="1186"/>
      <c r="Q218" s="1186"/>
      <c r="R218" s="1186"/>
      <c r="S218" s="1186"/>
      <c r="T218" s="1186"/>
      <c r="U218" s="1186"/>
      <c r="V218" s="1186"/>
      <c r="W218" s="1186"/>
      <c r="X218" s="1186"/>
      <c r="Y218" s="1186">
        <f>IF(AND(Y208="",Y209=""),"",COUNTIF(GQ7:GQ206,"RE"))</f>
        <v>0</v>
      </c>
      <c r="Z218" s="1186"/>
      <c r="AA218" s="1186"/>
      <c r="AB218" s="1186"/>
      <c r="AC218" s="1186"/>
      <c r="AD218" s="1186"/>
      <c r="AE218" s="1186"/>
      <c r="AF218" s="1186"/>
      <c r="AG218" s="1186"/>
      <c r="AH218" s="1186"/>
      <c r="AI218" s="1186"/>
      <c r="AJ218" s="1186"/>
      <c r="AK218" s="1186"/>
      <c r="AL218" s="1186"/>
      <c r="AM218" s="1122">
        <f>IF(AND(AM208="",AM209=""),"",COUNTIF(GU7:GU206,"RE"))</f>
        <v>0</v>
      </c>
      <c r="AN218" s="1123"/>
      <c r="AO218" s="1123"/>
      <c r="AP218" s="1123"/>
      <c r="AQ218" s="1124"/>
      <c r="AR218" s="1122">
        <f>IF(AND(AR208="",AR209=""),"",COUNTIF(GV7:GV206,"RE"))</f>
        <v>0</v>
      </c>
      <c r="AS218" s="1123"/>
      <c r="AT218" s="1123"/>
      <c r="AU218" s="1123"/>
      <c r="AV218" s="1123"/>
      <c r="AW218" s="1123"/>
      <c r="AX218" s="1123"/>
      <c r="AY218" s="1123"/>
      <c r="AZ218" s="1123"/>
      <c r="BA218" s="1123"/>
      <c r="BB218" s="1124"/>
      <c r="BC218" s="1122">
        <f>IF(AND(BC208="",BC209=""),"",COUNTIF(GW7:GW206,"RE"))</f>
        <v>0</v>
      </c>
      <c r="BD218" s="1123"/>
      <c r="BE218" s="1123"/>
      <c r="BF218" s="1123"/>
      <c r="BG218" s="1124"/>
      <c r="BH218" s="1122">
        <f>IF(AND(BH208="",BH209=""),"",COUNTIF(GX7:GX206,"RE"))</f>
        <v>0</v>
      </c>
      <c r="BI218" s="1123"/>
      <c r="BJ218" s="1123"/>
      <c r="BK218" s="1123"/>
      <c r="BL218" s="1123"/>
      <c r="BM218" s="1123"/>
      <c r="BN218" s="1123"/>
      <c r="BO218" s="1123"/>
      <c r="BP218" s="1123"/>
      <c r="BQ218" s="1123"/>
      <c r="BR218" s="1124"/>
      <c r="BS218" s="1147">
        <f>IF(AND(BS208="",BS209=""),"",COUNTIF(GY7:GY206,"RE"))</f>
        <v>0</v>
      </c>
      <c r="BT218" s="1147"/>
      <c r="BU218" s="1147"/>
      <c r="BV218" s="1147"/>
      <c r="BW218" s="1147"/>
      <c r="BX218" s="149"/>
      <c r="BY218" s="150"/>
      <c r="BZ218" s="372"/>
      <c r="CA218" s="372"/>
      <c r="CB218" s="372"/>
      <c r="CC218" s="372"/>
      <c r="CD218" s="157"/>
      <c r="CE218" s="1147">
        <f>IF(AND(CE208="",CE209=""),"",COUNTIF(HB7:HB206,"RE"))</f>
        <v>0</v>
      </c>
      <c r="CF218" s="1147"/>
      <c r="CG218" s="1147"/>
      <c r="CH218" s="1147"/>
      <c r="CI218" s="1147"/>
      <c r="CJ218" s="1147">
        <f>IF(AND(CJ208="",CJ209=""),"",COUNTIF(HE7:HE206,"RE"))</f>
        <v>0</v>
      </c>
      <c r="CK218" s="1147"/>
      <c r="CL218" s="1147"/>
      <c r="CM218" s="1147"/>
      <c r="CN218" s="1147"/>
      <c r="CO218" s="1147"/>
      <c r="CP218" s="1147"/>
      <c r="CQ218" s="1147"/>
      <c r="CR218" s="1147"/>
      <c r="CS218" s="1147"/>
      <c r="CT218" s="1147"/>
      <c r="CU218" s="1147">
        <f>IF(AND(CU208="",CU209=""),"",COUNTIF(HH7:HH206,"RE"))</f>
        <v>0</v>
      </c>
      <c r="CV218" s="1147"/>
      <c r="CW218" s="1147"/>
      <c r="CX218" s="1147"/>
      <c r="CY218" s="1147"/>
      <c r="CZ218" s="1122">
        <f>IF(AND(CZ208="",CZ209=""),"",COUNTIF(HK7:HK206,"RE"))</f>
        <v>0</v>
      </c>
      <c r="DA218" s="1123"/>
      <c r="DB218" s="1123"/>
      <c r="DC218" s="1123"/>
      <c r="DD218" s="1123"/>
      <c r="DE218" s="1124"/>
      <c r="DF218" s="385"/>
      <c r="DG218" s="386"/>
      <c r="DH218" s="154"/>
      <c r="DI218" s="154"/>
      <c r="DJ218" s="154"/>
      <c r="DK218" s="154"/>
      <c r="DL218" s="115"/>
      <c r="DM218" s="115"/>
      <c r="DN218" s="115"/>
      <c r="DO218" s="115"/>
      <c r="DP218" s="115"/>
      <c r="DQ218" s="115"/>
      <c r="DR218" s="115"/>
      <c r="DS218" s="115"/>
      <c r="DT218" s="115"/>
      <c r="DU218" s="115"/>
      <c r="DV218" s="115"/>
      <c r="DW218" s="115"/>
      <c r="DX218" s="115"/>
      <c r="DY218" s="115"/>
      <c r="DZ218" s="1258">
        <f>IF(AND(DZ208="",DZ209=""),"",COUNTIF(EH7:EH206,"RE"))</f>
        <v>0</v>
      </c>
      <c r="EA218" s="1259"/>
      <c r="EB218" s="1259"/>
      <c r="EC218" s="1259"/>
      <c r="ED218" s="1259"/>
      <c r="EE218" s="1259"/>
      <c r="EF218" s="1260"/>
      <c r="EG218" s="1265"/>
      <c r="EH218" s="1266"/>
      <c r="EI218" s="365"/>
      <c r="EJ218" s="365"/>
      <c r="EK218" s="365"/>
      <c r="EL218" s="1274">
        <f>IF(AND(EL208="",EL209=""),"",COUNTIF(EX7:EX206,"RE"))</f>
        <v>0</v>
      </c>
      <c r="EM218" s="1274"/>
      <c r="EN218" s="1274"/>
      <c r="EO218" s="1274"/>
      <c r="EP218" s="1274"/>
      <c r="EQ218" s="1274"/>
      <c r="ER218" s="1274"/>
      <c r="ES218" s="1279"/>
      <c r="ET218" s="1280"/>
      <c r="EU218" s="1280"/>
      <c r="EV218" s="1280"/>
      <c r="EW218" s="1280"/>
      <c r="EX218" s="1280"/>
      <c r="EY218" s="365"/>
      <c r="EZ218" s="365"/>
      <c r="FA218" s="365"/>
      <c r="FB218" s="1274">
        <f>IF(AND(FB208="",FB209=""),"",COUNTIF(FQ7:FQ206,"RE"))</f>
        <v>0</v>
      </c>
      <c r="FC218" s="1274"/>
      <c r="FD218" s="1274"/>
      <c r="FE218" s="1274"/>
      <c r="FF218" s="1274"/>
      <c r="FG218" s="1274"/>
      <c r="FH218" s="1274"/>
      <c r="FI218" s="571"/>
      <c r="FJ218" s="1258">
        <f>IF(AND(FJ208="",FJ209=""),"",COUNTIF(FY7:FY206,"RE"))</f>
        <v>0</v>
      </c>
      <c r="FK218" s="1259"/>
      <c r="FL218" s="1259"/>
      <c r="FM218" s="1259"/>
      <c r="FN218" s="1259"/>
      <c r="FO218" s="1259"/>
      <c r="FP218" s="1260"/>
      <c r="FQ218" s="572"/>
      <c r="FR218" s="365"/>
      <c r="FS218" s="365"/>
      <c r="FT218" s="365"/>
      <c r="FU218" s="1258">
        <f>IF(AND(FU208="",FU209=""),"",COUNTIF(FY7:FY206,"RE"))</f>
        <v>0</v>
      </c>
      <c r="FV218" s="1259"/>
      <c r="FW218" s="1259"/>
      <c r="FX218" s="1259"/>
      <c r="FY218" s="1259"/>
      <c r="FZ218" s="1259"/>
      <c r="GA218" s="1259"/>
      <c r="GB218" s="1259"/>
      <c r="GC218" s="1259"/>
      <c r="GD218" s="1260"/>
      <c r="GE218" s="1280"/>
      <c r="GF218" s="1280"/>
      <c r="GG218" s="1280"/>
      <c r="GH218" s="365"/>
      <c r="GI218" s="365"/>
      <c r="GJ218" s="365"/>
      <c r="GK218" s="121"/>
      <c r="GL218" s="160"/>
      <c r="GM218" s="160"/>
      <c r="GN218" s="160"/>
      <c r="GO218" s="160"/>
      <c r="GP218" s="160"/>
      <c r="GQ218" s="160"/>
      <c r="GR218" s="160"/>
      <c r="GS218" s="160"/>
      <c r="GT218" s="160"/>
      <c r="GU218" s="160"/>
      <c r="GV218" s="160"/>
      <c r="GW218" s="160"/>
      <c r="GX218" s="160"/>
      <c r="GY218" s="160"/>
      <c r="GZ218" s="160"/>
      <c r="HA218" s="160"/>
      <c r="HB218" s="160"/>
      <c r="HC218" s="160"/>
      <c r="HD218" s="160"/>
      <c r="HE218" s="160"/>
      <c r="HF218" s="160"/>
      <c r="HG218" s="160"/>
      <c r="HH218" s="160"/>
      <c r="HI218" s="160"/>
      <c r="HJ218" s="160"/>
      <c r="HK218" s="160"/>
      <c r="HL218" s="160"/>
      <c r="HM218" s="160"/>
      <c r="HN218" s="160"/>
      <c r="HO218" s="160"/>
      <c r="HP218" s="1228"/>
      <c r="HQ218" s="1229"/>
      <c r="HR218" s="1234"/>
      <c r="HS218" s="1236" t="str">
        <f>IF('School Profile'!$D$12="Hindi","कुल योग","Total")</f>
        <v>कुल योग</v>
      </c>
      <c r="HT218" s="1236"/>
      <c r="HU218" s="1236"/>
      <c r="HV218" s="1232">
        <f>HV212+HV213+HV214+HV216</f>
        <v>31</v>
      </c>
      <c r="HW218" s="1233"/>
      <c r="HX218" s="1301"/>
      <c r="HY218" s="1238" t="str">
        <f>IF('School Profile'!$D$12="Hindi","कुल योग","Total")</f>
        <v>कुल योग</v>
      </c>
      <c r="HZ218" s="1236"/>
      <c r="IA218" s="1236"/>
      <c r="IB218" s="584">
        <f>SUM(IB212,IB213,IB214,IB216,IB217)</f>
        <v>1</v>
      </c>
      <c r="IC218" s="606">
        <f>HV218</f>
        <v>31</v>
      </c>
      <c r="IS218" s="109" t="str">
        <f>IF('Supp. Result Entry'!T216="","",'Supp. Result Entry'!$T$4)</f>
        <v/>
      </c>
      <c r="IT218" s="110" t="str">
        <f>IF('Supp. Result Entry'!W216="","",'Supp. Result Entry'!$W$4)</f>
        <v/>
      </c>
      <c r="IU218" s="110" t="str">
        <f>IF('Supp. Result Entry'!Z216="","",'Supp. Result Entry'!$Z$4)</f>
        <v/>
      </c>
      <c r="IV218" s="110" t="str">
        <f>IF('Supp. Result Entry'!AC216="","",'Supp. Result Entry'!$AC$4)</f>
        <v/>
      </c>
      <c r="IW218" s="110" t="str">
        <f>IF('Supp. Result Entry'!AF216="","",'Supp. Result Entry'!$AF$4)</f>
        <v/>
      </c>
      <c r="IX218" s="110" t="str">
        <f>IF('Supp. Result Entry'!AI216="","",'Supp. Result Entry'!$AI$4)</f>
        <v/>
      </c>
      <c r="IY218" s="110" t="str">
        <f>IF('Supp. Result Entry'!AI216="","",'Supp. Result Entry'!$AL$4)</f>
        <v/>
      </c>
      <c r="IZ218" s="110" t="str">
        <f>IF('Supp. Result Entry'!U216="","",'Supp. Result Entry'!U216)</f>
        <v/>
      </c>
      <c r="JA218" s="110" t="str">
        <f>IF('Supp. Result Entry'!X216="","",'Supp. Result Entry'!X216)</f>
        <v/>
      </c>
      <c r="JB218" s="110" t="str">
        <f>IF('Supp. Result Entry'!AA216="","",'Supp. Result Entry'!AA216)</f>
        <v/>
      </c>
      <c r="JC218" s="110" t="str">
        <f>IF('Supp. Result Entry'!AD216="","",'Supp. Result Entry'!AD216)</f>
        <v/>
      </c>
      <c r="JD218" s="110" t="str">
        <f>IF('Supp. Result Entry'!AG216="","",'Supp. Result Entry'!AG216)</f>
        <v/>
      </c>
      <c r="JE218" s="110" t="str">
        <f>IF('Supp. Result Entry'!AJ216="","",'Supp. Result Entry'!AJ216)</f>
        <v/>
      </c>
      <c r="JF218" s="110" t="str">
        <f>IF('Supp. Result Entry'!AM216="","",'Supp. Result Entry'!AM216)</f>
        <v/>
      </c>
      <c r="JG218" s="110" t="str">
        <f>IF('Supp. Result Entry'!V216="","",'Supp. Result Entry'!V216)</f>
        <v/>
      </c>
      <c r="JH218" s="110" t="str">
        <f>IF('Supp. Result Entry'!Y216="","",'Supp. Result Entry'!Y216)</f>
        <v/>
      </c>
      <c r="JI218" s="110" t="str">
        <f>IF('Supp. Result Entry'!AB216="","",'Supp. Result Entry'!AB216)</f>
        <v/>
      </c>
      <c r="JJ218" s="110" t="str">
        <f>IF('Supp. Result Entry'!AE216="","",'Supp. Result Entry'!AE216)</f>
        <v/>
      </c>
      <c r="JK218" s="110" t="str">
        <f>IF('Supp. Result Entry'!AH216="","",'Supp. Result Entry'!AH216)</f>
        <v/>
      </c>
      <c r="JL218" s="110" t="str">
        <f>IF('Supp. Result Entry'!AK216="","",'Supp. Result Entry'!AK216)</f>
        <v/>
      </c>
      <c r="JM218" s="110" t="str">
        <f>IF('Supp. Result Entry'!AN216="","",'Supp. Result Entry'!AN216)</f>
        <v/>
      </c>
      <c r="JN218" s="110">
        <f>COUNTIF('Supp. Result Entry'!K216:Q216,"S")</f>
        <v>0</v>
      </c>
      <c r="JO218" s="110">
        <f t="shared" si="584"/>
        <v>0</v>
      </c>
      <c r="JP218" s="110">
        <f t="shared" si="661"/>
        <v>0</v>
      </c>
      <c r="JQ218" s="110" t="str">
        <f t="shared" si="585"/>
        <v/>
      </c>
      <c r="JR218" s="110" t="str">
        <f t="shared" si="586"/>
        <v/>
      </c>
      <c r="JS218" s="110" t="str">
        <f t="shared" si="587"/>
        <v/>
      </c>
      <c r="JT218" s="110" t="str">
        <f t="shared" si="588"/>
        <v/>
      </c>
      <c r="JU218" s="110" t="str">
        <f t="shared" si="589"/>
        <v/>
      </c>
      <c r="JV218" s="110" t="str">
        <f t="shared" si="590"/>
        <v/>
      </c>
      <c r="JW218" s="110" t="str">
        <f t="shared" si="591"/>
        <v/>
      </c>
      <c r="JX218" s="110" t="str">
        <f t="shared" si="662"/>
        <v/>
      </c>
      <c r="JY218" s="110" t="str">
        <f t="shared" si="663"/>
        <v/>
      </c>
      <c r="JZ218" s="110" t="str">
        <f t="shared" si="592"/>
        <v/>
      </c>
      <c r="KA218" s="108" t="str">
        <f t="shared" si="664"/>
        <v/>
      </c>
    </row>
    <row r="219" spans="1:287" s="156" customFormat="1" ht="26.25" customHeight="1">
      <c r="A219" s="161"/>
      <c r="G219" s="161"/>
      <c r="H219" s="161"/>
      <c r="K219" s="161"/>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3"/>
      <c r="DM219" s="163"/>
      <c r="DN219" s="163"/>
      <c r="DO219" s="163"/>
      <c r="DP219" s="163"/>
      <c r="DQ219" s="163"/>
      <c r="DR219" s="163"/>
      <c r="DS219" s="163"/>
      <c r="DT219" s="163"/>
      <c r="DU219" s="163"/>
      <c r="DV219" s="163"/>
      <c r="DW219" s="164"/>
      <c r="DX219" s="164"/>
      <c r="DY219" s="164"/>
      <c r="DZ219" s="164"/>
      <c r="EA219" s="164"/>
      <c r="EB219" s="164"/>
      <c r="EC219" s="164"/>
      <c r="ED219" s="164"/>
      <c r="EE219" s="164"/>
      <c r="EF219" s="164"/>
      <c r="EG219" s="164"/>
      <c r="EH219" s="164"/>
      <c r="EI219" s="164"/>
      <c r="EJ219" s="164"/>
      <c r="EK219" s="164"/>
      <c r="EL219" s="164"/>
      <c r="EM219" s="164"/>
      <c r="EN219" s="164"/>
      <c r="EO219" s="164"/>
      <c r="EP219" s="164"/>
      <c r="EQ219" s="164"/>
      <c r="ER219" s="164"/>
      <c r="ES219" s="164"/>
      <c r="ET219" s="164"/>
      <c r="EU219" s="164"/>
      <c r="EV219" s="164"/>
      <c r="EW219" s="164"/>
      <c r="EX219" s="164"/>
      <c r="EY219" s="164"/>
      <c r="EZ219" s="164"/>
      <c r="FA219" s="164"/>
      <c r="FB219" s="164"/>
      <c r="FC219" s="164"/>
      <c r="FD219" s="164"/>
      <c r="FE219" s="164"/>
      <c r="FF219" s="164"/>
      <c r="FG219" s="164"/>
      <c r="FH219" s="164"/>
      <c r="FI219" s="164"/>
      <c r="FJ219" s="164"/>
      <c r="FK219" s="164"/>
      <c r="FL219" s="164"/>
      <c r="FM219" s="164"/>
      <c r="FN219" s="164"/>
      <c r="FO219" s="164"/>
      <c r="FP219" s="164"/>
      <c r="FQ219" s="164"/>
      <c r="FR219" s="164"/>
      <c r="FS219" s="164"/>
      <c r="FT219" s="164"/>
      <c r="FU219" s="164"/>
      <c r="FV219" s="164"/>
      <c r="FW219" s="164"/>
      <c r="FX219" s="164"/>
      <c r="FY219" s="164"/>
      <c r="FZ219" s="164"/>
      <c r="GA219" s="164"/>
      <c r="GB219" s="164"/>
      <c r="GC219" s="164"/>
      <c r="GD219" s="164"/>
      <c r="GE219" s="164"/>
      <c r="GF219" s="164"/>
      <c r="GG219" s="164"/>
      <c r="GH219" s="164"/>
      <c r="GI219" s="164"/>
      <c r="GJ219" s="164"/>
      <c r="GK219" s="165"/>
      <c r="GL219" s="164"/>
      <c r="GM219" s="164"/>
      <c r="GN219" s="164"/>
      <c r="GO219" s="164"/>
      <c r="GP219" s="164"/>
      <c r="GQ219" s="166"/>
      <c r="GR219" s="166"/>
      <c r="GS219" s="166"/>
      <c r="GT219" s="166"/>
      <c r="GU219" s="166"/>
      <c r="GV219" s="166"/>
      <c r="GW219" s="166"/>
      <c r="GX219" s="166"/>
      <c r="GY219" s="166"/>
      <c r="GZ219" s="166"/>
      <c r="HA219" s="166"/>
      <c r="HB219" s="166"/>
      <c r="HC219" s="166"/>
      <c r="HD219" s="166"/>
      <c r="HE219" s="166"/>
      <c r="HF219" s="166"/>
      <c r="HG219" s="166"/>
      <c r="HH219" s="166"/>
      <c r="HI219" s="166"/>
      <c r="HJ219" s="166"/>
      <c r="HK219" s="166"/>
      <c r="HL219" s="166"/>
      <c r="HM219" s="166"/>
      <c r="HN219" s="166"/>
      <c r="HO219" s="166"/>
      <c r="HP219" s="166"/>
      <c r="HQ219" s="166"/>
      <c r="HR219" s="166"/>
      <c r="HS219" s="166"/>
      <c r="HW219" s="166"/>
      <c r="HX219" s="166"/>
      <c r="HY219" s="166"/>
      <c r="HZ219" s="166"/>
      <c r="IA219" s="166"/>
      <c r="IB219" s="166"/>
      <c r="IC219" s="166"/>
    </row>
    <row r="220" spans="1:287" s="156" customFormat="1" ht="26.25" customHeight="1">
      <c r="A220" s="161"/>
      <c r="F220" s="167"/>
      <c r="G220" s="167"/>
      <c r="H220" s="167"/>
      <c r="I220" s="167"/>
      <c r="K220" s="161"/>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3"/>
      <c r="DM220" s="163"/>
      <c r="DN220" s="163"/>
      <c r="DO220" s="163"/>
      <c r="DP220" s="163"/>
      <c r="DQ220" s="163"/>
      <c r="DR220" s="163"/>
      <c r="DS220" s="163"/>
      <c r="DT220" s="163"/>
      <c r="DU220" s="163"/>
      <c r="DV220" s="163"/>
      <c r="DW220" s="164"/>
      <c r="DX220" s="164"/>
      <c r="DY220" s="164"/>
      <c r="DZ220" s="164"/>
      <c r="EA220" s="164"/>
      <c r="EB220" s="164"/>
      <c r="EC220" s="164"/>
      <c r="ED220" s="164"/>
      <c r="EE220" s="164"/>
      <c r="EF220" s="164"/>
      <c r="EG220" s="164"/>
      <c r="EH220" s="164"/>
      <c r="EI220" s="164"/>
      <c r="EJ220" s="164"/>
      <c r="EK220" s="164"/>
      <c r="EL220" s="164"/>
      <c r="EM220" s="164"/>
      <c r="EN220" s="164"/>
      <c r="EO220" s="164"/>
      <c r="EP220" s="164"/>
      <c r="EQ220" s="164"/>
      <c r="ER220" s="164"/>
      <c r="ES220" s="164"/>
      <c r="ET220" s="164"/>
      <c r="EU220" s="164"/>
      <c r="EV220" s="164"/>
      <c r="EW220" s="164"/>
      <c r="EX220" s="164"/>
      <c r="EY220" s="164"/>
      <c r="EZ220" s="164"/>
      <c r="FA220" s="164"/>
      <c r="FB220" s="164"/>
      <c r="FC220" s="164"/>
      <c r="FD220" s="164"/>
      <c r="FE220" s="164"/>
      <c r="FF220" s="164"/>
      <c r="FG220" s="164"/>
      <c r="FH220" s="164"/>
      <c r="FI220" s="164"/>
      <c r="FJ220" s="164"/>
      <c r="FK220" s="164"/>
      <c r="FL220" s="164"/>
      <c r="FM220" s="164"/>
      <c r="FN220" s="164"/>
      <c r="FO220" s="164"/>
      <c r="FP220" s="164"/>
      <c r="FQ220" s="164"/>
      <c r="FR220" s="164"/>
      <c r="FS220" s="164"/>
      <c r="FT220" s="164"/>
      <c r="FU220" s="164"/>
      <c r="FV220" s="164"/>
      <c r="FW220" s="164"/>
      <c r="FX220" s="164"/>
      <c r="FY220" s="164"/>
      <c r="FZ220" s="164"/>
      <c r="GA220" s="164"/>
      <c r="GB220" s="164"/>
      <c r="GC220" s="164"/>
      <c r="GD220" s="164"/>
      <c r="GE220" s="164"/>
      <c r="GF220" s="164"/>
      <c r="GG220" s="164"/>
      <c r="GH220" s="164"/>
      <c r="GI220" s="164"/>
      <c r="GJ220" s="164"/>
      <c r="GK220" s="164"/>
      <c r="GL220" s="164"/>
      <c r="GM220" s="164"/>
      <c r="GN220" s="164"/>
      <c r="GO220" s="164"/>
      <c r="GP220" s="164"/>
      <c r="GQ220" s="166"/>
      <c r="GR220" s="166"/>
      <c r="GS220" s="166"/>
      <c r="GT220" s="166"/>
      <c r="GU220" s="166"/>
      <c r="GV220" s="166"/>
      <c r="GW220" s="166"/>
      <c r="GX220" s="166"/>
      <c r="GY220" s="166"/>
      <c r="GZ220" s="166"/>
      <c r="HA220" s="166"/>
      <c r="HB220" s="166"/>
      <c r="HC220" s="166"/>
      <c r="HD220" s="166"/>
      <c r="HE220" s="166"/>
      <c r="HF220" s="166"/>
      <c r="HG220" s="166"/>
      <c r="HH220" s="166"/>
      <c r="HI220" s="166"/>
      <c r="HJ220" s="166"/>
      <c r="HK220" s="166"/>
      <c r="HL220" s="166"/>
      <c r="HM220" s="166"/>
      <c r="HN220" s="166"/>
      <c r="HO220" s="166"/>
      <c r="HP220" s="166"/>
      <c r="HQ220" s="166"/>
      <c r="HR220" s="166"/>
      <c r="HS220" s="166"/>
      <c r="HW220" s="166"/>
      <c r="HX220" s="166"/>
      <c r="HY220" s="166"/>
      <c r="HZ220" s="166"/>
      <c r="IA220" s="166"/>
      <c r="IB220" s="166"/>
      <c r="IC220" s="166"/>
    </row>
    <row r="221" spans="1:287" s="156" customFormat="1" ht="26.25">
      <c r="A221" s="161"/>
      <c r="G221" s="161"/>
      <c r="H221" s="161"/>
      <c r="K221" s="161"/>
      <c r="L221" s="162"/>
      <c r="M221" s="162"/>
      <c r="N221" s="162"/>
      <c r="O221" s="162"/>
      <c r="P221" s="168"/>
      <c r="Q221" s="168"/>
      <c r="R221" s="168"/>
      <c r="S221" s="168"/>
      <c r="T221" s="168"/>
      <c r="U221" s="168"/>
      <c r="V221" s="168"/>
      <c r="W221" s="168"/>
      <c r="X221" s="168"/>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3"/>
      <c r="DM221" s="163"/>
      <c r="DN221" s="163"/>
      <c r="DO221" s="163"/>
      <c r="DP221" s="163"/>
      <c r="DQ221" s="163"/>
      <c r="DR221" s="163"/>
      <c r="DS221" s="163"/>
      <c r="DT221" s="163"/>
      <c r="DU221" s="163"/>
      <c r="DV221" s="163"/>
      <c r="DW221" s="164"/>
      <c r="DX221" s="164"/>
      <c r="DY221" s="164"/>
      <c r="DZ221" s="164"/>
      <c r="EA221" s="164"/>
      <c r="EB221" s="164"/>
      <c r="EC221" s="164"/>
      <c r="ED221" s="164"/>
      <c r="EE221" s="164"/>
      <c r="EF221" s="164"/>
      <c r="EG221" s="164"/>
      <c r="EH221" s="164"/>
      <c r="EI221" s="164"/>
      <c r="EJ221" s="164"/>
      <c r="EK221" s="164"/>
      <c r="EL221" s="164"/>
      <c r="EM221" s="164"/>
      <c r="EN221" s="164"/>
      <c r="EO221" s="164"/>
      <c r="EP221" s="164"/>
      <c r="EQ221" s="164"/>
      <c r="ER221" s="164"/>
      <c r="ES221" s="164"/>
      <c r="ET221" s="164"/>
      <c r="EU221" s="164"/>
      <c r="EV221" s="164"/>
      <c r="EW221" s="164"/>
      <c r="EX221" s="164"/>
      <c r="EY221" s="164"/>
      <c r="EZ221" s="164"/>
      <c r="FA221" s="164"/>
      <c r="FB221" s="164"/>
      <c r="FC221" s="164"/>
      <c r="FD221" s="164"/>
      <c r="FE221" s="164"/>
      <c r="FF221" s="164"/>
      <c r="FG221" s="164"/>
      <c r="FH221" s="164"/>
      <c r="FI221" s="164"/>
      <c r="FJ221" s="164"/>
      <c r="FK221" s="164"/>
      <c r="FL221" s="164"/>
      <c r="FM221" s="164"/>
      <c r="FN221" s="164"/>
      <c r="FO221" s="164"/>
      <c r="FP221" s="164"/>
      <c r="FQ221" s="164"/>
      <c r="FR221" s="164"/>
      <c r="FS221" s="164"/>
      <c r="FT221" s="164"/>
      <c r="FU221" s="164"/>
      <c r="FV221" s="164"/>
      <c r="FW221" s="164"/>
      <c r="FX221" s="164"/>
      <c r="FY221" s="164"/>
      <c r="FZ221" s="164"/>
      <c r="GA221" s="164"/>
      <c r="GB221" s="164"/>
      <c r="GC221" s="164"/>
      <c r="GD221" s="164"/>
      <c r="GE221" s="164"/>
      <c r="GF221" s="164"/>
      <c r="GG221" s="164"/>
      <c r="GH221" s="164"/>
      <c r="GI221" s="164"/>
      <c r="GJ221" s="164"/>
      <c r="GK221" s="164"/>
      <c r="GL221" s="164"/>
      <c r="GM221" s="164"/>
      <c r="GN221" s="164"/>
      <c r="GO221" s="164"/>
      <c r="GP221" s="164"/>
      <c r="GQ221" s="166"/>
      <c r="GR221" s="166"/>
      <c r="GS221" s="166"/>
      <c r="GT221" s="166"/>
      <c r="GU221" s="166"/>
      <c r="GV221" s="166"/>
      <c r="GW221" s="166"/>
      <c r="GX221" s="166"/>
      <c r="GY221" s="166"/>
      <c r="GZ221" s="166"/>
      <c r="HA221" s="166"/>
      <c r="HB221" s="166"/>
      <c r="HC221" s="166"/>
      <c r="HD221" s="166"/>
      <c r="HE221" s="166"/>
      <c r="HF221" s="166"/>
      <c r="HG221" s="166"/>
      <c r="HH221" s="166"/>
      <c r="HI221" s="166"/>
      <c r="HJ221" s="166"/>
      <c r="HK221" s="166"/>
      <c r="HL221" s="166"/>
      <c r="HM221" s="166"/>
      <c r="HN221" s="166"/>
      <c r="HO221" s="166"/>
      <c r="HP221" s="166"/>
      <c r="HQ221" s="166"/>
      <c r="HR221" s="166"/>
      <c r="HS221" s="166"/>
      <c r="HW221" s="166"/>
      <c r="HX221" s="166"/>
      <c r="HY221" s="166"/>
      <c r="HZ221" s="166"/>
      <c r="IA221" s="166"/>
      <c r="IB221" s="166"/>
      <c r="IC221" s="166"/>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FU216:GD216"/>
    <mergeCell ref="FU217:GD217"/>
    <mergeCell ref="FU218:GD218"/>
    <mergeCell ref="HR211:HR212"/>
    <mergeCell ref="HR215:HR216"/>
    <mergeCell ref="FU208:GD208"/>
    <mergeCell ref="FU209:GD209"/>
    <mergeCell ref="FU210:GD210"/>
    <mergeCell ref="GC211:GD211"/>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CZ216:DE216"/>
    <mergeCell ref="CZ217:DE217"/>
    <mergeCell ref="CZ218:DE218"/>
    <mergeCell ref="CZ208:DE208"/>
    <mergeCell ref="CZ209:DE209"/>
    <mergeCell ref="CZ210:DE210"/>
    <mergeCell ref="CZ213:DE213"/>
    <mergeCell ref="CZ214:DE214"/>
    <mergeCell ref="CZ215:DE21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FA4:FA5"/>
    <mergeCell ref="DY4:DY6"/>
    <mergeCell ref="DX3:DX5"/>
    <mergeCell ref="EH4:EH5"/>
    <mergeCell ref="DJ4:DJ5"/>
    <mergeCell ref="DE4:DE5"/>
    <mergeCell ref="DA4:DA5"/>
    <mergeCell ref="DB4:DD4"/>
    <mergeCell ref="DV3:DV5"/>
    <mergeCell ref="DF4:DF5"/>
    <mergeCell ref="DZ4:EC4"/>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HV4:HV6"/>
    <mergeCell ref="GQ5:GQ6"/>
    <mergeCell ref="GR5:GR6"/>
    <mergeCell ref="HK4:HM4"/>
    <mergeCell ref="HL5:HL6"/>
    <mergeCell ref="HM5:HM6"/>
    <mergeCell ref="HB4:HD4"/>
    <mergeCell ref="HE4:HG4"/>
    <mergeCell ref="HT4:HT5"/>
    <mergeCell ref="HU4:HU5"/>
    <mergeCell ref="HR4:HR6"/>
    <mergeCell ref="GU4:HA4"/>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A4:A6"/>
    <mergeCell ref="B4:B6"/>
    <mergeCell ref="D4:D6"/>
    <mergeCell ref="E4:E6"/>
    <mergeCell ref="F4:F6"/>
    <mergeCell ref="G4:G6"/>
    <mergeCell ref="H4:H6"/>
    <mergeCell ref="I4:I6"/>
    <mergeCell ref="J4:J6"/>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0:BG210"/>
    <mergeCell ref="BS208:BW208"/>
    <mergeCell ref="BS209:BW209"/>
    <mergeCell ref="BS210:BW210"/>
    <mergeCell ref="BC216:BG216"/>
    <mergeCell ref="BH208:BR208"/>
    <mergeCell ref="BH209:BR209"/>
    <mergeCell ref="W4:W5"/>
    <mergeCell ref="AM215:AQ215"/>
    <mergeCell ref="AM216:AQ216"/>
    <mergeCell ref="Y216:AL216"/>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s>
  <conditionalFormatting sqref="ID57:ID207 ID24:ID36 HS7:HS206 GN222:ID65580 A222:E65580 I222:DY65580 DY7:DY206 IB7:IB206">
    <cfRule type="containsText" dxfId="251" priority="149" stopIfTrue="1" operator="containsText" text="G1">
      <formula>NOT(ISERROR(SEARCH("G1",A7)))</formula>
    </cfRule>
    <cfRule type="containsText" dxfId="250" priority="150" stopIfTrue="1" operator="containsText" text="G2">
      <formula>NOT(ISERROR(SEARCH("G2",A7)))</formula>
    </cfRule>
    <cfRule type="containsText" dxfId="249" priority="151" stopIfTrue="1" operator="containsText" text="G1">
      <formula>NOT(ISERROR(SEARCH("G1",A7)))</formula>
    </cfRule>
    <cfRule type="containsText" dxfId="248" priority="152" stopIfTrue="1" operator="containsText" text="S">
      <formula>NOT(ISERROR(SEARCH("S",A7)))</formula>
    </cfRule>
    <cfRule type="containsText" dxfId="247" priority="153" stopIfTrue="1" operator="containsText" text="F">
      <formula>NOT(ISERROR(SEARCH("F",A7)))</formula>
    </cfRule>
  </conditionalFormatting>
  <conditionalFormatting sqref="ID57:ID207 ID24:ID36 HS7:HS206 DS7:DY206 IB7:IB206">
    <cfRule type="containsText" dxfId="246" priority="145" stopIfTrue="1" operator="containsText" text="RA">
      <formula>NOT(ISERROR(SEARCH("RA",DS7)))</formula>
    </cfRule>
    <cfRule type="containsText" dxfId="245" priority="146" stopIfTrue="1" operator="containsText" text="ML">
      <formula>NOT(ISERROR(SEARCH("ML",DS7)))</formula>
    </cfRule>
    <cfRule type="containsText" dxfId="244" priority="147" stopIfTrue="1" operator="containsText" text="ML">
      <formula>NOT(ISERROR(SEARCH("ML",DS7)))</formula>
    </cfRule>
  </conditionalFormatting>
  <conditionalFormatting sqref="ID57:ID207 ID24:ID36 HS7:HS206 DS7:DY206 IB7:IB206">
    <cfRule type="containsText" dxfId="243" priority="144" stopIfTrue="1" operator="containsText" text="S">
      <formula>NOT(ISERROR(SEARCH("S",DS7)))</formula>
    </cfRule>
  </conditionalFormatting>
  <conditionalFormatting sqref="HS7:HS206 DY7:DY206 IB7:IB206">
    <cfRule type="containsText" dxfId="242" priority="143" stopIfTrue="1" operator="containsText" text="G1">
      <formula>NOT(ISERROR(SEARCH("G1",DY7)))</formula>
    </cfRule>
  </conditionalFormatting>
  <conditionalFormatting sqref="HS7:HS206 DY7:DY206 IB7:IB206">
    <cfRule type="containsText" dxfId="241" priority="142" stopIfTrue="1" operator="containsText" text="NA">
      <formula>NOT(ISERROR(SEARCH("NA",DY7)))</formula>
    </cfRule>
  </conditionalFormatting>
  <conditionalFormatting sqref="HS7:HS206 DY7:DY206 IB7:IB206">
    <cfRule type="containsText" dxfId="240" priority="141" operator="containsText" text="D">
      <formula>NOT(ISERROR(SEARCH("D",DY7)))</formula>
    </cfRule>
  </conditionalFormatting>
  <conditionalFormatting sqref="HS7:HS206 DY7:DY206 IB7:IB206">
    <cfRule type="cellIs" dxfId="239" priority="139" stopIfTrue="1" operator="equal">
      <formula>0</formula>
    </cfRule>
    <cfRule type="cellIs" dxfId="238" priority="140" stopIfTrue="1" operator="equal">
      <formula>0</formula>
    </cfRule>
  </conditionalFormatting>
  <conditionalFormatting sqref="HS7:HS206 DS7:DY206 IB7:IB206">
    <cfRule type="containsText" dxfId="237" priority="135" stopIfTrue="1" operator="containsText" text="G2">
      <formula>NOT(ISERROR(SEARCH("G2",DS7)))</formula>
    </cfRule>
    <cfRule type="containsText" dxfId="236" priority="136" stopIfTrue="1" operator="containsText" text="G1">
      <formula>NOT(ISERROR(SEARCH("G1",DS7)))</formula>
    </cfRule>
    <cfRule type="containsText" dxfId="235" priority="137" stopIfTrue="1" operator="containsText" text="S">
      <formula>NOT(ISERROR(SEARCH("S",DS7)))</formula>
    </cfRule>
    <cfRule type="containsText" dxfId="234" priority="138" stopIfTrue="1" operator="containsText" text="F">
      <formula>NOT(ISERROR(SEARCH("F",DS7)))</formula>
    </cfRule>
  </conditionalFormatting>
  <conditionalFormatting sqref="HS7:HS206 DY7:DY206 IB7:IB206">
    <cfRule type="containsText" dxfId="233" priority="134" stopIfTrue="1" operator="containsText" text="NA">
      <formula>NOT(ISERROR(SEARCH("NA",DY7)))</formula>
    </cfRule>
  </conditionalFormatting>
  <conditionalFormatting sqref="HS7:HS206 DY7:DY206 IB7:IB206">
    <cfRule type="containsText" dxfId="232" priority="132" stopIfTrue="1" operator="containsText" text="NA">
      <formula>NOT(ISERROR(SEARCH("NA",DY7)))</formula>
    </cfRule>
    <cfRule type="containsText" dxfId="231" priority="133" stopIfTrue="1" operator="containsText" text="ML">
      <formula>NOT(ISERROR(SEARCH("ML",DY7)))</formula>
    </cfRule>
  </conditionalFormatting>
  <conditionalFormatting sqref="HS7:HS206 DY7:DY206 IB7:IB206">
    <cfRule type="containsText" dxfId="230" priority="130" stopIfTrue="1" operator="containsText" text="vuqRrh.kZ">
      <formula>NOT(ISERROR(SEARCH("vuqRrh.kZ",DY7)))</formula>
    </cfRule>
    <cfRule type="containsText" dxfId="229" priority="131" stopIfTrue="1" operator="containsText" text="lk- mRrh.kZ">
      <formula>NOT(ISERROR(SEARCH("lk- mRrh.kZ",DY7)))</formula>
    </cfRule>
  </conditionalFormatting>
  <conditionalFormatting sqref="HS7:HS206 DY7:DY206 IB7:IB206">
    <cfRule type="containsText" dxfId="228" priority="129" stopIfTrue="1" operator="containsText" text="iwjd">
      <formula>NOT(ISERROR(SEARCH("iwjd",DY7)))</formula>
    </cfRule>
  </conditionalFormatting>
  <conditionalFormatting sqref="K6:N6 Y6:AB206 AN6:AQ206 BB6:BE206 BP6:BS206 CE6:CH206 EC6:EC206 EO6:EO206 FH6:FH206 DB6:DC206 CT6:CY206">
    <cfRule type="cellIs" dxfId="227" priority="127" stopIfTrue="1" operator="equal">
      <formula>0</formula>
    </cfRule>
  </conditionalFormatting>
  <conditionalFormatting sqref="HS7:HS206">
    <cfRule type="expression" dxfId="226" priority="42" stopIfTrue="1">
      <formula>$HS7="SUPPLEMENTARY"</formula>
    </cfRule>
    <cfRule type="expression" dxfId="225" priority="43" stopIfTrue="1">
      <formula>HS7="NSO"</formula>
    </cfRule>
    <cfRule type="containsText" dxfId="224" priority="120" stopIfTrue="1" operator="containsText" text="iwjd">
      <formula>NOT(ISERROR(SEARCH("iwjd",HS7)))</formula>
    </cfRule>
    <cfRule type="containsText" dxfId="223" priority="121" stopIfTrue="1" operator="containsText" text="vuRrh.kZ">
      <formula>NOT(ISERROR(SEARCH("vuRrh.kZ",HS7)))</formula>
    </cfRule>
    <cfRule type="containsText" dxfId="222" priority="122" stopIfTrue="1" operator="containsText" text="mRrh.kZ">
      <formula>NOT(ISERROR(SEARCH("mRrh.kZ",HS7)))</formula>
    </cfRule>
  </conditionalFormatting>
  <conditionalFormatting sqref="HS7:HS206 IB7:IB206">
    <cfRule type="containsText" dxfId="221" priority="119" stopIfTrue="1" operator="containsText" text="iu% ijh{kk">
      <formula>NOT(ISERROR(SEARCH("iu% ijh{kk",HS7)))</formula>
    </cfRule>
  </conditionalFormatting>
  <conditionalFormatting sqref="HS7:HS206 IB7:IB206">
    <cfRule type="containsText" dxfId="220" priority="118" stopIfTrue="1" operator="containsText" text="iqu% ijh{kk">
      <formula>NOT(ISERROR(SEARCH("iqu% ijh{kk",HS7)))</formula>
    </cfRule>
  </conditionalFormatting>
  <conditionalFormatting sqref="GN7:GS206 GU7:HM206">
    <cfRule type="containsText" dxfId="219" priority="116" stopIfTrue="1" operator="containsText" text="S">
      <formula>NOT(ISERROR(SEARCH("S",GN7)))</formula>
    </cfRule>
  </conditionalFormatting>
  <conditionalFormatting sqref="R6 AF6:AF206 AU6:AU206 BI6:BI206 BW6:BW206 CL6:CL206 EG6:EG206 EW6:EW206 FP6:FP206 DE6:DE206">
    <cfRule type="cellIs" dxfId="218" priority="115" stopIfTrue="1" operator="between">
      <formula>1</formula>
      <formula>71</formula>
    </cfRule>
  </conditionalFormatting>
  <conditionalFormatting sqref="GN7:GS206 GU7:HM206">
    <cfRule type="containsText" dxfId="217" priority="112" stopIfTrue="1" operator="containsText" text="G">
      <formula>NOT(ISERROR(SEARCH("G",GN7)))</formula>
    </cfRule>
    <cfRule type="containsText" dxfId="216" priority="113" stopIfTrue="1" operator="containsText" text="S">
      <formula>NOT(ISERROR(SEARCH("S",GN7)))</formula>
    </cfRule>
    <cfRule type="containsText" dxfId="215" priority="114" stopIfTrue="1" operator="containsText" text="D">
      <formula>NOT(ISERROR(SEARCH("D",GN7)))</formula>
    </cfRule>
  </conditionalFormatting>
  <conditionalFormatting sqref="HF7:HG206 HC7:HD206 HI7:HM206 GU7:HA206">
    <cfRule type="containsText" dxfId="214" priority="110" operator="containsText" text="AB">
      <formula>NOT(ISERROR(SEARCH("AB",GU7)))</formula>
    </cfRule>
  </conditionalFormatting>
  <conditionalFormatting sqref="HF7:HG206 HC7:HD206 HI7:HM206 GU7:HA206">
    <cfRule type="containsText" dxfId="213" priority="109" operator="containsText" text="F">
      <formula>NOT(ISERROR(SEARCH("F",GU7)))</formula>
    </cfRule>
  </conditionalFormatting>
  <conditionalFormatting sqref="IC210:IC212 IB209:IC209 HR209 HR217 HR211 HR213 HR215 HV209 BZ209:CD209 DL209:DY209 HP209">
    <cfRule type="containsText" dxfId="212" priority="106" operator="containsText" text="jk">
      <formula>NOT(ISERROR(SEARCH("jk",BZ209)))</formula>
    </cfRule>
    <cfRule type="containsText" dxfId="211" priority="107" operator="containsText" text="fo">
      <formula>NOT(ISERROR(SEARCH("fo",BZ209)))</formula>
    </cfRule>
    <cfRule type="containsText" dxfId="210" priority="108" operator="containsText" text="f'k">
      <formula>NOT(ISERROR(SEARCH("f'k",BZ209)))</formula>
    </cfRule>
  </conditionalFormatting>
  <conditionalFormatting sqref="GM7:GM206">
    <cfRule type="cellIs" dxfId="209" priority="102" stopIfTrue="1" operator="lessThan">
      <formula>75</formula>
    </cfRule>
  </conditionalFormatting>
  <conditionalFormatting sqref="JG4 JQ4 JX4:JZ4">
    <cfRule type="expression" dxfId="208" priority="85">
      <formula>ISERROR(JG4)</formula>
    </cfRule>
  </conditionalFormatting>
  <conditionalFormatting sqref="IB7:IB206">
    <cfRule type="containsText" dxfId="207" priority="49" stopIfTrue="1" operator="containsText" text="iwjd">
      <formula>NOT(ISERROR(SEARCH("iwjd",IB7)))</formula>
    </cfRule>
    <cfRule type="containsText" dxfId="206" priority="50" stopIfTrue="1" operator="containsText" text="vuRrh.kZ">
      <formula>NOT(ISERROR(SEARCH("vuRrh.kZ",IB7)))</formula>
    </cfRule>
    <cfRule type="containsText" dxfId="205" priority="51" stopIfTrue="1" operator="containsText" text="mRrh.kZ">
      <formula>NOT(ISERROR(SEARCH("mRrh.kZ",IB7)))</formula>
    </cfRule>
  </conditionalFormatting>
  <conditionalFormatting sqref="HX7:HY206">
    <cfRule type="top10" dxfId="204"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Y14" sqref="Y14"/>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46" t="str">
        <f>IF('School Profile'!D12="Hindi",CONCATENATE("विद्यालय का नाम :-","  ",'School Profile'!D9),CONCATENATE("School Name :-","  ",'School Profile'!D8))</f>
        <v xml:space="preserve">विद्यालय का नाम :-  महात्मा गाँधी राजकीय विद्यालय (अंग्रेजी माध्यम) बर, पाली </v>
      </c>
      <c r="B1" s="1346"/>
      <c r="C1" s="1346"/>
      <c r="D1" s="1346"/>
      <c r="E1" s="1346"/>
      <c r="F1" s="1346"/>
      <c r="G1" s="1346"/>
      <c r="H1" s="1346"/>
      <c r="I1" s="1346"/>
      <c r="J1" s="1346"/>
      <c r="K1" s="1346"/>
      <c r="L1" s="1346"/>
      <c r="M1" s="1346"/>
      <c r="N1" s="1346"/>
      <c r="O1" s="1346"/>
      <c r="P1" s="1346"/>
      <c r="Q1" s="1346"/>
      <c r="R1" s="1346"/>
      <c r="S1" s="1346"/>
      <c r="T1" s="1346"/>
      <c r="U1" s="1346"/>
      <c r="V1" s="1346"/>
      <c r="W1" s="1346"/>
    </row>
    <row r="2" spans="1:36" ht="23.25" customHeight="1">
      <c r="A2" s="1347" t="s">
        <v>261</v>
      </c>
      <c r="B2" s="1347"/>
      <c r="C2" s="1347"/>
      <c r="D2" s="1347"/>
      <c r="E2" s="1347"/>
      <c r="F2" s="1347"/>
      <c r="G2" s="1347"/>
      <c r="H2" s="1347"/>
      <c r="I2" s="1347"/>
      <c r="J2" s="1347"/>
      <c r="K2" s="1347"/>
      <c r="L2" s="1347"/>
      <c r="M2" s="1347"/>
      <c r="N2" s="1347"/>
      <c r="O2" s="1347"/>
      <c r="P2" s="1347"/>
      <c r="Q2" s="1347"/>
      <c r="R2" s="1347"/>
      <c r="S2" s="1347"/>
      <c r="T2" s="1347"/>
      <c r="U2" s="1347"/>
      <c r="V2" s="1347"/>
      <c r="W2" s="1347"/>
    </row>
    <row r="3" spans="1:36" ht="23.25" customHeight="1">
      <c r="A3" s="781"/>
      <c r="B3" s="1348" t="str">
        <f>IF('School Profile'!D12="Hindi","कक्षा  :-","CLASS :- ")</f>
        <v>कक्षा  :-</v>
      </c>
      <c r="C3" s="1348"/>
      <c r="D3" s="782" t="str">
        <f>IF('Statement of Marks'!E3="","",'Statement of Marks'!E3)</f>
        <v>9th</v>
      </c>
      <c r="E3" s="781"/>
      <c r="F3" s="783" t="str">
        <f>IF('School Profile'!D12="Hindi","सत्र :- ","Session :- ")</f>
        <v xml:space="preserve">सत्र :- </v>
      </c>
      <c r="G3" s="817" t="str">
        <f>IF('Statement of Marks'!H3="","",'Statement of Marks'!H3)</f>
        <v>2024-2025</v>
      </c>
      <c r="H3" s="817"/>
      <c r="I3" s="1348" t="str">
        <f>IF('School Profile'!$D$12="Hindi","विषय :-","Subject :-")</f>
        <v>विषय :-</v>
      </c>
      <c r="J3" s="1348"/>
      <c r="K3" s="1348"/>
      <c r="L3" s="1349" t="s">
        <v>269</v>
      </c>
      <c r="M3" s="1349"/>
      <c r="N3" s="1349"/>
      <c r="O3" s="1349"/>
      <c r="P3" s="1349"/>
      <c r="Q3" s="1349"/>
      <c r="R3" s="1349"/>
      <c r="S3" s="1349"/>
      <c r="T3" s="1349"/>
      <c r="U3" s="1349"/>
      <c r="V3" s="1349"/>
      <c r="W3" s="1349"/>
    </row>
    <row r="4" spans="1:36" ht="9.75" customHeight="1">
      <c r="A4" s="781"/>
      <c r="B4" s="784"/>
      <c r="C4" s="784"/>
      <c r="D4" s="781"/>
      <c r="E4" s="781"/>
      <c r="F4" s="785"/>
      <c r="G4" s="786"/>
      <c r="H4" s="781"/>
      <c r="I4" s="783"/>
      <c r="J4" s="783"/>
      <c r="K4" s="783"/>
      <c r="L4" s="783"/>
      <c r="M4" s="783"/>
      <c r="N4" s="783"/>
      <c r="O4" s="787"/>
      <c r="P4" s="787"/>
      <c r="Q4" s="787"/>
      <c r="R4" s="787"/>
      <c r="S4" s="787"/>
      <c r="T4" s="787"/>
      <c r="U4" s="787"/>
      <c r="V4" s="787"/>
      <c r="W4" s="787"/>
    </row>
    <row r="5" spans="1:36" ht="26.25" customHeight="1">
      <c r="A5" s="1345" t="str">
        <f>IF('School Profile'!D12="Hindi","क्र. स.","Sr. No. ")</f>
        <v>क्र. स.</v>
      </c>
      <c r="B5" s="1345" t="str">
        <f>IF('School Profile'!D12="Hindi","नामांक","Roll No.")</f>
        <v>नामांक</v>
      </c>
      <c r="C5" s="1345" t="str">
        <f>IF('School Profile'!D12="Hindi","प्रवेशांक","SR. NO.")</f>
        <v>प्रवेशांक</v>
      </c>
      <c r="D5" s="1343" t="str">
        <f>IF('School Profile'!D12="Hindi","जन्म दिनांक","Date of Birth")</f>
        <v>जन्म दिनांक</v>
      </c>
      <c r="E5" s="1343" t="str">
        <f>IF('School Profile'!D12="Hindi","विद्यार्थी का नाम","Student's Name")</f>
        <v>विद्यार्थी का नाम</v>
      </c>
      <c r="F5" s="1343" t="str">
        <f>IF('School Profile'!D12="Hindi","पिता का नाम","Father's Name")</f>
        <v>पिता का नाम</v>
      </c>
      <c r="G5" s="1343" t="str">
        <f>IF('School Profile'!D12="Hindi","माता का नाम ","Mother's Name")</f>
        <v xml:space="preserve">माता का नाम </v>
      </c>
      <c r="H5" s="1344" t="str">
        <f>IF('School Profile'!D12="Hindi","वर्ग  ","Category")</f>
        <v xml:space="preserve">वर्ग  </v>
      </c>
      <c r="I5" s="1344" t="str">
        <f>IF('School Profile'!D12="Hindi","लिंग ","Gender")</f>
        <v xml:space="preserve">लिंग </v>
      </c>
      <c r="J5" s="1319" t="str">
        <f>IF(OR($L$3=$AJ$18,$L$3=$AJ$19),"",IF('School Profile'!$D$12="Hindi","सामयिक परख","Seasonal Exam"))</f>
        <v>सामयिक परख</v>
      </c>
      <c r="K5" s="1319"/>
      <c r="L5" s="1319"/>
      <c r="M5" s="1319"/>
      <c r="N5" s="1318" t="str">
        <f>IF(OR($L$3=$AJ$18,$L$3=$AJ$19),IF('School Profile'!$D$12="Hindi","अनिवार्य प्रवृति","Compulsory Tendency"),IF('School Profile'!$D$12="Hindi","अर्द्धवार्षिक","Half Yearly"))</f>
        <v>अर्द्धवार्षिक</v>
      </c>
      <c r="O5" s="1338" t="str">
        <f>IF(OR($L$3=$AJ$18,$L$3=$AJ$19),IF('School Profile'!$D$12="Hindi","वैकल्पिक प्रवृति","Alternative Tendency"),IF('School Profile'!$D$12="Hindi","अर्द्ध वा. तक योग","Total Till H.Y."))</f>
        <v>अर्द्ध वा. तक योग</v>
      </c>
      <c r="P5" s="1318" t="str">
        <f>IF(OR($L$3=$AJ$18,$L$3=$AJ$19),IF('School Profile'!$D$12="Hindi","शिविर","Camp"),IF('School Profile'!$D$12="Hindi","वार्षिक","Yearly"))</f>
        <v>वार्षिक</v>
      </c>
      <c r="Q5" s="1339" t="str">
        <f>IF('School Profile'!$D$12="Hindi","विषय कुल योग ","Subject Total")</f>
        <v xml:space="preserve">विषय कुल योग </v>
      </c>
      <c r="R5" s="1340" t="s">
        <v>22</v>
      </c>
      <c r="S5" s="1340" t="s">
        <v>262</v>
      </c>
      <c r="T5" s="1340" t="s">
        <v>24</v>
      </c>
      <c r="U5" s="1340" t="s">
        <v>263</v>
      </c>
      <c r="V5" s="1340" t="s">
        <v>264</v>
      </c>
      <c r="W5" s="1341" t="str">
        <f>IF('School Profile'!$D$12="Hindi","ग्रेड","Grade")</f>
        <v>ग्रेड</v>
      </c>
      <c r="Z5" s="1337" t="s">
        <v>265</v>
      </c>
      <c r="AA5" s="1337"/>
      <c r="AB5" s="1337"/>
      <c r="AC5" s="1337"/>
      <c r="AD5" s="1337"/>
    </row>
    <row r="6" spans="1:36" ht="73.5" customHeight="1">
      <c r="A6" s="1345"/>
      <c r="B6" s="1345"/>
      <c r="C6" s="1345"/>
      <c r="D6" s="1343"/>
      <c r="E6" s="1343"/>
      <c r="F6" s="1343"/>
      <c r="G6" s="1343"/>
      <c r="H6" s="1344"/>
      <c r="I6" s="1344"/>
      <c r="J6" s="796" t="str">
        <f>IF(OR($L$3=$AJ$18,$L$3=$AJ$19),"",IF('School Profile'!$D$12="Hindi","प्रथम परख ","First Test"))</f>
        <v xml:space="preserve">प्रथम परख </v>
      </c>
      <c r="K6" s="796" t="str">
        <f>IF(OR($L$3=$AJ$18,$L$3=$AJ$19),"",IF('School Profile'!$D$12="Hindi","द्वितीय परख","Second Test"))</f>
        <v>द्वितीय परख</v>
      </c>
      <c r="L6" s="796" t="str">
        <f>IF(OR($L$3=$AJ$18,$L$3=$AJ$19),"",IF('School Profile'!$D$12="Hindi","तृतीय परख","Third Test"))</f>
        <v>तृतीय परख</v>
      </c>
      <c r="M6" s="797" t="str">
        <f>IF(OR($L$3=$AJ$18,$L$3=$AJ$19),"",IF('School Profile'!$D$12="Hindi","सा. परख योग","Test Total"))</f>
        <v>सा. परख योग</v>
      </c>
      <c r="N6" s="1318"/>
      <c r="O6" s="1338"/>
      <c r="P6" s="1318"/>
      <c r="Q6" s="1339"/>
      <c r="R6" s="1340"/>
      <c r="S6" s="1340"/>
      <c r="T6" s="1340"/>
      <c r="U6" s="1340"/>
      <c r="V6" s="1340"/>
      <c r="W6" s="1342">
        <v>0</v>
      </c>
      <c r="Z6" s="1337"/>
      <c r="AA6" s="1337"/>
      <c r="AB6" s="1337"/>
      <c r="AC6" s="1337"/>
      <c r="AD6" s="1337"/>
    </row>
    <row r="7" spans="1:36" ht="17.25" customHeight="1">
      <c r="A7" s="1345"/>
      <c r="B7" s="1345"/>
      <c r="C7" s="1345"/>
      <c r="D7" s="1343"/>
      <c r="E7" s="1343"/>
      <c r="F7" s="1343"/>
      <c r="G7" s="1343"/>
      <c r="H7" s="1344"/>
      <c r="I7" s="1344"/>
      <c r="J7" s="798">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798">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798">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799">
        <f t="shared" ref="M7:M70" si="0">IF(AND(J7="",K7="",L7="",$L$3=""),"",IF(OR($L$3=$AJ$18,$L$3=$AJ$19),"",SUM(J7:L7)))</f>
        <v>30</v>
      </c>
      <c r="N7" s="798">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800">
        <f>IF($L$3=$AJ$18,'Statement of Marks'!FV6,IF($L$3=$AJ$19,'Statement of Marks'!GD6,IF(AND(M7="NA",N7="NA"),"NA",IF(AND(M7="",N7=""),"",SUM(M7,N7)))))</f>
        <v>100</v>
      </c>
      <c r="P7" s="798">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801">
        <f>IF(O7="","",IF(OR($L$3=$AJ$18,$L$3=$AJ$19),SUM(N7,O7,P7),SUM(O7,P7)))</f>
        <v>200</v>
      </c>
      <c r="R7" s="801"/>
      <c r="S7" s="801"/>
      <c r="T7" s="801"/>
      <c r="U7" s="801"/>
      <c r="V7" s="801"/>
      <c r="W7" s="802"/>
    </row>
    <row r="8" spans="1:36" ht="18" customHeight="1">
      <c r="A8" s="803">
        <f>IF('Statement of Marks'!A7="","",'Statement of Marks'!A7)</f>
        <v>1</v>
      </c>
      <c r="B8" s="804">
        <f>IF(OR($D$3="",$L$3=""),"",IF('Statement of Marks'!B7="","",'Statement of Marks'!B7))</f>
        <v>901</v>
      </c>
      <c r="C8" s="805">
        <f>IF(OR($D$3="",$L$3=""),"",IF('Statement of Marks'!D7="","",'Statement of Marks'!D7))</f>
        <v>521</v>
      </c>
      <c r="D8" s="806">
        <f>IF(OR($D$3="",$L$3=""),"",IF('Statement of Marks'!E7="","",'Statement of Marks'!E7))</f>
        <v>40461</v>
      </c>
      <c r="E8" s="807" t="str">
        <f>IF(OR($D$3="",$L$3=""),"",IF('Statement of Marks'!F7="","",'Statement of Marks'!F7))</f>
        <v>RAHUL JAT</v>
      </c>
      <c r="F8" s="807" t="str">
        <f>IF(OR($D$3="",$L$3=""),"",IF('Statement of Marks'!G7="","",'Statement of Marks'!G7))</f>
        <v>HL JAT</v>
      </c>
      <c r="G8" s="807" t="str">
        <f>IF(OR($D$3="",$L$3=""),"",IF('Statement of Marks'!H7="","",'Statement of Marks'!H7))</f>
        <v>LALI</v>
      </c>
      <c r="H8" s="808" t="str">
        <f>IF(OR($D$3="",$L$3=""),"",IF('Statement of Marks'!I7="","",'Statement of Marks'!I7))</f>
        <v>OBC</v>
      </c>
      <c r="I8" s="808" t="str">
        <f>IF(OR($D$3="",$L$3=""),"",IF('Statement of Marks'!J7="","",'Statement of Marks'!J7))</f>
        <v>M</v>
      </c>
      <c r="J8" s="809">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809">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809">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810">
        <f t="shared" si="0"/>
        <v>28</v>
      </c>
      <c r="N8" s="809">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811">
        <f>IF($L$3=$AJ$18,'Statement of Marks'!FV7,IF($L$3=$AJ$19,'Statement of Marks'!GD7,IF(AND(M8="NA",N8="NA"),"NA",IF(AND(M8="",N8=""),"",SUM(M8,N8)))))</f>
        <v>74</v>
      </c>
      <c r="P8" s="809">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812">
        <f>IF(O8="","",IF(B8="","",IF(OR($L$3=$AJ$18,$L$3=$AJ$19),SUM(N8,O8,P8),SUM(O8,P8))))</f>
        <v>144</v>
      </c>
      <c r="R8" s="813">
        <f t="shared" ref="R8:R39" si="1">IFERROR(IF($L$3="","",IF(OR($L$3=$AJ$18,$L$3=$AJ$19),COUNTIF(J8:L8,"NA")*$J$7+(COUNTIF(J8:L8,"ML")*$J$7)+(COUNTIF(O8,"ML")*$O$7)+(COUNTIF(N8,"ML")*$N$8)+(COUNTIF(P8,"ML")*$P$7),COUNTIF(N8,"NA")*$N$7+(COUNTIF(J8:L8,"ML")*$J$7)+(COUNTIF(N8,"ML")*$N$7)+(COUNTIF(P8,"ML")*$P$7))),0)</f>
        <v>0</v>
      </c>
      <c r="S8" s="813">
        <f>IF(OR(B8="NSO",B8=0,B8=""),"",IF(OR(B8="NSO",B8=0,B8="",Q8=""),"",IF(OR($L$3=$AJ$8,$L$3=$AJ$9,$L$3=$AJ$10,$L$3=$AJ$11,$L$3=$AJ$12,$L$3=$AJ$13,$L$3=$AJ$14,$L$3=$AJ$15,$L$3=$AJ$16,$L$3=$AJ$17),IF(AND(J8="NA",L8="NA",K8="NA"),$M$7-R8,IF(AND(N8="ML"),$N$7-R8,IF(AND(P8="ML"),$P$7-R8,$Q$7-R8))),IF(AND(N8="NA"),$N$7-R8,IF(AND(O8="ML"),$O$7-R8,IF(AND(P8="ML"),$P$7-R8,$Q$7-R8))))))</f>
        <v>200</v>
      </c>
      <c r="T8" s="813"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814" t="str">
        <f>IF(OR(B8="",$L$3=""),"",IF(Q8=0,"",IF(Q8="","",IF(B8="NSO","NSO",IF(OR(T8="AB",P8="ab"),"AB",IF(P8="ML","RE",IF(Q8="ML","RE",IF(AND(Q8&gt;=36%*S8,P8&gt;=$P$7*20%),"P",IF(AND(Q8&gt;=34%*S8,P8&gt;=$P$7*20%),"G",IF(AND(Q8&gt;=31%*S8,P8&gt;=$P$7*20%),"G",IF(AND(Q8&gt;=25%*S8,P8&gt;=$P$7*20%),"S","F")))))))))))</f>
        <v>P</v>
      </c>
      <c r="V8" s="815" t="str">
        <f>IF(OR(U8="",U8=0,U8="S",U8="RE",U8="F",U8="AB",B8="NSO"),"",IF(U8="G","G",IF(Q8&gt;=75%*S8,"I",IF(Q8&gt;=60%*S8,"I",IF(Q8&gt;=48%*S8,"II",IF(Q8&gt;=36%*S8,"III",""))))))</f>
        <v>I</v>
      </c>
      <c r="W8" s="816" t="str">
        <f t="shared" ref="W8:W39" si="2">IF(Q8="","",IF(OR(U8="",U8=0,U8="RE",U8="AB",B8="NSO"),"",IF(Q8&gt;85%*S8,"A",IF(Q8&gt;70%*S8,"B",IF(Q8&gt;=50%*S8,"C",IF(Q8&gt;=30%*S8,"D","E"))))))</f>
        <v>B</v>
      </c>
      <c r="Z8" s="1322" t="s">
        <v>268</v>
      </c>
      <c r="AA8" s="1322"/>
      <c r="AB8" s="1322"/>
      <c r="AC8" s="1322"/>
      <c r="AD8" s="1322"/>
      <c r="AE8" s="1322"/>
      <c r="AJ8" s="6" t="str">
        <f>'Statement of Marks'!K3</f>
        <v>हिंदी</v>
      </c>
    </row>
    <row r="9" spans="1:36" ht="18" customHeight="1">
      <c r="A9" s="803">
        <f>IF('Statement of Marks'!A8="","",'Statement of Marks'!A8)</f>
        <v>2</v>
      </c>
      <c r="B9" s="804">
        <f>IF(OR($D$3="",$L$3=""),"",IF('Statement of Marks'!B8="","",'Statement of Marks'!B8))</f>
        <v>902</v>
      </c>
      <c r="C9" s="805">
        <f>IF(OR($D$3="",$L$3=""),"",IF('Statement of Marks'!D8="","",'Statement of Marks'!D8))</f>
        <v>501</v>
      </c>
      <c r="D9" s="806">
        <f>IF(OR($D$3="",$L$3=""),"",IF('Statement of Marks'!E8="","",'Statement of Marks'!E8))</f>
        <v>40065</v>
      </c>
      <c r="E9" s="807" t="str">
        <f>IF(OR($D$3="",$L$3=""),"",IF('Statement of Marks'!F8="","",'Statement of Marks'!F8))</f>
        <v>RAM</v>
      </c>
      <c r="F9" s="807" t="str">
        <f>IF(OR($D$3="",$L$3=""),"",IF('Statement of Marks'!G8="","",'Statement of Marks'!G8))</f>
        <v>SHYAM</v>
      </c>
      <c r="G9" s="807" t="str">
        <f>IF(OR($D$3="",$L$3=""),"",IF('Statement of Marks'!H8="","",'Statement of Marks'!H8))</f>
        <v>SITA</v>
      </c>
      <c r="H9" s="808" t="str">
        <f>IF(OR($D$3="",$L$3=""),"",IF('Statement of Marks'!I8="","",'Statement of Marks'!I8))</f>
        <v>OBC</v>
      </c>
      <c r="I9" s="808" t="str">
        <f>IF(OR($D$3="",$L$3=""),"",IF('Statement of Marks'!J8="","",'Statement of Marks'!J8))</f>
        <v>M</v>
      </c>
      <c r="J9" s="809">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809">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809">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810">
        <f t="shared" si="0"/>
        <v>27</v>
      </c>
      <c r="N9" s="809">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811">
        <f>IF($L$3=$AJ$18,'Statement of Marks'!FV8,IF($L$3=$AJ$19,'Statement of Marks'!GD8,IF(AND(M9="NA",N9="NA"),"NA",IF(AND(M9="",N9=""),"",SUM(M9,N9)))))</f>
        <v>93</v>
      </c>
      <c r="P9" s="809">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812">
        <f t="shared" ref="Q9:Q72" si="3">IF(O9="","",IF(B9="","",IF(OR($L$3=$AJ$18,$L$3=$AJ$19),SUM(N9,O9,P9),SUM(O9,P9))))</f>
        <v>188</v>
      </c>
      <c r="R9" s="813">
        <f t="shared" si="1"/>
        <v>0</v>
      </c>
      <c r="S9" s="813">
        <f t="shared" ref="S9:S72" si="4">IF(OR(B9="NSO",B9=0,B9=""),"",IF(OR(B9="NSO",B9=0,B9="",Q9=""),"",IF(OR($L$3=$AJ$8,$L$3=$AJ$9,$L$3=$AJ$10,$L$3=$AJ$11,$L$3=$AJ$12,$L$3=$AJ$13,$L$3=$AJ$14,$L$3=$AJ$15,$L$3=$AJ$16,$L$3=$AJ$17),IF(AND(J9="NA",L9="NA",K9="NA"),$M$7-R9,IF(AND(N9="ML"),$N$7-R9,IF(AND(P9="ML"),$P$7-R9,$Q$7-R9))),IF(AND(N9="NA"),$N$7-R9,IF(AND(O9="ML"),$O$7-R9,IF(AND(P9="ML"),$P$7-R9,$Q$7-R9))))))</f>
        <v>200</v>
      </c>
      <c r="T9" s="813"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814" t="str">
        <f t="shared" ref="U9:U72" si="6">IF(OR(B9="",$L$3=""),"",IF(Q9=0,"",IF(Q9="","",IF(B9="NSO","NSO",IF(OR(T9="AB",P9="ab"),"AB",IF(P9="ML","RE",IF(Q9="ML","RE",IF(AND(Q9&gt;=36%*S9,P9&gt;=$P$7*20%),"P",IF(AND(Q9&gt;=34%*S9,P9&gt;=$P$7*20%),"G",IF(AND(Q9&gt;=31%*S9,P9&gt;=$P$7*20%),"G",IF(AND(Q9&gt;=25%*S9,P9&gt;=$P$7*20%),"S","F")))))))))))</f>
        <v>P</v>
      </c>
      <c r="V9" s="815" t="str">
        <f t="shared" ref="V9:V72" si="7">IF(OR(U9="",U9=0,U9="S",U9="RE",U9="F",U9="AB",B9="NSO"),"",IF(U9="G","G",IF(Q9&gt;=75%*S9,"I",IF(Q9&gt;=60%*S9,"I",IF(Q9&gt;=48%*S9,"II",IF(Q9&gt;=36%*S9,"III",""))))))</f>
        <v>I</v>
      </c>
      <c r="W9" s="816" t="str">
        <f t="shared" si="2"/>
        <v>A</v>
      </c>
      <c r="Z9" s="1322"/>
      <c r="AA9" s="1322"/>
      <c r="AB9" s="1322"/>
      <c r="AC9" s="1322"/>
      <c r="AD9" s="1322"/>
      <c r="AE9" s="1322"/>
      <c r="AJ9" s="6" t="str">
        <f>'Statement of Marks'!Y3</f>
        <v>अंग्रेजी</v>
      </c>
    </row>
    <row r="10" spans="1:36" ht="18" customHeight="1">
      <c r="A10" s="803">
        <f>IF('Statement of Marks'!A9="","",'Statement of Marks'!A9)</f>
        <v>3</v>
      </c>
      <c r="B10" s="804">
        <f>IF(OR($D$3="",$L$3=""),"",IF('Statement of Marks'!B9="","",'Statement of Marks'!B9))</f>
        <v>903</v>
      </c>
      <c r="C10" s="805" t="str">
        <f>IF(OR($D$3="",$L$3=""),"",IF('Statement of Marks'!D9="","",'Statement of Marks'!D9))</f>
        <v/>
      </c>
      <c r="D10" s="806">
        <f>IF(OR($D$3="",$L$3=""),"",IF('Statement of Marks'!E9="","",'Statement of Marks'!E9))</f>
        <v>41192</v>
      </c>
      <c r="E10" s="807" t="str">
        <f>IF(OR($D$3="",$L$3=""),"",IF('Statement of Marks'!F9="","",'Statement of Marks'!F9))</f>
        <v>DINESH</v>
      </c>
      <c r="F10" s="807" t="str">
        <f>IF(OR($D$3="",$L$3=""),"",IF('Statement of Marks'!G9="","",'Statement of Marks'!G9))</f>
        <v/>
      </c>
      <c r="G10" s="807" t="str">
        <f>IF(OR($D$3="",$L$3=""),"",IF('Statement of Marks'!H9="","",'Statement of Marks'!H9))</f>
        <v/>
      </c>
      <c r="H10" s="808" t="str">
        <f>IF(OR($D$3="",$L$3=""),"",IF('Statement of Marks'!I9="","",'Statement of Marks'!I9))</f>
        <v>GEN</v>
      </c>
      <c r="I10" s="808" t="str">
        <f>IF(OR($D$3="",$L$3=""),"",IF('Statement of Marks'!J9="","",'Statement of Marks'!J9))</f>
        <v>M</v>
      </c>
      <c r="J10" s="809">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809">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809">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810">
        <f t="shared" si="0"/>
        <v>27</v>
      </c>
      <c r="N10" s="809">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811">
        <f>IF($L$3=$AJ$18,'Statement of Marks'!FV9,IF($L$3=$AJ$19,'Statement of Marks'!GD9,IF(AND(M10="NA",N10="NA"),"NA",IF(AND(M10="",N10=""),"",SUM(M10,N10)))))</f>
        <v>92</v>
      </c>
      <c r="P10" s="809">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812">
        <f t="shared" si="3"/>
        <v>187</v>
      </c>
      <c r="R10" s="813">
        <f t="shared" si="1"/>
        <v>0</v>
      </c>
      <c r="S10" s="813">
        <f t="shared" si="4"/>
        <v>200</v>
      </c>
      <c r="T10" s="813" t="str">
        <f t="shared" si="5"/>
        <v/>
      </c>
      <c r="U10" s="814" t="str">
        <f t="shared" si="6"/>
        <v>P</v>
      </c>
      <c r="V10" s="815" t="str">
        <f t="shared" si="7"/>
        <v>I</v>
      </c>
      <c r="W10" s="816" t="str">
        <f t="shared" si="2"/>
        <v>A</v>
      </c>
      <c r="Z10" s="1323" t="s">
        <v>266</v>
      </c>
      <c r="AA10" s="1323"/>
      <c r="AB10" s="1323"/>
      <c r="AC10" s="1323"/>
      <c r="AD10" s="1323"/>
      <c r="AE10" s="1323"/>
      <c r="AJ10" s="6" t="str">
        <f>'Statement of Marks'!AM4</f>
        <v>तृतीय भाषा के विषय</v>
      </c>
    </row>
    <row r="11" spans="1:36" ht="18" customHeight="1">
      <c r="A11" s="803">
        <f>IF('Statement of Marks'!A10="","",'Statement of Marks'!A10)</f>
        <v>4</v>
      </c>
      <c r="B11" s="804">
        <f>IF(OR($D$3="",$L$3=""),"",IF('Statement of Marks'!B10="","",'Statement of Marks'!B10))</f>
        <v>904</v>
      </c>
      <c r="C11" s="805" t="str">
        <f>IF(OR($D$3="",$L$3=""),"",IF('Statement of Marks'!D10="","",'Statement of Marks'!D10))</f>
        <v/>
      </c>
      <c r="D11" s="806">
        <f>IF(OR($D$3="",$L$3=""),"",IF('Statement of Marks'!E10="","",'Statement of Marks'!E10))</f>
        <v>40670</v>
      </c>
      <c r="E11" s="807" t="str">
        <f>IF(OR($D$3="",$L$3=""),"",IF('Statement of Marks'!F10="","",'Statement of Marks'!F10))</f>
        <v>RAMESH</v>
      </c>
      <c r="F11" s="807" t="str">
        <f>IF(OR($D$3="",$L$3=""),"",IF('Statement of Marks'!G10="","",'Statement of Marks'!G10))</f>
        <v/>
      </c>
      <c r="G11" s="807" t="str">
        <f>IF(OR($D$3="",$L$3=""),"",IF('Statement of Marks'!H10="","",'Statement of Marks'!H10))</f>
        <v/>
      </c>
      <c r="H11" s="808" t="str">
        <f>IF(OR($D$3="",$L$3=""),"",IF('Statement of Marks'!I10="","",'Statement of Marks'!I10))</f>
        <v>SBC</v>
      </c>
      <c r="I11" s="808" t="str">
        <f>IF(OR($D$3="",$L$3=""),"",IF('Statement of Marks'!J10="","",'Statement of Marks'!J10))</f>
        <v>M</v>
      </c>
      <c r="J11" s="809">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809">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809">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810">
        <f t="shared" si="0"/>
        <v>27</v>
      </c>
      <c r="N11" s="809">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811">
        <f>IF($L$3=$AJ$18,'Statement of Marks'!FV10,IF($L$3=$AJ$19,'Statement of Marks'!GD10,IF(AND(M11="NA",N11="NA"),"NA",IF(AND(M11="",N11=""),"",SUM(M11,N11)))))</f>
        <v>57</v>
      </c>
      <c r="P11" s="809">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812">
        <f t="shared" si="3"/>
        <v>152</v>
      </c>
      <c r="R11" s="813">
        <f t="shared" si="1"/>
        <v>0</v>
      </c>
      <c r="S11" s="813">
        <f t="shared" si="4"/>
        <v>200</v>
      </c>
      <c r="T11" s="813" t="str">
        <f t="shared" si="5"/>
        <v/>
      </c>
      <c r="U11" s="814" t="str">
        <f t="shared" si="6"/>
        <v>P</v>
      </c>
      <c r="V11" s="815" t="str">
        <f t="shared" si="7"/>
        <v>I</v>
      </c>
      <c r="W11" s="816" t="str">
        <f t="shared" si="2"/>
        <v>B</v>
      </c>
      <c r="AJ11" s="6" t="str">
        <f>'Statement of Marks'!BB3</f>
        <v>गणित</v>
      </c>
    </row>
    <row r="12" spans="1:36" ht="18" customHeight="1">
      <c r="A12" s="803">
        <f>IF('Statement of Marks'!A11="","",'Statement of Marks'!A11)</f>
        <v>5</v>
      </c>
      <c r="B12" s="804">
        <f>IF(OR($D$3="",$L$3=""),"",IF('Statement of Marks'!B11="","",'Statement of Marks'!B11))</f>
        <v>905</v>
      </c>
      <c r="C12" s="805" t="str">
        <f>IF(OR($D$3="",$L$3=""),"",IF('Statement of Marks'!D11="","",'Statement of Marks'!D11))</f>
        <v/>
      </c>
      <c r="D12" s="806">
        <f>IF(OR($D$3="",$L$3=""),"",IF('Statement of Marks'!E11="","",'Statement of Marks'!E11))</f>
        <v>41525</v>
      </c>
      <c r="E12" s="807" t="str">
        <f>IF(OR($D$3="",$L$3=""),"",IF('Statement of Marks'!F11="","",'Statement of Marks'!F11))</f>
        <v>SHYAM</v>
      </c>
      <c r="F12" s="807" t="str">
        <f>IF(OR($D$3="",$L$3=""),"",IF('Statement of Marks'!G11="","",'Statement of Marks'!G11))</f>
        <v/>
      </c>
      <c r="G12" s="807" t="str">
        <f>IF(OR($D$3="",$L$3=""),"",IF('Statement of Marks'!H11="","",'Statement of Marks'!H11))</f>
        <v/>
      </c>
      <c r="H12" s="808" t="str">
        <f>IF(OR($D$3="",$L$3=""),"",IF('Statement of Marks'!I11="","",'Statement of Marks'!I11))</f>
        <v>SC</v>
      </c>
      <c r="I12" s="808" t="str">
        <f>IF(OR($D$3="",$L$3=""),"",IF('Statement of Marks'!J11="","",'Statement of Marks'!J11))</f>
        <v>M</v>
      </c>
      <c r="J12" s="809">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809">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809">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810">
        <f t="shared" si="0"/>
        <v>27</v>
      </c>
      <c r="N12" s="809">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811">
        <f>IF($L$3=$AJ$18,'Statement of Marks'!FV11,IF($L$3=$AJ$19,'Statement of Marks'!GD11,IF(AND(M12="NA",N12="NA"),"NA",IF(AND(M12="",N12=""),"",SUM(M12,N12)))))</f>
        <v>88</v>
      </c>
      <c r="P12" s="809">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812">
        <f t="shared" si="3"/>
        <v>133</v>
      </c>
      <c r="R12" s="813">
        <f t="shared" si="1"/>
        <v>0</v>
      </c>
      <c r="S12" s="813">
        <f t="shared" si="4"/>
        <v>200</v>
      </c>
      <c r="T12" s="813" t="str">
        <f t="shared" si="5"/>
        <v/>
      </c>
      <c r="U12" s="814" t="str">
        <f t="shared" si="6"/>
        <v>P</v>
      </c>
      <c r="V12" s="815" t="str">
        <f t="shared" si="7"/>
        <v>I</v>
      </c>
      <c r="W12" s="816" t="str">
        <f t="shared" si="2"/>
        <v>C</v>
      </c>
      <c r="AJ12" s="6" t="str">
        <f>'Statement of Marks'!BP3</f>
        <v>विज्ञान</v>
      </c>
    </row>
    <row r="13" spans="1:36" ht="18" customHeight="1">
      <c r="A13" s="803">
        <f>IF('Statement of Marks'!A12="","",'Statement of Marks'!A12)</f>
        <v>6</v>
      </c>
      <c r="B13" s="804">
        <f>IF(OR($D$3="",$L$3=""),"",IF('Statement of Marks'!B12="","",'Statement of Marks'!B12))</f>
        <v>906</v>
      </c>
      <c r="C13" s="805" t="str">
        <f>IF(OR($D$3="",$L$3=""),"",IF('Statement of Marks'!D12="","",'Statement of Marks'!D12))</f>
        <v/>
      </c>
      <c r="D13" s="806">
        <f>IF(OR($D$3="",$L$3=""),"",IF('Statement of Marks'!E12="","",'Statement of Marks'!E12))</f>
        <v>40933</v>
      </c>
      <c r="E13" s="807" t="str">
        <f>IF(OR($D$3="",$L$3=""),"",IF('Statement of Marks'!F12="","",'Statement of Marks'!F12))</f>
        <v>GITA</v>
      </c>
      <c r="F13" s="807" t="str">
        <f>IF(OR($D$3="",$L$3=""),"",IF('Statement of Marks'!G12="","",'Statement of Marks'!G12))</f>
        <v/>
      </c>
      <c r="G13" s="807" t="str">
        <f>IF(OR($D$3="",$L$3=""),"",IF('Statement of Marks'!H12="","",'Statement of Marks'!H12))</f>
        <v/>
      </c>
      <c r="H13" s="808" t="str">
        <f>IF(OR($D$3="",$L$3=""),"",IF('Statement of Marks'!I12="","",'Statement of Marks'!I12))</f>
        <v>OBC</v>
      </c>
      <c r="I13" s="808" t="str">
        <f>IF(OR($D$3="",$L$3=""),"",IF('Statement of Marks'!J12="","",'Statement of Marks'!J12))</f>
        <v>F</v>
      </c>
      <c r="J13" s="809">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809">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809">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810">
        <f t="shared" si="0"/>
        <v>27</v>
      </c>
      <c r="N13" s="809">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811">
        <f>IF($L$3=$AJ$18,'Statement of Marks'!FV12,IF($L$3=$AJ$19,'Statement of Marks'!GD12,IF(AND(M13="NA",N13="NA"),"NA",IF(AND(M13="",N13=""),"",SUM(M13,N13)))))</f>
        <v>89</v>
      </c>
      <c r="P13" s="809">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812">
        <f t="shared" si="3"/>
        <v>184</v>
      </c>
      <c r="R13" s="813">
        <f t="shared" si="1"/>
        <v>0</v>
      </c>
      <c r="S13" s="813">
        <f t="shared" si="4"/>
        <v>200</v>
      </c>
      <c r="T13" s="813" t="str">
        <f t="shared" si="5"/>
        <v/>
      </c>
      <c r="U13" s="814" t="str">
        <f t="shared" si="6"/>
        <v>P</v>
      </c>
      <c r="V13" s="815" t="str">
        <f t="shared" si="7"/>
        <v>I</v>
      </c>
      <c r="W13" s="816" t="str">
        <f t="shared" si="2"/>
        <v>A</v>
      </c>
      <c r="AJ13" s="6" t="str">
        <f>'Statement of Marks'!CE3</f>
        <v>सामाजिक विज्ञान</v>
      </c>
    </row>
    <row r="14" spans="1:36" ht="18" customHeight="1">
      <c r="A14" s="803">
        <f>IF('Statement of Marks'!A13="","",'Statement of Marks'!A13)</f>
        <v>7</v>
      </c>
      <c r="B14" s="804">
        <f>IF(OR($D$3="",$L$3=""),"",IF('Statement of Marks'!B13="","",'Statement of Marks'!B13))</f>
        <v>907</v>
      </c>
      <c r="C14" s="805" t="str">
        <f>IF(OR($D$3="",$L$3=""),"",IF('Statement of Marks'!D13="","",'Statement of Marks'!D13))</f>
        <v/>
      </c>
      <c r="D14" s="806">
        <f>IF(OR($D$3="",$L$3=""),"",IF('Statement of Marks'!E13="","",'Statement of Marks'!E13))</f>
        <v>41317</v>
      </c>
      <c r="E14" s="807" t="str">
        <f>IF(OR($D$3="",$L$3=""),"",IF('Statement of Marks'!F13="","",'Statement of Marks'!F13))</f>
        <v>MITA</v>
      </c>
      <c r="F14" s="807" t="str">
        <f>IF(OR($D$3="",$L$3=""),"",IF('Statement of Marks'!G13="","",'Statement of Marks'!G13))</f>
        <v/>
      </c>
      <c r="G14" s="807" t="str">
        <f>IF(OR($D$3="",$L$3=""),"",IF('Statement of Marks'!H13="","",'Statement of Marks'!H13))</f>
        <v/>
      </c>
      <c r="H14" s="808" t="str">
        <f>IF(OR($D$3="",$L$3=""),"",IF('Statement of Marks'!I13="","",'Statement of Marks'!I13))</f>
        <v>GEN</v>
      </c>
      <c r="I14" s="808" t="str">
        <f>IF(OR($D$3="",$L$3=""),"",IF('Statement of Marks'!J13="","",'Statement of Marks'!J13))</f>
        <v>F</v>
      </c>
      <c r="J14" s="809">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809">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809">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810">
        <f t="shared" si="0"/>
        <v>26</v>
      </c>
      <c r="N14" s="809">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811">
        <f>IF($L$3=$AJ$18,'Statement of Marks'!FV13,IF($L$3=$AJ$19,'Statement of Marks'!GD13,IF(AND(M14="NA",N14="NA"),"NA",IF(AND(M14="",N14=""),"",SUM(M14,N14)))))</f>
        <v>86</v>
      </c>
      <c r="P14" s="809">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812">
        <f t="shared" si="3"/>
        <v>146</v>
      </c>
      <c r="R14" s="813">
        <f t="shared" si="1"/>
        <v>0</v>
      </c>
      <c r="S14" s="813">
        <f t="shared" si="4"/>
        <v>200</v>
      </c>
      <c r="T14" s="813" t="str">
        <f t="shared" si="5"/>
        <v/>
      </c>
      <c r="U14" s="814" t="str">
        <f t="shared" si="6"/>
        <v>P</v>
      </c>
      <c r="V14" s="815" t="str">
        <f t="shared" si="7"/>
        <v>I</v>
      </c>
      <c r="W14" s="816" t="str">
        <f t="shared" si="2"/>
        <v>B</v>
      </c>
      <c r="AJ14" s="6" t="str">
        <f>'Statement of Marks'!CS3</f>
        <v>व्यावसायिक शिक्षा विषय</v>
      </c>
    </row>
    <row r="15" spans="1:36" ht="18" customHeight="1">
      <c r="A15" s="803">
        <f>IF('Statement of Marks'!A14="","",'Statement of Marks'!A14)</f>
        <v>8</v>
      </c>
      <c r="B15" s="804">
        <f>IF(OR($D$3="",$L$3=""),"",IF('Statement of Marks'!B14="","",'Statement of Marks'!B14))</f>
        <v>908</v>
      </c>
      <c r="C15" s="805" t="str">
        <f>IF(OR($D$3="",$L$3=""),"",IF('Statement of Marks'!D14="","",'Statement of Marks'!D14))</f>
        <v/>
      </c>
      <c r="D15" s="806">
        <f>IF(OR($D$3="",$L$3=""),"",IF('Statement of Marks'!E14="","",'Statement of Marks'!E14))</f>
        <v>40282</v>
      </c>
      <c r="E15" s="807" t="str">
        <f>IF(OR($D$3="",$L$3=""),"",IF('Statement of Marks'!F14="","",'Statement of Marks'!F14))</f>
        <v>SITA</v>
      </c>
      <c r="F15" s="807" t="str">
        <f>IF(OR($D$3="",$L$3=""),"",IF('Statement of Marks'!G14="","",'Statement of Marks'!G14))</f>
        <v/>
      </c>
      <c r="G15" s="807" t="str">
        <f>IF(OR($D$3="",$L$3=""),"",IF('Statement of Marks'!H14="","",'Statement of Marks'!H14))</f>
        <v/>
      </c>
      <c r="H15" s="808" t="str">
        <f>IF(OR($D$3="",$L$3=""),"",IF('Statement of Marks'!I14="","",'Statement of Marks'!I14))</f>
        <v>MIN</v>
      </c>
      <c r="I15" s="808" t="str">
        <f>IF(OR($D$3="",$L$3=""),"",IF('Statement of Marks'!J14="","",'Statement of Marks'!J14))</f>
        <v>F</v>
      </c>
      <c r="J15" s="809">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809">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809">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810">
        <f t="shared" si="0"/>
        <v>26</v>
      </c>
      <c r="N15" s="809">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811">
        <f>IF($L$3=$AJ$18,'Statement of Marks'!FV14,IF($L$3=$AJ$19,'Statement of Marks'!GD14,IF(AND(M15="NA",N15="NA"),"NA",IF(AND(M15="",N15=""),"",SUM(M15,N15)))))</f>
        <v>86</v>
      </c>
      <c r="P15" s="809">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812">
        <f t="shared" si="3"/>
        <v>181</v>
      </c>
      <c r="R15" s="813">
        <f t="shared" si="1"/>
        <v>0</v>
      </c>
      <c r="S15" s="813">
        <f t="shared" si="4"/>
        <v>200</v>
      </c>
      <c r="T15" s="813" t="str">
        <f t="shared" si="5"/>
        <v/>
      </c>
      <c r="U15" s="814" t="str">
        <f t="shared" si="6"/>
        <v>P</v>
      </c>
      <c r="V15" s="815" t="str">
        <f t="shared" si="7"/>
        <v>I</v>
      </c>
      <c r="W15" s="816" t="str">
        <f t="shared" si="2"/>
        <v>A</v>
      </c>
      <c r="AJ15" s="6" t="str">
        <f>'Statement of Marks'!DZ3</f>
        <v>राजस्थान का स्वंत्रता आन्दोलन व शोर्य परम्परा</v>
      </c>
    </row>
    <row r="16" spans="1:36" ht="18" customHeight="1">
      <c r="A16" s="803">
        <f>IF('Statement of Marks'!A15="","",'Statement of Marks'!A15)</f>
        <v>9</v>
      </c>
      <c r="B16" s="804">
        <f>IF(OR($D$3="",$L$3=""),"",IF('Statement of Marks'!B15="","",'Statement of Marks'!B15))</f>
        <v>909</v>
      </c>
      <c r="C16" s="805" t="str">
        <f>IF(OR($D$3="",$L$3=""),"",IF('Statement of Marks'!D15="","",'Statement of Marks'!D15))</f>
        <v/>
      </c>
      <c r="D16" s="806">
        <f>IF(OR($D$3="",$L$3=""),"",IF('Statement of Marks'!E15="","",'Statement of Marks'!E15))</f>
        <v>40065</v>
      </c>
      <c r="E16" s="807" t="str">
        <f>IF(OR($D$3="",$L$3=""),"",IF('Statement of Marks'!F15="","",'Statement of Marks'!F15))</f>
        <v>RITA</v>
      </c>
      <c r="F16" s="807" t="str">
        <f>IF(OR($D$3="",$L$3=""),"",IF('Statement of Marks'!G15="","",'Statement of Marks'!G15))</f>
        <v/>
      </c>
      <c r="G16" s="807" t="str">
        <f>IF(OR($D$3="",$L$3=""),"",IF('Statement of Marks'!H15="","",'Statement of Marks'!H15))</f>
        <v/>
      </c>
      <c r="H16" s="808" t="str">
        <f>IF(OR($D$3="",$L$3=""),"",IF('Statement of Marks'!I15="","",'Statement of Marks'!I15))</f>
        <v>SBC</v>
      </c>
      <c r="I16" s="808" t="str">
        <f>IF(OR($D$3="",$L$3=""),"",IF('Statement of Marks'!J15="","",'Statement of Marks'!J15))</f>
        <v>F</v>
      </c>
      <c r="J16" s="809">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809">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809">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810">
        <f t="shared" si="0"/>
        <v>26</v>
      </c>
      <c r="N16" s="809">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811">
        <f>IF($L$3=$AJ$18,'Statement of Marks'!FV15,IF($L$3=$AJ$19,'Statement of Marks'!GD15,IF(AND(M16="NA",N16="NA"),"NA",IF(AND(M16="",N16=""),"",SUM(M16,N16)))))</f>
        <v>86</v>
      </c>
      <c r="P16" s="809">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812">
        <f t="shared" si="3"/>
        <v>171</v>
      </c>
      <c r="R16" s="813">
        <f t="shared" si="1"/>
        <v>0</v>
      </c>
      <c r="S16" s="813">
        <f t="shared" si="4"/>
        <v>200</v>
      </c>
      <c r="T16" s="813" t="str">
        <f t="shared" si="5"/>
        <v/>
      </c>
      <c r="U16" s="814" t="str">
        <f t="shared" si="6"/>
        <v>P</v>
      </c>
      <c r="V16" s="815" t="str">
        <f t="shared" si="7"/>
        <v>I</v>
      </c>
      <c r="W16" s="816" t="str">
        <f t="shared" si="2"/>
        <v>A</v>
      </c>
      <c r="AJ16" s="6" t="str">
        <f>'Statement of Marks'!EL3</f>
        <v>सूचना प्रोद्योगिकी की अवधारणा - I</v>
      </c>
    </row>
    <row r="17" spans="1:36">
      <c r="A17" s="803">
        <f>IF('Statement of Marks'!A16="","",'Statement of Marks'!A16)</f>
        <v>10</v>
      </c>
      <c r="B17" s="804">
        <f>IF(OR($D$3="",$L$3=""),"",IF('Statement of Marks'!B16="","",'Statement of Marks'!B16))</f>
        <v>910</v>
      </c>
      <c r="C17" s="805" t="str">
        <f>IF(OR($D$3="",$L$3=""),"",IF('Statement of Marks'!D16="","",'Statement of Marks'!D16))</f>
        <v/>
      </c>
      <c r="D17" s="806">
        <f>IF(OR($D$3="",$L$3=""),"",IF('Statement of Marks'!E16="","",'Statement of Marks'!E16))</f>
        <v>40737</v>
      </c>
      <c r="E17" s="807" t="str">
        <f>IF(OR($D$3="",$L$3=""),"",IF('Statement of Marks'!F16="","",'Statement of Marks'!F16))</f>
        <v>SONU</v>
      </c>
      <c r="F17" s="807" t="str">
        <f>IF(OR($D$3="",$L$3=""),"",IF('Statement of Marks'!G16="","",'Statement of Marks'!G16))</f>
        <v/>
      </c>
      <c r="G17" s="807" t="str">
        <f>IF(OR($D$3="",$L$3=""),"",IF('Statement of Marks'!H16="","",'Statement of Marks'!H16))</f>
        <v/>
      </c>
      <c r="H17" s="808" t="str">
        <f>IF(OR($D$3="",$L$3=""),"",IF('Statement of Marks'!I16="","",'Statement of Marks'!I16))</f>
        <v>ST</v>
      </c>
      <c r="I17" s="808" t="str">
        <f>IF(OR($D$3="",$L$3=""),"",IF('Statement of Marks'!J16="","",'Statement of Marks'!J16))</f>
        <v>F</v>
      </c>
      <c r="J17" s="809">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809">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809">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810">
        <f t="shared" si="0"/>
        <v>26</v>
      </c>
      <c r="N17" s="809">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811">
        <f>IF($L$3=$AJ$18,'Statement of Marks'!FV16,IF($L$3=$AJ$19,'Statement of Marks'!GD16,IF(AND(M17="NA",N17="NA"),"NA",IF(AND(M17="",N17=""),"",SUM(M17,N17)))))</f>
        <v>56</v>
      </c>
      <c r="P17" s="809">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812">
        <f t="shared" si="3"/>
        <v>86</v>
      </c>
      <c r="R17" s="813">
        <f t="shared" si="1"/>
        <v>0</v>
      </c>
      <c r="S17" s="813">
        <f t="shared" si="4"/>
        <v>200</v>
      </c>
      <c r="T17" s="813" t="str">
        <f t="shared" si="5"/>
        <v/>
      </c>
      <c r="U17" s="814" t="str">
        <f t="shared" si="6"/>
        <v>P</v>
      </c>
      <c r="V17" s="815" t="str">
        <f t="shared" si="7"/>
        <v>III</v>
      </c>
      <c r="W17" s="816" t="str">
        <f t="shared" si="2"/>
        <v>D</v>
      </c>
      <c r="AJ17" s="6" t="str">
        <f>'Statement of Marks'!FB3</f>
        <v>स्वा. एवं शा. शिक्षा</v>
      </c>
    </row>
    <row r="18" spans="1:36">
      <c r="A18" s="803">
        <f>IF('Statement of Marks'!A17="","",'Statement of Marks'!A17)</f>
        <v>11</v>
      </c>
      <c r="B18" s="804">
        <f>IF(OR($D$3="",$L$3=""),"",IF('Statement of Marks'!B17="","",'Statement of Marks'!B17))</f>
        <v>911</v>
      </c>
      <c r="C18" s="805" t="str">
        <f>IF(OR($D$3="",$L$3=""),"",IF('Statement of Marks'!D17="","",'Statement of Marks'!D17))</f>
        <v/>
      </c>
      <c r="D18" s="806">
        <f>IF(OR($D$3="",$L$3=""),"",IF('Statement of Marks'!E17="","",'Statement of Marks'!E17))</f>
        <v>41878</v>
      </c>
      <c r="E18" s="807" t="str">
        <f>IF(OR($D$3="",$L$3=""),"",IF('Statement of Marks'!F17="","",'Statement of Marks'!F17))</f>
        <v>MONU</v>
      </c>
      <c r="F18" s="807" t="str">
        <f>IF(OR($D$3="",$L$3=""),"",IF('Statement of Marks'!G17="","",'Statement of Marks'!G17))</f>
        <v/>
      </c>
      <c r="G18" s="807" t="str">
        <f>IF(OR($D$3="",$L$3=""),"",IF('Statement of Marks'!H17="","",'Statement of Marks'!H17))</f>
        <v/>
      </c>
      <c r="H18" s="808" t="str">
        <f>IF(OR($D$3="",$L$3=""),"",IF('Statement of Marks'!I17="","",'Statement of Marks'!I17))</f>
        <v>SC</v>
      </c>
      <c r="I18" s="808" t="str">
        <f>IF(OR($D$3="",$L$3=""),"",IF('Statement of Marks'!J17="","",'Statement of Marks'!J17))</f>
        <v>M</v>
      </c>
      <c r="J18" s="809">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809">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809">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810">
        <f t="shared" si="0"/>
        <v>26</v>
      </c>
      <c r="N18" s="809">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811">
        <f>IF($L$3=$AJ$18,'Statement of Marks'!FV17,IF($L$3=$AJ$19,'Statement of Marks'!GD17,IF(AND(M18="NA",N18="NA"),"NA",IF(AND(M18="",N18=""),"",SUM(M18,N18)))))</f>
        <v>86</v>
      </c>
      <c r="P18" s="809">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812">
        <f t="shared" si="3"/>
        <v>171</v>
      </c>
      <c r="R18" s="813">
        <f t="shared" si="1"/>
        <v>0</v>
      </c>
      <c r="S18" s="813">
        <f t="shared" si="4"/>
        <v>200</v>
      </c>
      <c r="T18" s="813" t="str">
        <f t="shared" si="5"/>
        <v/>
      </c>
      <c r="U18" s="814" t="str">
        <f t="shared" si="6"/>
        <v>P</v>
      </c>
      <c r="V18" s="815" t="str">
        <f t="shared" si="7"/>
        <v>I</v>
      </c>
      <c r="W18" s="816" t="str">
        <f t="shared" si="2"/>
        <v>A</v>
      </c>
      <c r="AJ18" s="6" t="str">
        <f>'Statement of Marks'!FU3</f>
        <v>समाजोपयोगी उत्पादन कार्य एवं समाज सेवा</v>
      </c>
    </row>
    <row r="19" spans="1:36">
      <c r="A19" s="803">
        <f>IF('Statement of Marks'!A18="","",'Statement of Marks'!A18)</f>
        <v>12</v>
      </c>
      <c r="B19" s="804">
        <f>IF(OR($D$3="",$L$3=""),"",IF('Statement of Marks'!B18="","",'Statement of Marks'!B18))</f>
        <v>912</v>
      </c>
      <c r="C19" s="805" t="str">
        <f>IF(OR($D$3="",$L$3=""),"",IF('Statement of Marks'!D18="","",'Statement of Marks'!D18))</f>
        <v/>
      </c>
      <c r="D19" s="806" t="str">
        <f>IF(OR($D$3="",$L$3=""),"",IF('Statement of Marks'!E18="","",'Statement of Marks'!E18))</f>
        <v/>
      </c>
      <c r="E19" s="807" t="str">
        <f>IF(OR($D$3="",$L$3=""),"",IF('Statement of Marks'!F18="","",'Statement of Marks'!F18))</f>
        <v>JAY</v>
      </c>
      <c r="F19" s="807" t="str">
        <f>IF(OR($D$3="",$L$3=""),"",IF('Statement of Marks'!G18="","",'Statement of Marks'!G18))</f>
        <v/>
      </c>
      <c r="G19" s="807" t="str">
        <f>IF(OR($D$3="",$L$3=""),"",IF('Statement of Marks'!H18="","",'Statement of Marks'!H18))</f>
        <v/>
      </c>
      <c r="H19" s="808" t="str">
        <f>IF(OR($D$3="",$L$3=""),"",IF('Statement of Marks'!I18="","",'Statement of Marks'!I18))</f>
        <v/>
      </c>
      <c r="I19" s="808" t="str">
        <f>IF(OR($D$3="",$L$3=""),"",IF('Statement of Marks'!J18="","",'Statement of Marks'!J18))</f>
        <v/>
      </c>
      <c r="J19" s="809">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809">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809">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810">
        <f t="shared" si="0"/>
        <v>26</v>
      </c>
      <c r="N19" s="809">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811">
        <f>IF($L$3=$AJ$18,'Statement of Marks'!FV18,IF($L$3=$AJ$19,'Statement of Marks'!GD18,IF(AND(M19="NA",N19="NA"),"NA",IF(AND(M19="",N19=""),"",SUM(M19,N19)))))</f>
        <v>86</v>
      </c>
      <c r="P19" s="809">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812">
        <f t="shared" si="3"/>
        <v>171</v>
      </c>
      <c r="R19" s="813">
        <f t="shared" si="1"/>
        <v>0</v>
      </c>
      <c r="S19" s="813">
        <f t="shared" si="4"/>
        <v>200</v>
      </c>
      <c r="T19" s="813" t="str">
        <f t="shared" si="5"/>
        <v/>
      </c>
      <c r="U19" s="814" t="str">
        <f t="shared" si="6"/>
        <v>P</v>
      </c>
      <c r="V19" s="815" t="str">
        <f t="shared" si="7"/>
        <v>I</v>
      </c>
      <c r="W19" s="816" t="str">
        <f t="shared" si="2"/>
        <v>A</v>
      </c>
      <c r="AJ19" s="6" t="str">
        <f>'Statement of Marks'!GC3</f>
        <v>कला शिक्षा</v>
      </c>
    </row>
    <row r="20" spans="1:36">
      <c r="A20" s="803">
        <f>IF('Statement of Marks'!A19="","",'Statement of Marks'!A19)</f>
        <v>13</v>
      </c>
      <c r="B20" s="804">
        <f>IF(OR($D$3="",$L$3=""),"",IF('Statement of Marks'!B19="","",'Statement of Marks'!B19))</f>
        <v>913</v>
      </c>
      <c r="C20" s="805" t="str">
        <f>IF(OR($D$3="",$L$3=""),"",IF('Statement of Marks'!D19="","",'Statement of Marks'!D19))</f>
        <v/>
      </c>
      <c r="D20" s="806" t="str">
        <f>IF(OR($D$3="",$L$3=""),"",IF('Statement of Marks'!E19="","",'Statement of Marks'!E19))</f>
        <v/>
      </c>
      <c r="E20" s="807" t="str">
        <f>IF(OR($D$3="",$L$3=""),"",IF('Statement of Marks'!F19="","",'Statement of Marks'!F19))</f>
        <v>VIRU</v>
      </c>
      <c r="F20" s="807" t="str">
        <f>IF(OR($D$3="",$L$3=""),"",IF('Statement of Marks'!G19="","",'Statement of Marks'!G19))</f>
        <v/>
      </c>
      <c r="G20" s="807" t="str">
        <f>IF(OR($D$3="",$L$3=""),"",IF('Statement of Marks'!H19="","",'Statement of Marks'!H19))</f>
        <v/>
      </c>
      <c r="H20" s="808" t="str">
        <f>IF(OR($D$3="",$L$3=""),"",IF('Statement of Marks'!I19="","",'Statement of Marks'!I19))</f>
        <v/>
      </c>
      <c r="I20" s="808" t="str">
        <f>IF(OR($D$3="",$L$3=""),"",IF('Statement of Marks'!J19="","",'Statement of Marks'!J19))</f>
        <v/>
      </c>
      <c r="J20" s="809">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809">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809">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810">
        <f t="shared" si="0"/>
        <v>26</v>
      </c>
      <c r="N20" s="809">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811">
        <f>IF($L$3=$AJ$18,'Statement of Marks'!FV19,IF($L$3=$AJ$19,'Statement of Marks'!GD19,IF(AND(M20="NA",N20="NA"),"NA",IF(AND(M20="",N20=""),"",SUM(M20,N20)))))</f>
        <v>86</v>
      </c>
      <c r="P20" s="809">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812">
        <f t="shared" si="3"/>
        <v>171</v>
      </c>
      <c r="R20" s="813">
        <f t="shared" si="1"/>
        <v>0</v>
      </c>
      <c r="S20" s="813">
        <f t="shared" si="4"/>
        <v>200</v>
      </c>
      <c r="T20" s="813" t="str">
        <f t="shared" si="5"/>
        <v/>
      </c>
      <c r="U20" s="814" t="str">
        <f t="shared" si="6"/>
        <v>P</v>
      </c>
      <c r="V20" s="815" t="str">
        <f t="shared" si="7"/>
        <v>I</v>
      </c>
      <c r="W20" s="816" t="str">
        <f t="shared" si="2"/>
        <v>A</v>
      </c>
    </row>
    <row r="21" spans="1:36">
      <c r="A21" s="803">
        <f>IF('Statement of Marks'!A20="","",'Statement of Marks'!A20)</f>
        <v>14</v>
      </c>
      <c r="B21" s="804">
        <f>IF(OR($D$3="",$L$3=""),"",IF('Statement of Marks'!B20="","",'Statement of Marks'!B20))</f>
        <v>914</v>
      </c>
      <c r="C21" s="805" t="str">
        <f>IF(OR($D$3="",$L$3=""),"",IF('Statement of Marks'!D20="","",'Statement of Marks'!D20))</f>
        <v/>
      </c>
      <c r="D21" s="806" t="str">
        <f>IF(OR($D$3="",$L$3=""),"",IF('Statement of Marks'!E20="","",'Statement of Marks'!E20))</f>
        <v/>
      </c>
      <c r="E21" s="807" t="str">
        <f>IF(OR($D$3="",$L$3=""),"",IF('Statement of Marks'!F20="","",'Statement of Marks'!F20))</f>
        <v>ANIL</v>
      </c>
      <c r="F21" s="807" t="str">
        <f>IF(OR($D$3="",$L$3=""),"",IF('Statement of Marks'!G20="","",'Statement of Marks'!G20))</f>
        <v/>
      </c>
      <c r="G21" s="807" t="str">
        <f>IF(OR($D$3="",$L$3=""),"",IF('Statement of Marks'!H20="","",'Statement of Marks'!H20))</f>
        <v/>
      </c>
      <c r="H21" s="808" t="str">
        <f>IF(OR($D$3="",$L$3=""),"",IF('Statement of Marks'!I20="","",'Statement of Marks'!I20))</f>
        <v/>
      </c>
      <c r="I21" s="808" t="str">
        <f>IF(OR($D$3="",$L$3=""),"",IF('Statement of Marks'!J20="","",'Statement of Marks'!J20))</f>
        <v/>
      </c>
      <c r="J21" s="809">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809">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809">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810">
        <f t="shared" si="0"/>
        <v>25</v>
      </c>
      <c r="N21" s="809">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811">
        <f>IF($L$3=$AJ$18,'Statement of Marks'!FV20,IF($L$3=$AJ$19,'Statement of Marks'!GD20,IF(AND(M21="NA",N21="NA"),"NA",IF(AND(M21="",N21=""),"",SUM(M21,N21)))))</f>
        <v>85</v>
      </c>
      <c r="P21" s="809">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812">
        <f t="shared" si="3"/>
        <v>170</v>
      </c>
      <c r="R21" s="813">
        <f t="shared" si="1"/>
        <v>0</v>
      </c>
      <c r="S21" s="813">
        <f t="shared" si="4"/>
        <v>200</v>
      </c>
      <c r="T21" s="813" t="str">
        <f t="shared" si="5"/>
        <v/>
      </c>
      <c r="U21" s="814" t="str">
        <f t="shared" si="6"/>
        <v>P</v>
      </c>
      <c r="V21" s="815" t="str">
        <f t="shared" si="7"/>
        <v>I</v>
      </c>
      <c r="W21" s="816" t="str">
        <f t="shared" si="2"/>
        <v>B</v>
      </c>
    </row>
    <row r="22" spans="1:36">
      <c r="A22" s="803">
        <f>IF('Statement of Marks'!A21="","",'Statement of Marks'!A21)</f>
        <v>15</v>
      </c>
      <c r="B22" s="804">
        <f>IF(OR($D$3="",$L$3=""),"",IF('Statement of Marks'!B21="","",'Statement of Marks'!B21))</f>
        <v>915</v>
      </c>
      <c r="C22" s="805" t="str">
        <f>IF(OR($D$3="",$L$3=""),"",IF('Statement of Marks'!D21="","",'Statement of Marks'!D21))</f>
        <v/>
      </c>
      <c r="D22" s="806" t="str">
        <f>IF(OR($D$3="",$L$3=""),"",IF('Statement of Marks'!E21="","",'Statement of Marks'!E21))</f>
        <v/>
      </c>
      <c r="E22" s="807" t="str">
        <f>IF(OR($D$3="",$L$3=""),"",IF('Statement of Marks'!F21="","",'Statement of Marks'!F21))</f>
        <v>RAHIM</v>
      </c>
      <c r="F22" s="807" t="str">
        <f>IF(OR($D$3="",$L$3=""),"",IF('Statement of Marks'!G21="","",'Statement of Marks'!G21))</f>
        <v/>
      </c>
      <c r="G22" s="807" t="str">
        <f>IF(OR($D$3="",$L$3=""),"",IF('Statement of Marks'!H21="","",'Statement of Marks'!H21))</f>
        <v/>
      </c>
      <c r="H22" s="808" t="str">
        <f>IF(OR($D$3="",$L$3=""),"",IF('Statement of Marks'!I21="","",'Statement of Marks'!I21))</f>
        <v/>
      </c>
      <c r="I22" s="808" t="str">
        <f>IF(OR($D$3="",$L$3=""),"",IF('Statement of Marks'!J21="","",'Statement of Marks'!J21))</f>
        <v/>
      </c>
      <c r="J22" s="809">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809">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809">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810">
        <f t="shared" si="0"/>
        <v>25</v>
      </c>
      <c r="N22" s="809">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811">
        <f>IF($L$3=$AJ$18,'Statement of Marks'!FV21,IF($L$3=$AJ$19,'Statement of Marks'!GD21,IF(AND(M22="NA",N22="NA"),"NA",IF(AND(M22="",N22=""),"",SUM(M22,N22)))))</f>
        <v>85</v>
      </c>
      <c r="P22" s="809">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812">
        <f t="shared" si="3"/>
        <v>170</v>
      </c>
      <c r="R22" s="813">
        <f t="shared" si="1"/>
        <v>0</v>
      </c>
      <c r="S22" s="813">
        <f t="shared" si="4"/>
        <v>200</v>
      </c>
      <c r="T22" s="813" t="str">
        <f t="shared" si="5"/>
        <v/>
      </c>
      <c r="U22" s="814" t="str">
        <f t="shared" si="6"/>
        <v>P</v>
      </c>
      <c r="V22" s="815" t="str">
        <f t="shared" si="7"/>
        <v>I</v>
      </c>
      <c r="W22" s="816" t="str">
        <f t="shared" si="2"/>
        <v>B</v>
      </c>
    </row>
    <row r="23" spans="1:36">
      <c r="A23" s="803">
        <f>IF('Statement of Marks'!A22="","",'Statement of Marks'!A22)</f>
        <v>16</v>
      </c>
      <c r="B23" s="804">
        <f>IF(OR($D$3="",$L$3=""),"",IF('Statement of Marks'!B22="","",'Statement of Marks'!B22))</f>
        <v>916</v>
      </c>
      <c r="C23" s="805" t="str">
        <f>IF(OR($D$3="",$L$3=""),"",IF('Statement of Marks'!D22="","",'Statement of Marks'!D22))</f>
        <v/>
      </c>
      <c r="D23" s="806" t="str">
        <f>IF(OR($D$3="",$L$3=""),"",IF('Statement of Marks'!E22="","",'Statement of Marks'!E22))</f>
        <v/>
      </c>
      <c r="E23" s="807" t="str">
        <f>IF(OR($D$3="",$L$3=""),"",IF('Statement of Marks'!F22="","",'Statement of Marks'!F22))</f>
        <v>KARIM</v>
      </c>
      <c r="F23" s="807" t="str">
        <f>IF(OR($D$3="",$L$3=""),"",IF('Statement of Marks'!G22="","",'Statement of Marks'!G22))</f>
        <v/>
      </c>
      <c r="G23" s="807" t="str">
        <f>IF(OR($D$3="",$L$3=""),"",IF('Statement of Marks'!H22="","",'Statement of Marks'!H22))</f>
        <v/>
      </c>
      <c r="H23" s="808" t="str">
        <f>IF(OR($D$3="",$L$3=""),"",IF('Statement of Marks'!I22="","",'Statement of Marks'!I22))</f>
        <v/>
      </c>
      <c r="I23" s="808" t="str">
        <f>IF(OR($D$3="",$L$3=""),"",IF('Statement of Marks'!J22="","",'Statement of Marks'!J22))</f>
        <v/>
      </c>
      <c r="J23" s="809">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809">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809">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810">
        <f t="shared" si="0"/>
        <v>25</v>
      </c>
      <c r="N23" s="809">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811">
        <f>IF($L$3=$AJ$18,'Statement of Marks'!FV22,IF($L$3=$AJ$19,'Statement of Marks'!GD22,IF(AND(M23="NA",N23="NA"),"NA",IF(AND(M23="",N23=""),"",SUM(M23,N23)))))</f>
        <v>85</v>
      </c>
      <c r="P23" s="809">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812">
        <f t="shared" si="3"/>
        <v>170</v>
      </c>
      <c r="R23" s="813">
        <f t="shared" si="1"/>
        <v>0</v>
      </c>
      <c r="S23" s="813">
        <f t="shared" si="4"/>
        <v>200</v>
      </c>
      <c r="T23" s="813" t="str">
        <f t="shared" si="5"/>
        <v/>
      </c>
      <c r="U23" s="814" t="str">
        <f t="shared" si="6"/>
        <v>P</v>
      </c>
      <c r="V23" s="815" t="str">
        <f t="shared" si="7"/>
        <v>I</v>
      </c>
      <c r="W23" s="816" t="str">
        <f t="shared" si="2"/>
        <v>B</v>
      </c>
    </row>
    <row r="24" spans="1:36">
      <c r="A24" s="803">
        <f>IF('Statement of Marks'!A23="","",'Statement of Marks'!A23)</f>
        <v>17</v>
      </c>
      <c r="B24" s="804">
        <f>IF(OR($D$3="",$L$3=""),"",IF('Statement of Marks'!B23="","",'Statement of Marks'!B23))</f>
        <v>917</v>
      </c>
      <c r="C24" s="805" t="str">
        <f>IF(OR($D$3="",$L$3=""),"",IF('Statement of Marks'!D23="","",'Statement of Marks'!D23))</f>
        <v/>
      </c>
      <c r="D24" s="806" t="str">
        <f>IF(OR($D$3="",$L$3=""),"",IF('Statement of Marks'!E23="","",'Statement of Marks'!E23))</f>
        <v/>
      </c>
      <c r="E24" s="807" t="str">
        <f>IF(OR($D$3="",$L$3=""),"",IF('Statement of Marks'!F23="","",'Statement of Marks'!F23))</f>
        <v>FATIMA</v>
      </c>
      <c r="F24" s="807" t="str">
        <f>IF(OR($D$3="",$L$3=""),"",IF('Statement of Marks'!G23="","",'Statement of Marks'!G23))</f>
        <v/>
      </c>
      <c r="G24" s="807" t="str">
        <f>IF(OR($D$3="",$L$3=""),"",IF('Statement of Marks'!H23="","",'Statement of Marks'!H23))</f>
        <v/>
      </c>
      <c r="H24" s="808" t="str">
        <f>IF(OR($D$3="",$L$3=""),"",IF('Statement of Marks'!I23="","",'Statement of Marks'!I23))</f>
        <v/>
      </c>
      <c r="I24" s="808" t="str">
        <f>IF(OR($D$3="",$L$3=""),"",IF('Statement of Marks'!J23="","",'Statement of Marks'!J23))</f>
        <v/>
      </c>
      <c r="J24" s="809">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809">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809">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810">
        <f t="shared" si="0"/>
        <v>25</v>
      </c>
      <c r="N24" s="809">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811">
        <f>IF($L$3=$AJ$18,'Statement of Marks'!FV23,IF($L$3=$AJ$19,'Statement of Marks'!GD23,IF(AND(M24="NA",N24="NA"),"NA",IF(AND(M24="",N24=""),"",SUM(M24,N24)))))</f>
        <v>85</v>
      </c>
      <c r="P24" s="809">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812">
        <f t="shared" si="3"/>
        <v>170</v>
      </c>
      <c r="R24" s="813">
        <f t="shared" si="1"/>
        <v>0</v>
      </c>
      <c r="S24" s="813">
        <f t="shared" si="4"/>
        <v>200</v>
      </c>
      <c r="T24" s="813" t="str">
        <f t="shared" si="5"/>
        <v/>
      </c>
      <c r="U24" s="814" t="str">
        <f t="shared" si="6"/>
        <v>P</v>
      </c>
      <c r="V24" s="815" t="str">
        <f t="shared" si="7"/>
        <v>I</v>
      </c>
      <c r="W24" s="816" t="str">
        <f t="shared" si="2"/>
        <v>B</v>
      </c>
    </row>
    <row r="25" spans="1:36">
      <c r="A25" s="803">
        <f>IF('Statement of Marks'!A24="","",'Statement of Marks'!A24)</f>
        <v>18</v>
      </c>
      <c r="B25" s="804">
        <f>IF(OR($D$3="",$L$3=""),"",IF('Statement of Marks'!B24="","",'Statement of Marks'!B24))</f>
        <v>918</v>
      </c>
      <c r="C25" s="805" t="str">
        <f>IF(OR($D$3="",$L$3=""),"",IF('Statement of Marks'!D24="","",'Statement of Marks'!D24))</f>
        <v/>
      </c>
      <c r="D25" s="806" t="str">
        <f>IF(OR($D$3="",$L$3=""),"",IF('Statement of Marks'!E24="","",'Statement of Marks'!E24))</f>
        <v/>
      </c>
      <c r="E25" s="807" t="str">
        <f>IF(OR($D$3="",$L$3=""),"",IF('Statement of Marks'!F24="","",'Statement of Marks'!F24))</f>
        <v>LAXMI</v>
      </c>
      <c r="F25" s="807" t="str">
        <f>IF(OR($D$3="",$L$3=""),"",IF('Statement of Marks'!G24="","",'Statement of Marks'!G24))</f>
        <v/>
      </c>
      <c r="G25" s="807" t="str">
        <f>IF(OR($D$3="",$L$3=""),"",IF('Statement of Marks'!H24="","",'Statement of Marks'!H24))</f>
        <v/>
      </c>
      <c r="H25" s="808" t="str">
        <f>IF(OR($D$3="",$L$3=""),"",IF('Statement of Marks'!I24="","",'Statement of Marks'!I24))</f>
        <v/>
      </c>
      <c r="I25" s="808" t="str">
        <f>IF(OR($D$3="",$L$3=""),"",IF('Statement of Marks'!J24="","",'Statement of Marks'!J24))</f>
        <v/>
      </c>
      <c r="J25" s="809">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809">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809">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810">
        <f t="shared" si="0"/>
        <v>25</v>
      </c>
      <c r="N25" s="809">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811">
        <f>IF($L$3=$AJ$18,'Statement of Marks'!FV24,IF($L$3=$AJ$19,'Statement of Marks'!GD24,IF(AND(M25="NA",N25="NA"),"NA",IF(AND(M25="",N25=""),"",SUM(M25,N25)))))</f>
        <v>85</v>
      </c>
      <c r="P25" s="809">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812">
        <f t="shared" si="3"/>
        <v>170</v>
      </c>
      <c r="R25" s="813">
        <f t="shared" si="1"/>
        <v>0</v>
      </c>
      <c r="S25" s="813">
        <f t="shared" si="4"/>
        <v>200</v>
      </c>
      <c r="T25" s="813" t="str">
        <f t="shared" si="5"/>
        <v/>
      </c>
      <c r="U25" s="814" t="str">
        <f t="shared" si="6"/>
        <v>P</v>
      </c>
      <c r="V25" s="815" t="str">
        <f t="shared" si="7"/>
        <v>I</v>
      </c>
      <c r="W25" s="816" t="str">
        <f t="shared" si="2"/>
        <v>B</v>
      </c>
    </row>
    <row r="26" spans="1:36">
      <c r="A26" s="803">
        <f>IF('Statement of Marks'!A25="","",'Statement of Marks'!A25)</f>
        <v>19</v>
      </c>
      <c r="B26" s="804">
        <f>IF(OR($D$3="",$L$3=""),"",IF('Statement of Marks'!B25="","",'Statement of Marks'!B25))</f>
        <v>919</v>
      </c>
      <c r="C26" s="805" t="str">
        <f>IF(OR($D$3="",$L$3=""),"",IF('Statement of Marks'!D25="","",'Statement of Marks'!D25))</f>
        <v/>
      </c>
      <c r="D26" s="806" t="str">
        <f>IF(OR($D$3="",$L$3=""),"",IF('Statement of Marks'!E25="","",'Statement of Marks'!E25))</f>
        <v/>
      </c>
      <c r="E26" s="807" t="str">
        <f>IF(OR($D$3="",$L$3=""),"",IF('Statement of Marks'!F25="","",'Statement of Marks'!F25))</f>
        <v>RAZA</v>
      </c>
      <c r="F26" s="807" t="str">
        <f>IF(OR($D$3="",$L$3=""),"",IF('Statement of Marks'!G25="","",'Statement of Marks'!G25))</f>
        <v/>
      </c>
      <c r="G26" s="807" t="str">
        <f>IF(OR($D$3="",$L$3=""),"",IF('Statement of Marks'!H25="","",'Statement of Marks'!H25))</f>
        <v/>
      </c>
      <c r="H26" s="808" t="str">
        <f>IF(OR($D$3="",$L$3=""),"",IF('Statement of Marks'!I25="","",'Statement of Marks'!I25))</f>
        <v/>
      </c>
      <c r="I26" s="808" t="str">
        <f>IF(OR($D$3="",$L$3=""),"",IF('Statement of Marks'!J25="","",'Statement of Marks'!J25))</f>
        <v/>
      </c>
      <c r="J26" s="809">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809">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809">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810">
        <f t="shared" si="0"/>
        <v>25</v>
      </c>
      <c r="N26" s="809">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811">
        <f>IF($L$3=$AJ$18,'Statement of Marks'!FV25,IF($L$3=$AJ$19,'Statement of Marks'!GD25,IF(AND(M26="NA",N26="NA"),"NA",IF(AND(M26="",N26=""),"",SUM(M26,N26)))))</f>
        <v>85</v>
      </c>
      <c r="P26" s="809">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812">
        <f t="shared" si="3"/>
        <v>170</v>
      </c>
      <c r="R26" s="813">
        <f t="shared" si="1"/>
        <v>0</v>
      </c>
      <c r="S26" s="813">
        <f t="shared" si="4"/>
        <v>200</v>
      </c>
      <c r="T26" s="813" t="str">
        <f t="shared" si="5"/>
        <v/>
      </c>
      <c r="U26" s="814" t="str">
        <f t="shared" si="6"/>
        <v>P</v>
      </c>
      <c r="V26" s="815" t="str">
        <f t="shared" si="7"/>
        <v>I</v>
      </c>
      <c r="W26" s="816" t="str">
        <f t="shared" si="2"/>
        <v>B</v>
      </c>
    </row>
    <row r="27" spans="1:36">
      <c r="A27" s="803">
        <f>IF('Statement of Marks'!A26="","",'Statement of Marks'!A26)</f>
        <v>20</v>
      </c>
      <c r="B27" s="804">
        <f>IF(OR($D$3="",$L$3=""),"",IF('Statement of Marks'!B26="","",'Statement of Marks'!B26))</f>
        <v>920</v>
      </c>
      <c r="C27" s="805" t="str">
        <f>IF(OR($D$3="",$L$3=""),"",IF('Statement of Marks'!D26="","",'Statement of Marks'!D26))</f>
        <v/>
      </c>
      <c r="D27" s="806" t="str">
        <f>IF(OR($D$3="",$L$3=""),"",IF('Statement of Marks'!E26="","",'Statement of Marks'!E26))</f>
        <v/>
      </c>
      <c r="E27" s="807" t="str">
        <f>IF(OR($D$3="",$L$3=""),"",IF('Statement of Marks'!F26="","",'Statement of Marks'!F26))</f>
        <v>ROZA</v>
      </c>
      <c r="F27" s="807" t="str">
        <f>IF(OR($D$3="",$L$3=""),"",IF('Statement of Marks'!G26="","",'Statement of Marks'!G26))</f>
        <v/>
      </c>
      <c r="G27" s="807" t="str">
        <f>IF(OR($D$3="",$L$3=""),"",IF('Statement of Marks'!H26="","",'Statement of Marks'!H26))</f>
        <v/>
      </c>
      <c r="H27" s="808" t="str">
        <f>IF(OR($D$3="",$L$3=""),"",IF('Statement of Marks'!I26="","",'Statement of Marks'!I26))</f>
        <v/>
      </c>
      <c r="I27" s="808" t="str">
        <f>IF(OR($D$3="",$L$3=""),"",IF('Statement of Marks'!J26="","",'Statement of Marks'!J26))</f>
        <v/>
      </c>
      <c r="J27" s="809">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809">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809">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810">
        <f t="shared" si="0"/>
        <v>25</v>
      </c>
      <c r="N27" s="809">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811">
        <f>IF($L$3=$AJ$18,'Statement of Marks'!FV26,IF($L$3=$AJ$19,'Statement of Marks'!GD26,IF(AND(M27="NA",N27="NA"),"NA",IF(AND(M27="",N27=""),"",SUM(M27,N27)))))</f>
        <v>85</v>
      </c>
      <c r="P27" s="809">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812">
        <f t="shared" si="3"/>
        <v>170</v>
      </c>
      <c r="R27" s="813">
        <f t="shared" si="1"/>
        <v>0</v>
      </c>
      <c r="S27" s="813">
        <f t="shared" si="4"/>
        <v>200</v>
      </c>
      <c r="T27" s="813" t="str">
        <f t="shared" si="5"/>
        <v/>
      </c>
      <c r="U27" s="814" t="str">
        <f t="shared" si="6"/>
        <v>P</v>
      </c>
      <c r="V27" s="815" t="str">
        <f t="shared" si="7"/>
        <v>I</v>
      </c>
      <c r="W27" s="816" t="str">
        <f t="shared" si="2"/>
        <v>B</v>
      </c>
    </row>
    <row r="28" spans="1:36">
      <c r="A28" s="803">
        <f>IF('Statement of Marks'!A27="","",'Statement of Marks'!A27)</f>
        <v>21</v>
      </c>
      <c r="B28" s="804">
        <f>IF(OR($D$3="",$L$3=""),"",IF('Statement of Marks'!B27="","",'Statement of Marks'!B27))</f>
        <v>921</v>
      </c>
      <c r="C28" s="805" t="str">
        <f>IF(OR($D$3="",$L$3=""),"",IF('Statement of Marks'!D27="","",'Statement of Marks'!D27))</f>
        <v/>
      </c>
      <c r="D28" s="806" t="str">
        <f>IF(OR($D$3="",$L$3=""),"",IF('Statement of Marks'!E27="","",'Statement of Marks'!E27))</f>
        <v/>
      </c>
      <c r="E28" s="807" t="str">
        <f>IF(OR($D$3="",$L$3=""),"",IF('Statement of Marks'!F27="","",'Statement of Marks'!F27))</f>
        <v>VILIAM</v>
      </c>
      <c r="F28" s="807" t="str">
        <f>IF(OR($D$3="",$L$3=""),"",IF('Statement of Marks'!G27="","",'Statement of Marks'!G27))</f>
        <v/>
      </c>
      <c r="G28" s="807" t="str">
        <f>IF(OR($D$3="",$L$3=""),"",IF('Statement of Marks'!H27="","",'Statement of Marks'!H27))</f>
        <v/>
      </c>
      <c r="H28" s="808" t="str">
        <f>IF(OR($D$3="",$L$3=""),"",IF('Statement of Marks'!I27="","",'Statement of Marks'!I27))</f>
        <v/>
      </c>
      <c r="I28" s="808" t="str">
        <f>IF(OR($D$3="",$L$3=""),"",IF('Statement of Marks'!J27="","",'Statement of Marks'!J27))</f>
        <v/>
      </c>
      <c r="J28" s="809">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809">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809">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810">
        <f t="shared" si="0"/>
        <v>25</v>
      </c>
      <c r="N28" s="809">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811">
        <f>IF($L$3=$AJ$18,'Statement of Marks'!FV27,IF($L$3=$AJ$19,'Statement of Marks'!GD27,IF(AND(M28="NA",N28="NA"),"NA",IF(AND(M28="",N28=""),"",SUM(M28,N28)))))</f>
        <v>85</v>
      </c>
      <c r="P28" s="809">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812">
        <f t="shared" si="3"/>
        <v>170</v>
      </c>
      <c r="R28" s="813">
        <f t="shared" si="1"/>
        <v>0</v>
      </c>
      <c r="S28" s="813">
        <f t="shared" si="4"/>
        <v>200</v>
      </c>
      <c r="T28" s="813" t="str">
        <f t="shared" si="5"/>
        <v/>
      </c>
      <c r="U28" s="814" t="str">
        <f t="shared" si="6"/>
        <v>P</v>
      </c>
      <c r="V28" s="815" t="str">
        <f t="shared" si="7"/>
        <v>I</v>
      </c>
      <c r="W28" s="816" t="str">
        <f t="shared" si="2"/>
        <v>B</v>
      </c>
    </row>
    <row r="29" spans="1:36">
      <c r="A29" s="803">
        <f>IF('Statement of Marks'!A28="","",'Statement of Marks'!A28)</f>
        <v>22</v>
      </c>
      <c r="B29" s="804">
        <f>IF(OR($D$3="",$L$3=""),"",IF('Statement of Marks'!B28="","",'Statement of Marks'!B28))</f>
        <v>922</v>
      </c>
      <c r="C29" s="805" t="str">
        <f>IF(OR($D$3="",$L$3=""),"",IF('Statement of Marks'!D28="","",'Statement of Marks'!D28))</f>
        <v/>
      </c>
      <c r="D29" s="806" t="str">
        <f>IF(OR($D$3="",$L$3=""),"",IF('Statement of Marks'!E28="","",'Statement of Marks'!E28))</f>
        <v/>
      </c>
      <c r="E29" s="807" t="str">
        <f>IF(OR($D$3="",$L$3=""),"",IF('Statement of Marks'!F28="","",'Statement of Marks'!F28))</f>
        <v>ROZER</v>
      </c>
      <c r="F29" s="807" t="str">
        <f>IF(OR($D$3="",$L$3=""),"",IF('Statement of Marks'!G28="","",'Statement of Marks'!G28))</f>
        <v/>
      </c>
      <c r="G29" s="807" t="str">
        <f>IF(OR($D$3="",$L$3=""),"",IF('Statement of Marks'!H28="","",'Statement of Marks'!H28))</f>
        <v/>
      </c>
      <c r="H29" s="808" t="str">
        <f>IF(OR($D$3="",$L$3=""),"",IF('Statement of Marks'!I28="","",'Statement of Marks'!I28))</f>
        <v/>
      </c>
      <c r="I29" s="808" t="str">
        <f>IF(OR($D$3="",$L$3=""),"",IF('Statement of Marks'!J28="","",'Statement of Marks'!J28))</f>
        <v/>
      </c>
      <c r="J29" s="809">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809">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809">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810">
        <f t="shared" si="0"/>
        <v>25</v>
      </c>
      <c r="N29" s="809">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811">
        <f>IF($L$3=$AJ$18,'Statement of Marks'!FV28,IF($L$3=$AJ$19,'Statement of Marks'!GD28,IF(AND(M29="NA",N29="NA"),"NA",IF(AND(M29="",N29=""),"",SUM(M29,N29)))))</f>
        <v>85</v>
      </c>
      <c r="P29" s="809">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812">
        <f t="shared" si="3"/>
        <v>170</v>
      </c>
      <c r="R29" s="813">
        <f t="shared" si="1"/>
        <v>0</v>
      </c>
      <c r="S29" s="813">
        <f t="shared" si="4"/>
        <v>200</v>
      </c>
      <c r="T29" s="813" t="str">
        <f t="shared" si="5"/>
        <v/>
      </c>
      <c r="U29" s="814" t="str">
        <f t="shared" si="6"/>
        <v>P</v>
      </c>
      <c r="V29" s="815" t="str">
        <f t="shared" si="7"/>
        <v>I</v>
      </c>
      <c r="W29" s="816" t="str">
        <f t="shared" si="2"/>
        <v>B</v>
      </c>
    </row>
    <row r="30" spans="1:36">
      <c r="A30" s="803">
        <f>IF('Statement of Marks'!A29="","",'Statement of Marks'!A29)</f>
        <v>23</v>
      </c>
      <c r="B30" s="804">
        <f>IF(OR($D$3="",$L$3=""),"",IF('Statement of Marks'!B29="","",'Statement of Marks'!B29))</f>
        <v>923</v>
      </c>
      <c r="C30" s="805" t="str">
        <f>IF(OR($D$3="",$L$3=""),"",IF('Statement of Marks'!D29="","",'Statement of Marks'!D29))</f>
        <v/>
      </c>
      <c r="D30" s="806" t="str">
        <f>IF(OR($D$3="",$L$3=""),"",IF('Statement of Marks'!E29="","",'Statement of Marks'!E29))</f>
        <v/>
      </c>
      <c r="E30" s="807" t="str">
        <f>IF(OR($D$3="",$L$3=""),"",IF('Statement of Marks'!F29="","",'Statement of Marks'!F29))</f>
        <v>DINESH</v>
      </c>
      <c r="F30" s="807" t="str">
        <f>IF(OR($D$3="",$L$3=""),"",IF('Statement of Marks'!G29="","",'Statement of Marks'!G29))</f>
        <v/>
      </c>
      <c r="G30" s="807" t="str">
        <f>IF(OR($D$3="",$L$3=""),"",IF('Statement of Marks'!H29="","",'Statement of Marks'!H29))</f>
        <v/>
      </c>
      <c r="H30" s="808" t="str">
        <f>IF(OR($D$3="",$L$3=""),"",IF('Statement of Marks'!I29="","",'Statement of Marks'!I29))</f>
        <v/>
      </c>
      <c r="I30" s="808" t="str">
        <f>IF(OR($D$3="",$L$3=""),"",IF('Statement of Marks'!J29="","",'Statement of Marks'!J29))</f>
        <v/>
      </c>
      <c r="J30" s="809">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809">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809">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810">
        <f t="shared" si="0"/>
        <v>25</v>
      </c>
      <c r="N30" s="809">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811">
        <f>IF($L$3=$AJ$18,'Statement of Marks'!FV29,IF($L$3=$AJ$19,'Statement of Marks'!GD29,IF(AND(M30="NA",N30="NA"),"NA",IF(AND(M30="",N30=""),"",SUM(M30,N30)))))</f>
        <v>85</v>
      </c>
      <c r="P30" s="809">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812">
        <f t="shared" si="3"/>
        <v>170</v>
      </c>
      <c r="R30" s="813">
        <f t="shared" si="1"/>
        <v>0</v>
      </c>
      <c r="S30" s="813">
        <f t="shared" si="4"/>
        <v>200</v>
      </c>
      <c r="T30" s="813" t="str">
        <f t="shared" si="5"/>
        <v/>
      </c>
      <c r="U30" s="814" t="str">
        <f t="shared" si="6"/>
        <v>P</v>
      </c>
      <c r="V30" s="815" t="str">
        <f t="shared" si="7"/>
        <v>I</v>
      </c>
      <c r="W30" s="816" t="str">
        <f t="shared" si="2"/>
        <v>B</v>
      </c>
    </row>
    <row r="31" spans="1:36">
      <c r="A31" s="803">
        <f>IF('Statement of Marks'!A30="","",'Statement of Marks'!A30)</f>
        <v>24</v>
      </c>
      <c r="B31" s="804">
        <f>IF(OR($D$3="",$L$3=""),"",IF('Statement of Marks'!B30="","",'Statement of Marks'!B30))</f>
        <v>924</v>
      </c>
      <c r="C31" s="805" t="str">
        <f>IF(OR($D$3="",$L$3=""),"",IF('Statement of Marks'!D30="","",'Statement of Marks'!D30))</f>
        <v/>
      </c>
      <c r="D31" s="806" t="str">
        <f>IF(OR($D$3="",$L$3=""),"",IF('Statement of Marks'!E30="","",'Statement of Marks'!E30))</f>
        <v/>
      </c>
      <c r="E31" s="807" t="str">
        <f>IF(OR($D$3="",$L$3=""),"",IF('Statement of Marks'!F30="","",'Statement of Marks'!F30))</f>
        <v>MAHESH</v>
      </c>
      <c r="F31" s="807" t="str">
        <f>IF(OR($D$3="",$L$3=""),"",IF('Statement of Marks'!G30="","",'Statement of Marks'!G30))</f>
        <v/>
      </c>
      <c r="G31" s="807" t="str">
        <f>IF(OR($D$3="",$L$3=""),"",IF('Statement of Marks'!H30="","",'Statement of Marks'!H30))</f>
        <v/>
      </c>
      <c r="H31" s="808" t="str">
        <f>IF(OR($D$3="",$L$3=""),"",IF('Statement of Marks'!I30="","",'Statement of Marks'!I30))</f>
        <v/>
      </c>
      <c r="I31" s="808" t="str">
        <f>IF(OR($D$3="",$L$3=""),"",IF('Statement of Marks'!J30="","",'Statement of Marks'!J30))</f>
        <v/>
      </c>
      <c r="J31" s="809">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809">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809">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810">
        <f t="shared" si="0"/>
        <v>24</v>
      </c>
      <c r="N31" s="809">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811">
        <f>IF($L$3=$AJ$18,'Statement of Marks'!FV30,IF($L$3=$AJ$19,'Statement of Marks'!GD30,IF(AND(M31="NA",N31="NA"),"NA",IF(AND(M31="",N31=""),"",SUM(M31,N31)))))</f>
        <v>84</v>
      </c>
      <c r="P31" s="809">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812">
        <f t="shared" si="3"/>
        <v>169</v>
      </c>
      <c r="R31" s="813">
        <f t="shared" si="1"/>
        <v>0</v>
      </c>
      <c r="S31" s="813">
        <f t="shared" si="4"/>
        <v>200</v>
      </c>
      <c r="T31" s="813" t="str">
        <f t="shared" si="5"/>
        <v/>
      </c>
      <c r="U31" s="814" t="str">
        <f t="shared" si="6"/>
        <v>P</v>
      </c>
      <c r="V31" s="815" t="str">
        <f t="shared" si="7"/>
        <v>I</v>
      </c>
      <c r="W31" s="816" t="str">
        <f t="shared" si="2"/>
        <v>B</v>
      </c>
    </row>
    <row r="32" spans="1:36">
      <c r="A32" s="803">
        <f>IF('Statement of Marks'!A31="","",'Statement of Marks'!A31)</f>
        <v>25</v>
      </c>
      <c r="B32" s="804">
        <f>IF(OR($D$3="",$L$3=""),"",IF('Statement of Marks'!B31="","",'Statement of Marks'!B31))</f>
        <v>925</v>
      </c>
      <c r="C32" s="805" t="str">
        <f>IF(OR($D$3="",$L$3=""),"",IF('Statement of Marks'!D31="","",'Statement of Marks'!D31))</f>
        <v/>
      </c>
      <c r="D32" s="806" t="str">
        <f>IF(OR($D$3="",$L$3=""),"",IF('Statement of Marks'!E31="","",'Statement of Marks'!E31))</f>
        <v/>
      </c>
      <c r="E32" s="807" t="str">
        <f>IF(OR($D$3="",$L$3=""),"",IF('Statement of Marks'!F31="","",'Statement of Marks'!F31))</f>
        <v>RINA</v>
      </c>
      <c r="F32" s="807" t="str">
        <f>IF(OR($D$3="",$L$3=""),"",IF('Statement of Marks'!G31="","",'Statement of Marks'!G31))</f>
        <v/>
      </c>
      <c r="G32" s="807" t="str">
        <f>IF(OR($D$3="",$L$3=""),"",IF('Statement of Marks'!H31="","",'Statement of Marks'!H31))</f>
        <v/>
      </c>
      <c r="H32" s="808" t="str">
        <f>IF(OR($D$3="",$L$3=""),"",IF('Statement of Marks'!I31="","",'Statement of Marks'!I31))</f>
        <v/>
      </c>
      <c r="I32" s="808" t="str">
        <f>IF(OR($D$3="",$L$3=""),"",IF('Statement of Marks'!J31="","",'Statement of Marks'!J31))</f>
        <v/>
      </c>
      <c r="J32" s="809">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809">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809">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810">
        <f t="shared" si="0"/>
        <v>24</v>
      </c>
      <c r="N32" s="809">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811">
        <f>IF($L$3=$AJ$18,'Statement of Marks'!FV31,IF($L$3=$AJ$19,'Statement of Marks'!GD31,IF(AND(M32="NA",N32="NA"),"NA",IF(AND(M32="",N32=""),"",SUM(M32,N32)))))</f>
        <v>84</v>
      </c>
      <c r="P32" s="809">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812">
        <f t="shared" si="3"/>
        <v>169</v>
      </c>
      <c r="R32" s="813">
        <f t="shared" si="1"/>
        <v>0</v>
      </c>
      <c r="S32" s="813">
        <f t="shared" si="4"/>
        <v>200</v>
      </c>
      <c r="T32" s="813" t="str">
        <f t="shared" si="5"/>
        <v/>
      </c>
      <c r="U32" s="814" t="str">
        <f t="shared" si="6"/>
        <v>P</v>
      </c>
      <c r="V32" s="815" t="str">
        <f t="shared" si="7"/>
        <v>I</v>
      </c>
      <c r="W32" s="816" t="str">
        <f t="shared" si="2"/>
        <v>B</v>
      </c>
    </row>
    <row r="33" spans="1:23">
      <c r="A33" s="803">
        <f>IF('Statement of Marks'!A32="","",'Statement of Marks'!A32)</f>
        <v>26</v>
      </c>
      <c r="B33" s="804">
        <f>IF(OR($D$3="",$L$3=""),"",IF('Statement of Marks'!B32="","",'Statement of Marks'!B32))</f>
        <v>926</v>
      </c>
      <c r="C33" s="805" t="str">
        <f>IF(OR($D$3="",$L$3=""),"",IF('Statement of Marks'!D32="","",'Statement of Marks'!D32))</f>
        <v/>
      </c>
      <c r="D33" s="806" t="str">
        <f>IF(OR($D$3="",$L$3=""),"",IF('Statement of Marks'!E32="","",'Statement of Marks'!E32))</f>
        <v/>
      </c>
      <c r="E33" s="807" t="str">
        <f>IF(OR($D$3="",$L$3=""),"",IF('Statement of Marks'!F32="","",'Statement of Marks'!F32))</f>
        <v>DIZA</v>
      </c>
      <c r="F33" s="807" t="str">
        <f>IF(OR($D$3="",$L$3=""),"",IF('Statement of Marks'!G32="","",'Statement of Marks'!G32))</f>
        <v/>
      </c>
      <c r="G33" s="807" t="str">
        <f>IF(OR($D$3="",$L$3=""),"",IF('Statement of Marks'!H32="","",'Statement of Marks'!H32))</f>
        <v/>
      </c>
      <c r="H33" s="808" t="str">
        <f>IF(OR($D$3="",$L$3=""),"",IF('Statement of Marks'!I32="","",'Statement of Marks'!I32))</f>
        <v/>
      </c>
      <c r="I33" s="808" t="str">
        <f>IF(OR($D$3="",$L$3=""),"",IF('Statement of Marks'!J32="","",'Statement of Marks'!J32))</f>
        <v/>
      </c>
      <c r="J33" s="809">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809">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809">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810">
        <f t="shared" si="0"/>
        <v>24</v>
      </c>
      <c r="N33" s="809">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811">
        <f>IF($L$3=$AJ$18,'Statement of Marks'!FV32,IF($L$3=$AJ$19,'Statement of Marks'!GD32,IF(AND(M33="NA",N33="NA"),"NA",IF(AND(M33="",N33=""),"",SUM(M33,N33)))))</f>
        <v>84</v>
      </c>
      <c r="P33" s="809">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812">
        <f t="shared" si="3"/>
        <v>169</v>
      </c>
      <c r="R33" s="813">
        <f t="shared" si="1"/>
        <v>0</v>
      </c>
      <c r="S33" s="813">
        <f t="shared" si="4"/>
        <v>200</v>
      </c>
      <c r="T33" s="813" t="str">
        <f t="shared" si="5"/>
        <v/>
      </c>
      <c r="U33" s="814" t="str">
        <f t="shared" si="6"/>
        <v>P</v>
      </c>
      <c r="V33" s="815" t="str">
        <f t="shared" si="7"/>
        <v>I</v>
      </c>
      <c r="W33" s="816" t="str">
        <f t="shared" si="2"/>
        <v>B</v>
      </c>
    </row>
    <row r="34" spans="1:23">
      <c r="A34" s="803">
        <f>IF('Statement of Marks'!A33="","",'Statement of Marks'!A33)</f>
        <v>27</v>
      </c>
      <c r="B34" s="804">
        <f>IF(OR($D$3="",$L$3=""),"",IF('Statement of Marks'!B33="","",'Statement of Marks'!B33))</f>
        <v>927</v>
      </c>
      <c r="C34" s="805" t="str">
        <f>IF(OR($D$3="",$L$3=""),"",IF('Statement of Marks'!D33="","",'Statement of Marks'!D33))</f>
        <v/>
      </c>
      <c r="D34" s="806" t="str">
        <f>IF(OR($D$3="",$L$3=""),"",IF('Statement of Marks'!E33="","",'Statement of Marks'!E33))</f>
        <v/>
      </c>
      <c r="E34" s="807" t="str">
        <f>IF(OR($D$3="",$L$3=""),"",IF('Statement of Marks'!F33="","",'Statement of Marks'!F33))</f>
        <v>BIPASA</v>
      </c>
      <c r="F34" s="807" t="str">
        <f>IF(OR($D$3="",$L$3=""),"",IF('Statement of Marks'!G33="","",'Statement of Marks'!G33))</f>
        <v/>
      </c>
      <c r="G34" s="807" t="str">
        <f>IF(OR($D$3="",$L$3=""),"",IF('Statement of Marks'!H33="","",'Statement of Marks'!H33))</f>
        <v/>
      </c>
      <c r="H34" s="808" t="str">
        <f>IF(OR($D$3="",$L$3=""),"",IF('Statement of Marks'!I33="","",'Statement of Marks'!I33))</f>
        <v/>
      </c>
      <c r="I34" s="808" t="str">
        <f>IF(OR($D$3="",$L$3=""),"",IF('Statement of Marks'!J33="","",'Statement of Marks'!J33))</f>
        <v/>
      </c>
      <c r="J34" s="809">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809">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809">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810">
        <f t="shared" si="0"/>
        <v>24</v>
      </c>
      <c r="N34" s="809">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811">
        <f>IF($L$3=$AJ$18,'Statement of Marks'!FV33,IF($L$3=$AJ$19,'Statement of Marks'!GD33,IF(AND(M34="NA",N34="NA"),"NA",IF(AND(M34="",N34=""),"",SUM(M34,N34)))))</f>
        <v>84</v>
      </c>
      <c r="P34" s="809">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812">
        <f t="shared" si="3"/>
        <v>169</v>
      </c>
      <c r="R34" s="813">
        <f t="shared" si="1"/>
        <v>0</v>
      </c>
      <c r="S34" s="813">
        <f t="shared" si="4"/>
        <v>200</v>
      </c>
      <c r="T34" s="813" t="str">
        <f t="shared" si="5"/>
        <v/>
      </c>
      <c r="U34" s="814" t="str">
        <f t="shared" si="6"/>
        <v>P</v>
      </c>
      <c r="V34" s="815" t="str">
        <f t="shared" si="7"/>
        <v>I</v>
      </c>
      <c r="W34" s="816" t="str">
        <f t="shared" si="2"/>
        <v>B</v>
      </c>
    </row>
    <row r="35" spans="1:23">
      <c r="A35" s="803">
        <f>IF('Statement of Marks'!A34="","",'Statement of Marks'!A34)</f>
        <v>28</v>
      </c>
      <c r="B35" s="804">
        <f>IF(OR($D$3="",$L$3=""),"",IF('Statement of Marks'!B34="","",'Statement of Marks'!B34))</f>
        <v>928</v>
      </c>
      <c r="C35" s="805" t="str">
        <f>IF(OR($D$3="",$L$3=""),"",IF('Statement of Marks'!D34="","",'Statement of Marks'!D34))</f>
        <v/>
      </c>
      <c r="D35" s="806" t="str">
        <f>IF(OR($D$3="",$L$3=""),"",IF('Statement of Marks'!E34="","",'Statement of Marks'!E34))</f>
        <v/>
      </c>
      <c r="E35" s="807" t="str">
        <f>IF(OR($D$3="",$L$3=""),"",IF('Statement of Marks'!F34="","",'Statement of Marks'!F34))</f>
        <v>DIMPLE</v>
      </c>
      <c r="F35" s="807" t="str">
        <f>IF(OR($D$3="",$L$3=""),"",IF('Statement of Marks'!G34="","",'Statement of Marks'!G34))</f>
        <v/>
      </c>
      <c r="G35" s="807" t="str">
        <f>IF(OR($D$3="",$L$3=""),"",IF('Statement of Marks'!H34="","",'Statement of Marks'!H34))</f>
        <v/>
      </c>
      <c r="H35" s="808" t="str">
        <f>IF(OR($D$3="",$L$3=""),"",IF('Statement of Marks'!I34="","",'Statement of Marks'!I34))</f>
        <v/>
      </c>
      <c r="I35" s="808" t="str">
        <f>IF(OR($D$3="",$L$3=""),"",IF('Statement of Marks'!J34="","",'Statement of Marks'!J34))</f>
        <v/>
      </c>
      <c r="J35" s="809">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809">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809">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810">
        <f t="shared" si="0"/>
        <v>24</v>
      </c>
      <c r="N35" s="809">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811">
        <f>IF($L$3=$AJ$18,'Statement of Marks'!FV34,IF($L$3=$AJ$19,'Statement of Marks'!GD34,IF(AND(M35="NA",N35="NA"),"NA",IF(AND(M35="",N35=""),"",SUM(M35,N35)))))</f>
        <v>84</v>
      </c>
      <c r="P35" s="809">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812">
        <f t="shared" si="3"/>
        <v>169</v>
      </c>
      <c r="R35" s="813">
        <f t="shared" si="1"/>
        <v>0</v>
      </c>
      <c r="S35" s="813">
        <f t="shared" si="4"/>
        <v>200</v>
      </c>
      <c r="T35" s="813" t="str">
        <f t="shared" si="5"/>
        <v/>
      </c>
      <c r="U35" s="814" t="str">
        <f t="shared" si="6"/>
        <v>P</v>
      </c>
      <c r="V35" s="815" t="str">
        <f t="shared" si="7"/>
        <v>I</v>
      </c>
      <c r="W35" s="816" t="str">
        <f t="shared" si="2"/>
        <v>B</v>
      </c>
    </row>
    <row r="36" spans="1:23">
      <c r="A36" s="803">
        <f>IF('Statement of Marks'!A35="","",'Statement of Marks'!A35)</f>
        <v>29</v>
      </c>
      <c r="B36" s="804">
        <f>IF(OR($D$3="",$L$3=""),"",IF('Statement of Marks'!B35="","",'Statement of Marks'!B35))</f>
        <v>929</v>
      </c>
      <c r="C36" s="805" t="str">
        <f>IF(OR($D$3="",$L$3=""),"",IF('Statement of Marks'!D35="","",'Statement of Marks'!D35))</f>
        <v/>
      </c>
      <c r="D36" s="806" t="str">
        <f>IF(OR($D$3="",$L$3=""),"",IF('Statement of Marks'!E35="","",'Statement of Marks'!E35))</f>
        <v/>
      </c>
      <c r="E36" s="807" t="str">
        <f>IF(OR($D$3="",$L$3=""),"",IF('Statement of Marks'!F35="","",'Statement of Marks'!F35))</f>
        <v>DIPIKA</v>
      </c>
      <c r="F36" s="807" t="str">
        <f>IF(OR($D$3="",$L$3=""),"",IF('Statement of Marks'!G35="","",'Statement of Marks'!G35))</f>
        <v/>
      </c>
      <c r="G36" s="807" t="str">
        <f>IF(OR($D$3="",$L$3=""),"",IF('Statement of Marks'!H35="","",'Statement of Marks'!H35))</f>
        <v/>
      </c>
      <c r="H36" s="808" t="str">
        <f>IF(OR($D$3="",$L$3=""),"",IF('Statement of Marks'!I35="","",'Statement of Marks'!I35))</f>
        <v/>
      </c>
      <c r="I36" s="808" t="str">
        <f>IF(OR($D$3="",$L$3=""),"",IF('Statement of Marks'!J35="","",'Statement of Marks'!J35))</f>
        <v/>
      </c>
      <c r="J36" s="809">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809">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809">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810">
        <f t="shared" si="0"/>
        <v>24</v>
      </c>
      <c r="N36" s="809">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811">
        <f>IF($L$3=$AJ$18,'Statement of Marks'!FV35,IF($L$3=$AJ$19,'Statement of Marks'!GD35,IF(AND(M36="NA",N36="NA"),"NA",IF(AND(M36="",N36=""),"",SUM(M36,N36)))))</f>
        <v>84</v>
      </c>
      <c r="P36" s="809">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812">
        <f t="shared" si="3"/>
        <v>169</v>
      </c>
      <c r="R36" s="813">
        <f t="shared" si="1"/>
        <v>0</v>
      </c>
      <c r="S36" s="813">
        <f t="shared" si="4"/>
        <v>200</v>
      </c>
      <c r="T36" s="813" t="str">
        <f t="shared" si="5"/>
        <v/>
      </c>
      <c r="U36" s="814" t="str">
        <f t="shared" si="6"/>
        <v>P</v>
      </c>
      <c r="V36" s="815" t="str">
        <f t="shared" si="7"/>
        <v>I</v>
      </c>
      <c r="W36" s="816" t="str">
        <f t="shared" si="2"/>
        <v>B</v>
      </c>
    </row>
    <row r="37" spans="1:23">
      <c r="A37" s="803">
        <f>IF('Statement of Marks'!A36="","",'Statement of Marks'!A36)</f>
        <v>30</v>
      </c>
      <c r="B37" s="804">
        <f>IF(OR($D$3="",$L$3=""),"",IF('Statement of Marks'!B36="","",'Statement of Marks'!B36))</f>
        <v>930</v>
      </c>
      <c r="C37" s="805" t="str">
        <f>IF(OR($D$3="",$L$3=""),"",IF('Statement of Marks'!D36="","",'Statement of Marks'!D36))</f>
        <v/>
      </c>
      <c r="D37" s="806" t="str">
        <f>IF(OR($D$3="",$L$3=""),"",IF('Statement of Marks'!E36="","",'Statement of Marks'!E36))</f>
        <v/>
      </c>
      <c r="E37" s="807" t="str">
        <f>IF(OR($D$3="",$L$3=""),"",IF('Statement of Marks'!F36="","",'Statement of Marks'!F36))</f>
        <v>DEVENDRA</v>
      </c>
      <c r="F37" s="807" t="str">
        <f>IF(OR($D$3="",$L$3=""),"",IF('Statement of Marks'!G36="","",'Statement of Marks'!G36))</f>
        <v/>
      </c>
      <c r="G37" s="807" t="str">
        <f>IF(OR($D$3="",$L$3=""),"",IF('Statement of Marks'!H36="","",'Statement of Marks'!H36))</f>
        <v/>
      </c>
      <c r="H37" s="808" t="str">
        <f>IF(OR($D$3="",$L$3=""),"",IF('Statement of Marks'!I36="","",'Statement of Marks'!I36))</f>
        <v/>
      </c>
      <c r="I37" s="808" t="str">
        <f>IF(OR($D$3="",$L$3=""),"",IF('Statement of Marks'!J36="","",'Statement of Marks'!J36))</f>
        <v/>
      </c>
      <c r="J37" s="809">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809">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809">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810">
        <f t="shared" si="0"/>
        <v>24</v>
      </c>
      <c r="N37" s="809">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811">
        <f>IF($L$3=$AJ$18,'Statement of Marks'!FV36,IF($L$3=$AJ$19,'Statement of Marks'!GD36,IF(AND(M37="NA",N37="NA"),"NA",IF(AND(M37="",N37=""),"",SUM(M37,N37)))))</f>
        <v>84</v>
      </c>
      <c r="P37" s="809">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812">
        <f t="shared" si="3"/>
        <v>169</v>
      </c>
      <c r="R37" s="813">
        <f t="shared" si="1"/>
        <v>0</v>
      </c>
      <c r="S37" s="813">
        <f t="shared" si="4"/>
        <v>200</v>
      </c>
      <c r="T37" s="813" t="str">
        <f t="shared" si="5"/>
        <v/>
      </c>
      <c r="U37" s="814" t="str">
        <f t="shared" si="6"/>
        <v>P</v>
      </c>
      <c r="V37" s="815" t="str">
        <f t="shared" si="7"/>
        <v>I</v>
      </c>
      <c r="W37" s="816" t="str">
        <f t="shared" si="2"/>
        <v>B</v>
      </c>
    </row>
    <row r="38" spans="1:23">
      <c r="A38" s="803">
        <f>IF('Statement of Marks'!A37="","",'Statement of Marks'!A37)</f>
        <v>31</v>
      </c>
      <c r="B38" s="804">
        <f>IF(OR($D$3="",$L$3=""),"",IF('Statement of Marks'!B37="","",'Statement of Marks'!B37))</f>
        <v>931</v>
      </c>
      <c r="C38" s="805" t="str">
        <f>IF(OR($D$3="",$L$3=""),"",IF('Statement of Marks'!D37="","",'Statement of Marks'!D37))</f>
        <v/>
      </c>
      <c r="D38" s="806" t="str">
        <f>IF(OR($D$3="",$L$3=""),"",IF('Statement of Marks'!E37="","",'Statement of Marks'!E37))</f>
        <v/>
      </c>
      <c r="E38" s="807" t="str">
        <f>IF(OR($D$3="",$L$3=""),"",IF('Statement of Marks'!F37="","",'Statement of Marks'!F37))</f>
        <v>RAVINDRA</v>
      </c>
      <c r="F38" s="807" t="str">
        <f>IF(OR($D$3="",$L$3=""),"",IF('Statement of Marks'!G37="","",'Statement of Marks'!G37))</f>
        <v/>
      </c>
      <c r="G38" s="807" t="str">
        <f>IF(OR($D$3="",$L$3=""),"",IF('Statement of Marks'!H37="","",'Statement of Marks'!H37))</f>
        <v/>
      </c>
      <c r="H38" s="808" t="str">
        <f>IF(OR($D$3="",$L$3=""),"",IF('Statement of Marks'!I37="","",'Statement of Marks'!I37))</f>
        <v/>
      </c>
      <c r="I38" s="808" t="str">
        <f>IF(OR($D$3="",$L$3=""),"",IF('Statement of Marks'!J37="","",'Statement of Marks'!J37))</f>
        <v/>
      </c>
      <c r="J38" s="809">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809">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809">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810">
        <f t="shared" si="0"/>
        <v>24</v>
      </c>
      <c r="N38" s="809">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811">
        <f>IF($L$3=$AJ$18,'Statement of Marks'!FV37,IF($L$3=$AJ$19,'Statement of Marks'!GD37,IF(AND(M38="NA",N38="NA"),"NA",IF(AND(M38="",N38=""),"",SUM(M38,N38)))))</f>
        <v>84</v>
      </c>
      <c r="P38" s="809">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812">
        <f t="shared" si="3"/>
        <v>169</v>
      </c>
      <c r="R38" s="813">
        <f t="shared" si="1"/>
        <v>0</v>
      </c>
      <c r="S38" s="813">
        <f t="shared" si="4"/>
        <v>200</v>
      </c>
      <c r="T38" s="813" t="str">
        <f t="shared" si="5"/>
        <v/>
      </c>
      <c r="U38" s="814" t="str">
        <f t="shared" si="6"/>
        <v>P</v>
      </c>
      <c r="V38" s="815" t="str">
        <f t="shared" si="7"/>
        <v>I</v>
      </c>
      <c r="W38" s="816" t="str">
        <f t="shared" si="2"/>
        <v>B</v>
      </c>
    </row>
    <row r="39" spans="1:23">
      <c r="A39" s="803">
        <f>IF('Statement of Marks'!A38="","",'Statement of Marks'!A38)</f>
        <v>32</v>
      </c>
      <c r="B39" s="804" t="str">
        <f>IF(OR($D$3="",$L$3=""),"",IF('Statement of Marks'!B38="","",'Statement of Marks'!B38))</f>
        <v/>
      </c>
      <c r="C39" s="805" t="str">
        <f>IF(OR($D$3="",$L$3=""),"",IF('Statement of Marks'!D38="","",'Statement of Marks'!D38))</f>
        <v/>
      </c>
      <c r="D39" s="806" t="str">
        <f>IF(OR($D$3="",$L$3=""),"",IF('Statement of Marks'!E38="","",'Statement of Marks'!E38))</f>
        <v/>
      </c>
      <c r="E39" s="807" t="str">
        <f>IF(OR($D$3="",$L$3=""),"",IF('Statement of Marks'!F38="","",'Statement of Marks'!F38))</f>
        <v/>
      </c>
      <c r="F39" s="807" t="str">
        <f>IF(OR($D$3="",$L$3=""),"",IF('Statement of Marks'!G38="","",'Statement of Marks'!G38))</f>
        <v/>
      </c>
      <c r="G39" s="807" t="str">
        <f>IF(OR($D$3="",$L$3=""),"",IF('Statement of Marks'!H38="","",'Statement of Marks'!H38))</f>
        <v/>
      </c>
      <c r="H39" s="808" t="str">
        <f>IF(OR($D$3="",$L$3=""),"",IF('Statement of Marks'!I38="","",'Statement of Marks'!I38))</f>
        <v/>
      </c>
      <c r="I39" s="808" t="str">
        <f>IF(OR($D$3="",$L$3=""),"",IF('Statement of Marks'!J38="","",'Statement of Marks'!J38))</f>
        <v/>
      </c>
      <c r="J39" s="809"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809"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809"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810">
        <f t="shared" si="0"/>
        <v>0</v>
      </c>
      <c r="N39" s="809"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811">
        <f>IF($L$3=$AJ$18,'Statement of Marks'!FV38,IF($L$3=$AJ$19,'Statement of Marks'!GD38,IF(AND(M39="NA",N39="NA"),"NA",IF(AND(M39="",N39=""),"",SUM(M39,N39)))))</f>
        <v>0</v>
      </c>
      <c r="P39" s="809"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812" t="str">
        <f t="shared" si="3"/>
        <v/>
      </c>
      <c r="R39" s="813">
        <f t="shared" si="1"/>
        <v>0</v>
      </c>
      <c r="S39" s="813" t="str">
        <f t="shared" si="4"/>
        <v/>
      </c>
      <c r="T39" s="813" t="str">
        <f t="shared" si="5"/>
        <v/>
      </c>
      <c r="U39" s="814" t="str">
        <f t="shared" si="6"/>
        <v/>
      </c>
      <c r="V39" s="815" t="str">
        <f t="shared" si="7"/>
        <v/>
      </c>
      <c r="W39" s="816" t="str">
        <f t="shared" si="2"/>
        <v/>
      </c>
    </row>
    <row r="40" spans="1:23">
      <c r="A40" s="803">
        <f>IF('Statement of Marks'!A39="","",'Statement of Marks'!A39)</f>
        <v>33</v>
      </c>
      <c r="B40" s="804" t="str">
        <f>IF(OR($D$3="",$L$3=""),"",IF('Statement of Marks'!B39="","",'Statement of Marks'!B39))</f>
        <v/>
      </c>
      <c r="C40" s="805" t="str">
        <f>IF(OR($D$3="",$L$3=""),"",IF('Statement of Marks'!D39="","",'Statement of Marks'!D39))</f>
        <v/>
      </c>
      <c r="D40" s="806" t="str">
        <f>IF(OR($D$3="",$L$3=""),"",IF('Statement of Marks'!E39="","",'Statement of Marks'!E39))</f>
        <v/>
      </c>
      <c r="E40" s="807" t="str">
        <f>IF(OR($D$3="",$L$3=""),"",IF('Statement of Marks'!F39="","",'Statement of Marks'!F39))</f>
        <v/>
      </c>
      <c r="F40" s="807" t="str">
        <f>IF(OR($D$3="",$L$3=""),"",IF('Statement of Marks'!G39="","",'Statement of Marks'!G39))</f>
        <v/>
      </c>
      <c r="G40" s="807" t="str">
        <f>IF(OR($D$3="",$L$3=""),"",IF('Statement of Marks'!H39="","",'Statement of Marks'!H39))</f>
        <v/>
      </c>
      <c r="H40" s="808" t="str">
        <f>IF(OR($D$3="",$L$3=""),"",IF('Statement of Marks'!I39="","",'Statement of Marks'!I39))</f>
        <v/>
      </c>
      <c r="I40" s="808" t="str">
        <f>IF(OR($D$3="",$L$3=""),"",IF('Statement of Marks'!J39="","",'Statement of Marks'!J39))</f>
        <v/>
      </c>
      <c r="J40" s="809"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809"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809"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810">
        <f t="shared" si="0"/>
        <v>0</v>
      </c>
      <c r="N40" s="809"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811">
        <f>IF($L$3=$AJ$18,'Statement of Marks'!FV39,IF($L$3=$AJ$19,'Statement of Marks'!GD39,IF(AND(M40="NA",N40="NA"),"NA",IF(AND(M40="",N40=""),"",SUM(M40,N40)))))</f>
        <v>0</v>
      </c>
      <c r="P40" s="809"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812" t="str">
        <f t="shared" si="3"/>
        <v/>
      </c>
      <c r="R40" s="813">
        <f t="shared" ref="R40:R71" si="8">IFERROR(IF($L$3="","",IF(OR($L$3=$AJ$18,$L$3=$AJ$19),COUNTIF(J40:L40,"NA")*$J$7+(COUNTIF(J40:L40,"ML")*$J$7)+(COUNTIF(O40,"ML")*$O$7)+(COUNTIF(N40,"ML")*$N$8)+(COUNTIF(P40,"ML")*$P$7),COUNTIF(N40,"NA")*$N$7+(COUNTIF(J40:L40,"ML")*$J$7)+(COUNTIF(N40,"ML")*$N$7)+(COUNTIF(P40,"ML")*$P$7))),0)</f>
        <v>0</v>
      </c>
      <c r="S40" s="813" t="str">
        <f t="shared" si="4"/>
        <v/>
      </c>
      <c r="T40" s="813" t="str">
        <f t="shared" si="5"/>
        <v/>
      </c>
      <c r="U40" s="814" t="str">
        <f t="shared" si="6"/>
        <v/>
      </c>
      <c r="V40" s="815" t="str">
        <f t="shared" si="7"/>
        <v/>
      </c>
      <c r="W40" s="816" t="str">
        <f t="shared" ref="W40:W71" si="9">IF(Q40="","",IF(OR(U40="",U40=0,U40="RE",U40="AB",B40="NSO"),"",IF(Q40&gt;85%*S40,"A",IF(Q40&gt;70%*S40,"B",IF(Q40&gt;=50%*S40,"C",IF(Q40&gt;=30%*S40,"D","E"))))))</f>
        <v/>
      </c>
    </row>
    <row r="41" spans="1:23">
      <c r="A41" s="803">
        <f>IF('Statement of Marks'!A40="","",'Statement of Marks'!A40)</f>
        <v>34</v>
      </c>
      <c r="B41" s="804" t="str">
        <f>IF(OR($D$3="",$L$3=""),"",IF('Statement of Marks'!B40="","",'Statement of Marks'!B40))</f>
        <v/>
      </c>
      <c r="C41" s="805" t="str">
        <f>IF(OR($D$3="",$L$3=""),"",IF('Statement of Marks'!D40="","",'Statement of Marks'!D40))</f>
        <v/>
      </c>
      <c r="D41" s="806" t="str">
        <f>IF(OR($D$3="",$L$3=""),"",IF('Statement of Marks'!E40="","",'Statement of Marks'!E40))</f>
        <v/>
      </c>
      <c r="E41" s="807" t="str">
        <f>IF(OR($D$3="",$L$3=""),"",IF('Statement of Marks'!F40="","",'Statement of Marks'!F40))</f>
        <v/>
      </c>
      <c r="F41" s="807" t="str">
        <f>IF(OR($D$3="",$L$3=""),"",IF('Statement of Marks'!G40="","",'Statement of Marks'!G40))</f>
        <v/>
      </c>
      <c r="G41" s="807" t="str">
        <f>IF(OR($D$3="",$L$3=""),"",IF('Statement of Marks'!H40="","",'Statement of Marks'!H40))</f>
        <v/>
      </c>
      <c r="H41" s="808" t="str">
        <f>IF(OR($D$3="",$L$3=""),"",IF('Statement of Marks'!I40="","",'Statement of Marks'!I40))</f>
        <v/>
      </c>
      <c r="I41" s="808" t="str">
        <f>IF(OR($D$3="",$L$3=""),"",IF('Statement of Marks'!J40="","",'Statement of Marks'!J40))</f>
        <v/>
      </c>
      <c r="J41" s="809"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809"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809"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810">
        <f t="shared" si="0"/>
        <v>0</v>
      </c>
      <c r="N41" s="809"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811">
        <f>IF($L$3=$AJ$18,'Statement of Marks'!FV40,IF($L$3=$AJ$19,'Statement of Marks'!GD40,IF(AND(M41="NA",N41="NA"),"NA",IF(AND(M41="",N41=""),"",SUM(M41,N41)))))</f>
        <v>0</v>
      </c>
      <c r="P41" s="809"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812" t="str">
        <f t="shared" si="3"/>
        <v/>
      </c>
      <c r="R41" s="813">
        <f t="shared" si="8"/>
        <v>0</v>
      </c>
      <c r="S41" s="813" t="str">
        <f t="shared" si="4"/>
        <v/>
      </c>
      <c r="T41" s="813" t="str">
        <f t="shared" si="5"/>
        <v/>
      </c>
      <c r="U41" s="814" t="str">
        <f t="shared" si="6"/>
        <v/>
      </c>
      <c r="V41" s="815" t="str">
        <f t="shared" si="7"/>
        <v/>
      </c>
      <c r="W41" s="816" t="str">
        <f t="shared" si="9"/>
        <v/>
      </c>
    </row>
    <row r="42" spans="1:23">
      <c r="A42" s="803">
        <f>IF('Statement of Marks'!A41="","",'Statement of Marks'!A41)</f>
        <v>35</v>
      </c>
      <c r="B42" s="804" t="str">
        <f>IF(OR($D$3="",$L$3=""),"",IF('Statement of Marks'!B41="","",'Statement of Marks'!B41))</f>
        <v/>
      </c>
      <c r="C42" s="805" t="str">
        <f>IF(OR($D$3="",$L$3=""),"",IF('Statement of Marks'!D41="","",'Statement of Marks'!D41))</f>
        <v/>
      </c>
      <c r="D42" s="806" t="str">
        <f>IF(OR($D$3="",$L$3=""),"",IF('Statement of Marks'!E41="","",'Statement of Marks'!E41))</f>
        <v/>
      </c>
      <c r="E42" s="807" t="str">
        <f>IF(OR($D$3="",$L$3=""),"",IF('Statement of Marks'!F41="","",'Statement of Marks'!F41))</f>
        <v/>
      </c>
      <c r="F42" s="807" t="str">
        <f>IF(OR($D$3="",$L$3=""),"",IF('Statement of Marks'!G41="","",'Statement of Marks'!G41))</f>
        <v/>
      </c>
      <c r="G42" s="807" t="str">
        <f>IF(OR($D$3="",$L$3=""),"",IF('Statement of Marks'!H41="","",'Statement of Marks'!H41))</f>
        <v/>
      </c>
      <c r="H42" s="808" t="str">
        <f>IF(OR($D$3="",$L$3=""),"",IF('Statement of Marks'!I41="","",'Statement of Marks'!I41))</f>
        <v/>
      </c>
      <c r="I42" s="808" t="str">
        <f>IF(OR($D$3="",$L$3=""),"",IF('Statement of Marks'!J41="","",'Statement of Marks'!J41))</f>
        <v/>
      </c>
      <c r="J42" s="809"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809"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809"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810">
        <f t="shared" si="0"/>
        <v>0</v>
      </c>
      <c r="N42" s="809"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811">
        <f>IF($L$3=$AJ$18,'Statement of Marks'!FV41,IF($L$3=$AJ$19,'Statement of Marks'!GD41,IF(AND(M42="NA",N42="NA"),"NA",IF(AND(M42="",N42=""),"",SUM(M42,N42)))))</f>
        <v>0</v>
      </c>
      <c r="P42" s="809"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812" t="str">
        <f t="shared" si="3"/>
        <v/>
      </c>
      <c r="R42" s="813">
        <f t="shared" si="8"/>
        <v>0</v>
      </c>
      <c r="S42" s="813" t="str">
        <f t="shared" si="4"/>
        <v/>
      </c>
      <c r="T42" s="813" t="str">
        <f t="shared" si="5"/>
        <v/>
      </c>
      <c r="U42" s="814" t="str">
        <f t="shared" si="6"/>
        <v/>
      </c>
      <c r="V42" s="815" t="str">
        <f t="shared" si="7"/>
        <v/>
      </c>
      <c r="W42" s="816" t="str">
        <f t="shared" si="9"/>
        <v/>
      </c>
    </row>
    <row r="43" spans="1:23">
      <c r="A43" s="803">
        <f>IF('Statement of Marks'!A42="","",'Statement of Marks'!A42)</f>
        <v>36</v>
      </c>
      <c r="B43" s="804" t="str">
        <f>IF(OR($D$3="",$L$3=""),"",IF('Statement of Marks'!B42="","",'Statement of Marks'!B42))</f>
        <v/>
      </c>
      <c r="C43" s="805" t="str">
        <f>IF(OR($D$3="",$L$3=""),"",IF('Statement of Marks'!D42="","",'Statement of Marks'!D42))</f>
        <v/>
      </c>
      <c r="D43" s="806" t="str">
        <f>IF(OR($D$3="",$L$3=""),"",IF('Statement of Marks'!E42="","",'Statement of Marks'!E42))</f>
        <v/>
      </c>
      <c r="E43" s="807" t="str">
        <f>IF(OR($D$3="",$L$3=""),"",IF('Statement of Marks'!F42="","",'Statement of Marks'!F42))</f>
        <v/>
      </c>
      <c r="F43" s="807" t="str">
        <f>IF(OR($D$3="",$L$3=""),"",IF('Statement of Marks'!G42="","",'Statement of Marks'!G42))</f>
        <v/>
      </c>
      <c r="G43" s="807" t="str">
        <f>IF(OR($D$3="",$L$3=""),"",IF('Statement of Marks'!H42="","",'Statement of Marks'!H42))</f>
        <v/>
      </c>
      <c r="H43" s="808" t="str">
        <f>IF(OR($D$3="",$L$3=""),"",IF('Statement of Marks'!I42="","",'Statement of Marks'!I42))</f>
        <v/>
      </c>
      <c r="I43" s="808" t="str">
        <f>IF(OR($D$3="",$L$3=""),"",IF('Statement of Marks'!J42="","",'Statement of Marks'!J42))</f>
        <v/>
      </c>
      <c r="J43" s="809"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809"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809"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810">
        <f t="shared" si="0"/>
        <v>0</v>
      </c>
      <c r="N43" s="809"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811">
        <f>IF($L$3=$AJ$18,'Statement of Marks'!FV42,IF($L$3=$AJ$19,'Statement of Marks'!GD42,IF(AND(M43="NA",N43="NA"),"NA",IF(AND(M43="",N43=""),"",SUM(M43,N43)))))</f>
        <v>0</v>
      </c>
      <c r="P43" s="809"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812" t="str">
        <f t="shared" si="3"/>
        <v/>
      </c>
      <c r="R43" s="813">
        <f t="shared" si="8"/>
        <v>0</v>
      </c>
      <c r="S43" s="813" t="str">
        <f t="shared" si="4"/>
        <v/>
      </c>
      <c r="T43" s="813" t="str">
        <f t="shared" si="5"/>
        <v/>
      </c>
      <c r="U43" s="814" t="str">
        <f t="shared" si="6"/>
        <v/>
      </c>
      <c r="V43" s="815" t="str">
        <f t="shared" si="7"/>
        <v/>
      </c>
      <c r="W43" s="816" t="str">
        <f t="shared" si="9"/>
        <v/>
      </c>
    </row>
    <row r="44" spans="1:23">
      <c r="A44" s="803">
        <f>IF('Statement of Marks'!A43="","",'Statement of Marks'!A43)</f>
        <v>37</v>
      </c>
      <c r="B44" s="804" t="str">
        <f>IF(OR($D$3="",$L$3=""),"",IF('Statement of Marks'!B43="","",'Statement of Marks'!B43))</f>
        <v/>
      </c>
      <c r="C44" s="805" t="str">
        <f>IF(OR($D$3="",$L$3=""),"",IF('Statement of Marks'!D43="","",'Statement of Marks'!D43))</f>
        <v/>
      </c>
      <c r="D44" s="806" t="str">
        <f>IF(OR($D$3="",$L$3=""),"",IF('Statement of Marks'!E43="","",'Statement of Marks'!E43))</f>
        <v/>
      </c>
      <c r="E44" s="807" t="str">
        <f>IF(OR($D$3="",$L$3=""),"",IF('Statement of Marks'!F43="","",'Statement of Marks'!F43))</f>
        <v/>
      </c>
      <c r="F44" s="807" t="str">
        <f>IF(OR($D$3="",$L$3=""),"",IF('Statement of Marks'!G43="","",'Statement of Marks'!G43))</f>
        <v/>
      </c>
      <c r="G44" s="807" t="str">
        <f>IF(OR($D$3="",$L$3=""),"",IF('Statement of Marks'!H43="","",'Statement of Marks'!H43))</f>
        <v/>
      </c>
      <c r="H44" s="808" t="str">
        <f>IF(OR($D$3="",$L$3=""),"",IF('Statement of Marks'!I43="","",'Statement of Marks'!I43))</f>
        <v/>
      </c>
      <c r="I44" s="808" t="str">
        <f>IF(OR($D$3="",$L$3=""),"",IF('Statement of Marks'!J43="","",'Statement of Marks'!J43))</f>
        <v/>
      </c>
      <c r="J44" s="809"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809"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809"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810">
        <f t="shared" si="0"/>
        <v>0</v>
      </c>
      <c r="N44" s="809"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811">
        <f>IF($L$3=$AJ$18,'Statement of Marks'!FV43,IF($L$3=$AJ$19,'Statement of Marks'!GD43,IF(AND(M44="NA",N44="NA"),"NA",IF(AND(M44="",N44=""),"",SUM(M44,N44)))))</f>
        <v>0</v>
      </c>
      <c r="P44" s="809"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812" t="str">
        <f t="shared" si="3"/>
        <v/>
      </c>
      <c r="R44" s="813">
        <f t="shared" si="8"/>
        <v>0</v>
      </c>
      <c r="S44" s="813" t="str">
        <f t="shared" si="4"/>
        <v/>
      </c>
      <c r="T44" s="813" t="str">
        <f t="shared" si="5"/>
        <v/>
      </c>
      <c r="U44" s="814" t="str">
        <f t="shared" si="6"/>
        <v/>
      </c>
      <c r="V44" s="815" t="str">
        <f t="shared" si="7"/>
        <v/>
      </c>
      <c r="W44" s="816" t="str">
        <f t="shared" si="9"/>
        <v/>
      </c>
    </row>
    <row r="45" spans="1:23">
      <c r="A45" s="803">
        <f>IF('Statement of Marks'!A44="","",'Statement of Marks'!A44)</f>
        <v>38</v>
      </c>
      <c r="B45" s="804" t="str">
        <f>IF(OR($D$3="",$L$3=""),"",IF('Statement of Marks'!B44="","",'Statement of Marks'!B44))</f>
        <v/>
      </c>
      <c r="C45" s="805" t="str">
        <f>IF(OR($D$3="",$L$3=""),"",IF('Statement of Marks'!D44="","",'Statement of Marks'!D44))</f>
        <v/>
      </c>
      <c r="D45" s="806" t="str">
        <f>IF(OR($D$3="",$L$3=""),"",IF('Statement of Marks'!E44="","",'Statement of Marks'!E44))</f>
        <v/>
      </c>
      <c r="E45" s="807" t="str">
        <f>IF(OR($D$3="",$L$3=""),"",IF('Statement of Marks'!F44="","",'Statement of Marks'!F44))</f>
        <v/>
      </c>
      <c r="F45" s="807" t="str">
        <f>IF(OR($D$3="",$L$3=""),"",IF('Statement of Marks'!G44="","",'Statement of Marks'!G44))</f>
        <v/>
      </c>
      <c r="G45" s="807" t="str">
        <f>IF(OR($D$3="",$L$3=""),"",IF('Statement of Marks'!H44="","",'Statement of Marks'!H44))</f>
        <v/>
      </c>
      <c r="H45" s="808" t="str">
        <f>IF(OR($D$3="",$L$3=""),"",IF('Statement of Marks'!I44="","",'Statement of Marks'!I44))</f>
        <v/>
      </c>
      <c r="I45" s="808" t="str">
        <f>IF(OR($D$3="",$L$3=""),"",IF('Statement of Marks'!J44="","",'Statement of Marks'!J44))</f>
        <v/>
      </c>
      <c r="J45" s="809"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809"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809"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810">
        <f t="shared" si="0"/>
        <v>0</v>
      </c>
      <c r="N45" s="809"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811">
        <f>IF($L$3=$AJ$18,'Statement of Marks'!FV44,IF($L$3=$AJ$19,'Statement of Marks'!GD44,IF(AND(M45="NA",N45="NA"),"NA",IF(AND(M45="",N45=""),"",SUM(M45,N45)))))</f>
        <v>0</v>
      </c>
      <c r="P45" s="809"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812" t="str">
        <f t="shared" si="3"/>
        <v/>
      </c>
      <c r="R45" s="813">
        <f t="shared" si="8"/>
        <v>0</v>
      </c>
      <c r="S45" s="813" t="str">
        <f t="shared" si="4"/>
        <v/>
      </c>
      <c r="T45" s="813" t="str">
        <f t="shared" si="5"/>
        <v/>
      </c>
      <c r="U45" s="814" t="str">
        <f t="shared" si="6"/>
        <v/>
      </c>
      <c r="V45" s="815" t="str">
        <f t="shared" si="7"/>
        <v/>
      </c>
      <c r="W45" s="816" t="str">
        <f t="shared" si="9"/>
        <v/>
      </c>
    </row>
    <row r="46" spans="1:23">
      <c r="A46" s="803">
        <f>IF('Statement of Marks'!A45="","",'Statement of Marks'!A45)</f>
        <v>39</v>
      </c>
      <c r="B46" s="804" t="str">
        <f>IF(OR($D$3="",$L$3=""),"",IF('Statement of Marks'!B45="","",'Statement of Marks'!B45))</f>
        <v/>
      </c>
      <c r="C46" s="805" t="str">
        <f>IF(OR($D$3="",$L$3=""),"",IF('Statement of Marks'!D45="","",'Statement of Marks'!D45))</f>
        <v/>
      </c>
      <c r="D46" s="806" t="str">
        <f>IF(OR($D$3="",$L$3=""),"",IF('Statement of Marks'!E45="","",'Statement of Marks'!E45))</f>
        <v/>
      </c>
      <c r="E46" s="807" t="str">
        <f>IF(OR($D$3="",$L$3=""),"",IF('Statement of Marks'!F45="","",'Statement of Marks'!F45))</f>
        <v/>
      </c>
      <c r="F46" s="807" t="str">
        <f>IF(OR($D$3="",$L$3=""),"",IF('Statement of Marks'!G45="","",'Statement of Marks'!G45))</f>
        <v/>
      </c>
      <c r="G46" s="807" t="str">
        <f>IF(OR($D$3="",$L$3=""),"",IF('Statement of Marks'!H45="","",'Statement of Marks'!H45))</f>
        <v/>
      </c>
      <c r="H46" s="808" t="str">
        <f>IF(OR($D$3="",$L$3=""),"",IF('Statement of Marks'!I45="","",'Statement of Marks'!I45))</f>
        <v/>
      </c>
      <c r="I46" s="808" t="str">
        <f>IF(OR($D$3="",$L$3=""),"",IF('Statement of Marks'!J45="","",'Statement of Marks'!J45))</f>
        <v/>
      </c>
      <c r="J46" s="809"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809"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809"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810">
        <f t="shared" si="0"/>
        <v>0</v>
      </c>
      <c r="N46" s="809"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811">
        <f>IF($L$3=$AJ$18,'Statement of Marks'!FV45,IF($L$3=$AJ$19,'Statement of Marks'!GD45,IF(AND(M46="NA",N46="NA"),"NA",IF(AND(M46="",N46=""),"",SUM(M46,N46)))))</f>
        <v>0</v>
      </c>
      <c r="P46" s="809"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812" t="str">
        <f t="shared" si="3"/>
        <v/>
      </c>
      <c r="R46" s="813">
        <f t="shared" si="8"/>
        <v>0</v>
      </c>
      <c r="S46" s="813" t="str">
        <f t="shared" si="4"/>
        <v/>
      </c>
      <c r="T46" s="813" t="str">
        <f t="shared" si="5"/>
        <v/>
      </c>
      <c r="U46" s="814" t="str">
        <f t="shared" si="6"/>
        <v/>
      </c>
      <c r="V46" s="815" t="str">
        <f t="shared" si="7"/>
        <v/>
      </c>
      <c r="W46" s="816" t="str">
        <f t="shared" si="9"/>
        <v/>
      </c>
    </row>
    <row r="47" spans="1:23">
      <c r="A47" s="803">
        <f>IF('Statement of Marks'!A46="","",'Statement of Marks'!A46)</f>
        <v>40</v>
      </c>
      <c r="B47" s="804" t="str">
        <f>IF(OR($D$3="",$L$3=""),"",IF('Statement of Marks'!B46="","",'Statement of Marks'!B46))</f>
        <v/>
      </c>
      <c r="C47" s="805" t="str">
        <f>IF(OR($D$3="",$L$3=""),"",IF('Statement of Marks'!D46="","",'Statement of Marks'!D46))</f>
        <v/>
      </c>
      <c r="D47" s="806" t="str">
        <f>IF(OR($D$3="",$L$3=""),"",IF('Statement of Marks'!E46="","",'Statement of Marks'!E46))</f>
        <v/>
      </c>
      <c r="E47" s="807" t="str">
        <f>IF(OR($D$3="",$L$3=""),"",IF('Statement of Marks'!F46="","",'Statement of Marks'!F46))</f>
        <v/>
      </c>
      <c r="F47" s="807" t="str">
        <f>IF(OR($D$3="",$L$3=""),"",IF('Statement of Marks'!G46="","",'Statement of Marks'!G46))</f>
        <v/>
      </c>
      <c r="G47" s="807" t="str">
        <f>IF(OR($D$3="",$L$3=""),"",IF('Statement of Marks'!H46="","",'Statement of Marks'!H46))</f>
        <v/>
      </c>
      <c r="H47" s="808" t="str">
        <f>IF(OR($D$3="",$L$3=""),"",IF('Statement of Marks'!I46="","",'Statement of Marks'!I46))</f>
        <v/>
      </c>
      <c r="I47" s="808" t="str">
        <f>IF(OR($D$3="",$L$3=""),"",IF('Statement of Marks'!J46="","",'Statement of Marks'!J46))</f>
        <v/>
      </c>
      <c r="J47" s="809"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809"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809"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810">
        <f t="shared" si="0"/>
        <v>0</v>
      </c>
      <c r="N47" s="809"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811">
        <f>IF($L$3=$AJ$18,'Statement of Marks'!FV46,IF($L$3=$AJ$19,'Statement of Marks'!GD46,IF(AND(M47="NA",N47="NA"),"NA",IF(AND(M47="",N47=""),"",SUM(M47,N47)))))</f>
        <v>0</v>
      </c>
      <c r="P47" s="809"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812" t="str">
        <f t="shared" si="3"/>
        <v/>
      </c>
      <c r="R47" s="813">
        <f t="shared" si="8"/>
        <v>0</v>
      </c>
      <c r="S47" s="813" t="str">
        <f t="shared" si="4"/>
        <v/>
      </c>
      <c r="T47" s="813" t="str">
        <f t="shared" si="5"/>
        <v/>
      </c>
      <c r="U47" s="814" t="str">
        <f t="shared" si="6"/>
        <v/>
      </c>
      <c r="V47" s="815" t="str">
        <f t="shared" si="7"/>
        <v/>
      </c>
      <c r="W47" s="816" t="str">
        <f t="shared" si="9"/>
        <v/>
      </c>
    </row>
    <row r="48" spans="1:23">
      <c r="A48" s="803">
        <f>IF('Statement of Marks'!A47="","",'Statement of Marks'!A47)</f>
        <v>41</v>
      </c>
      <c r="B48" s="804" t="str">
        <f>IF(OR($D$3="",$L$3=""),"",IF('Statement of Marks'!B47="","",'Statement of Marks'!B47))</f>
        <v/>
      </c>
      <c r="C48" s="805" t="str">
        <f>IF(OR($D$3="",$L$3=""),"",IF('Statement of Marks'!D47="","",'Statement of Marks'!D47))</f>
        <v/>
      </c>
      <c r="D48" s="806" t="str">
        <f>IF(OR($D$3="",$L$3=""),"",IF('Statement of Marks'!E47="","",'Statement of Marks'!E47))</f>
        <v/>
      </c>
      <c r="E48" s="807" t="str">
        <f>IF(OR($D$3="",$L$3=""),"",IF('Statement of Marks'!F47="","",'Statement of Marks'!F47))</f>
        <v/>
      </c>
      <c r="F48" s="807" t="str">
        <f>IF(OR($D$3="",$L$3=""),"",IF('Statement of Marks'!G47="","",'Statement of Marks'!G47))</f>
        <v/>
      </c>
      <c r="G48" s="807" t="str">
        <f>IF(OR($D$3="",$L$3=""),"",IF('Statement of Marks'!H47="","",'Statement of Marks'!H47))</f>
        <v/>
      </c>
      <c r="H48" s="808" t="str">
        <f>IF(OR($D$3="",$L$3=""),"",IF('Statement of Marks'!I47="","",'Statement of Marks'!I47))</f>
        <v/>
      </c>
      <c r="I48" s="808" t="str">
        <f>IF(OR($D$3="",$L$3=""),"",IF('Statement of Marks'!J47="","",'Statement of Marks'!J47))</f>
        <v/>
      </c>
      <c r="J48" s="809"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809"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809"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810">
        <f t="shared" si="0"/>
        <v>0</v>
      </c>
      <c r="N48" s="809"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811">
        <f>IF($L$3=$AJ$18,'Statement of Marks'!FV47,IF($L$3=$AJ$19,'Statement of Marks'!GD47,IF(AND(M48="NA",N48="NA"),"NA",IF(AND(M48="",N48=""),"",SUM(M48,N48)))))</f>
        <v>0</v>
      </c>
      <c r="P48" s="809"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812" t="str">
        <f t="shared" si="3"/>
        <v/>
      </c>
      <c r="R48" s="813">
        <f t="shared" si="8"/>
        <v>0</v>
      </c>
      <c r="S48" s="813" t="str">
        <f t="shared" si="4"/>
        <v/>
      </c>
      <c r="T48" s="813" t="str">
        <f t="shared" si="5"/>
        <v/>
      </c>
      <c r="U48" s="814" t="str">
        <f t="shared" si="6"/>
        <v/>
      </c>
      <c r="V48" s="815" t="str">
        <f t="shared" si="7"/>
        <v/>
      </c>
      <c r="W48" s="816" t="str">
        <f t="shared" si="9"/>
        <v/>
      </c>
    </row>
    <row r="49" spans="1:23">
      <c r="A49" s="803">
        <f>IF('Statement of Marks'!A48="","",'Statement of Marks'!A48)</f>
        <v>42</v>
      </c>
      <c r="B49" s="804" t="str">
        <f>IF(OR($D$3="",$L$3=""),"",IF('Statement of Marks'!B48="","",'Statement of Marks'!B48))</f>
        <v/>
      </c>
      <c r="C49" s="805" t="str">
        <f>IF(OR($D$3="",$L$3=""),"",IF('Statement of Marks'!D48="","",'Statement of Marks'!D48))</f>
        <v/>
      </c>
      <c r="D49" s="806" t="str">
        <f>IF(OR($D$3="",$L$3=""),"",IF('Statement of Marks'!E48="","",'Statement of Marks'!E48))</f>
        <v/>
      </c>
      <c r="E49" s="807" t="str">
        <f>IF(OR($D$3="",$L$3=""),"",IF('Statement of Marks'!F48="","",'Statement of Marks'!F48))</f>
        <v/>
      </c>
      <c r="F49" s="807" t="str">
        <f>IF(OR($D$3="",$L$3=""),"",IF('Statement of Marks'!G48="","",'Statement of Marks'!G48))</f>
        <v/>
      </c>
      <c r="G49" s="807" t="str">
        <f>IF(OR($D$3="",$L$3=""),"",IF('Statement of Marks'!H48="","",'Statement of Marks'!H48))</f>
        <v/>
      </c>
      <c r="H49" s="808" t="str">
        <f>IF(OR($D$3="",$L$3=""),"",IF('Statement of Marks'!I48="","",'Statement of Marks'!I48))</f>
        <v/>
      </c>
      <c r="I49" s="808" t="str">
        <f>IF(OR($D$3="",$L$3=""),"",IF('Statement of Marks'!J48="","",'Statement of Marks'!J48))</f>
        <v/>
      </c>
      <c r="J49" s="809"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809"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809"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810">
        <f t="shared" si="0"/>
        <v>0</v>
      </c>
      <c r="N49" s="809"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811">
        <f>IF($L$3=$AJ$18,'Statement of Marks'!FV48,IF($L$3=$AJ$19,'Statement of Marks'!GD48,IF(AND(M49="NA",N49="NA"),"NA",IF(AND(M49="",N49=""),"",SUM(M49,N49)))))</f>
        <v>0</v>
      </c>
      <c r="P49" s="809"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812" t="str">
        <f t="shared" si="3"/>
        <v/>
      </c>
      <c r="R49" s="813">
        <f t="shared" si="8"/>
        <v>0</v>
      </c>
      <c r="S49" s="813" t="str">
        <f t="shared" si="4"/>
        <v/>
      </c>
      <c r="T49" s="813" t="str">
        <f t="shared" si="5"/>
        <v/>
      </c>
      <c r="U49" s="814" t="str">
        <f t="shared" si="6"/>
        <v/>
      </c>
      <c r="V49" s="815" t="str">
        <f t="shared" si="7"/>
        <v/>
      </c>
      <c r="W49" s="816" t="str">
        <f t="shared" si="9"/>
        <v/>
      </c>
    </row>
    <row r="50" spans="1:23">
      <c r="A50" s="803">
        <f>IF('Statement of Marks'!A49="","",'Statement of Marks'!A49)</f>
        <v>43</v>
      </c>
      <c r="B50" s="804" t="str">
        <f>IF(OR($D$3="",$L$3=""),"",IF('Statement of Marks'!B49="","",'Statement of Marks'!B49))</f>
        <v/>
      </c>
      <c r="C50" s="805" t="str">
        <f>IF(OR($D$3="",$L$3=""),"",IF('Statement of Marks'!D49="","",'Statement of Marks'!D49))</f>
        <v/>
      </c>
      <c r="D50" s="806" t="str">
        <f>IF(OR($D$3="",$L$3=""),"",IF('Statement of Marks'!E49="","",'Statement of Marks'!E49))</f>
        <v/>
      </c>
      <c r="E50" s="807" t="str">
        <f>IF(OR($D$3="",$L$3=""),"",IF('Statement of Marks'!F49="","",'Statement of Marks'!F49))</f>
        <v/>
      </c>
      <c r="F50" s="807" t="str">
        <f>IF(OR($D$3="",$L$3=""),"",IF('Statement of Marks'!G49="","",'Statement of Marks'!G49))</f>
        <v/>
      </c>
      <c r="G50" s="807" t="str">
        <f>IF(OR($D$3="",$L$3=""),"",IF('Statement of Marks'!H49="","",'Statement of Marks'!H49))</f>
        <v/>
      </c>
      <c r="H50" s="808" t="str">
        <f>IF(OR($D$3="",$L$3=""),"",IF('Statement of Marks'!I49="","",'Statement of Marks'!I49))</f>
        <v/>
      </c>
      <c r="I50" s="808" t="str">
        <f>IF(OR($D$3="",$L$3=""),"",IF('Statement of Marks'!J49="","",'Statement of Marks'!J49))</f>
        <v/>
      </c>
      <c r="J50" s="809"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809"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809"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810">
        <f t="shared" si="0"/>
        <v>0</v>
      </c>
      <c r="N50" s="809"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811">
        <f>IF($L$3=$AJ$18,'Statement of Marks'!FV49,IF($L$3=$AJ$19,'Statement of Marks'!GD49,IF(AND(M50="NA",N50="NA"),"NA",IF(AND(M50="",N50=""),"",SUM(M50,N50)))))</f>
        <v>0</v>
      </c>
      <c r="P50" s="809"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812" t="str">
        <f t="shared" si="3"/>
        <v/>
      </c>
      <c r="R50" s="813">
        <f t="shared" si="8"/>
        <v>0</v>
      </c>
      <c r="S50" s="813" t="str">
        <f t="shared" si="4"/>
        <v/>
      </c>
      <c r="T50" s="813" t="str">
        <f t="shared" si="5"/>
        <v/>
      </c>
      <c r="U50" s="814" t="str">
        <f t="shared" si="6"/>
        <v/>
      </c>
      <c r="V50" s="815" t="str">
        <f t="shared" si="7"/>
        <v/>
      </c>
      <c r="W50" s="816" t="str">
        <f t="shared" si="9"/>
        <v/>
      </c>
    </row>
    <row r="51" spans="1:23">
      <c r="A51" s="803">
        <f>IF('Statement of Marks'!A50="","",'Statement of Marks'!A50)</f>
        <v>44</v>
      </c>
      <c r="B51" s="804" t="str">
        <f>IF(OR($D$3="",$L$3=""),"",IF('Statement of Marks'!B50="","",'Statement of Marks'!B50))</f>
        <v/>
      </c>
      <c r="C51" s="805" t="str">
        <f>IF(OR($D$3="",$L$3=""),"",IF('Statement of Marks'!D50="","",'Statement of Marks'!D50))</f>
        <v/>
      </c>
      <c r="D51" s="806" t="str">
        <f>IF(OR($D$3="",$L$3=""),"",IF('Statement of Marks'!E50="","",'Statement of Marks'!E50))</f>
        <v/>
      </c>
      <c r="E51" s="807" t="str">
        <f>IF(OR($D$3="",$L$3=""),"",IF('Statement of Marks'!F50="","",'Statement of Marks'!F50))</f>
        <v/>
      </c>
      <c r="F51" s="807" t="str">
        <f>IF(OR($D$3="",$L$3=""),"",IF('Statement of Marks'!G50="","",'Statement of Marks'!G50))</f>
        <v/>
      </c>
      <c r="G51" s="807" t="str">
        <f>IF(OR($D$3="",$L$3=""),"",IF('Statement of Marks'!H50="","",'Statement of Marks'!H50))</f>
        <v/>
      </c>
      <c r="H51" s="808" t="str">
        <f>IF(OR($D$3="",$L$3=""),"",IF('Statement of Marks'!I50="","",'Statement of Marks'!I50))</f>
        <v/>
      </c>
      <c r="I51" s="808" t="str">
        <f>IF(OR($D$3="",$L$3=""),"",IF('Statement of Marks'!J50="","",'Statement of Marks'!J50))</f>
        <v/>
      </c>
      <c r="J51" s="809"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809"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809"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810">
        <f t="shared" si="0"/>
        <v>0</v>
      </c>
      <c r="N51" s="809"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811">
        <f>IF($L$3=$AJ$18,'Statement of Marks'!FV50,IF($L$3=$AJ$19,'Statement of Marks'!GD50,IF(AND(M51="NA",N51="NA"),"NA",IF(AND(M51="",N51=""),"",SUM(M51,N51)))))</f>
        <v>0</v>
      </c>
      <c r="P51" s="809"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812" t="str">
        <f t="shared" si="3"/>
        <v/>
      </c>
      <c r="R51" s="813">
        <f t="shared" si="8"/>
        <v>0</v>
      </c>
      <c r="S51" s="813" t="str">
        <f t="shared" si="4"/>
        <v/>
      </c>
      <c r="T51" s="813" t="str">
        <f t="shared" si="5"/>
        <v/>
      </c>
      <c r="U51" s="814" t="str">
        <f t="shared" si="6"/>
        <v/>
      </c>
      <c r="V51" s="815" t="str">
        <f t="shared" si="7"/>
        <v/>
      </c>
      <c r="W51" s="816" t="str">
        <f t="shared" si="9"/>
        <v/>
      </c>
    </row>
    <row r="52" spans="1:23">
      <c r="A52" s="803">
        <f>IF('Statement of Marks'!A51="","",'Statement of Marks'!A51)</f>
        <v>45</v>
      </c>
      <c r="B52" s="804" t="str">
        <f>IF(OR($D$3="",$L$3=""),"",IF('Statement of Marks'!B51="","",'Statement of Marks'!B51))</f>
        <v/>
      </c>
      <c r="C52" s="805" t="str">
        <f>IF(OR($D$3="",$L$3=""),"",IF('Statement of Marks'!D51="","",'Statement of Marks'!D51))</f>
        <v/>
      </c>
      <c r="D52" s="806" t="str">
        <f>IF(OR($D$3="",$L$3=""),"",IF('Statement of Marks'!E51="","",'Statement of Marks'!E51))</f>
        <v/>
      </c>
      <c r="E52" s="807" t="str">
        <f>IF(OR($D$3="",$L$3=""),"",IF('Statement of Marks'!F51="","",'Statement of Marks'!F51))</f>
        <v/>
      </c>
      <c r="F52" s="807" t="str">
        <f>IF(OR($D$3="",$L$3=""),"",IF('Statement of Marks'!G51="","",'Statement of Marks'!G51))</f>
        <v/>
      </c>
      <c r="G52" s="807" t="str">
        <f>IF(OR($D$3="",$L$3=""),"",IF('Statement of Marks'!H51="","",'Statement of Marks'!H51))</f>
        <v/>
      </c>
      <c r="H52" s="808" t="str">
        <f>IF(OR($D$3="",$L$3=""),"",IF('Statement of Marks'!I51="","",'Statement of Marks'!I51))</f>
        <v/>
      </c>
      <c r="I52" s="808" t="str">
        <f>IF(OR($D$3="",$L$3=""),"",IF('Statement of Marks'!J51="","",'Statement of Marks'!J51))</f>
        <v/>
      </c>
      <c r="J52" s="809"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809"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809"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810">
        <f t="shared" si="0"/>
        <v>0</v>
      </c>
      <c r="N52" s="809"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811">
        <f>IF($L$3=$AJ$18,'Statement of Marks'!FV51,IF($L$3=$AJ$19,'Statement of Marks'!GD51,IF(AND(M52="NA",N52="NA"),"NA",IF(AND(M52="",N52=""),"",SUM(M52,N52)))))</f>
        <v>0</v>
      </c>
      <c r="P52" s="809"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812" t="str">
        <f t="shared" si="3"/>
        <v/>
      </c>
      <c r="R52" s="813">
        <f t="shared" si="8"/>
        <v>0</v>
      </c>
      <c r="S52" s="813" t="str">
        <f t="shared" si="4"/>
        <v/>
      </c>
      <c r="T52" s="813" t="str">
        <f t="shared" si="5"/>
        <v/>
      </c>
      <c r="U52" s="814" t="str">
        <f t="shared" si="6"/>
        <v/>
      </c>
      <c r="V52" s="815" t="str">
        <f t="shared" si="7"/>
        <v/>
      </c>
      <c r="W52" s="816" t="str">
        <f t="shared" si="9"/>
        <v/>
      </c>
    </row>
    <row r="53" spans="1:23">
      <c r="A53" s="803">
        <f>IF('Statement of Marks'!A52="","",'Statement of Marks'!A52)</f>
        <v>46</v>
      </c>
      <c r="B53" s="804" t="str">
        <f>IF(OR($D$3="",$L$3=""),"",IF('Statement of Marks'!B52="","",'Statement of Marks'!B52))</f>
        <v/>
      </c>
      <c r="C53" s="805" t="str">
        <f>IF(OR($D$3="",$L$3=""),"",IF('Statement of Marks'!D52="","",'Statement of Marks'!D52))</f>
        <v/>
      </c>
      <c r="D53" s="806" t="str">
        <f>IF(OR($D$3="",$L$3=""),"",IF('Statement of Marks'!E52="","",'Statement of Marks'!E52))</f>
        <v/>
      </c>
      <c r="E53" s="807" t="str">
        <f>IF(OR($D$3="",$L$3=""),"",IF('Statement of Marks'!F52="","",'Statement of Marks'!F52))</f>
        <v/>
      </c>
      <c r="F53" s="807" t="str">
        <f>IF(OR($D$3="",$L$3=""),"",IF('Statement of Marks'!G52="","",'Statement of Marks'!G52))</f>
        <v/>
      </c>
      <c r="G53" s="807" t="str">
        <f>IF(OR($D$3="",$L$3=""),"",IF('Statement of Marks'!H52="","",'Statement of Marks'!H52))</f>
        <v/>
      </c>
      <c r="H53" s="808" t="str">
        <f>IF(OR($D$3="",$L$3=""),"",IF('Statement of Marks'!I52="","",'Statement of Marks'!I52))</f>
        <v/>
      </c>
      <c r="I53" s="808" t="str">
        <f>IF(OR($D$3="",$L$3=""),"",IF('Statement of Marks'!J52="","",'Statement of Marks'!J52))</f>
        <v/>
      </c>
      <c r="J53" s="809"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809"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809"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810">
        <f t="shared" si="0"/>
        <v>0</v>
      </c>
      <c r="N53" s="809"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811">
        <f>IF($L$3=$AJ$18,'Statement of Marks'!FV52,IF($L$3=$AJ$19,'Statement of Marks'!GD52,IF(AND(M53="NA",N53="NA"),"NA",IF(AND(M53="",N53=""),"",SUM(M53,N53)))))</f>
        <v>0</v>
      </c>
      <c r="P53" s="809"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812" t="str">
        <f t="shared" si="3"/>
        <v/>
      </c>
      <c r="R53" s="813">
        <f t="shared" si="8"/>
        <v>0</v>
      </c>
      <c r="S53" s="813" t="str">
        <f t="shared" si="4"/>
        <v/>
      </c>
      <c r="T53" s="813" t="str">
        <f t="shared" si="5"/>
        <v/>
      </c>
      <c r="U53" s="814" t="str">
        <f t="shared" si="6"/>
        <v/>
      </c>
      <c r="V53" s="815" t="str">
        <f t="shared" si="7"/>
        <v/>
      </c>
      <c r="W53" s="816" t="str">
        <f t="shared" si="9"/>
        <v/>
      </c>
    </row>
    <row r="54" spans="1:23">
      <c r="A54" s="803">
        <f>IF('Statement of Marks'!A53="","",'Statement of Marks'!A53)</f>
        <v>47</v>
      </c>
      <c r="B54" s="804" t="str">
        <f>IF(OR($D$3="",$L$3=""),"",IF('Statement of Marks'!B53="","",'Statement of Marks'!B53))</f>
        <v/>
      </c>
      <c r="C54" s="805" t="str">
        <f>IF(OR($D$3="",$L$3=""),"",IF('Statement of Marks'!D53="","",'Statement of Marks'!D53))</f>
        <v/>
      </c>
      <c r="D54" s="806" t="str">
        <f>IF(OR($D$3="",$L$3=""),"",IF('Statement of Marks'!E53="","",'Statement of Marks'!E53))</f>
        <v/>
      </c>
      <c r="E54" s="807" t="str">
        <f>IF(OR($D$3="",$L$3=""),"",IF('Statement of Marks'!F53="","",'Statement of Marks'!F53))</f>
        <v/>
      </c>
      <c r="F54" s="807" t="str">
        <f>IF(OR($D$3="",$L$3=""),"",IF('Statement of Marks'!G53="","",'Statement of Marks'!G53))</f>
        <v/>
      </c>
      <c r="G54" s="807" t="str">
        <f>IF(OR($D$3="",$L$3=""),"",IF('Statement of Marks'!H53="","",'Statement of Marks'!H53))</f>
        <v/>
      </c>
      <c r="H54" s="808" t="str">
        <f>IF(OR($D$3="",$L$3=""),"",IF('Statement of Marks'!I53="","",'Statement of Marks'!I53))</f>
        <v/>
      </c>
      <c r="I54" s="808" t="str">
        <f>IF(OR($D$3="",$L$3=""),"",IF('Statement of Marks'!J53="","",'Statement of Marks'!J53))</f>
        <v/>
      </c>
      <c r="J54" s="809"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809"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809"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810">
        <f t="shared" si="0"/>
        <v>0</v>
      </c>
      <c r="N54" s="809"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811">
        <f>IF($L$3=$AJ$18,'Statement of Marks'!FV53,IF($L$3=$AJ$19,'Statement of Marks'!GD53,IF(AND(M54="NA",N54="NA"),"NA",IF(AND(M54="",N54=""),"",SUM(M54,N54)))))</f>
        <v>0</v>
      </c>
      <c r="P54" s="809"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812" t="str">
        <f t="shared" si="3"/>
        <v/>
      </c>
      <c r="R54" s="813">
        <f t="shared" si="8"/>
        <v>0</v>
      </c>
      <c r="S54" s="813" t="str">
        <f t="shared" si="4"/>
        <v/>
      </c>
      <c r="T54" s="813" t="str">
        <f t="shared" si="5"/>
        <v/>
      </c>
      <c r="U54" s="814" t="str">
        <f t="shared" si="6"/>
        <v/>
      </c>
      <c r="V54" s="815" t="str">
        <f t="shared" si="7"/>
        <v/>
      </c>
      <c r="W54" s="816" t="str">
        <f t="shared" si="9"/>
        <v/>
      </c>
    </row>
    <row r="55" spans="1:23">
      <c r="A55" s="803">
        <f>IF('Statement of Marks'!A54="","",'Statement of Marks'!A54)</f>
        <v>48</v>
      </c>
      <c r="B55" s="804" t="str">
        <f>IF(OR($D$3="",$L$3=""),"",IF('Statement of Marks'!B54="","",'Statement of Marks'!B54))</f>
        <v/>
      </c>
      <c r="C55" s="805" t="str">
        <f>IF(OR($D$3="",$L$3=""),"",IF('Statement of Marks'!D54="","",'Statement of Marks'!D54))</f>
        <v/>
      </c>
      <c r="D55" s="806" t="str">
        <f>IF(OR($D$3="",$L$3=""),"",IF('Statement of Marks'!E54="","",'Statement of Marks'!E54))</f>
        <v/>
      </c>
      <c r="E55" s="807" t="str">
        <f>IF(OR($D$3="",$L$3=""),"",IF('Statement of Marks'!F54="","",'Statement of Marks'!F54))</f>
        <v/>
      </c>
      <c r="F55" s="807" t="str">
        <f>IF(OR($D$3="",$L$3=""),"",IF('Statement of Marks'!G54="","",'Statement of Marks'!G54))</f>
        <v/>
      </c>
      <c r="G55" s="807" t="str">
        <f>IF(OR($D$3="",$L$3=""),"",IF('Statement of Marks'!H54="","",'Statement of Marks'!H54))</f>
        <v/>
      </c>
      <c r="H55" s="808" t="str">
        <f>IF(OR($D$3="",$L$3=""),"",IF('Statement of Marks'!I54="","",'Statement of Marks'!I54))</f>
        <v/>
      </c>
      <c r="I55" s="808" t="str">
        <f>IF(OR($D$3="",$L$3=""),"",IF('Statement of Marks'!J54="","",'Statement of Marks'!J54))</f>
        <v/>
      </c>
      <c r="J55" s="809"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809"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809"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810">
        <f t="shared" si="0"/>
        <v>0</v>
      </c>
      <c r="N55" s="809"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811">
        <f>IF($L$3=$AJ$18,'Statement of Marks'!FV54,IF($L$3=$AJ$19,'Statement of Marks'!GD54,IF(AND(M55="NA",N55="NA"),"NA",IF(AND(M55="",N55=""),"",SUM(M55,N55)))))</f>
        <v>0</v>
      </c>
      <c r="P55" s="809"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812" t="str">
        <f t="shared" si="3"/>
        <v/>
      </c>
      <c r="R55" s="813">
        <f t="shared" si="8"/>
        <v>0</v>
      </c>
      <c r="S55" s="813" t="str">
        <f t="shared" si="4"/>
        <v/>
      </c>
      <c r="T55" s="813" t="str">
        <f t="shared" si="5"/>
        <v/>
      </c>
      <c r="U55" s="814" t="str">
        <f t="shared" si="6"/>
        <v/>
      </c>
      <c r="V55" s="815" t="str">
        <f t="shared" si="7"/>
        <v/>
      </c>
      <c r="W55" s="816" t="str">
        <f t="shared" si="9"/>
        <v/>
      </c>
    </row>
    <row r="56" spans="1:23">
      <c r="A56" s="803">
        <f>IF('Statement of Marks'!A55="","",'Statement of Marks'!A55)</f>
        <v>49</v>
      </c>
      <c r="B56" s="804" t="str">
        <f>IF(OR($D$3="",$L$3=""),"",IF('Statement of Marks'!B55="","",'Statement of Marks'!B55))</f>
        <v/>
      </c>
      <c r="C56" s="805" t="str">
        <f>IF(OR($D$3="",$L$3=""),"",IF('Statement of Marks'!D55="","",'Statement of Marks'!D55))</f>
        <v/>
      </c>
      <c r="D56" s="806" t="str">
        <f>IF(OR($D$3="",$L$3=""),"",IF('Statement of Marks'!E55="","",'Statement of Marks'!E55))</f>
        <v/>
      </c>
      <c r="E56" s="807" t="str">
        <f>IF(OR($D$3="",$L$3=""),"",IF('Statement of Marks'!F55="","",'Statement of Marks'!F55))</f>
        <v/>
      </c>
      <c r="F56" s="807" t="str">
        <f>IF(OR($D$3="",$L$3=""),"",IF('Statement of Marks'!G55="","",'Statement of Marks'!G55))</f>
        <v/>
      </c>
      <c r="G56" s="807" t="str">
        <f>IF(OR($D$3="",$L$3=""),"",IF('Statement of Marks'!H55="","",'Statement of Marks'!H55))</f>
        <v/>
      </c>
      <c r="H56" s="808" t="str">
        <f>IF(OR($D$3="",$L$3=""),"",IF('Statement of Marks'!I55="","",'Statement of Marks'!I55))</f>
        <v/>
      </c>
      <c r="I56" s="808" t="str">
        <f>IF(OR($D$3="",$L$3=""),"",IF('Statement of Marks'!J55="","",'Statement of Marks'!J55))</f>
        <v/>
      </c>
      <c r="J56" s="809"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809"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809"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810">
        <f t="shared" si="0"/>
        <v>0</v>
      </c>
      <c r="N56" s="809"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811">
        <f>IF($L$3=$AJ$18,'Statement of Marks'!FV55,IF($L$3=$AJ$19,'Statement of Marks'!GD55,IF(AND(M56="NA",N56="NA"),"NA",IF(AND(M56="",N56=""),"",SUM(M56,N56)))))</f>
        <v>0</v>
      </c>
      <c r="P56" s="809"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812" t="str">
        <f t="shared" si="3"/>
        <v/>
      </c>
      <c r="R56" s="813">
        <f t="shared" si="8"/>
        <v>0</v>
      </c>
      <c r="S56" s="813" t="str">
        <f t="shared" si="4"/>
        <v/>
      </c>
      <c r="T56" s="813" t="str">
        <f t="shared" si="5"/>
        <v/>
      </c>
      <c r="U56" s="814" t="str">
        <f t="shared" si="6"/>
        <v/>
      </c>
      <c r="V56" s="815" t="str">
        <f t="shared" si="7"/>
        <v/>
      </c>
      <c r="W56" s="816" t="str">
        <f t="shared" si="9"/>
        <v/>
      </c>
    </row>
    <row r="57" spans="1:23">
      <c r="A57" s="803">
        <f>IF('Statement of Marks'!A56="","",'Statement of Marks'!A56)</f>
        <v>50</v>
      </c>
      <c r="B57" s="804" t="str">
        <f>IF(OR($D$3="",$L$3=""),"",IF('Statement of Marks'!B56="","",'Statement of Marks'!B56))</f>
        <v/>
      </c>
      <c r="C57" s="805" t="str">
        <f>IF(OR($D$3="",$L$3=""),"",IF('Statement of Marks'!D56="","",'Statement of Marks'!D56))</f>
        <v/>
      </c>
      <c r="D57" s="806" t="str">
        <f>IF(OR($D$3="",$L$3=""),"",IF('Statement of Marks'!E56="","",'Statement of Marks'!E56))</f>
        <v/>
      </c>
      <c r="E57" s="807" t="str">
        <f>IF(OR($D$3="",$L$3=""),"",IF('Statement of Marks'!F56="","",'Statement of Marks'!F56))</f>
        <v/>
      </c>
      <c r="F57" s="807" t="str">
        <f>IF(OR($D$3="",$L$3=""),"",IF('Statement of Marks'!G56="","",'Statement of Marks'!G56))</f>
        <v/>
      </c>
      <c r="G57" s="807" t="str">
        <f>IF(OR($D$3="",$L$3=""),"",IF('Statement of Marks'!H56="","",'Statement of Marks'!H56))</f>
        <v/>
      </c>
      <c r="H57" s="808" t="str">
        <f>IF(OR($D$3="",$L$3=""),"",IF('Statement of Marks'!I56="","",'Statement of Marks'!I56))</f>
        <v/>
      </c>
      <c r="I57" s="808" t="str">
        <f>IF(OR($D$3="",$L$3=""),"",IF('Statement of Marks'!J56="","",'Statement of Marks'!J56))</f>
        <v/>
      </c>
      <c r="J57" s="809"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809"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809"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810">
        <f t="shared" si="0"/>
        <v>0</v>
      </c>
      <c r="N57" s="809"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811">
        <f>IF($L$3=$AJ$18,'Statement of Marks'!FV56,IF($L$3=$AJ$19,'Statement of Marks'!GD56,IF(AND(M57="NA",N57="NA"),"NA",IF(AND(M57="",N57=""),"",SUM(M57,N57)))))</f>
        <v>0</v>
      </c>
      <c r="P57" s="809"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812" t="str">
        <f t="shared" si="3"/>
        <v/>
      </c>
      <c r="R57" s="813">
        <f t="shared" si="8"/>
        <v>0</v>
      </c>
      <c r="S57" s="813" t="str">
        <f t="shared" si="4"/>
        <v/>
      </c>
      <c r="T57" s="813" t="str">
        <f t="shared" si="5"/>
        <v/>
      </c>
      <c r="U57" s="814" t="str">
        <f t="shared" si="6"/>
        <v/>
      </c>
      <c r="V57" s="815" t="str">
        <f t="shared" si="7"/>
        <v/>
      </c>
      <c r="W57" s="816" t="str">
        <f t="shared" si="9"/>
        <v/>
      </c>
    </row>
    <row r="58" spans="1:23">
      <c r="A58" s="803">
        <f>IF('Statement of Marks'!A57="","",'Statement of Marks'!A57)</f>
        <v>51</v>
      </c>
      <c r="B58" s="804" t="str">
        <f>IF(OR($D$3="",$L$3=""),"",IF('Statement of Marks'!B57="","",'Statement of Marks'!B57))</f>
        <v/>
      </c>
      <c r="C58" s="805" t="str">
        <f>IF(OR($D$3="",$L$3=""),"",IF('Statement of Marks'!D57="","",'Statement of Marks'!D57))</f>
        <v/>
      </c>
      <c r="D58" s="806" t="str">
        <f>IF(OR($D$3="",$L$3=""),"",IF('Statement of Marks'!E57="","",'Statement of Marks'!E57))</f>
        <v/>
      </c>
      <c r="E58" s="807" t="str">
        <f>IF(OR($D$3="",$L$3=""),"",IF('Statement of Marks'!F57="","",'Statement of Marks'!F57))</f>
        <v/>
      </c>
      <c r="F58" s="807" t="str">
        <f>IF(OR($D$3="",$L$3=""),"",IF('Statement of Marks'!G57="","",'Statement of Marks'!G57))</f>
        <v/>
      </c>
      <c r="G58" s="807" t="str">
        <f>IF(OR($D$3="",$L$3=""),"",IF('Statement of Marks'!H57="","",'Statement of Marks'!H57))</f>
        <v/>
      </c>
      <c r="H58" s="808" t="str">
        <f>IF(OR($D$3="",$L$3=""),"",IF('Statement of Marks'!I57="","",'Statement of Marks'!I57))</f>
        <v/>
      </c>
      <c r="I58" s="808" t="str">
        <f>IF(OR($D$3="",$L$3=""),"",IF('Statement of Marks'!J57="","",'Statement of Marks'!J57))</f>
        <v/>
      </c>
      <c r="J58" s="809"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809"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809"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810">
        <f t="shared" si="0"/>
        <v>0</v>
      </c>
      <c r="N58" s="809"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811">
        <f>IF($L$3=$AJ$18,'Statement of Marks'!FV57,IF($L$3=$AJ$19,'Statement of Marks'!GD57,IF(AND(M58="NA",N58="NA"),"NA",IF(AND(M58="",N58=""),"",SUM(M58,N58)))))</f>
        <v>0</v>
      </c>
      <c r="P58" s="809"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812" t="str">
        <f t="shared" si="3"/>
        <v/>
      </c>
      <c r="R58" s="813">
        <f t="shared" si="8"/>
        <v>0</v>
      </c>
      <c r="S58" s="813" t="str">
        <f t="shared" si="4"/>
        <v/>
      </c>
      <c r="T58" s="813" t="str">
        <f t="shared" si="5"/>
        <v/>
      </c>
      <c r="U58" s="814" t="str">
        <f t="shared" si="6"/>
        <v/>
      </c>
      <c r="V58" s="815" t="str">
        <f t="shared" si="7"/>
        <v/>
      </c>
      <c r="W58" s="816" t="str">
        <f t="shared" si="9"/>
        <v/>
      </c>
    </row>
    <row r="59" spans="1:23">
      <c r="A59" s="803">
        <f>IF('Statement of Marks'!A58="","",'Statement of Marks'!A58)</f>
        <v>52</v>
      </c>
      <c r="B59" s="804" t="str">
        <f>IF(OR($D$3="",$L$3=""),"",IF('Statement of Marks'!B58="","",'Statement of Marks'!B58))</f>
        <v/>
      </c>
      <c r="C59" s="805" t="str">
        <f>IF(OR($D$3="",$L$3=""),"",IF('Statement of Marks'!D58="","",'Statement of Marks'!D58))</f>
        <v/>
      </c>
      <c r="D59" s="806" t="str">
        <f>IF(OR($D$3="",$L$3=""),"",IF('Statement of Marks'!E58="","",'Statement of Marks'!E58))</f>
        <v/>
      </c>
      <c r="E59" s="807" t="str">
        <f>IF(OR($D$3="",$L$3=""),"",IF('Statement of Marks'!F58="","",'Statement of Marks'!F58))</f>
        <v/>
      </c>
      <c r="F59" s="807" t="str">
        <f>IF(OR($D$3="",$L$3=""),"",IF('Statement of Marks'!G58="","",'Statement of Marks'!G58))</f>
        <v/>
      </c>
      <c r="G59" s="807" t="str">
        <f>IF(OR($D$3="",$L$3=""),"",IF('Statement of Marks'!H58="","",'Statement of Marks'!H58))</f>
        <v/>
      </c>
      <c r="H59" s="808" t="str">
        <f>IF(OR($D$3="",$L$3=""),"",IF('Statement of Marks'!I58="","",'Statement of Marks'!I58))</f>
        <v/>
      </c>
      <c r="I59" s="808" t="str">
        <f>IF(OR($D$3="",$L$3=""),"",IF('Statement of Marks'!J58="","",'Statement of Marks'!J58))</f>
        <v/>
      </c>
      <c r="J59" s="809"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809"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809"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810">
        <f t="shared" si="0"/>
        <v>0</v>
      </c>
      <c r="N59" s="809"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811">
        <f>IF($L$3=$AJ$18,'Statement of Marks'!FV58,IF($L$3=$AJ$19,'Statement of Marks'!GD58,IF(AND(M59="NA",N59="NA"),"NA",IF(AND(M59="",N59=""),"",SUM(M59,N59)))))</f>
        <v>0</v>
      </c>
      <c r="P59" s="809"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812" t="str">
        <f t="shared" si="3"/>
        <v/>
      </c>
      <c r="R59" s="813">
        <f t="shared" si="8"/>
        <v>0</v>
      </c>
      <c r="S59" s="813" t="str">
        <f t="shared" si="4"/>
        <v/>
      </c>
      <c r="T59" s="813" t="str">
        <f t="shared" si="5"/>
        <v/>
      </c>
      <c r="U59" s="814" t="str">
        <f t="shared" si="6"/>
        <v/>
      </c>
      <c r="V59" s="815" t="str">
        <f t="shared" si="7"/>
        <v/>
      </c>
      <c r="W59" s="816" t="str">
        <f t="shared" si="9"/>
        <v/>
      </c>
    </row>
    <row r="60" spans="1:23">
      <c r="A60" s="803">
        <f>IF('Statement of Marks'!A59="","",'Statement of Marks'!A59)</f>
        <v>53</v>
      </c>
      <c r="B60" s="804" t="str">
        <f>IF(OR($D$3="",$L$3=""),"",IF('Statement of Marks'!B59="","",'Statement of Marks'!B59))</f>
        <v/>
      </c>
      <c r="C60" s="805" t="str">
        <f>IF(OR($D$3="",$L$3=""),"",IF('Statement of Marks'!D59="","",'Statement of Marks'!D59))</f>
        <v/>
      </c>
      <c r="D60" s="806" t="str">
        <f>IF(OR($D$3="",$L$3=""),"",IF('Statement of Marks'!E59="","",'Statement of Marks'!E59))</f>
        <v/>
      </c>
      <c r="E60" s="807" t="str">
        <f>IF(OR($D$3="",$L$3=""),"",IF('Statement of Marks'!F59="","",'Statement of Marks'!F59))</f>
        <v/>
      </c>
      <c r="F60" s="807" t="str">
        <f>IF(OR($D$3="",$L$3=""),"",IF('Statement of Marks'!G59="","",'Statement of Marks'!G59))</f>
        <v/>
      </c>
      <c r="G60" s="807" t="str">
        <f>IF(OR($D$3="",$L$3=""),"",IF('Statement of Marks'!H59="","",'Statement of Marks'!H59))</f>
        <v/>
      </c>
      <c r="H60" s="808" t="str">
        <f>IF(OR($D$3="",$L$3=""),"",IF('Statement of Marks'!I59="","",'Statement of Marks'!I59))</f>
        <v/>
      </c>
      <c r="I60" s="808" t="str">
        <f>IF(OR($D$3="",$L$3=""),"",IF('Statement of Marks'!J59="","",'Statement of Marks'!J59))</f>
        <v/>
      </c>
      <c r="J60" s="809"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809"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809"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810">
        <f t="shared" si="0"/>
        <v>0</v>
      </c>
      <c r="N60" s="809"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811">
        <f>IF($L$3=$AJ$18,'Statement of Marks'!FV59,IF($L$3=$AJ$19,'Statement of Marks'!GD59,IF(AND(M60="NA",N60="NA"),"NA",IF(AND(M60="",N60=""),"",SUM(M60,N60)))))</f>
        <v>0</v>
      </c>
      <c r="P60" s="809"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812" t="str">
        <f t="shared" si="3"/>
        <v/>
      </c>
      <c r="R60" s="813">
        <f t="shared" si="8"/>
        <v>0</v>
      </c>
      <c r="S60" s="813" t="str">
        <f t="shared" si="4"/>
        <v/>
      </c>
      <c r="T60" s="813" t="str">
        <f t="shared" si="5"/>
        <v/>
      </c>
      <c r="U60" s="814" t="str">
        <f t="shared" si="6"/>
        <v/>
      </c>
      <c r="V60" s="815" t="str">
        <f t="shared" si="7"/>
        <v/>
      </c>
      <c r="W60" s="816" t="str">
        <f t="shared" si="9"/>
        <v/>
      </c>
    </row>
    <row r="61" spans="1:23">
      <c r="A61" s="803">
        <f>IF('Statement of Marks'!A60="","",'Statement of Marks'!A60)</f>
        <v>54</v>
      </c>
      <c r="B61" s="804" t="str">
        <f>IF(OR($D$3="",$L$3=""),"",IF('Statement of Marks'!B60="","",'Statement of Marks'!B60))</f>
        <v/>
      </c>
      <c r="C61" s="805" t="str">
        <f>IF(OR($D$3="",$L$3=""),"",IF('Statement of Marks'!D60="","",'Statement of Marks'!D60))</f>
        <v/>
      </c>
      <c r="D61" s="806" t="str">
        <f>IF(OR($D$3="",$L$3=""),"",IF('Statement of Marks'!E60="","",'Statement of Marks'!E60))</f>
        <v/>
      </c>
      <c r="E61" s="807" t="str">
        <f>IF(OR($D$3="",$L$3=""),"",IF('Statement of Marks'!F60="","",'Statement of Marks'!F60))</f>
        <v/>
      </c>
      <c r="F61" s="807" t="str">
        <f>IF(OR($D$3="",$L$3=""),"",IF('Statement of Marks'!G60="","",'Statement of Marks'!G60))</f>
        <v/>
      </c>
      <c r="G61" s="807" t="str">
        <f>IF(OR($D$3="",$L$3=""),"",IF('Statement of Marks'!H60="","",'Statement of Marks'!H60))</f>
        <v/>
      </c>
      <c r="H61" s="808" t="str">
        <f>IF(OR($D$3="",$L$3=""),"",IF('Statement of Marks'!I60="","",'Statement of Marks'!I60))</f>
        <v/>
      </c>
      <c r="I61" s="808" t="str">
        <f>IF(OR($D$3="",$L$3=""),"",IF('Statement of Marks'!J60="","",'Statement of Marks'!J60))</f>
        <v/>
      </c>
      <c r="J61" s="809"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809"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809"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810">
        <f t="shared" si="0"/>
        <v>0</v>
      </c>
      <c r="N61" s="809"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811">
        <f>IF($L$3=$AJ$18,'Statement of Marks'!FV60,IF($L$3=$AJ$19,'Statement of Marks'!GD60,IF(AND(M61="NA",N61="NA"),"NA",IF(AND(M61="",N61=""),"",SUM(M61,N61)))))</f>
        <v>0</v>
      </c>
      <c r="P61" s="809"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812" t="str">
        <f t="shared" si="3"/>
        <v/>
      </c>
      <c r="R61" s="813">
        <f t="shared" si="8"/>
        <v>0</v>
      </c>
      <c r="S61" s="813" t="str">
        <f t="shared" si="4"/>
        <v/>
      </c>
      <c r="T61" s="813" t="str">
        <f t="shared" si="5"/>
        <v/>
      </c>
      <c r="U61" s="814" t="str">
        <f t="shared" si="6"/>
        <v/>
      </c>
      <c r="V61" s="815" t="str">
        <f t="shared" si="7"/>
        <v/>
      </c>
      <c r="W61" s="816" t="str">
        <f t="shared" si="9"/>
        <v/>
      </c>
    </row>
    <row r="62" spans="1:23">
      <c r="A62" s="803">
        <f>IF('Statement of Marks'!A61="","",'Statement of Marks'!A61)</f>
        <v>55</v>
      </c>
      <c r="B62" s="804" t="str">
        <f>IF(OR($D$3="",$L$3=""),"",IF('Statement of Marks'!B61="","",'Statement of Marks'!B61))</f>
        <v/>
      </c>
      <c r="C62" s="805" t="str">
        <f>IF(OR($D$3="",$L$3=""),"",IF('Statement of Marks'!D61="","",'Statement of Marks'!D61))</f>
        <v/>
      </c>
      <c r="D62" s="806" t="str">
        <f>IF(OR($D$3="",$L$3=""),"",IF('Statement of Marks'!E61="","",'Statement of Marks'!E61))</f>
        <v/>
      </c>
      <c r="E62" s="807" t="str">
        <f>IF(OR($D$3="",$L$3=""),"",IF('Statement of Marks'!F61="","",'Statement of Marks'!F61))</f>
        <v/>
      </c>
      <c r="F62" s="807" t="str">
        <f>IF(OR($D$3="",$L$3=""),"",IF('Statement of Marks'!G61="","",'Statement of Marks'!G61))</f>
        <v/>
      </c>
      <c r="G62" s="807" t="str">
        <f>IF(OR($D$3="",$L$3=""),"",IF('Statement of Marks'!H61="","",'Statement of Marks'!H61))</f>
        <v/>
      </c>
      <c r="H62" s="808" t="str">
        <f>IF(OR($D$3="",$L$3=""),"",IF('Statement of Marks'!I61="","",'Statement of Marks'!I61))</f>
        <v/>
      </c>
      <c r="I62" s="808" t="str">
        <f>IF(OR($D$3="",$L$3=""),"",IF('Statement of Marks'!J61="","",'Statement of Marks'!J61))</f>
        <v/>
      </c>
      <c r="J62" s="809"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809"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809"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810">
        <f t="shared" si="0"/>
        <v>0</v>
      </c>
      <c r="N62" s="809"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811">
        <f>IF($L$3=$AJ$18,'Statement of Marks'!FV61,IF($L$3=$AJ$19,'Statement of Marks'!GD61,IF(AND(M62="NA",N62="NA"),"NA",IF(AND(M62="",N62=""),"",SUM(M62,N62)))))</f>
        <v>0</v>
      </c>
      <c r="P62" s="809"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812" t="str">
        <f t="shared" si="3"/>
        <v/>
      </c>
      <c r="R62" s="813">
        <f t="shared" si="8"/>
        <v>0</v>
      </c>
      <c r="S62" s="813" t="str">
        <f t="shared" si="4"/>
        <v/>
      </c>
      <c r="T62" s="813" t="str">
        <f t="shared" si="5"/>
        <v/>
      </c>
      <c r="U62" s="814" t="str">
        <f t="shared" si="6"/>
        <v/>
      </c>
      <c r="V62" s="815" t="str">
        <f t="shared" si="7"/>
        <v/>
      </c>
      <c r="W62" s="816" t="str">
        <f t="shared" si="9"/>
        <v/>
      </c>
    </row>
    <row r="63" spans="1:23">
      <c r="A63" s="803">
        <f>IF('Statement of Marks'!A62="","",'Statement of Marks'!A62)</f>
        <v>56</v>
      </c>
      <c r="B63" s="804" t="str">
        <f>IF(OR($D$3="",$L$3=""),"",IF('Statement of Marks'!B62="","",'Statement of Marks'!B62))</f>
        <v/>
      </c>
      <c r="C63" s="805" t="str">
        <f>IF(OR($D$3="",$L$3=""),"",IF('Statement of Marks'!D62="","",'Statement of Marks'!D62))</f>
        <v/>
      </c>
      <c r="D63" s="806" t="str">
        <f>IF(OR($D$3="",$L$3=""),"",IF('Statement of Marks'!E62="","",'Statement of Marks'!E62))</f>
        <v/>
      </c>
      <c r="E63" s="807" t="str">
        <f>IF(OR($D$3="",$L$3=""),"",IF('Statement of Marks'!F62="","",'Statement of Marks'!F62))</f>
        <v/>
      </c>
      <c r="F63" s="807" t="str">
        <f>IF(OR($D$3="",$L$3=""),"",IF('Statement of Marks'!G62="","",'Statement of Marks'!G62))</f>
        <v/>
      </c>
      <c r="G63" s="807" t="str">
        <f>IF(OR($D$3="",$L$3=""),"",IF('Statement of Marks'!H62="","",'Statement of Marks'!H62))</f>
        <v/>
      </c>
      <c r="H63" s="808" t="str">
        <f>IF(OR($D$3="",$L$3=""),"",IF('Statement of Marks'!I62="","",'Statement of Marks'!I62))</f>
        <v/>
      </c>
      <c r="I63" s="808" t="str">
        <f>IF(OR($D$3="",$L$3=""),"",IF('Statement of Marks'!J62="","",'Statement of Marks'!J62))</f>
        <v/>
      </c>
      <c r="J63" s="809"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809"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809"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810">
        <f t="shared" si="0"/>
        <v>0</v>
      </c>
      <c r="N63" s="809"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811">
        <f>IF($L$3=$AJ$18,'Statement of Marks'!FV62,IF($L$3=$AJ$19,'Statement of Marks'!GD62,IF(AND(M63="NA",N63="NA"),"NA",IF(AND(M63="",N63=""),"",SUM(M63,N63)))))</f>
        <v>0</v>
      </c>
      <c r="P63" s="809"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812" t="str">
        <f t="shared" si="3"/>
        <v/>
      </c>
      <c r="R63" s="813">
        <f t="shared" si="8"/>
        <v>0</v>
      </c>
      <c r="S63" s="813" t="str">
        <f t="shared" si="4"/>
        <v/>
      </c>
      <c r="T63" s="813" t="str">
        <f t="shared" si="5"/>
        <v/>
      </c>
      <c r="U63" s="814" t="str">
        <f t="shared" si="6"/>
        <v/>
      </c>
      <c r="V63" s="815" t="str">
        <f t="shared" si="7"/>
        <v/>
      </c>
      <c r="W63" s="816" t="str">
        <f t="shared" si="9"/>
        <v/>
      </c>
    </row>
    <row r="64" spans="1:23">
      <c r="A64" s="803">
        <f>IF('Statement of Marks'!A63="","",'Statement of Marks'!A63)</f>
        <v>57</v>
      </c>
      <c r="B64" s="804" t="str">
        <f>IF(OR($D$3="",$L$3=""),"",IF('Statement of Marks'!B63="","",'Statement of Marks'!B63))</f>
        <v/>
      </c>
      <c r="C64" s="805" t="str">
        <f>IF(OR($D$3="",$L$3=""),"",IF('Statement of Marks'!D63="","",'Statement of Marks'!D63))</f>
        <v/>
      </c>
      <c r="D64" s="806" t="str">
        <f>IF(OR($D$3="",$L$3=""),"",IF('Statement of Marks'!E63="","",'Statement of Marks'!E63))</f>
        <v/>
      </c>
      <c r="E64" s="807" t="str">
        <f>IF(OR($D$3="",$L$3=""),"",IF('Statement of Marks'!F63="","",'Statement of Marks'!F63))</f>
        <v/>
      </c>
      <c r="F64" s="807" t="str">
        <f>IF(OR($D$3="",$L$3=""),"",IF('Statement of Marks'!G63="","",'Statement of Marks'!G63))</f>
        <v/>
      </c>
      <c r="G64" s="807" t="str">
        <f>IF(OR($D$3="",$L$3=""),"",IF('Statement of Marks'!H63="","",'Statement of Marks'!H63))</f>
        <v/>
      </c>
      <c r="H64" s="808" t="str">
        <f>IF(OR($D$3="",$L$3=""),"",IF('Statement of Marks'!I63="","",'Statement of Marks'!I63))</f>
        <v/>
      </c>
      <c r="I64" s="808" t="str">
        <f>IF(OR($D$3="",$L$3=""),"",IF('Statement of Marks'!J63="","",'Statement of Marks'!J63))</f>
        <v/>
      </c>
      <c r="J64" s="809"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809"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809"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810">
        <f t="shared" si="0"/>
        <v>0</v>
      </c>
      <c r="N64" s="809"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811">
        <f>IF($L$3=$AJ$18,'Statement of Marks'!FV63,IF($L$3=$AJ$19,'Statement of Marks'!GD63,IF(AND(M64="NA",N64="NA"),"NA",IF(AND(M64="",N64=""),"",SUM(M64,N64)))))</f>
        <v>0</v>
      </c>
      <c r="P64" s="809"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812" t="str">
        <f t="shared" si="3"/>
        <v/>
      </c>
      <c r="R64" s="813">
        <f t="shared" si="8"/>
        <v>0</v>
      </c>
      <c r="S64" s="813" t="str">
        <f t="shared" si="4"/>
        <v/>
      </c>
      <c r="T64" s="813" t="str">
        <f t="shared" si="5"/>
        <v/>
      </c>
      <c r="U64" s="814" t="str">
        <f t="shared" si="6"/>
        <v/>
      </c>
      <c r="V64" s="815" t="str">
        <f t="shared" si="7"/>
        <v/>
      </c>
      <c r="W64" s="816" t="str">
        <f t="shared" si="9"/>
        <v/>
      </c>
    </row>
    <row r="65" spans="1:23">
      <c r="A65" s="803">
        <f>IF('Statement of Marks'!A64="","",'Statement of Marks'!A64)</f>
        <v>58</v>
      </c>
      <c r="B65" s="804" t="str">
        <f>IF(OR($D$3="",$L$3=""),"",IF('Statement of Marks'!B64="","",'Statement of Marks'!B64))</f>
        <v/>
      </c>
      <c r="C65" s="805" t="str">
        <f>IF(OR($D$3="",$L$3=""),"",IF('Statement of Marks'!D64="","",'Statement of Marks'!D64))</f>
        <v/>
      </c>
      <c r="D65" s="806" t="str">
        <f>IF(OR($D$3="",$L$3=""),"",IF('Statement of Marks'!E64="","",'Statement of Marks'!E64))</f>
        <v/>
      </c>
      <c r="E65" s="807" t="str">
        <f>IF(OR($D$3="",$L$3=""),"",IF('Statement of Marks'!F64="","",'Statement of Marks'!F64))</f>
        <v/>
      </c>
      <c r="F65" s="807" t="str">
        <f>IF(OR($D$3="",$L$3=""),"",IF('Statement of Marks'!G64="","",'Statement of Marks'!G64))</f>
        <v/>
      </c>
      <c r="G65" s="807" t="str">
        <f>IF(OR($D$3="",$L$3=""),"",IF('Statement of Marks'!H64="","",'Statement of Marks'!H64))</f>
        <v/>
      </c>
      <c r="H65" s="808" t="str">
        <f>IF(OR($D$3="",$L$3=""),"",IF('Statement of Marks'!I64="","",'Statement of Marks'!I64))</f>
        <v/>
      </c>
      <c r="I65" s="808" t="str">
        <f>IF(OR($D$3="",$L$3=""),"",IF('Statement of Marks'!J64="","",'Statement of Marks'!J64))</f>
        <v/>
      </c>
      <c r="J65" s="809"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809"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809"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810">
        <f t="shared" si="0"/>
        <v>0</v>
      </c>
      <c r="N65" s="809"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811">
        <f>IF($L$3=$AJ$18,'Statement of Marks'!FV64,IF($L$3=$AJ$19,'Statement of Marks'!GD64,IF(AND(M65="NA",N65="NA"),"NA",IF(AND(M65="",N65=""),"",SUM(M65,N65)))))</f>
        <v>0</v>
      </c>
      <c r="P65" s="809"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812" t="str">
        <f t="shared" si="3"/>
        <v/>
      </c>
      <c r="R65" s="813">
        <f t="shared" si="8"/>
        <v>0</v>
      </c>
      <c r="S65" s="813" t="str">
        <f t="shared" si="4"/>
        <v/>
      </c>
      <c r="T65" s="813" t="str">
        <f t="shared" si="5"/>
        <v/>
      </c>
      <c r="U65" s="814" t="str">
        <f t="shared" si="6"/>
        <v/>
      </c>
      <c r="V65" s="815" t="str">
        <f t="shared" si="7"/>
        <v/>
      </c>
      <c r="W65" s="816" t="str">
        <f t="shared" si="9"/>
        <v/>
      </c>
    </row>
    <row r="66" spans="1:23">
      <c r="A66" s="803">
        <f>IF('Statement of Marks'!A65="","",'Statement of Marks'!A65)</f>
        <v>59</v>
      </c>
      <c r="B66" s="804" t="str">
        <f>IF(OR($D$3="",$L$3=""),"",IF('Statement of Marks'!B65="","",'Statement of Marks'!B65))</f>
        <v/>
      </c>
      <c r="C66" s="805" t="str">
        <f>IF(OR($D$3="",$L$3=""),"",IF('Statement of Marks'!D65="","",'Statement of Marks'!D65))</f>
        <v/>
      </c>
      <c r="D66" s="806" t="str">
        <f>IF(OR($D$3="",$L$3=""),"",IF('Statement of Marks'!E65="","",'Statement of Marks'!E65))</f>
        <v/>
      </c>
      <c r="E66" s="807" t="str">
        <f>IF(OR($D$3="",$L$3=""),"",IF('Statement of Marks'!F65="","",'Statement of Marks'!F65))</f>
        <v/>
      </c>
      <c r="F66" s="807" t="str">
        <f>IF(OR($D$3="",$L$3=""),"",IF('Statement of Marks'!G65="","",'Statement of Marks'!G65))</f>
        <v/>
      </c>
      <c r="G66" s="807" t="str">
        <f>IF(OR($D$3="",$L$3=""),"",IF('Statement of Marks'!H65="","",'Statement of Marks'!H65))</f>
        <v/>
      </c>
      <c r="H66" s="808" t="str">
        <f>IF(OR($D$3="",$L$3=""),"",IF('Statement of Marks'!I65="","",'Statement of Marks'!I65))</f>
        <v/>
      </c>
      <c r="I66" s="808" t="str">
        <f>IF(OR($D$3="",$L$3=""),"",IF('Statement of Marks'!J65="","",'Statement of Marks'!J65))</f>
        <v/>
      </c>
      <c r="J66" s="809"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809"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809"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810">
        <f t="shared" si="0"/>
        <v>0</v>
      </c>
      <c r="N66" s="809"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811">
        <f>IF($L$3=$AJ$18,'Statement of Marks'!FV65,IF($L$3=$AJ$19,'Statement of Marks'!GD65,IF(AND(M66="NA",N66="NA"),"NA",IF(AND(M66="",N66=""),"",SUM(M66,N66)))))</f>
        <v>0</v>
      </c>
      <c r="P66" s="809"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812" t="str">
        <f t="shared" si="3"/>
        <v/>
      </c>
      <c r="R66" s="813">
        <f t="shared" si="8"/>
        <v>0</v>
      </c>
      <c r="S66" s="813" t="str">
        <f t="shared" si="4"/>
        <v/>
      </c>
      <c r="T66" s="813" t="str">
        <f t="shared" si="5"/>
        <v/>
      </c>
      <c r="U66" s="814" t="str">
        <f t="shared" si="6"/>
        <v/>
      </c>
      <c r="V66" s="815" t="str">
        <f t="shared" si="7"/>
        <v/>
      </c>
      <c r="W66" s="816" t="str">
        <f t="shared" si="9"/>
        <v/>
      </c>
    </row>
    <row r="67" spans="1:23">
      <c r="A67" s="803">
        <f>IF('Statement of Marks'!A66="","",'Statement of Marks'!A66)</f>
        <v>60</v>
      </c>
      <c r="B67" s="804" t="str">
        <f>IF(OR($D$3="",$L$3=""),"",IF('Statement of Marks'!B66="","",'Statement of Marks'!B66))</f>
        <v/>
      </c>
      <c r="C67" s="805" t="str">
        <f>IF(OR($D$3="",$L$3=""),"",IF('Statement of Marks'!D66="","",'Statement of Marks'!D66))</f>
        <v/>
      </c>
      <c r="D67" s="806" t="str">
        <f>IF(OR($D$3="",$L$3=""),"",IF('Statement of Marks'!E66="","",'Statement of Marks'!E66))</f>
        <v/>
      </c>
      <c r="E67" s="807" t="str">
        <f>IF(OR($D$3="",$L$3=""),"",IF('Statement of Marks'!F66="","",'Statement of Marks'!F66))</f>
        <v/>
      </c>
      <c r="F67" s="807" t="str">
        <f>IF(OR($D$3="",$L$3=""),"",IF('Statement of Marks'!G66="","",'Statement of Marks'!G66))</f>
        <v/>
      </c>
      <c r="G67" s="807" t="str">
        <f>IF(OR($D$3="",$L$3=""),"",IF('Statement of Marks'!H66="","",'Statement of Marks'!H66))</f>
        <v/>
      </c>
      <c r="H67" s="808" t="str">
        <f>IF(OR($D$3="",$L$3=""),"",IF('Statement of Marks'!I66="","",'Statement of Marks'!I66))</f>
        <v/>
      </c>
      <c r="I67" s="808" t="str">
        <f>IF(OR($D$3="",$L$3=""),"",IF('Statement of Marks'!J66="","",'Statement of Marks'!J66))</f>
        <v/>
      </c>
      <c r="J67" s="809"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809"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809"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810">
        <f t="shared" si="0"/>
        <v>0</v>
      </c>
      <c r="N67" s="809"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811">
        <f>IF($L$3=$AJ$18,'Statement of Marks'!FV66,IF($L$3=$AJ$19,'Statement of Marks'!GD66,IF(AND(M67="NA",N67="NA"),"NA",IF(AND(M67="",N67=""),"",SUM(M67,N67)))))</f>
        <v>0</v>
      </c>
      <c r="P67" s="809"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812" t="str">
        <f t="shared" si="3"/>
        <v/>
      </c>
      <c r="R67" s="813">
        <f t="shared" si="8"/>
        <v>0</v>
      </c>
      <c r="S67" s="813" t="str">
        <f t="shared" si="4"/>
        <v/>
      </c>
      <c r="T67" s="813" t="str">
        <f t="shared" si="5"/>
        <v/>
      </c>
      <c r="U67" s="814" t="str">
        <f t="shared" si="6"/>
        <v/>
      </c>
      <c r="V67" s="815" t="str">
        <f t="shared" si="7"/>
        <v/>
      </c>
      <c r="W67" s="816" t="str">
        <f t="shared" si="9"/>
        <v/>
      </c>
    </row>
    <row r="68" spans="1:23">
      <c r="A68" s="803">
        <f>IF('Statement of Marks'!A67="","",'Statement of Marks'!A67)</f>
        <v>61</v>
      </c>
      <c r="B68" s="804" t="str">
        <f>IF(OR($D$3="",$L$3=""),"",IF('Statement of Marks'!B67="","",'Statement of Marks'!B67))</f>
        <v/>
      </c>
      <c r="C68" s="805" t="str">
        <f>IF(OR($D$3="",$L$3=""),"",IF('Statement of Marks'!D67="","",'Statement of Marks'!D67))</f>
        <v/>
      </c>
      <c r="D68" s="806" t="str">
        <f>IF(OR($D$3="",$L$3=""),"",IF('Statement of Marks'!E67="","",'Statement of Marks'!E67))</f>
        <v/>
      </c>
      <c r="E68" s="807" t="str">
        <f>IF(OR($D$3="",$L$3=""),"",IF('Statement of Marks'!F67="","",'Statement of Marks'!F67))</f>
        <v/>
      </c>
      <c r="F68" s="807" t="str">
        <f>IF(OR($D$3="",$L$3=""),"",IF('Statement of Marks'!G67="","",'Statement of Marks'!G67))</f>
        <v/>
      </c>
      <c r="G68" s="807" t="str">
        <f>IF(OR($D$3="",$L$3=""),"",IF('Statement of Marks'!H67="","",'Statement of Marks'!H67))</f>
        <v/>
      </c>
      <c r="H68" s="808" t="str">
        <f>IF(OR($D$3="",$L$3=""),"",IF('Statement of Marks'!I67="","",'Statement of Marks'!I67))</f>
        <v/>
      </c>
      <c r="I68" s="808" t="str">
        <f>IF(OR($D$3="",$L$3=""),"",IF('Statement of Marks'!J67="","",'Statement of Marks'!J67))</f>
        <v/>
      </c>
      <c r="J68" s="809"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809"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809"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810">
        <f t="shared" si="0"/>
        <v>0</v>
      </c>
      <c r="N68" s="809"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811">
        <f>IF($L$3=$AJ$18,'Statement of Marks'!FV67,IF($L$3=$AJ$19,'Statement of Marks'!GD67,IF(AND(M68="NA",N68="NA"),"NA",IF(AND(M68="",N68=""),"",SUM(M68,N68)))))</f>
        <v>0</v>
      </c>
      <c r="P68" s="809"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812" t="str">
        <f t="shared" si="3"/>
        <v/>
      </c>
      <c r="R68" s="813">
        <f t="shared" si="8"/>
        <v>0</v>
      </c>
      <c r="S68" s="813" t="str">
        <f t="shared" si="4"/>
        <v/>
      </c>
      <c r="T68" s="813" t="str">
        <f t="shared" si="5"/>
        <v/>
      </c>
      <c r="U68" s="814" t="str">
        <f t="shared" si="6"/>
        <v/>
      </c>
      <c r="V68" s="815" t="str">
        <f t="shared" si="7"/>
        <v/>
      </c>
      <c r="W68" s="816" t="str">
        <f t="shared" si="9"/>
        <v/>
      </c>
    </row>
    <row r="69" spans="1:23">
      <c r="A69" s="803">
        <f>IF('Statement of Marks'!A68="","",'Statement of Marks'!A68)</f>
        <v>62</v>
      </c>
      <c r="B69" s="804" t="str">
        <f>IF(OR($D$3="",$L$3=""),"",IF('Statement of Marks'!B68="","",'Statement of Marks'!B68))</f>
        <v/>
      </c>
      <c r="C69" s="805" t="str">
        <f>IF(OR($D$3="",$L$3=""),"",IF('Statement of Marks'!D68="","",'Statement of Marks'!D68))</f>
        <v/>
      </c>
      <c r="D69" s="806" t="str">
        <f>IF(OR($D$3="",$L$3=""),"",IF('Statement of Marks'!E68="","",'Statement of Marks'!E68))</f>
        <v/>
      </c>
      <c r="E69" s="807" t="str">
        <f>IF(OR($D$3="",$L$3=""),"",IF('Statement of Marks'!F68="","",'Statement of Marks'!F68))</f>
        <v/>
      </c>
      <c r="F69" s="807" t="str">
        <f>IF(OR($D$3="",$L$3=""),"",IF('Statement of Marks'!G68="","",'Statement of Marks'!G68))</f>
        <v/>
      </c>
      <c r="G69" s="807" t="str">
        <f>IF(OR($D$3="",$L$3=""),"",IF('Statement of Marks'!H68="","",'Statement of Marks'!H68))</f>
        <v/>
      </c>
      <c r="H69" s="808" t="str">
        <f>IF(OR($D$3="",$L$3=""),"",IF('Statement of Marks'!I68="","",'Statement of Marks'!I68))</f>
        <v/>
      </c>
      <c r="I69" s="808" t="str">
        <f>IF(OR($D$3="",$L$3=""),"",IF('Statement of Marks'!J68="","",'Statement of Marks'!J68))</f>
        <v/>
      </c>
      <c r="J69" s="809"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809"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809"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810">
        <f t="shared" si="0"/>
        <v>0</v>
      </c>
      <c r="N69" s="809"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811">
        <f>IF($L$3=$AJ$18,'Statement of Marks'!FV68,IF($L$3=$AJ$19,'Statement of Marks'!GD68,IF(AND(M69="NA",N69="NA"),"NA",IF(AND(M69="",N69=""),"",SUM(M69,N69)))))</f>
        <v>0</v>
      </c>
      <c r="P69" s="809"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812" t="str">
        <f t="shared" si="3"/>
        <v/>
      </c>
      <c r="R69" s="813">
        <f t="shared" si="8"/>
        <v>0</v>
      </c>
      <c r="S69" s="813" t="str">
        <f t="shared" si="4"/>
        <v/>
      </c>
      <c r="T69" s="813" t="str">
        <f t="shared" si="5"/>
        <v/>
      </c>
      <c r="U69" s="814" t="str">
        <f t="shared" si="6"/>
        <v/>
      </c>
      <c r="V69" s="815" t="str">
        <f t="shared" si="7"/>
        <v/>
      </c>
      <c r="W69" s="816" t="str">
        <f t="shared" si="9"/>
        <v/>
      </c>
    </row>
    <row r="70" spans="1:23">
      <c r="A70" s="803">
        <f>IF('Statement of Marks'!A69="","",'Statement of Marks'!A69)</f>
        <v>63</v>
      </c>
      <c r="B70" s="804" t="str">
        <f>IF(OR($D$3="",$L$3=""),"",IF('Statement of Marks'!B69="","",'Statement of Marks'!B69))</f>
        <v/>
      </c>
      <c r="C70" s="805" t="str">
        <f>IF(OR($D$3="",$L$3=""),"",IF('Statement of Marks'!D69="","",'Statement of Marks'!D69))</f>
        <v/>
      </c>
      <c r="D70" s="806" t="str">
        <f>IF(OR($D$3="",$L$3=""),"",IF('Statement of Marks'!E69="","",'Statement of Marks'!E69))</f>
        <v/>
      </c>
      <c r="E70" s="807" t="str">
        <f>IF(OR($D$3="",$L$3=""),"",IF('Statement of Marks'!F69="","",'Statement of Marks'!F69))</f>
        <v/>
      </c>
      <c r="F70" s="807" t="str">
        <f>IF(OR($D$3="",$L$3=""),"",IF('Statement of Marks'!G69="","",'Statement of Marks'!G69))</f>
        <v/>
      </c>
      <c r="G70" s="807" t="str">
        <f>IF(OR($D$3="",$L$3=""),"",IF('Statement of Marks'!H69="","",'Statement of Marks'!H69))</f>
        <v/>
      </c>
      <c r="H70" s="808" t="str">
        <f>IF(OR($D$3="",$L$3=""),"",IF('Statement of Marks'!I69="","",'Statement of Marks'!I69))</f>
        <v/>
      </c>
      <c r="I70" s="808" t="str">
        <f>IF(OR($D$3="",$L$3=""),"",IF('Statement of Marks'!J69="","",'Statement of Marks'!J69))</f>
        <v/>
      </c>
      <c r="J70" s="809"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809"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809"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810">
        <f t="shared" si="0"/>
        <v>0</v>
      </c>
      <c r="N70" s="809"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811">
        <f>IF($L$3=$AJ$18,'Statement of Marks'!FV69,IF($L$3=$AJ$19,'Statement of Marks'!GD69,IF(AND(M70="NA",N70="NA"),"NA",IF(AND(M70="",N70=""),"",SUM(M70,N70)))))</f>
        <v>0</v>
      </c>
      <c r="P70" s="809"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812" t="str">
        <f t="shared" si="3"/>
        <v/>
      </c>
      <c r="R70" s="813">
        <f t="shared" si="8"/>
        <v>0</v>
      </c>
      <c r="S70" s="813" t="str">
        <f t="shared" si="4"/>
        <v/>
      </c>
      <c r="T70" s="813" t="str">
        <f t="shared" si="5"/>
        <v/>
      </c>
      <c r="U70" s="814" t="str">
        <f t="shared" si="6"/>
        <v/>
      </c>
      <c r="V70" s="815" t="str">
        <f t="shared" si="7"/>
        <v/>
      </c>
      <c r="W70" s="816" t="str">
        <f t="shared" si="9"/>
        <v/>
      </c>
    </row>
    <row r="71" spans="1:23">
      <c r="A71" s="803">
        <f>IF('Statement of Marks'!A70="","",'Statement of Marks'!A70)</f>
        <v>64</v>
      </c>
      <c r="B71" s="804" t="str">
        <f>IF(OR($D$3="",$L$3=""),"",IF('Statement of Marks'!B70="","",'Statement of Marks'!B70))</f>
        <v/>
      </c>
      <c r="C71" s="805" t="str">
        <f>IF(OR($D$3="",$L$3=""),"",IF('Statement of Marks'!D70="","",'Statement of Marks'!D70))</f>
        <v/>
      </c>
      <c r="D71" s="806" t="str">
        <f>IF(OR($D$3="",$L$3=""),"",IF('Statement of Marks'!E70="","",'Statement of Marks'!E70))</f>
        <v/>
      </c>
      <c r="E71" s="807" t="str">
        <f>IF(OR($D$3="",$L$3=""),"",IF('Statement of Marks'!F70="","",'Statement of Marks'!F70))</f>
        <v/>
      </c>
      <c r="F71" s="807" t="str">
        <f>IF(OR($D$3="",$L$3=""),"",IF('Statement of Marks'!G70="","",'Statement of Marks'!G70))</f>
        <v/>
      </c>
      <c r="G71" s="807" t="str">
        <f>IF(OR($D$3="",$L$3=""),"",IF('Statement of Marks'!H70="","",'Statement of Marks'!H70))</f>
        <v/>
      </c>
      <c r="H71" s="808" t="str">
        <f>IF(OR($D$3="",$L$3=""),"",IF('Statement of Marks'!I70="","",'Statement of Marks'!I70))</f>
        <v/>
      </c>
      <c r="I71" s="808" t="str">
        <f>IF(OR($D$3="",$L$3=""),"",IF('Statement of Marks'!J70="","",'Statement of Marks'!J70))</f>
        <v/>
      </c>
      <c r="J71" s="809"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809"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809"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810">
        <f t="shared" ref="M71:M134" si="10">IF(AND(J71="",K71="",L71="",$L$3=""),"",IF(OR($L$3=$AJ$18,$L$3=$AJ$19),"",SUM(J71:L71)))</f>
        <v>0</v>
      </c>
      <c r="N71" s="809"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811">
        <f>IF($L$3=$AJ$18,'Statement of Marks'!FV70,IF($L$3=$AJ$19,'Statement of Marks'!GD70,IF(AND(M71="NA",N71="NA"),"NA",IF(AND(M71="",N71=""),"",SUM(M71,N71)))))</f>
        <v>0</v>
      </c>
      <c r="P71" s="809"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812" t="str">
        <f t="shared" si="3"/>
        <v/>
      </c>
      <c r="R71" s="813">
        <f t="shared" si="8"/>
        <v>0</v>
      </c>
      <c r="S71" s="813" t="str">
        <f t="shared" si="4"/>
        <v/>
      </c>
      <c r="T71" s="813" t="str">
        <f t="shared" si="5"/>
        <v/>
      </c>
      <c r="U71" s="814" t="str">
        <f t="shared" si="6"/>
        <v/>
      </c>
      <c r="V71" s="815" t="str">
        <f t="shared" si="7"/>
        <v/>
      </c>
      <c r="W71" s="816" t="str">
        <f t="shared" si="9"/>
        <v/>
      </c>
    </row>
    <row r="72" spans="1:23">
      <c r="A72" s="803">
        <f>IF('Statement of Marks'!A71="","",'Statement of Marks'!A71)</f>
        <v>65</v>
      </c>
      <c r="B72" s="804" t="str">
        <f>IF(OR($D$3="",$L$3=""),"",IF('Statement of Marks'!B71="","",'Statement of Marks'!B71))</f>
        <v/>
      </c>
      <c r="C72" s="805" t="str">
        <f>IF(OR($D$3="",$L$3=""),"",IF('Statement of Marks'!D71="","",'Statement of Marks'!D71))</f>
        <v/>
      </c>
      <c r="D72" s="806" t="str">
        <f>IF(OR($D$3="",$L$3=""),"",IF('Statement of Marks'!E71="","",'Statement of Marks'!E71))</f>
        <v/>
      </c>
      <c r="E72" s="807" t="str">
        <f>IF(OR($D$3="",$L$3=""),"",IF('Statement of Marks'!F71="","",'Statement of Marks'!F71))</f>
        <v/>
      </c>
      <c r="F72" s="807" t="str">
        <f>IF(OR($D$3="",$L$3=""),"",IF('Statement of Marks'!G71="","",'Statement of Marks'!G71))</f>
        <v/>
      </c>
      <c r="G72" s="807" t="str">
        <f>IF(OR($D$3="",$L$3=""),"",IF('Statement of Marks'!H71="","",'Statement of Marks'!H71))</f>
        <v/>
      </c>
      <c r="H72" s="808" t="str">
        <f>IF(OR($D$3="",$L$3=""),"",IF('Statement of Marks'!I71="","",'Statement of Marks'!I71))</f>
        <v/>
      </c>
      <c r="I72" s="808" t="str">
        <f>IF(OR($D$3="",$L$3=""),"",IF('Statement of Marks'!J71="","",'Statement of Marks'!J71))</f>
        <v/>
      </c>
      <c r="J72" s="809"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809"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809"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810">
        <f t="shared" si="10"/>
        <v>0</v>
      </c>
      <c r="N72" s="809"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811">
        <f>IF($L$3=$AJ$18,'Statement of Marks'!FV71,IF($L$3=$AJ$19,'Statement of Marks'!GD71,IF(AND(M72="NA",N72="NA"),"NA",IF(AND(M72="",N72=""),"",SUM(M72,N72)))))</f>
        <v>0</v>
      </c>
      <c r="P72" s="809"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812" t="str">
        <f t="shared" si="3"/>
        <v/>
      </c>
      <c r="R72" s="813">
        <f t="shared" ref="R72:R103" si="11">IFERROR(IF($L$3="","",IF(OR($L$3=$AJ$18,$L$3=$AJ$19),COUNTIF(J72:L72,"NA")*$J$7+(COUNTIF(J72:L72,"ML")*$J$7)+(COUNTIF(O72,"ML")*$O$7)+(COUNTIF(N72,"ML")*$N$8)+(COUNTIF(P72,"ML")*$P$7),COUNTIF(N72,"NA")*$N$7+(COUNTIF(J72:L72,"ML")*$J$7)+(COUNTIF(N72,"ML")*$N$7)+(COUNTIF(P72,"ML")*$P$7))),0)</f>
        <v>0</v>
      </c>
      <c r="S72" s="813" t="str">
        <f t="shared" si="4"/>
        <v/>
      </c>
      <c r="T72" s="813" t="str">
        <f t="shared" si="5"/>
        <v/>
      </c>
      <c r="U72" s="814" t="str">
        <f t="shared" si="6"/>
        <v/>
      </c>
      <c r="V72" s="815" t="str">
        <f t="shared" si="7"/>
        <v/>
      </c>
      <c r="W72" s="816" t="str">
        <f t="shared" ref="W72:W103" si="12">IF(Q72="","",IF(OR(U72="",U72=0,U72="RE",U72="AB",B72="NSO"),"",IF(Q72&gt;85%*S72,"A",IF(Q72&gt;70%*S72,"B",IF(Q72&gt;=50%*S72,"C",IF(Q72&gt;=30%*S72,"D","E"))))))</f>
        <v/>
      </c>
    </row>
    <row r="73" spans="1:23">
      <c r="A73" s="803">
        <f>IF('Statement of Marks'!A72="","",'Statement of Marks'!A72)</f>
        <v>66</v>
      </c>
      <c r="B73" s="804" t="str">
        <f>IF(OR($D$3="",$L$3=""),"",IF('Statement of Marks'!B72="","",'Statement of Marks'!B72))</f>
        <v/>
      </c>
      <c r="C73" s="805" t="str">
        <f>IF(OR($D$3="",$L$3=""),"",IF('Statement of Marks'!D72="","",'Statement of Marks'!D72))</f>
        <v/>
      </c>
      <c r="D73" s="806" t="str">
        <f>IF(OR($D$3="",$L$3=""),"",IF('Statement of Marks'!E72="","",'Statement of Marks'!E72))</f>
        <v/>
      </c>
      <c r="E73" s="807" t="str">
        <f>IF(OR($D$3="",$L$3=""),"",IF('Statement of Marks'!F72="","",'Statement of Marks'!F72))</f>
        <v/>
      </c>
      <c r="F73" s="807" t="str">
        <f>IF(OR($D$3="",$L$3=""),"",IF('Statement of Marks'!G72="","",'Statement of Marks'!G72))</f>
        <v/>
      </c>
      <c r="G73" s="807" t="str">
        <f>IF(OR($D$3="",$L$3=""),"",IF('Statement of Marks'!H72="","",'Statement of Marks'!H72))</f>
        <v/>
      </c>
      <c r="H73" s="808" t="str">
        <f>IF(OR($D$3="",$L$3=""),"",IF('Statement of Marks'!I72="","",'Statement of Marks'!I72))</f>
        <v/>
      </c>
      <c r="I73" s="808" t="str">
        <f>IF(OR($D$3="",$L$3=""),"",IF('Statement of Marks'!J72="","",'Statement of Marks'!J72))</f>
        <v/>
      </c>
      <c r="J73" s="809"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809"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809"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810">
        <f t="shared" si="10"/>
        <v>0</v>
      </c>
      <c r="N73" s="809"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811">
        <f>IF($L$3=$AJ$18,'Statement of Marks'!FV72,IF($L$3=$AJ$19,'Statement of Marks'!GD72,IF(AND(M73="NA",N73="NA"),"NA",IF(AND(M73="",N73=""),"",SUM(M73,N73)))))</f>
        <v>0</v>
      </c>
      <c r="P73" s="809"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812" t="str">
        <f t="shared" ref="Q73:Q136" si="13">IF(O73="","",IF(B73="","",IF(OR($L$3=$AJ$18,$L$3=$AJ$19),SUM(N73,O73,P73),SUM(O73,P73))))</f>
        <v/>
      </c>
      <c r="R73" s="813">
        <f t="shared" si="11"/>
        <v>0</v>
      </c>
      <c r="S73" s="813" t="str">
        <f t="shared" ref="S73:S136" si="14">IF(OR(B73="NSO",B73=0,B73=""),"",IF(OR(B73="NSO",B73=0,B73="",Q73=""),"",IF(OR($L$3=$AJ$8,$L$3=$AJ$9,$L$3=$AJ$10,$L$3=$AJ$11,$L$3=$AJ$12,$L$3=$AJ$13,$L$3=$AJ$14,$L$3=$AJ$15,$L$3=$AJ$16,$L$3=$AJ$17),IF(AND(J73="NA",L73="NA",K73="NA"),$M$7-R73,IF(AND(N73="ML"),$N$7-R73,IF(AND(P73="ML"),$P$7-R73,$Q$7-R73))),IF(AND(N73="NA"),$N$7-R73,IF(AND(O73="ML"),$O$7-R73,IF(AND(P73="ML"),$P$7-R73,$Q$7-R73))))))</f>
        <v/>
      </c>
      <c r="T73" s="813"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814" t="str">
        <f t="shared" ref="U73:U136" si="16">IF(OR(B73="",$L$3=""),"",IF(Q73=0,"",IF(Q73="","",IF(B73="NSO","NSO",IF(OR(T73="AB",P73="ab"),"AB",IF(P73="ML","RE",IF(Q73="ML","RE",IF(AND(Q73&gt;=36%*S73,P73&gt;=$P$7*20%),"P",IF(AND(Q73&gt;=34%*S73,P73&gt;=$P$7*20%),"G",IF(AND(Q73&gt;=31%*S73,P73&gt;=$P$7*20%),"G",IF(AND(Q73&gt;=25%*S73,P73&gt;=$P$7*20%),"S","F")))))))))))</f>
        <v/>
      </c>
      <c r="V73" s="815" t="str">
        <f t="shared" ref="V73:V136" si="17">IF(OR(U73="",U73=0,U73="S",U73="RE",U73="F",U73="AB",B73="NSO"),"",IF(U73="G","G",IF(Q73&gt;=75%*S73,"I",IF(Q73&gt;=60%*S73,"I",IF(Q73&gt;=48%*S73,"II",IF(Q73&gt;=36%*S73,"III",""))))))</f>
        <v/>
      </c>
      <c r="W73" s="816" t="str">
        <f t="shared" si="12"/>
        <v/>
      </c>
    </row>
    <row r="74" spans="1:23">
      <c r="A74" s="803">
        <f>IF('Statement of Marks'!A73="","",'Statement of Marks'!A73)</f>
        <v>67</v>
      </c>
      <c r="B74" s="804" t="str">
        <f>IF(OR($D$3="",$L$3=""),"",IF('Statement of Marks'!B73="","",'Statement of Marks'!B73))</f>
        <v/>
      </c>
      <c r="C74" s="805" t="str">
        <f>IF(OR($D$3="",$L$3=""),"",IF('Statement of Marks'!D73="","",'Statement of Marks'!D73))</f>
        <v/>
      </c>
      <c r="D74" s="806" t="str">
        <f>IF(OR($D$3="",$L$3=""),"",IF('Statement of Marks'!E73="","",'Statement of Marks'!E73))</f>
        <v/>
      </c>
      <c r="E74" s="807" t="str">
        <f>IF(OR($D$3="",$L$3=""),"",IF('Statement of Marks'!F73="","",'Statement of Marks'!F73))</f>
        <v/>
      </c>
      <c r="F74" s="807" t="str">
        <f>IF(OR($D$3="",$L$3=""),"",IF('Statement of Marks'!G73="","",'Statement of Marks'!G73))</f>
        <v/>
      </c>
      <c r="G74" s="807" t="str">
        <f>IF(OR($D$3="",$L$3=""),"",IF('Statement of Marks'!H73="","",'Statement of Marks'!H73))</f>
        <v/>
      </c>
      <c r="H74" s="808" t="str">
        <f>IF(OR($D$3="",$L$3=""),"",IF('Statement of Marks'!I73="","",'Statement of Marks'!I73))</f>
        <v/>
      </c>
      <c r="I74" s="808" t="str">
        <f>IF(OR($D$3="",$L$3=""),"",IF('Statement of Marks'!J73="","",'Statement of Marks'!J73))</f>
        <v/>
      </c>
      <c r="J74" s="809"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809"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809"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810">
        <f t="shared" si="10"/>
        <v>0</v>
      </c>
      <c r="N74" s="809"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811">
        <f>IF($L$3=$AJ$18,'Statement of Marks'!FV73,IF($L$3=$AJ$19,'Statement of Marks'!GD73,IF(AND(M74="NA",N74="NA"),"NA",IF(AND(M74="",N74=""),"",SUM(M74,N74)))))</f>
        <v>0</v>
      </c>
      <c r="P74" s="809"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812" t="str">
        <f t="shared" si="13"/>
        <v/>
      </c>
      <c r="R74" s="813">
        <f t="shared" si="11"/>
        <v>0</v>
      </c>
      <c r="S74" s="813" t="str">
        <f t="shared" si="14"/>
        <v/>
      </c>
      <c r="T74" s="813" t="str">
        <f t="shared" si="15"/>
        <v/>
      </c>
      <c r="U74" s="814" t="str">
        <f t="shared" si="16"/>
        <v/>
      </c>
      <c r="V74" s="815" t="str">
        <f t="shared" si="17"/>
        <v/>
      </c>
      <c r="W74" s="816" t="str">
        <f t="shared" si="12"/>
        <v/>
      </c>
    </row>
    <row r="75" spans="1:23">
      <c r="A75" s="803">
        <f>IF('Statement of Marks'!A74="","",'Statement of Marks'!A74)</f>
        <v>68</v>
      </c>
      <c r="B75" s="804" t="str">
        <f>IF(OR($D$3="",$L$3=""),"",IF('Statement of Marks'!B74="","",'Statement of Marks'!B74))</f>
        <v/>
      </c>
      <c r="C75" s="805" t="str">
        <f>IF(OR($D$3="",$L$3=""),"",IF('Statement of Marks'!D74="","",'Statement of Marks'!D74))</f>
        <v/>
      </c>
      <c r="D75" s="806" t="str">
        <f>IF(OR($D$3="",$L$3=""),"",IF('Statement of Marks'!E74="","",'Statement of Marks'!E74))</f>
        <v/>
      </c>
      <c r="E75" s="807" t="str">
        <f>IF(OR($D$3="",$L$3=""),"",IF('Statement of Marks'!F74="","",'Statement of Marks'!F74))</f>
        <v/>
      </c>
      <c r="F75" s="807" t="str">
        <f>IF(OR($D$3="",$L$3=""),"",IF('Statement of Marks'!G74="","",'Statement of Marks'!G74))</f>
        <v/>
      </c>
      <c r="G75" s="807" t="str">
        <f>IF(OR($D$3="",$L$3=""),"",IF('Statement of Marks'!H74="","",'Statement of Marks'!H74))</f>
        <v/>
      </c>
      <c r="H75" s="808" t="str">
        <f>IF(OR($D$3="",$L$3=""),"",IF('Statement of Marks'!I74="","",'Statement of Marks'!I74))</f>
        <v/>
      </c>
      <c r="I75" s="808" t="str">
        <f>IF(OR($D$3="",$L$3=""),"",IF('Statement of Marks'!J74="","",'Statement of Marks'!J74))</f>
        <v/>
      </c>
      <c r="J75" s="809"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809"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809"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810">
        <f t="shared" si="10"/>
        <v>0</v>
      </c>
      <c r="N75" s="809"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811">
        <f>IF($L$3=$AJ$18,'Statement of Marks'!FV74,IF($L$3=$AJ$19,'Statement of Marks'!GD74,IF(AND(M75="NA",N75="NA"),"NA",IF(AND(M75="",N75=""),"",SUM(M75,N75)))))</f>
        <v>0</v>
      </c>
      <c r="P75" s="809"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812" t="str">
        <f t="shared" si="13"/>
        <v/>
      </c>
      <c r="R75" s="813">
        <f t="shared" si="11"/>
        <v>0</v>
      </c>
      <c r="S75" s="813" t="str">
        <f t="shared" si="14"/>
        <v/>
      </c>
      <c r="T75" s="813" t="str">
        <f t="shared" si="15"/>
        <v/>
      </c>
      <c r="U75" s="814" t="str">
        <f t="shared" si="16"/>
        <v/>
      </c>
      <c r="V75" s="815" t="str">
        <f t="shared" si="17"/>
        <v/>
      </c>
      <c r="W75" s="816" t="str">
        <f t="shared" si="12"/>
        <v/>
      </c>
    </row>
    <row r="76" spans="1:23">
      <c r="A76" s="803">
        <f>IF('Statement of Marks'!A75="","",'Statement of Marks'!A75)</f>
        <v>69</v>
      </c>
      <c r="B76" s="804" t="str">
        <f>IF(OR($D$3="",$L$3=""),"",IF('Statement of Marks'!B75="","",'Statement of Marks'!B75))</f>
        <v/>
      </c>
      <c r="C76" s="805" t="str">
        <f>IF(OR($D$3="",$L$3=""),"",IF('Statement of Marks'!D75="","",'Statement of Marks'!D75))</f>
        <v/>
      </c>
      <c r="D76" s="806" t="str">
        <f>IF(OR($D$3="",$L$3=""),"",IF('Statement of Marks'!E75="","",'Statement of Marks'!E75))</f>
        <v/>
      </c>
      <c r="E76" s="807" t="str">
        <f>IF(OR($D$3="",$L$3=""),"",IF('Statement of Marks'!F75="","",'Statement of Marks'!F75))</f>
        <v/>
      </c>
      <c r="F76" s="807" t="str">
        <f>IF(OR($D$3="",$L$3=""),"",IF('Statement of Marks'!G75="","",'Statement of Marks'!G75))</f>
        <v/>
      </c>
      <c r="G76" s="807" t="str">
        <f>IF(OR($D$3="",$L$3=""),"",IF('Statement of Marks'!H75="","",'Statement of Marks'!H75))</f>
        <v/>
      </c>
      <c r="H76" s="808" t="str">
        <f>IF(OR($D$3="",$L$3=""),"",IF('Statement of Marks'!I75="","",'Statement of Marks'!I75))</f>
        <v/>
      </c>
      <c r="I76" s="808" t="str">
        <f>IF(OR($D$3="",$L$3=""),"",IF('Statement of Marks'!J75="","",'Statement of Marks'!J75))</f>
        <v/>
      </c>
      <c r="J76" s="809"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809"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809"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810">
        <f t="shared" si="10"/>
        <v>0</v>
      </c>
      <c r="N76" s="809"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811">
        <f>IF($L$3=$AJ$18,'Statement of Marks'!FV75,IF($L$3=$AJ$19,'Statement of Marks'!GD75,IF(AND(M76="NA",N76="NA"),"NA",IF(AND(M76="",N76=""),"",SUM(M76,N76)))))</f>
        <v>0</v>
      </c>
      <c r="P76" s="809"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812" t="str">
        <f t="shared" si="13"/>
        <v/>
      </c>
      <c r="R76" s="813">
        <f t="shared" si="11"/>
        <v>0</v>
      </c>
      <c r="S76" s="813" t="str">
        <f t="shared" si="14"/>
        <v/>
      </c>
      <c r="T76" s="813" t="str">
        <f t="shared" si="15"/>
        <v/>
      </c>
      <c r="U76" s="814" t="str">
        <f t="shared" si="16"/>
        <v/>
      </c>
      <c r="V76" s="815" t="str">
        <f t="shared" si="17"/>
        <v/>
      </c>
      <c r="W76" s="816" t="str">
        <f t="shared" si="12"/>
        <v/>
      </c>
    </row>
    <row r="77" spans="1:23">
      <c r="A77" s="803">
        <f>IF('Statement of Marks'!A76="","",'Statement of Marks'!A76)</f>
        <v>70</v>
      </c>
      <c r="B77" s="804" t="str">
        <f>IF(OR($D$3="",$L$3=""),"",IF('Statement of Marks'!B76="","",'Statement of Marks'!B76))</f>
        <v/>
      </c>
      <c r="C77" s="805" t="str">
        <f>IF(OR($D$3="",$L$3=""),"",IF('Statement of Marks'!D76="","",'Statement of Marks'!D76))</f>
        <v/>
      </c>
      <c r="D77" s="806" t="str">
        <f>IF(OR($D$3="",$L$3=""),"",IF('Statement of Marks'!E76="","",'Statement of Marks'!E76))</f>
        <v/>
      </c>
      <c r="E77" s="807" t="str">
        <f>IF(OR($D$3="",$L$3=""),"",IF('Statement of Marks'!F76="","",'Statement of Marks'!F76))</f>
        <v/>
      </c>
      <c r="F77" s="807" t="str">
        <f>IF(OR($D$3="",$L$3=""),"",IF('Statement of Marks'!G76="","",'Statement of Marks'!G76))</f>
        <v/>
      </c>
      <c r="G77" s="807" t="str">
        <f>IF(OR($D$3="",$L$3=""),"",IF('Statement of Marks'!H76="","",'Statement of Marks'!H76))</f>
        <v/>
      </c>
      <c r="H77" s="808" t="str">
        <f>IF(OR($D$3="",$L$3=""),"",IF('Statement of Marks'!I76="","",'Statement of Marks'!I76))</f>
        <v/>
      </c>
      <c r="I77" s="808" t="str">
        <f>IF(OR($D$3="",$L$3=""),"",IF('Statement of Marks'!J76="","",'Statement of Marks'!J76))</f>
        <v/>
      </c>
      <c r="J77" s="809"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809"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809"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810">
        <f t="shared" si="10"/>
        <v>0</v>
      </c>
      <c r="N77" s="809"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811">
        <f>IF($L$3=$AJ$18,'Statement of Marks'!FV76,IF($L$3=$AJ$19,'Statement of Marks'!GD76,IF(AND(M77="NA",N77="NA"),"NA",IF(AND(M77="",N77=""),"",SUM(M77,N77)))))</f>
        <v>0</v>
      </c>
      <c r="P77" s="809"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812" t="str">
        <f t="shared" si="13"/>
        <v/>
      </c>
      <c r="R77" s="813">
        <f t="shared" si="11"/>
        <v>0</v>
      </c>
      <c r="S77" s="813" t="str">
        <f t="shared" si="14"/>
        <v/>
      </c>
      <c r="T77" s="813" t="str">
        <f t="shared" si="15"/>
        <v/>
      </c>
      <c r="U77" s="814" t="str">
        <f t="shared" si="16"/>
        <v/>
      </c>
      <c r="V77" s="815" t="str">
        <f t="shared" si="17"/>
        <v/>
      </c>
      <c r="W77" s="816" t="str">
        <f t="shared" si="12"/>
        <v/>
      </c>
    </row>
    <row r="78" spans="1:23">
      <c r="A78" s="803">
        <f>IF('Statement of Marks'!A77="","",'Statement of Marks'!A77)</f>
        <v>71</v>
      </c>
      <c r="B78" s="804" t="str">
        <f>IF(OR($D$3="",$L$3=""),"",IF('Statement of Marks'!B77="","",'Statement of Marks'!B77))</f>
        <v/>
      </c>
      <c r="C78" s="805" t="str">
        <f>IF(OR($D$3="",$L$3=""),"",IF('Statement of Marks'!D77="","",'Statement of Marks'!D77))</f>
        <v/>
      </c>
      <c r="D78" s="806" t="str">
        <f>IF(OR($D$3="",$L$3=""),"",IF('Statement of Marks'!E77="","",'Statement of Marks'!E77))</f>
        <v/>
      </c>
      <c r="E78" s="807" t="str">
        <f>IF(OR($D$3="",$L$3=""),"",IF('Statement of Marks'!F77="","",'Statement of Marks'!F77))</f>
        <v/>
      </c>
      <c r="F78" s="807" t="str">
        <f>IF(OR($D$3="",$L$3=""),"",IF('Statement of Marks'!G77="","",'Statement of Marks'!G77))</f>
        <v/>
      </c>
      <c r="G78" s="807" t="str">
        <f>IF(OR($D$3="",$L$3=""),"",IF('Statement of Marks'!H77="","",'Statement of Marks'!H77))</f>
        <v/>
      </c>
      <c r="H78" s="808" t="str">
        <f>IF(OR($D$3="",$L$3=""),"",IF('Statement of Marks'!I77="","",'Statement of Marks'!I77))</f>
        <v/>
      </c>
      <c r="I78" s="808" t="str">
        <f>IF(OR($D$3="",$L$3=""),"",IF('Statement of Marks'!J77="","",'Statement of Marks'!J77))</f>
        <v/>
      </c>
      <c r="J78" s="809"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809"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809"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810">
        <f t="shared" si="10"/>
        <v>0</v>
      </c>
      <c r="N78" s="809"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811">
        <f>IF($L$3=$AJ$18,'Statement of Marks'!FV77,IF($L$3=$AJ$19,'Statement of Marks'!GD77,IF(AND(M78="NA",N78="NA"),"NA",IF(AND(M78="",N78=""),"",SUM(M78,N78)))))</f>
        <v>0</v>
      </c>
      <c r="P78" s="809"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812" t="str">
        <f t="shared" si="13"/>
        <v/>
      </c>
      <c r="R78" s="813">
        <f t="shared" si="11"/>
        <v>0</v>
      </c>
      <c r="S78" s="813" t="str">
        <f t="shared" si="14"/>
        <v/>
      </c>
      <c r="T78" s="813" t="str">
        <f t="shared" si="15"/>
        <v/>
      </c>
      <c r="U78" s="814" t="str">
        <f t="shared" si="16"/>
        <v/>
      </c>
      <c r="V78" s="815" t="str">
        <f t="shared" si="17"/>
        <v/>
      </c>
      <c r="W78" s="816" t="str">
        <f t="shared" si="12"/>
        <v/>
      </c>
    </row>
    <row r="79" spans="1:23">
      <c r="A79" s="803">
        <f>IF('Statement of Marks'!A78="","",'Statement of Marks'!A78)</f>
        <v>72</v>
      </c>
      <c r="B79" s="804" t="str">
        <f>IF(OR($D$3="",$L$3=""),"",IF('Statement of Marks'!B78="","",'Statement of Marks'!B78))</f>
        <v/>
      </c>
      <c r="C79" s="805" t="str">
        <f>IF(OR($D$3="",$L$3=""),"",IF('Statement of Marks'!D78="","",'Statement of Marks'!D78))</f>
        <v/>
      </c>
      <c r="D79" s="806" t="str">
        <f>IF(OR($D$3="",$L$3=""),"",IF('Statement of Marks'!E78="","",'Statement of Marks'!E78))</f>
        <v/>
      </c>
      <c r="E79" s="807" t="str">
        <f>IF(OR($D$3="",$L$3=""),"",IF('Statement of Marks'!F78="","",'Statement of Marks'!F78))</f>
        <v/>
      </c>
      <c r="F79" s="807" t="str">
        <f>IF(OR($D$3="",$L$3=""),"",IF('Statement of Marks'!G78="","",'Statement of Marks'!G78))</f>
        <v/>
      </c>
      <c r="G79" s="807" t="str">
        <f>IF(OR($D$3="",$L$3=""),"",IF('Statement of Marks'!H78="","",'Statement of Marks'!H78))</f>
        <v/>
      </c>
      <c r="H79" s="808" t="str">
        <f>IF(OR($D$3="",$L$3=""),"",IF('Statement of Marks'!I78="","",'Statement of Marks'!I78))</f>
        <v/>
      </c>
      <c r="I79" s="808" t="str">
        <f>IF(OR($D$3="",$L$3=""),"",IF('Statement of Marks'!J78="","",'Statement of Marks'!J78))</f>
        <v/>
      </c>
      <c r="J79" s="809"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809"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809"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810">
        <f t="shared" si="10"/>
        <v>0</v>
      </c>
      <c r="N79" s="809"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811">
        <f>IF($L$3=$AJ$18,'Statement of Marks'!FV78,IF($L$3=$AJ$19,'Statement of Marks'!GD78,IF(AND(M79="NA",N79="NA"),"NA",IF(AND(M79="",N79=""),"",SUM(M79,N79)))))</f>
        <v>0</v>
      </c>
      <c r="P79" s="809"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812" t="str">
        <f t="shared" si="13"/>
        <v/>
      </c>
      <c r="R79" s="813">
        <f t="shared" si="11"/>
        <v>0</v>
      </c>
      <c r="S79" s="813" t="str">
        <f t="shared" si="14"/>
        <v/>
      </c>
      <c r="T79" s="813" t="str">
        <f t="shared" si="15"/>
        <v/>
      </c>
      <c r="U79" s="814" t="str">
        <f t="shared" si="16"/>
        <v/>
      </c>
      <c r="V79" s="815" t="str">
        <f t="shared" si="17"/>
        <v/>
      </c>
      <c r="W79" s="816" t="str">
        <f t="shared" si="12"/>
        <v/>
      </c>
    </row>
    <row r="80" spans="1:23">
      <c r="A80" s="803">
        <f>IF('Statement of Marks'!A79="","",'Statement of Marks'!A79)</f>
        <v>73</v>
      </c>
      <c r="B80" s="804" t="str">
        <f>IF(OR($D$3="",$L$3=""),"",IF('Statement of Marks'!B79="","",'Statement of Marks'!B79))</f>
        <v/>
      </c>
      <c r="C80" s="805" t="str">
        <f>IF(OR($D$3="",$L$3=""),"",IF('Statement of Marks'!D79="","",'Statement of Marks'!D79))</f>
        <v/>
      </c>
      <c r="D80" s="806" t="str">
        <f>IF(OR($D$3="",$L$3=""),"",IF('Statement of Marks'!E79="","",'Statement of Marks'!E79))</f>
        <v/>
      </c>
      <c r="E80" s="807" t="str">
        <f>IF(OR($D$3="",$L$3=""),"",IF('Statement of Marks'!F79="","",'Statement of Marks'!F79))</f>
        <v/>
      </c>
      <c r="F80" s="807" t="str">
        <f>IF(OR($D$3="",$L$3=""),"",IF('Statement of Marks'!G79="","",'Statement of Marks'!G79))</f>
        <v/>
      </c>
      <c r="G80" s="807" t="str">
        <f>IF(OR($D$3="",$L$3=""),"",IF('Statement of Marks'!H79="","",'Statement of Marks'!H79))</f>
        <v/>
      </c>
      <c r="H80" s="808" t="str">
        <f>IF(OR($D$3="",$L$3=""),"",IF('Statement of Marks'!I79="","",'Statement of Marks'!I79))</f>
        <v/>
      </c>
      <c r="I80" s="808" t="str">
        <f>IF(OR($D$3="",$L$3=""),"",IF('Statement of Marks'!J79="","",'Statement of Marks'!J79))</f>
        <v/>
      </c>
      <c r="J80" s="809"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809"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809"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810">
        <f t="shared" si="10"/>
        <v>0</v>
      </c>
      <c r="N80" s="809"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811">
        <f>IF($L$3=$AJ$18,'Statement of Marks'!FV79,IF($L$3=$AJ$19,'Statement of Marks'!GD79,IF(AND(M80="NA",N80="NA"),"NA",IF(AND(M80="",N80=""),"",SUM(M80,N80)))))</f>
        <v>0</v>
      </c>
      <c r="P80" s="809"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812" t="str">
        <f t="shared" si="13"/>
        <v/>
      </c>
      <c r="R80" s="813">
        <f t="shared" si="11"/>
        <v>0</v>
      </c>
      <c r="S80" s="813" t="str">
        <f t="shared" si="14"/>
        <v/>
      </c>
      <c r="T80" s="813" t="str">
        <f t="shared" si="15"/>
        <v/>
      </c>
      <c r="U80" s="814" t="str">
        <f t="shared" si="16"/>
        <v/>
      </c>
      <c r="V80" s="815" t="str">
        <f t="shared" si="17"/>
        <v/>
      </c>
      <c r="W80" s="816" t="str">
        <f t="shared" si="12"/>
        <v/>
      </c>
    </row>
    <row r="81" spans="1:23">
      <c r="A81" s="803">
        <f>IF('Statement of Marks'!A80="","",'Statement of Marks'!A80)</f>
        <v>74</v>
      </c>
      <c r="B81" s="804" t="str">
        <f>IF(OR($D$3="",$L$3=""),"",IF('Statement of Marks'!B80="","",'Statement of Marks'!B80))</f>
        <v/>
      </c>
      <c r="C81" s="805" t="str">
        <f>IF(OR($D$3="",$L$3=""),"",IF('Statement of Marks'!D80="","",'Statement of Marks'!D80))</f>
        <v/>
      </c>
      <c r="D81" s="806" t="str">
        <f>IF(OR($D$3="",$L$3=""),"",IF('Statement of Marks'!E80="","",'Statement of Marks'!E80))</f>
        <v/>
      </c>
      <c r="E81" s="807" t="str">
        <f>IF(OR($D$3="",$L$3=""),"",IF('Statement of Marks'!F80="","",'Statement of Marks'!F80))</f>
        <v/>
      </c>
      <c r="F81" s="807" t="str">
        <f>IF(OR($D$3="",$L$3=""),"",IF('Statement of Marks'!G80="","",'Statement of Marks'!G80))</f>
        <v/>
      </c>
      <c r="G81" s="807" t="str">
        <f>IF(OR($D$3="",$L$3=""),"",IF('Statement of Marks'!H80="","",'Statement of Marks'!H80))</f>
        <v/>
      </c>
      <c r="H81" s="808" t="str">
        <f>IF(OR($D$3="",$L$3=""),"",IF('Statement of Marks'!I80="","",'Statement of Marks'!I80))</f>
        <v/>
      </c>
      <c r="I81" s="808" t="str">
        <f>IF(OR($D$3="",$L$3=""),"",IF('Statement of Marks'!J80="","",'Statement of Marks'!J80))</f>
        <v/>
      </c>
      <c r="J81" s="809"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809"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809"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810">
        <f t="shared" si="10"/>
        <v>0</v>
      </c>
      <c r="N81" s="809"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811">
        <f>IF($L$3=$AJ$18,'Statement of Marks'!FV80,IF($L$3=$AJ$19,'Statement of Marks'!GD80,IF(AND(M81="NA",N81="NA"),"NA",IF(AND(M81="",N81=""),"",SUM(M81,N81)))))</f>
        <v>0</v>
      </c>
      <c r="P81" s="809"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812" t="str">
        <f t="shared" si="13"/>
        <v/>
      </c>
      <c r="R81" s="813">
        <f t="shared" si="11"/>
        <v>0</v>
      </c>
      <c r="S81" s="813" t="str">
        <f t="shared" si="14"/>
        <v/>
      </c>
      <c r="T81" s="813" t="str">
        <f t="shared" si="15"/>
        <v/>
      </c>
      <c r="U81" s="814" t="str">
        <f t="shared" si="16"/>
        <v/>
      </c>
      <c r="V81" s="815" t="str">
        <f t="shared" si="17"/>
        <v/>
      </c>
      <c r="W81" s="816" t="str">
        <f t="shared" si="12"/>
        <v/>
      </c>
    </row>
    <row r="82" spans="1:23">
      <c r="A82" s="803">
        <f>IF('Statement of Marks'!A81="","",'Statement of Marks'!A81)</f>
        <v>75</v>
      </c>
      <c r="B82" s="804" t="str">
        <f>IF(OR($D$3="",$L$3=""),"",IF('Statement of Marks'!B81="","",'Statement of Marks'!B81))</f>
        <v/>
      </c>
      <c r="C82" s="805" t="str">
        <f>IF(OR($D$3="",$L$3=""),"",IF('Statement of Marks'!D81="","",'Statement of Marks'!D81))</f>
        <v/>
      </c>
      <c r="D82" s="806" t="str">
        <f>IF(OR($D$3="",$L$3=""),"",IF('Statement of Marks'!E81="","",'Statement of Marks'!E81))</f>
        <v/>
      </c>
      <c r="E82" s="807" t="str">
        <f>IF(OR($D$3="",$L$3=""),"",IF('Statement of Marks'!F81="","",'Statement of Marks'!F81))</f>
        <v/>
      </c>
      <c r="F82" s="807" t="str">
        <f>IF(OR($D$3="",$L$3=""),"",IF('Statement of Marks'!G81="","",'Statement of Marks'!G81))</f>
        <v/>
      </c>
      <c r="G82" s="807" t="str">
        <f>IF(OR($D$3="",$L$3=""),"",IF('Statement of Marks'!H81="","",'Statement of Marks'!H81))</f>
        <v/>
      </c>
      <c r="H82" s="808" t="str">
        <f>IF(OR($D$3="",$L$3=""),"",IF('Statement of Marks'!I81="","",'Statement of Marks'!I81))</f>
        <v/>
      </c>
      <c r="I82" s="808" t="str">
        <f>IF(OR($D$3="",$L$3=""),"",IF('Statement of Marks'!J81="","",'Statement of Marks'!J81))</f>
        <v/>
      </c>
      <c r="J82" s="809"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809"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809"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810">
        <f t="shared" si="10"/>
        <v>0</v>
      </c>
      <c r="N82" s="809"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811">
        <f>IF($L$3=$AJ$18,'Statement of Marks'!FV81,IF($L$3=$AJ$19,'Statement of Marks'!GD81,IF(AND(M82="NA",N82="NA"),"NA",IF(AND(M82="",N82=""),"",SUM(M82,N82)))))</f>
        <v>0</v>
      </c>
      <c r="P82" s="809"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812" t="str">
        <f t="shared" si="13"/>
        <v/>
      </c>
      <c r="R82" s="813">
        <f t="shared" si="11"/>
        <v>0</v>
      </c>
      <c r="S82" s="813" t="str">
        <f t="shared" si="14"/>
        <v/>
      </c>
      <c r="T82" s="813" t="str">
        <f t="shared" si="15"/>
        <v/>
      </c>
      <c r="U82" s="814" t="str">
        <f t="shared" si="16"/>
        <v/>
      </c>
      <c r="V82" s="815" t="str">
        <f t="shared" si="17"/>
        <v/>
      </c>
      <c r="W82" s="816" t="str">
        <f t="shared" si="12"/>
        <v/>
      </c>
    </row>
    <row r="83" spans="1:23">
      <c r="A83" s="803">
        <f>IF('Statement of Marks'!A82="","",'Statement of Marks'!A82)</f>
        <v>76</v>
      </c>
      <c r="B83" s="804" t="str">
        <f>IF(OR($D$3="",$L$3=""),"",IF('Statement of Marks'!B82="","",'Statement of Marks'!B82))</f>
        <v/>
      </c>
      <c r="C83" s="805" t="str">
        <f>IF(OR($D$3="",$L$3=""),"",IF('Statement of Marks'!D82="","",'Statement of Marks'!D82))</f>
        <v/>
      </c>
      <c r="D83" s="806" t="str">
        <f>IF(OR($D$3="",$L$3=""),"",IF('Statement of Marks'!E82="","",'Statement of Marks'!E82))</f>
        <v/>
      </c>
      <c r="E83" s="807" t="str">
        <f>IF(OR($D$3="",$L$3=""),"",IF('Statement of Marks'!F82="","",'Statement of Marks'!F82))</f>
        <v/>
      </c>
      <c r="F83" s="807" t="str">
        <f>IF(OR($D$3="",$L$3=""),"",IF('Statement of Marks'!G82="","",'Statement of Marks'!G82))</f>
        <v/>
      </c>
      <c r="G83" s="807" t="str">
        <f>IF(OR($D$3="",$L$3=""),"",IF('Statement of Marks'!H82="","",'Statement of Marks'!H82))</f>
        <v/>
      </c>
      <c r="H83" s="808" t="str">
        <f>IF(OR($D$3="",$L$3=""),"",IF('Statement of Marks'!I82="","",'Statement of Marks'!I82))</f>
        <v/>
      </c>
      <c r="I83" s="808" t="str">
        <f>IF(OR($D$3="",$L$3=""),"",IF('Statement of Marks'!J82="","",'Statement of Marks'!J82))</f>
        <v/>
      </c>
      <c r="J83" s="809"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809"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809"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810">
        <f t="shared" si="10"/>
        <v>0</v>
      </c>
      <c r="N83" s="809"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811">
        <f>IF($L$3=$AJ$18,'Statement of Marks'!FV82,IF($L$3=$AJ$19,'Statement of Marks'!GD82,IF(AND(M83="NA",N83="NA"),"NA",IF(AND(M83="",N83=""),"",SUM(M83,N83)))))</f>
        <v>0</v>
      </c>
      <c r="P83" s="809"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812" t="str">
        <f t="shared" si="13"/>
        <v/>
      </c>
      <c r="R83" s="813">
        <f t="shared" si="11"/>
        <v>0</v>
      </c>
      <c r="S83" s="813" t="str">
        <f t="shared" si="14"/>
        <v/>
      </c>
      <c r="T83" s="813" t="str">
        <f t="shared" si="15"/>
        <v/>
      </c>
      <c r="U83" s="814" t="str">
        <f t="shared" si="16"/>
        <v/>
      </c>
      <c r="V83" s="815" t="str">
        <f t="shared" si="17"/>
        <v/>
      </c>
      <c r="W83" s="816" t="str">
        <f t="shared" si="12"/>
        <v/>
      </c>
    </row>
    <row r="84" spans="1:23">
      <c r="A84" s="803">
        <f>IF('Statement of Marks'!A83="","",'Statement of Marks'!A83)</f>
        <v>77</v>
      </c>
      <c r="B84" s="804" t="str">
        <f>IF(OR($D$3="",$L$3=""),"",IF('Statement of Marks'!B83="","",'Statement of Marks'!B83))</f>
        <v/>
      </c>
      <c r="C84" s="805" t="str">
        <f>IF(OR($D$3="",$L$3=""),"",IF('Statement of Marks'!D83="","",'Statement of Marks'!D83))</f>
        <v/>
      </c>
      <c r="D84" s="806" t="str">
        <f>IF(OR($D$3="",$L$3=""),"",IF('Statement of Marks'!E83="","",'Statement of Marks'!E83))</f>
        <v/>
      </c>
      <c r="E84" s="807" t="str">
        <f>IF(OR($D$3="",$L$3=""),"",IF('Statement of Marks'!F83="","",'Statement of Marks'!F83))</f>
        <v/>
      </c>
      <c r="F84" s="807" t="str">
        <f>IF(OR($D$3="",$L$3=""),"",IF('Statement of Marks'!G83="","",'Statement of Marks'!G83))</f>
        <v/>
      </c>
      <c r="G84" s="807" t="str">
        <f>IF(OR($D$3="",$L$3=""),"",IF('Statement of Marks'!H83="","",'Statement of Marks'!H83))</f>
        <v/>
      </c>
      <c r="H84" s="808" t="str">
        <f>IF(OR($D$3="",$L$3=""),"",IF('Statement of Marks'!I83="","",'Statement of Marks'!I83))</f>
        <v/>
      </c>
      <c r="I84" s="808" t="str">
        <f>IF(OR($D$3="",$L$3=""),"",IF('Statement of Marks'!J83="","",'Statement of Marks'!J83))</f>
        <v/>
      </c>
      <c r="J84" s="809"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809"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809"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810">
        <f t="shared" si="10"/>
        <v>0</v>
      </c>
      <c r="N84" s="809"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811">
        <f>IF($L$3=$AJ$18,'Statement of Marks'!FV83,IF($L$3=$AJ$19,'Statement of Marks'!GD83,IF(AND(M84="NA",N84="NA"),"NA",IF(AND(M84="",N84=""),"",SUM(M84,N84)))))</f>
        <v>0</v>
      </c>
      <c r="P84" s="809"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812" t="str">
        <f t="shared" si="13"/>
        <v/>
      </c>
      <c r="R84" s="813">
        <f t="shared" si="11"/>
        <v>0</v>
      </c>
      <c r="S84" s="813" t="str">
        <f t="shared" si="14"/>
        <v/>
      </c>
      <c r="T84" s="813" t="str">
        <f t="shared" si="15"/>
        <v/>
      </c>
      <c r="U84" s="814" t="str">
        <f t="shared" si="16"/>
        <v/>
      </c>
      <c r="V84" s="815" t="str">
        <f t="shared" si="17"/>
        <v/>
      </c>
      <c r="W84" s="816" t="str">
        <f t="shared" si="12"/>
        <v/>
      </c>
    </row>
    <row r="85" spans="1:23">
      <c r="A85" s="803">
        <f>IF('Statement of Marks'!A84="","",'Statement of Marks'!A84)</f>
        <v>78</v>
      </c>
      <c r="B85" s="804" t="str">
        <f>IF(OR($D$3="",$L$3=""),"",IF('Statement of Marks'!B84="","",'Statement of Marks'!B84))</f>
        <v/>
      </c>
      <c r="C85" s="805" t="str">
        <f>IF(OR($D$3="",$L$3=""),"",IF('Statement of Marks'!D84="","",'Statement of Marks'!D84))</f>
        <v/>
      </c>
      <c r="D85" s="806" t="str">
        <f>IF(OR($D$3="",$L$3=""),"",IF('Statement of Marks'!E84="","",'Statement of Marks'!E84))</f>
        <v/>
      </c>
      <c r="E85" s="807" t="str">
        <f>IF(OR($D$3="",$L$3=""),"",IF('Statement of Marks'!F84="","",'Statement of Marks'!F84))</f>
        <v/>
      </c>
      <c r="F85" s="807" t="str">
        <f>IF(OR($D$3="",$L$3=""),"",IF('Statement of Marks'!G84="","",'Statement of Marks'!G84))</f>
        <v/>
      </c>
      <c r="G85" s="807" t="str">
        <f>IF(OR($D$3="",$L$3=""),"",IF('Statement of Marks'!H84="","",'Statement of Marks'!H84))</f>
        <v/>
      </c>
      <c r="H85" s="808" t="str">
        <f>IF(OR($D$3="",$L$3=""),"",IF('Statement of Marks'!I84="","",'Statement of Marks'!I84))</f>
        <v/>
      </c>
      <c r="I85" s="808" t="str">
        <f>IF(OR($D$3="",$L$3=""),"",IF('Statement of Marks'!J84="","",'Statement of Marks'!J84))</f>
        <v/>
      </c>
      <c r="J85" s="809"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809"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809"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810">
        <f t="shared" si="10"/>
        <v>0</v>
      </c>
      <c r="N85" s="809"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811">
        <f>IF($L$3=$AJ$18,'Statement of Marks'!FV84,IF($L$3=$AJ$19,'Statement of Marks'!GD84,IF(AND(M85="NA",N85="NA"),"NA",IF(AND(M85="",N85=""),"",SUM(M85,N85)))))</f>
        <v>0</v>
      </c>
      <c r="P85" s="809"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812" t="str">
        <f t="shared" si="13"/>
        <v/>
      </c>
      <c r="R85" s="813">
        <f t="shared" si="11"/>
        <v>0</v>
      </c>
      <c r="S85" s="813" t="str">
        <f t="shared" si="14"/>
        <v/>
      </c>
      <c r="T85" s="813" t="str">
        <f t="shared" si="15"/>
        <v/>
      </c>
      <c r="U85" s="814" t="str">
        <f t="shared" si="16"/>
        <v/>
      </c>
      <c r="V85" s="815" t="str">
        <f t="shared" si="17"/>
        <v/>
      </c>
      <c r="W85" s="816" t="str">
        <f t="shared" si="12"/>
        <v/>
      </c>
    </row>
    <row r="86" spans="1:23">
      <c r="A86" s="803">
        <f>IF('Statement of Marks'!A85="","",'Statement of Marks'!A85)</f>
        <v>79</v>
      </c>
      <c r="B86" s="804" t="str">
        <f>IF(OR($D$3="",$L$3=""),"",IF('Statement of Marks'!B85="","",'Statement of Marks'!B85))</f>
        <v/>
      </c>
      <c r="C86" s="805" t="str">
        <f>IF(OR($D$3="",$L$3=""),"",IF('Statement of Marks'!D85="","",'Statement of Marks'!D85))</f>
        <v/>
      </c>
      <c r="D86" s="806" t="str">
        <f>IF(OR($D$3="",$L$3=""),"",IF('Statement of Marks'!E85="","",'Statement of Marks'!E85))</f>
        <v/>
      </c>
      <c r="E86" s="807" t="str">
        <f>IF(OR($D$3="",$L$3=""),"",IF('Statement of Marks'!F85="","",'Statement of Marks'!F85))</f>
        <v/>
      </c>
      <c r="F86" s="807" t="str">
        <f>IF(OR($D$3="",$L$3=""),"",IF('Statement of Marks'!G85="","",'Statement of Marks'!G85))</f>
        <v/>
      </c>
      <c r="G86" s="807" t="str">
        <f>IF(OR($D$3="",$L$3=""),"",IF('Statement of Marks'!H85="","",'Statement of Marks'!H85))</f>
        <v/>
      </c>
      <c r="H86" s="808" t="str">
        <f>IF(OR($D$3="",$L$3=""),"",IF('Statement of Marks'!I85="","",'Statement of Marks'!I85))</f>
        <v/>
      </c>
      <c r="I86" s="808" t="str">
        <f>IF(OR($D$3="",$L$3=""),"",IF('Statement of Marks'!J85="","",'Statement of Marks'!J85))</f>
        <v/>
      </c>
      <c r="J86" s="809"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809"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809"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810">
        <f t="shared" si="10"/>
        <v>0</v>
      </c>
      <c r="N86" s="809"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811">
        <f>IF($L$3=$AJ$18,'Statement of Marks'!FV85,IF($L$3=$AJ$19,'Statement of Marks'!GD85,IF(AND(M86="NA",N86="NA"),"NA",IF(AND(M86="",N86=""),"",SUM(M86,N86)))))</f>
        <v>0</v>
      </c>
      <c r="P86" s="809"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812" t="str">
        <f t="shared" si="13"/>
        <v/>
      </c>
      <c r="R86" s="813">
        <f t="shared" si="11"/>
        <v>0</v>
      </c>
      <c r="S86" s="813" t="str">
        <f t="shared" si="14"/>
        <v/>
      </c>
      <c r="T86" s="813" t="str">
        <f t="shared" si="15"/>
        <v/>
      </c>
      <c r="U86" s="814" t="str">
        <f t="shared" si="16"/>
        <v/>
      </c>
      <c r="V86" s="815" t="str">
        <f t="shared" si="17"/>
        <v/>
      </c>
      <c r="W86" s="816" t="str">
        <f t="shared" si="12"/>
        <v/>
      </c>
    </row>
    <row r="87" spans="1:23">
      <c r="A87" s="803">
        <f>IF('Statement of Marks'!A86="","",'Statement of Marks'!A86)</f>
        <v>80</v>
      </c>
      <c r="B87" s="804" t="str">
        <f>IF(OR($D$3="",$L$3=""),"",IF('Statement of Marks'!B86="","",'Statement of Marks'!B86))</f>
        <v/>
      </c>
      <c r="C87" s="805" t="str">
        <f>IF(OR($D$3="",$L$3=""),"",IF('Statement of Marks'!D86="","",'Statement of Marks'!D86))</f>
        <v/>
      </c>
      <c r="D87" s="806" t="str">
        <f>IF(OR($D$3="",$L$3=""),"",IF('Statement of Marks'!E86="","",'Statement of Marks'!E86))</f>
        <v/>
      </c>
      <c r="E87" s="807" t="str">
        <f>IF(OR($D$3="",$L$3=""),"",IF('Statement of Marks'!F86="","",'Statement of Marks'!F86))</f>
        <v/>
      </c>
      <c r="F87" s="807" t="str">
        <f>IF(OR($D$3="",$L$3=""),"",IF('Statement of Marks'!G86="","",'Statement of Marks'!G86))</f>
        <v/>
      </c>
      <c r="G87" s="807" t="str">
        <f>IF(OR($D$3="",$L$3=""),"",IF('Statement of Marks'!H86="","",'Statement of Marks'!H86))</f>
        <v/>
      </c>
      <c r="H87" s="808" t="str">
        <f>IF(OR($D$3="",$L$3=""),"",IF('Statement of Marks'!I86="","",'Statement of Marks'!I86))</f>
        <v/>
      </c>
      <c r="I87" s="808" t="str">
        <f>IF(OR($D$3="",$L$3=""),"",IF('Statement of Marks'!J86="","",'Statement of Marks'!J86))</f>
        <v/>
      </c>
      <c r="J87" s="809"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809"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809"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810">
        <f t="shared" si="10"/>
        <v>0</v>
      </c>
      <c r="N87" s="809"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811">
        <f>IF($L$3=$AJ$18,'Statement of Marks'!FV86,IF($L$3=$AJ$19,'Statement of Marks'!GD86,IF(AND(M87="NA",N87="NA"),"NA",IF(AND(M87="",N87=""),"",SUM(M87,N87)))))</f>
        <v>0</v>
      </c>
      <c r="P87" s="809"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812" t="str">
        <f t="shared" si="13"/>
        <v/>
      </c>
      <c r="R87" s="813">
        <f t="shared" si="11"/>
        <v>0</v>
      </c>
      <c r="S87" s="813" t="str">
        <f t="shared" si="14"/>
        <v/>
      </c>
      <c r="T87" s="813" t="str">
        <f t="shared" si="15"/>
        <v/>
      </c>
      <c r="U87" s="814" t="str">
        <f t="shared" si="16"/>
        <v/>
      </c>
      <c r="V87" s="815" t="str">
        <f t="shared" si="17"/>
        <v/>
      </c>
      <c r="W87" s="816" t="str">
        <f t="shared" si="12"/>
        <v/>
      </c>
    </row>
    <row r="88" spans="1:23">
      <c r="A88" s="803">
        <f>IF('Statement of Marks'!A87="","",'Statement of Marks'!A87)</f>
        <v>81</v>
      </c>
      <c r="B88" s="804" t="str">
        <f>IF(OR($D$3="",$L$3=""),"",IF('Statement of Marks'!B87="","",'Statement of Marks'!B87))</f>
        <v/>
      </c>
      <c r="C88" s="805" t="str">
        <f>IF(OR($D$3="",$L$3=""),"",IF('Statement of Marks'!D87="","",'Statement of Marks'!D87))</f>
        <v/>
      </c>
      <c r="D88" s="806" t="str">
        <f>IF(OR($D$3="",$L$3=""),"",IF('Statement of Marks'!E87="","",'Statement of Marks'!E87))</f>
        <v/>
      </c>
      <c r="E88" s="807" t="str">
        <f>IF(OR($D$3="",$L$3=""),"",IF('Statement of Marks'!F87="","",'Statement of Marks'!F87))</f>
        <v/>
      </c>
      <c r="F88" s="807" t="str">
        <f>IF(OR($D$3="",$L$3=""),"",IF('Statement of Marks'!G87="","",'Statement of Marks'!G87))</f>
        <v/>
      </c>
      <c r="G88" s="807" t="str">
        <f>IF(OR($D$3="",$L$3=""),"",IF('Statement of Marks'!H87="","",'Statement of Marks'!H87))</f>
        <v/>
      </c>
      <c r="H88" s="808" t="str">
        <f>IF(OR($D$3="",$L$3=""),"",IF('Statement of Marks'!I87="","",'Statement of Marks'!I87))</f>
        <v/>
      </c>
      <c r="I88" s="808" t="str">
        <f>IF(OR($D$3="",$L$3=""),"",IF('Statement of Marks'!J87="","",'Statement of Marks'!J87))</f>
        <v/>
      </c>
      <c r="J88" s="809"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809"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809"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810">
        <f t="shared" si="10"/>
        <v>0</v>
      </c>
      <c r="N88" s="809"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811">
        <f>IF($L$3=$AJ$18,'Statement of Marks'!FV87,IF($L$3=$AJ$19,'Statement of Marks'!GD87,IF(AND(M88="NA",N88="NA"),"NA",IF(AND(M88="",N88=""),"",SUM(M88,N88)))))</f>
        <v>0</v>
      </c>
      <c r="P88" s="809"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812" t="str">
        <f t="shared" si="13"/>
        <v/>
      </c>
      <c r="R88" s="813">
        <f t="shared" si="11"/>
        <v>0</v>
      </c>
      <c r="S88" s="813" t="str">
        <f t="shared" si="14"/>
        <v/>
      </c>
      <c r="T88" s="813" t="str">
        <f t="shared" si="15"/>
        <v/>
      </c>
      <c r="U88" s="814" t="str">
        <f t="shared" si="16"/>
        <v/>
      </c>
      <c r="V88" s="815" t="str">
        <f t="shared" si="17"/>
        <v/>
      </c>
      <c r="W88" s="816" t="str">
        <f t="shared" si="12"/>
        <v/>
      </c>
    </row>
    <row r="89" spans="1:23">
      <c r="A89" s="803">
        <f>IF('Statement of Marks'!A88="","",'Statement of Marks'!A88)</f>
        <v>82</v>
      </c>
      <c r="B89" s="804" t="str">
        <f>IF(OR($D$3="",$L$3=""),"",IF('Statement of Marks'!B88="","",'Statement of Marks'!B88))</f>
        <v/>
      </c>
      <c r="C89" s="805" t="str">
        <f>IF(OR($D$3="",$L$3=""),"",IF('Statement of Marks'!D88="","",'Statement of Marks'!D88))</f>
        <v/>
      </c>
      <c r="D89" s="806" t="str">
        <f>IF(OR($D$3="",$L$3=""),"",IF('Statement of Marks'!E88="","",'Statement of Marks'!E88))</f>
        <v/>
      </c>
      <c r="E89" s="807" t="str">
        <f>IF(OR($D$3="",$L$3=""),"",IF('Statement of Marks'!F88="","",'Statement of Marks'!F88))</f>
        <v/>
      </c>
      <c r="F89" s="807" t="str">
        <f>IF(OR($D$3="",$L$3=""),"",IF('Statement of Marks'!G88="","",'Statement of Marks'!G88))</f>
        <v/>
      </c>
      <c r="G89" s="807" t="str">
        <f>IF(OR($D$3="",$L$3=""),"",IF('Statement of Marks'!H88="","",'Statement of Marks'!H88))</f>
        <v/>
      </c>
      <c r="H89" s="808" t="str">
        <f>IF(OR($D$3="",$L$3=""),"",IF('Statement of Marks'!I88="","",'Statement of Marks'!I88))</f>
        <v/>
      </c>
      <c r="I89" s="808" t="str">
        <f>IF(OR($D$3="",$L$3=""),"",IF('Statement of Marks'!J88="","",'Statement of Marks'!J88))</f>
        <v/>
      </c>
      <c r="J89" s="809"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809"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809"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810">
        <f t="shared" si="10"/>
        <v>0</v>
      </c>
      <c r="N89" s="809"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811">
        <f>IF($L$3=$AJ$18,'Statement of Marks'!FV88,IF($L$3=$AJ$19,'Statement of Marks'!GD88,IF(AND(M89="NA",N89="NA"),"NA",IF(AND(M89="",N89=""),"",SUM(M89,N89)))))</f>
        <v>0</v>
      </c>
      <c r="P89" s="809"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812" t="str">
        <f t="shared" si="13"/>
        <v/>
      </c>
      <c r="R89" s="813">
        <f t="shared" si="11"/>
        <v>0</v>
      </c>
      <c r="S89" s="813" t="str">
        <f t="shared" si="14"/>
        <v/>
      </c>
      <c r="T89" s="813" t="str">
        <f t="shared" si="15"/>
        <v/>
      </c>
      <c r="U89" s="814" t="str">
        <f t="shared" si="16"/>
        <v/>
      </c>
      <c r="V89" s="815" t="str">
        <f t="shared" si="17"/>
        <v/>
      </c>
      <c r="W89" s="816" t="str">
        <f t="shared" si="12"/>
        <v/>
      </c>
    </row>
    <row r="90" spans="1:23">
      <c r="A90" s="803">
        <f>IF('Statement of Marks'!A89="","",'Statement of Marks'!A89)</f>
        <v>83</v>
      </c>
      <c r="B90" s="804" t="str">
        <f>IF(OR($D$3="",$L$3=""),"",IF('Statement of Marks'!B89="","",'Statement of Marks'!B89))</f>
        <v/>
      </c>
      <c r="C90" s="805" t="str">
        <f>IF(OR($D$3="",$L$3=""),"",IF('Statement of Marks'!D89="","",'Statement of Marks'!D89))</f>
        <v/>
      </c>
      <c r="D90" s="806" t="str">
        <f>IF(OR($D$3="",$L$3=""),"",IF('Statement of Marks'!E89="","",'Statement of Marks'!E89))</f>
        <v/>
      </c>
      <c r="E90" s="807" t="str">
        <f>IF(OR($D$3="",$L$3=""),"",IF('Statement of Marks'!F89="","",'Statement of Marks'!F89))</f>
        <v/>
      </c>
      <c r="F90" s="807" t="str">
        <f>IF(OR($D$3="",$L$3=""),"",IF('Statement of Marks'!G89="","",'Statement of Marks'!G89))</f>
        <v/>
      </c>
      <c r="G90" s="807" t="str">
        <f>IF(OR($D$3="",$L$3=""),"",IF('Statement of Marks'!H89="","",'Statement of Marks'!H89))</f>
        <v/>
      </c>
      <c r="H90" s="808" t="str">
        <f>IF(OR($D$3="",$L$3=""),"",IF('Statement of Marks'!I89="","",'Statement of Marks'!I89))</f>
        <v/>
      </c>
      <c r="I90" s="808" t="str">
        <f>IF(OR($D$3="",$L$3=""),"",IF('Statement of Marks'!J89="","",'Statement of Marks'!J89))</f>
        <v/>
      </c>
      <c r="J90" s="809"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809"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809"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810">
        <f t="shared" si="10"/>
        <v>0</v>
      </c>
      <c r="N90" s="809"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811">
        <f>IF($L$3=$AJ$18,'Statement of Marks'!FV89,IF($L$3=$AJ$19,'Statement of Marks'!GD89,IF(AND(M90="NA",N90="NA"),"NA",IF(AND(M90="",N90=""),"",SUM(M90,N90)))))</f>
        <v>0</v>
      </c>
      <c r="P90" s="809"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812" t="str">
        <f t="shared" si="13"/>
        <v/>
      </c>
      <c r="R90" s="813">
        <f t="shared" si="11"/>
        <v>0</v>
      </c>
      <c r="S90" s="813" t="str">
        <f t="shared" si="14"/>
        <v/>
      </c>
      <c r="T90" s="813" t="str">
        <f t="shared" si="15"/>
        <v/>
      </c>
      <c r="U90" s="814" t="str">
        <f t="shared" si="16"/>
        <v/>
      </c>
      <c r="V90" s="815" t="str">
        <f t="shared" si="17"/>
        <v/>
      </c>
      <c r="W90" s="816" t="str">
        <f t="shared" si="12"/>
        <v/>
      </c>
    </row>
    <row r="91" spans="1:23">
      <c r="A91" s="803">
        <f>IF('Statement of Marks'!A90="","",'Statement of Marks'!A90)</f>
        <v>84</v>
      </c>
      <c r="B91" s="804" t="str">
        <f>IF(OR($D$3="",$L$3=""),"",IF('Statement of Marks'!B90="","",'Statement of Marks'!B90))</f>
        <v/>
      </c>
      <c r="C91" s="805" t="str">
        <f>IF(OR($D$3="",$L$3=""),"",IF('Statement of Marks'!D90="","",'Statement of Marks'!D90))</f>
        <v/>
      </c>
      <c r="D91" s="806" t="str">
        <f>IF(OR($D$3="",$L$3=""),"",IF('Statement of Marks'!E90="","",'Statement of Marks'!E90))</f>
        <v/>
      </c>
      <c r="E91" s="807" t="str">
        <f>IF(OR($D$3="",$L$3=""),"",IF('Statement of Marks'!F90="","",'Statement of Marks'!F90))</f>
        <v/>
      </c>
      <c r="F91" s="807" t="str">
        <f>IF(OR($D$3="",$L$3=""),"",IF('Statement of Marks'!G90="","",'Statement of Marks'!G90))</f>
        <v/>
      </c>
      <c r="G91" s="807" t="str">
        <f>IF(OR($D$3="",$L$3=""),"",IF('Statement of Marks'!H90="","",'Statement of Marks'!H90))</f>
        <v/>
      </c>
      <c r="H91" s="808" t="str">
        <f>IF(OR($D$3="",$L$3=""),"",IF('Statement of Marks'!I90="","",'Statement of Marks'!I90))</f>
        <v/>
      </c>
      <c r="I91" s="808" t="str">
        <f>IF(OR($D$3="",$L$3=""),"",IF('Statement of Marks'!J90="","",'Statement of Marks'!J90))</f>
        <v/>
      </c>
      <c r="J91" s="809"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809"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809"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810">
        <f t="shared" si="10"/>
        <v>0</v>
      </c>
      <c r="N91" s="809"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811">
        <f>IF($L$3=$AJ$18,'Statement of Marks'!FV90,IF($L$3=$AJ$19,'Statement of Marks'!GD90,IF(AND(M91="NA",N91="NA"),"NA",IF(AND(M91="",N91=""),"",SUM(M91,N91)))))</f>
        <v>0</v>
      </c>
      <c r="P91" s="809"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812" t="str">
        <f t="shared" si="13"/>
        <v/>
      </c>
      <c r="R91" s="813">
        <f t="shared" si="11"/>
        <v>0</v>
      </c>
      <c r="S91" s="813" t="str">
        <f t="shared" si="14"/>
        <v/>
      </c>
      <c r="T91" s="813" t="str">
        <f t="shared" si="15"/>
        <v/>
      </c>
      <c r="U91" s="814" t="str">
        <f t="shared" si="16"/>
        <v/>
      </c>
      <c r="V91" s="815" t="str">
        <f t="shared" si="17"/>
        <v/>
      </c>
      <c r="W91" s="816" t="str">
        <f t="shared" si="12"/>
        <v/>
      </c>
    </row>
    <row r="92" spans="1:23">
      <c r="A92" s="803">
        <f>IF('Statement of Marks'!A91="","",'Statement of Marks'!A91)</f>
        <v>85</v>
      </c>
      <c r="B92" s="804" t="str">
        <f>IF(OR($D$3="",$L$3=""),"",IF('Statement of Marks'!B91="","",'Statement of Marks'!B91))</f>
        <v/>
      </c>
      <c r="C92" s="805" t="str">
        <f>IF(OR($D$3="",$L$3=""),"",IF('Statement of Marks'!D91="","",'Statement of Marks'!D91))</f>
        <v/>
      </c>
      <c r="D92" s="806" t="str">
        <f>IF(OR($D$3="",$L$3=""),"",IF('Statement of Marks'!E91="","",'Statement of Marks'!E91))</f>
        <v/>
      </c>
      <c r="E92" s="807" t="str">
        <f>IF(OR($D$3="",$L$3=""),"",IF('Statement of Marks'!F91="","",'Statement of Marks'!F91))</f>
        <v/>
      </c>
      <c r="F92" s="807" t="str">
        <f>IF(OR($D$3="",$L$3=""),"",IF('Statement of Marks'!G91="","",'Statement of Marks'!G91))</f>
        <v/>
      </c>
      <c r="G92" s="807" t="str">
        <f>IF(OR($D$3="",$L$3=""),"",IF('Statement of Marks'!H91="","",'Statement of Marks'!H91))</f>
        <v/>
      </c>
      <c r="H92" s="808" t="str">
        <f>IF(OR($D$3="",$L$3=""),"",IF('Statement of Marks'!I91="","",'Statement of Marks'!I91))</f>
        <v/>
      </c>
      <c r="I92" s="808" t="str">
        <f>IF(OR($D$3="",$L$3=""),"",IF('Statement of Marks'!J91="","",'Statement of Marks'!J91))</f>
        <v/>
      </c>
      <c r="J92" s="809"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809"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809"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810">
        <f t="shared" si="10"/>
        <v>0</v>
      </c>
      <c r="N92" s="809"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811">
        <f>IF($L$3=$AJ$18,'Statement of Marks'!FV91,IF($L$3=$AJ$19,'Statement of Marks'!GD91,IF(AND(M92="NA",N92="NA"),"NA",IF(AND(M92="",N92=""),"",SUM(M92,N92)))))</f>
        <v>0</v>
      </c>
      <c r="P92" s="809"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812" t="str">
        <f t="shared" si="13"/>
        <v/>
      </c>
      <c r="R92" s="813">
        <f t="shared" si="11"/>
        <v>0</v>
      </c>
      <c r="S92" s="813" t="str">
        <f t="shared" si="14"/>
        <v/>
      </c>
      <c r="T92" s="813" t="str">
        <f t="shared" si="15"/>
        <v/>
      </c>
      <c r="U92" s="814" t="str">
        <f t="shared" si="16"/>
        <v/>
      </c>
      <c r="V92" s="815" t="str">
        <f t="shared" si="17"/>
        <v/>
      </c>
      <c r="W92" s="816" t="str">
        <f t="shared" si="12"/>
        <v/>
      </c>
    </row>
    <row r="93" spans="1:23">
      <c r="A93" s="803">
        <f>IF('Statement of Marks'!A92="","",'Statement of Marks'!A92)</f>
        <v>86</v>
      </c>
      <c r="B93" s="804" t="str">
        <f>IF(OR($D$3="",$L$3=""),"",IF('Statement of Marks'!B92="","",'Statement of Marks'!B92))</f>
        <v/>
      </c>
      <c r="C93" s="805" t="str">
        <f>IF(OR($D$3="",$L$3=""),"",IF('Statement of Marks'!D92="","",'Statement of Marks'!D92))</f>
        <v/>
      </c>
      <c r="D93" s="806" t="str">
        <f>IF(OR($D$3="",$L$3=""),"",IF('Statement of Marks'!E92="","",'Statement of Marks'!E92))</f>
        <v/>
      </c>
      <c r="E93" s="807" t="str">
        <f>IF(OR($D$3="",$L$3=""),"",IF('Statement of Marks'!F92="","",'Statement of Marks'!F92))</f>
        <v/>
      </c>
      <c r="F93" s="807" t="str">
        <f>IF(OR($D$3="",$L$3=""),"",IF('Statement of Marks'!G92="","",'Statement of Marks'!G92))</f>
        <v/>
      </c>
      <c r="G93" s="807" t="str">
        <f>IF(OR($D$3="",$L$3=""),"",IF('Statement of Marks'!H92="","",'Statement of Marks'!H92))</f>
        <v/>
      </c>
      <c r="H93" s="808" t="str">
        <f>IF(OR($D$3="",$L$3=""),"",IF('Statement of Marks'!I92="","",'Statement of Marks'!I92))</f>
        <v/>
      </c>
      <c r="I93" s="808" t="str">
        <f>IF(OR($D$3="",$L$3=""),"",IF('Statement of Marks'!J92="","",'Statement of Marks'!J92))</f>
        <v/>
      </c>
      <c r="J93" s="809"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809"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809"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810">
        <f t="shared" si="10"/>
        <v>0</v>
      </c>
      <c r="N93" s="809"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811">
        <f>IF($L$3=$AJ$18,'Statement of Marks'!FV92,IF($L$3=$AJ$19,'Statement of Marks'!GD92,IF(AND(M93="NA",N93="NA"),"NA",IF(AND(M93="",N93=""),"",SUM(M93,N93)))))</f>
        <v>0</v>
      </c>
      <c r="P93" s="809"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812" t="str">
        <f t="shared" si="13"/>
        <v/>
      </c>
      <c r="R93" s="813">
        <f t="shared" si="11"/>
        <v>0</v>
      </c>
      <c r="S93" s="813" t="str">
        <f t="shared" si="14"/>
        <v/>
      </c>
      <c r="T93" s="813" t="str">
        <f t="shared" si="15"/>
        <v/>
      </c>
      <c r="U93" s="814" t="str">
        <f t="shared" si="16"/>
        <v/>
      </c>
      <c r="V93" s="815" t="str">
        <f t="shared" si="17"/>
        <v/>
      </c>
      <c r="W93" s="816" t="str">
        <f t="shared" si="12"/>
        <v/>
      </c>
    </row>
    <row r="94" spans="1:23">
      <c r="A94" s="803">
        <f>IF('Statement of Marks'!A93="","",'Statement of Marks'!A93)</f>
        <v>87</v>
      </c>
      <c r="B94" s="804" t="str">
        <f>IF(OR($D$3="",$L$3=""),"",IF('Statement of Marks'!B93="","",'Statement of Marks'!B93))</f>
        <v/>
      </c>
      <c r="C94" s="805" t="str">
        <f>IF(OR($D$3="",$L$3=""),"",IF('Statement of Marks'!D93="","",'Statement of Marks'!D93))</f>
        <v/>
      </c>
      <c r="D94" s="806" t="str">
        <f>IF(OR($D$3="",$L$3=""),"",IF('Statement of Marks'!E93="","",'Statement of Marks'!E93))</f>
        <v/>
      </c>
      <c r="E94" s="807" t="str">
        <f>IF(OR($D$3="",$L$3=""),"",IF('Statement of Marks'!F93="","",'Statement of Marks'!F93))</f>
        <v/>
      </c>
      <c r="F94" s="807" t="str">
        <f>IF(OR($D$3="",$L$3=""),"",IF('Statement of Marks'!G93="","",'Statement of Marks'!G93))</f>
        <v/>
      </c>
      <c r="G94" s="807" t="str">
        <f>IF(OR($D$3="",$L$3=""),"",IF('Statement of Marks'!H93="","",'Statement of Marks'!H93))</f>
        <v/>
      </c>
      <c r="H94" s="808" t="str">
        <f>IF(OR($D$3="",$L$3=""),"",IF('Statement of Marks'!I93="","",'Statement of Marks'!I93))</f>
        <v/>
      </c>
      <c r="I94" s="808" t="str">
        <f>IF(OR($D$3="",$L$3=""),"",IF('Statement of Marks'!J93="","",'Statement of Marks'!J93))</f>
        <v/>
      </c>
      <c r="J94" s="809"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809"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809"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810">
        <f t="shared" si="10"/>
        <v>0</v>
      </c>
      <c r="N94" s="809"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811">
        <f>IF($L$3=$AJ$18,'Statement of Marks'!FV93,IF($L$3=$AJ$19,'Statement of Marks'!GD93,IF(AND(M94="NA",N94="NA"),"NA",IF(AND(M94="",N94=""),"",SUM(M94,N94)))))</f>
        <v>0</v>
      </c>
      <c r="P94" s="809"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812" t="str">
        <f t="shared" si="13"/>
        <v/>
      </c>
      <c r="R94" s="813">
        <f t="shared" si="11"/>
        <v>0</v>
      </c>
      <c r="S94" s="813" t="str">
        <f t="shared" si="14"/>
        <v/>
      </c>
      <c r="T94" s="813" t="str">
        <f t="shared" si="15"/>
        <v/>
      </c>
      <c r="U94" s="814" t="str">
        <f t="shared" si="16"/>
        <v/>
      </c>
      <c r="V94" s="815" t="str">
        <f t="shared" si="17"/>
        <v/>
      </c>
      <c r="W94" s="816" t="str">
        <f t="shared" si="12"/>
        <v/>
      </c>
    </row>
    <row r="95" spans="1:23">
      <c r="A95" s="803">
        <f>IF('Statement of Marks'!A94="","",'Statement of Marks'!A94)</f>
        <v>88</v>
      </c>
      <c r="B95" s="804" t="str">
        <f>IF(OR($D$3="",$L$3=""),"",IF('Statement of Marks'!B94="","",'Statement of Marks'!B94))</f>
        <v/>
      </c>
      <c r="C95" s="805" t="str">
        <f>IF(OR($D$3="",$L$3=""),"",IF('Statement of Marks'!D94="","",'Statement of Marks'!D94))</f>
        <v/>
      </c>
      <c r="D95" s="806" t="str">
        <f>IF(OR($D$3="",$L$3=""),"",IF('Statement of Marks'!E94="","",'Statement of Marks'!E94))</f>
        <v/>
      </c>
      <c r="E95" s="807" t="str">
        <f>IF(OR($D$3="",$L$3=""),"",IF('Statement of Marks'!F94="","",'Statement of Marks'!F94))</f>
        <v/>
      </c>
      <c r="F95" s="807" t="str">
        <f>IF(OR($D$3="",$L$3=""),"",IF('Statement of Marks'!G94="","",'Statement of Marks'!G94))</f>
        <v/>
      </c>
      <c r="G95" s="807" t="str">
        <f>IF(OR($D$3="",$L$3=""),"",IF('Statement of Marks'!H94="","",'Statement of Marks'!H94))</f>
        <v/>
      </c>
      <c r="H95" s="808" t="str">
        <f>IF(OR($D$3="",$L$3=""),"",IF('Statement of Marks'!I94="","",'Statement of Marks'!I94))</f>
        <v/>
      </c>
      <c r="I95" s="808" t="str">
        <f>IF(OR($D$3="",$L$3=""),"",IF('Statement of Marks'!J94="","",'Statement of Marks'!J94))</f>
        <v/>
      </c>
      <c r="J95" s="809"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809"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809"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810">
        <f t="shared" si="10"/>
        <v>0</v>
      </c>
      <c r="N95" s="809"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811">
        <f>IF($L$3=$AJ$18,'Statement of Marks'!FV94,IF($L$3=$AJ$19,'Statement of Marks'!GD94,IF(AND(M95="NA",N95="NA"),"NA",IF(AND(M95="",N95=""),"",SUM(M95,N95)))))</f>
        <v>0</v>
      </c>
      <c r="P95" s="809"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812" t="str">
        <f t="shared" si="13"/>
        <v/>
      </c>
      <c r="R95" s="813">
        <f t="shared" si="11"/>
        <v>0</v>
      </c>
      <c r="S95" s="813" t="str">
        <f t="shared" si="14"/>
        <v/>
      </c>
      <c r="T95" s="813" t="str">
        <f t="shared" si="15"/>
        <v/>
      </c>
      <c r="U95" s="814" t="str">
        <f t="shared" si="16"/>
        <v/>
      </c>
      <c r="V95" s="815" t="str">
        <f t="shared" si="17"/>
        <v/>
      </c>
      <c r="W95" s="816" t="str">
        <f t="shared" si="12"/>
        <v/>
      </c>
    </row>
    <row r="96" spans="1:23">
      <c r="A96" s="803">
        <f>IF('Statement of Marks'!A95="","",'Statement of Marks'!A95)</f>
        <v>89</v>
      </c>
      <c r="B96" s="804" t="str">
        <f>IF(OR($D$3="",$L$3=""),"",IF('Statement of Marks'!B95="","",'Statement of Marks'!B95))</f>
        <v/>
      </c>
      <c r="C96" s="805" t="str">
        <f>IF(OR($D$3="",$L$3=""),"",IF('Statement of Marks'!D95="","",'Statement of Marks'!D95))</f>
        <v/>
      </c>
      <c r="D96" s="806" t="str">
        <f>IF(OR($D$3="",$L$3=""),"",IF('Statement of Marks'!E95="","",'Statement of Marks'!E95))</f>
        <v/>
      </c>
      <c r="E96" s="807" t="str">
        <f>IF(OR($D$3="",$L$3=""),"",IF('Statement of Marks'!F95="","",'Statement of Marks'!F95))</f>
        <v/>
      </c>
      <c r="F96" s="807" t="str">
        <f>IF(OR($D$3="",$L$3=""),"",IF('Statement of Marks'!G95="","",'Statement of Marks'!G95))</f>
        <v/>
      </c>
      <c r="G96" s="807" t="str">
        <f>IF(OR($D$3="",$L$3=""),"",IF('Statement of Marks'!H95="","",'Statement of Marks'!H95))</f>
        <v/>
      </c>
      <c r="H96" s="808" t="str">
        <f>IF(OR($D$3="",$L$3=""),"",IF('Statement of Marks'!I95="","",'Statement of Marks'!I95))</f>
        <v/>
      </c>
      <c r="I96" s="808" t="str">
        <f>IF(OR($D$3="",$L$3=""),"",IF('Statement of Marks'!J95="","",'Statement of Marks'!J95))</f>
        <v/>
      </c>
      <c r="J96" s="809"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809"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809"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810">
        <f t="shared" si="10"/>
        <v>0</v>
      </c>
      <c r="N96" s="809"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811">
        <f>IF($L$3=$AJ$18,'Statement of Marks'!FV95,IF($L$3=$AJ$19,'Statement of Marks'!GD95,IF(AND(M96="NA",N96="NA"),"NA",IF(AND(M96="",N96=""),"",SUM(M96,N96)))))</f>
        <v>0</v>
      </c>
      <c r="P96" s="809"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812" t="str">
        <f t="shared" si="13"/>
        <v/>
      </c>
      <c r="R96" s="813">
        <f t="shared" si="11"/>
        <v>0</v>
      </c>
      <c r="S96" s="813" t="str">
        <f t="shared" si="14"/>
        <v/>
      </c>
      <c r="T96" s="813" t="str">
        <f t="shared" si="15"/>
        <v/>
      </c>
      <c r="U96" s="814" t="str">
        <f t="shared" si="16"/>
        <v/>
      </c>
      <c r="V96" s="815" t="str">
        <f t="shared" si="17"/>
        <v/>
      </c>
      <c r="W96" s="816" t="str">
        <f t="shared" si="12"/>
        <v/>
      </c>
    </row>
    <row r="97" spans="1:23">
      <c r="A97" s="803">
        <f>IF('Statement of Marks'!A96="","",'Statement of Marks'!A96)</f>
        <v>90</v>
      </c>
      <c r="B97" s="804" t="str">
        <f>IF(OR($D$3="",$L$3=""),"",IF('Statement of Marks'!B96="","",'Statement of Marks'!B96))</f>
        <v/>
      </c>
      <c r="C97" s="805" t="str">
        <f>IF(OR($D$3="",$L$3=""),"",IF('Statement of Marks'!D96="","",'Statement of Marks'!D96))</f>
        <v/>
      </c>
      <c r="D97" s="806" t="str">
        <f>IF(OR($D$3="",$L$3=""),"",IF('Statement of Marks'!E96="","",'Statement of Marks'!E96))</f>
        <v/>
      </c>
      <c r="E97" s="807" t="str">
        <f>IF(OR($D$3="",$L$3=""),"",IF('Statement of Marks'!F96="","",'Statement of Marks'!F96))</f>
        <v/>
      </c>
      <c r="F97" s="807" t="str">
        <f>IF(OR($D$3="",$L$3=""),"",IF('Statement of Marks'!G96="","",'Statement of Marks'!G96))</f>
        <v/>
      </c>
      <c r="G97" s="807" t="str">
        <f>IF(OR($D$3="",$L$3=""),"",IF('Statement of Marks'!H96="","",'Statement of Marks'!H96))</f>
        <v/>
      </c>
      <c r="H97" s="808" t="str">
        <f>IF(OR($D$3="",$L$3=""),"",IF('Statement of Marks'!I96="","",'Statement of Marks'!I96))</f>
        <v/>
      </c>
      <c r="I97" s="808" t="str">
        <f>IF(OR($D$3="",$L$3=""),"",IF('Statement of Marks'!J96="","",'Statement of Marks'!J96))</f>
        <v/>
      </c>
      <c r="J97" s="809"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809"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809"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810">
        <f t="shared" si="10"/>
        <v>0</v>
      </c>
      <c r="N97" s="809"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811">
        <f>IF($L$3=$AJ$18,'Statement of Marks'!FV96,IF($L$3=$AJ$19,'Statement of Marks'!GD96,IF(AND(M97="NA",N97="NA"),"NA",IF(AND(M97="",N97=""),"",SUM(M97,N97)))))</f>
        <v>0</v>
      </c>
      <c r="P97" s="809"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812" t="str">
        <f t="shared" si="13"/>
        <v/>
      </c>
      <c r="R97" s="813">
        <f t="shared" si="11"/>
        <v>0</v>
      </c>
      <c r="S97" s="813" t="str">
        <f t="shared" si="14"/>
        <v/>
      </c>
      <c r="T97" s="813" t="str">
        <f t="shared" si="15"/>
        <v/>
      </c>
      <c r="U97" s="814" t="str">
        <f t="shared" si="16"/>
        <v/>
      </c>
      <c r="V97" s="815" t="str">
        <f t="shared" si="17"/>
        <v/>
      </c>
      <c r="W97" s="816" t="str">
        <f t="shared" si="12"/>
        <v/>
      </c>
    </row>
    <row r="98" spans="1:23">
      <c r="A98" s="803">
        <f>IF('Statement of Marks'!A97="","",'Statement of Marks'!A97)</f>
        <v>91</v>
      </c>
      <c r="B98" s="804" t="str">
        <f>IF(OR($D$3="",$L$3=""),"",IF('Statement of Marks'!B97="","",'Statement of Marks'!B97))</f>
        <v/>
      </c>
      <c r="C98" s="805" t="str">
        <f>IF(OR($D$3="",$L$3=""),"",IF('Statement of Marks'!D97="","",'Statement of Marks'!D97))</f>
        <v/>
      </c>
      <c r="D98" s="806" t="str">
        <f>IF(OR($D$3="",$L$3=""),"",IF('Statement of Marks'!E97="","",'Statement of Marks'!E97))</f>
        <v/>
      </c>
      <c r="E98" s="807" t="str">
        <f>IF(OR($D$3="",$L$3=""),"",IF('Statement of Marks'!F97="","",'Statement of Marks'!F97))</f>
        <v/>
      </c>
      <c r="F98" s="807" t="str">
        <f>IF(OR($D$3="",$L$3=""),"",IF('Statement of Marks'!G97="","",'Statement of Marks'!G97))</f>
        <v/>
      </c>
      <c r="G98" s="807" t="str">
        <f>IF(OR($D$3="",$L$3=""),"",IF('Statement of Marks'!H97="","",'Statement of Marks'!H97))</f>
        <v/>
      </c>
      <c r="H98" s="808" t="str">
        <f>IF(OR($D$3="",$L$3=""),"",IF('Statement of Marks'!I97="","",'Statement of Marks'!I97))</f>
        <v/>
      </c>
      <c r="I98" s="808" t="str">
        <f>IF(OR($D$3="",$L$3=""),"",IF('Statement of Marks'!J97="","",'Statement of Marks'!J97))</f>
        <v/>
      </c>
      <c r="J98" s="809"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809"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809"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810">
        <f t="shared" si="10"/>
        <v>0</v>
      </c>
      <c r="N98" s="809"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811">
        <f>IF($L$3=$AJ$18,'Statement of Marks'!FV97,IF($L$3=$AJ$19,'Statement of Marks'!GD97,IF(AND(M98="NA",N98="NA"),"NA",IF(AND(M98="",N98=""),"",SUM(M98,N98)))))</f>
        <v>0</v>
      </c>
      <c r="P98" s="809"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812" t="str">
        <f t="shared" si="13"/>
        <v/>
      </c>
      <c r="R98" s="813">
        <f t="shared" si="11"/>
        <v>0</v>
      </c>
      <c r="S98" s="813" t="str">
        <f t="shared" si="14"/>
        <v/>
      </c>
      <c r="T98" s="813" t="str">
        <f t="shared" si="15"/>
        <v/>
      </c>
      <c r="U98" s="814" t="str">
        <f t="shared" si="16"/>
        <v/>
      </c>
      <c r="V98" s="815" t="str">
        <f t="shared" si="17"/>
        <v/>
      </c>
      <c r="W98" s="816" t="str">
        <f t="shared" si="12"/>
        <v/>
      </c>
    </row>
    <row r="99" spans="1:23">
      <c r="A99" s="803">
        <f>IF('Statement of Marks'!A98="","",'Statement of Marks'!A98)</f>
        <v>92</v>
      </c>
      <c r="B99" s="804" t="str">
        <f>IF(OR($D$3="",$L$3=""),"",IF('Statement of Marks'!B98="","",'Statement of Marks'!B98))</f>
        <v/>
      </c>
      <c r="C99" s="805" t="str">
        <f>IF(OR($D$3="",$L$3=""),"",IF('Statement of Marks'!D98="","",'Statement of Marks'!D98))</f>
        <v/>
      </c>
      <c r="D99" s="806" t="str">
        <f>IF(OR($D$3="",$L$3=""),"",IF('Statement of Marks'!E98="","",'Statement of Marks'!E98))</f>
        <v/>
      </c>
      <c r="E99" s="807" t="str">
        <f>IF(OR($D$3="",$L$3=""),"",IF('Statement of Marks'!F98="","",'Statement of Marks'!F98))</f>
        <v/>
      </c>
      <c r="F99" s="807" t="str">
        <f>IF(OR($D$3="",$L$3=""),"",IF('Statement of Marks'!G98="","",'Statement of Marks'!G98))</f>
        <v/>
      </c>
      <c r="G99" s="807" t="str">
        <f>IF(OR($D$3="",$L$3=""),"",IF('Statement of Marks'!H98="","",'Statement of Marks'!H98))</f>
        <v/>
      </c>
      <c r="H99" s="808" t="str">
        <f>IF(OR($D$3="",$L$3=""),"",IF('Statement of Marks'!I98="","",'Statement of Marks'!I98))</f>
        <v/>
      </c>
      <c r="I99" s="808" t="str">
        <f>IF(OR($D$3="",$L$3=""),"",IF('Statement of Marks'!J98="","",'Statement of Marks'!J98))</f>
        <v/>
      </c>
      <c r="J99" s="809"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809"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809"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810">
        <f t="shared" si="10"/>
        <v>0</v>
      </c>
      <c r="N99" s="809"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811">
        <f>IF($L$3=$AJ$18,'Statement of Marks'!FV98,IF($L$3=$AJ$19,'Statement of Marks'!GD98,IF(AND(M99="NA",N99="NA"),"NA",IF(AND(M99="",N99=""),"",SUM(M99,N99)))))</f>
        <v>0</v>
      </c>
      <c r="P99" s="809"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812" t="str">
        <f t="shared" si="13"/>
        <v/>
      </c>
      <c r="R99" s="813">
        <f t="shared" si="11"/>
        <v>0</v>
      </c>
      <c r="S99" s="813" t="str">
        <f t="shared" si="14"/>
        <v/>
      </c>
      <c r="T99" s="813" t="str">
        <f t="shared" si="15"/>
        <v/>
      </c>
      <c r="U99" s="814" t="str">
        <f t="shared" si="16"/>
        <v/>
      </c>
      <c r="V99" s="815" t="str">
        <f t="shared" si="17"/>
        <v/>
      </c>
      <c r="W99" s="816" t="str">
        <f t="shared" si="12"/>
        <v/>
      </c>
    </row>
    <row r="100" spans="1:23">
      <c r="A100" s="803">
        <f>IF('Statement of Marks'!A99="","",'Statement of Marks'!A99)</f>
        <v>93</v>
      </c>
      <c r="B100" s="804" t="str">
        <f>IF(OR($D$3="",$L$3=""),"",IF('Statement of Marks'!B99="","",'Statement of Marks'!B99))</f>
        <v/>
      </c>
      <c r="C100" s="805" t="str">
        <f>IF(OR($D$3="",$L$3=""),"",IF('Statement of Marks'!D99="","",'Statement of Marks'!D99))</f>
        <v/>
      </c>
      <c r="D100" s="806" t="str">
        <f>IF(OR($D$3="",$L$3=""),"",IF('Statement of Marks'!E99="","",'Statement of Marks'!E99))</f>
        <v/>
      </c>
      <c r="E100" s="807" t="str">
        <f>IF(OR($D$3="",$L$3=""),"",IF('Statement of Marks'!F99="","",'Statement of Marks'!F99))</f>
        <v/>
      </c>
      <c r="F100" s="807" t="str">
        <f>IF(OR($D$3="",$L$3=""),"",IF('Statement of Marks'!G99="","",'Statement of Marks'!G99))</f>
        <v/>
      </c>
      <c r="G100" s="807" t="str">
        <f>IF(OR($D$3="",$L$3=""),"",IF('Statement of Marks'!H99="","",'Statement of Marks'!H99))</f>
        <v/>
      </c>
      <c r="H100" s="808" t="str">
        <f>IF(OR($D$3="",$L$3=""),"",IF('Statement of Marks'!I99="","",'Statement of Marks'!I99))</f>
        <v/>
      </c>
      <c r="I100" s="808" t="str">
        <f>IF(OR($D$3="",$L$3=""),"",IF('Statement of Marks'!J99="","",'Statement of Marks'!J99))</f>
        <v/>
      </c>
      <c r="J100" s="809"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809"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809"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810">
        <f t="shared" si="10"/>
        <v>0</v>
      </c>
      <c r="N100" s="809"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811">
        <f>IF($L$3=$AJ$18,'Statement of Marks'!FV99,IF($L$3=$AJ$19,'Statement of Marks'!GD99,IF(AND(M100="NA",N100="NA"),"NA",IF(AND(M100="",N100=""),"",SUM(M100,N100)))))</f>
        <v>0</v>
      </c>
      <c r="P100" s="809"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812" t="str">
        <f t="shared" si="13"/>
        <v/>
      </c>
      <c r="R100" s="813">
        <f t="shared" si="11"/>
        <v>0</v>
      </c>
      <c r="S100" s="813" t="str">
        <f t="shared" si="14"/>
        <v/>
      </c>
      <c r="T100" s="813" t="str">
        <f t="shared" si="15"/>
        <v/>
      </c>
      <c r="U100" s="814" t="str">
        <f t="shared" si="16"/>
        <v/>
      </c>
      <c r="V100" s="815" t="str">
        <f t="shared" si="17"/>
        <v/>
      </c>
      <c r="W100" s="816" t="str">
        <f t="shared" si="12"/>
        <v/>
      </c>
    </row>
    <row r="101" spans="1:23">
      <c r="A101" s="803">
        <f>IF('Statement of Marks'!A100="","",'Statement of Marks'!A100)</f>
        <v>94</v>
      </c>
      <c r="B101" s="804" t="str">
        <f>IF(OR($D$3="",$L$3=""),"",IF('Statement of Marks'!B100="","",'Statement of Marks'!B100))</f>
        <v/>
      </c>
      <c r="C101" s="805" t="str">
        <f>IF(OR($D$3="",$L$3=""),"",IF('Statement of Marks'!D100="","",'Statement of Marks'!D100))</f>
        <v/>
      </c>
      <c r="D101" s="806" t="str">
        <f>IF(OR($D$3="",$L$3=""),"",IF('Statement of Marks'!E100="","",'Statement of Marks'!E100))</f>
        <v/>
      </c>
      <c r="E101" s="807" t="str">
        <f>IF(OR($D$3="",$L$3=""),"",IF('Statement of Marks'!F100="","",'Statement of Marks'!F100))</f>
        <v/>
      </c>
      <c r="F101" s="807" t="str">
        <f>IF(OR($D$3="",$L$3=""),"",IF('Statement of Marks'!G100="","",'Statement of Marks'!G100))</f>
        <v/>
      </c>
      <c r="G101" s="807" t="str">
        <f>IF(OR($D$3="",$L$3=""),"",IF('Statement of Marks'!H100="","",'Statement of Marks'!H100))</f>
        <v/>
      </c>
      <c r="H101" s="808" t="str">
        <f>IF(OR($D$3="",$L$3=""),"",IF('Statement of Marks'!I100="","",'Statement of Marks'!I100))</f>
        <v/>
      </c>
      <c r="I101" s="808" t="str">
        <f>IF(OR($D$3="",$L$3=""),"",IF('Statement of Marks'!J100="","",'Statement of Marks'!J100))</f>
        <v/>
      </c>
      <c r="J101" s="809"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809"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809"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810">
        <f t="shared" si="10"/>
        <v>0</v>
      </c>
      <c r="N101" s="809"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811">
        <f>IF($L$3=$AJ$18,'Statement of Marks'!FV100,IF($L$3=$AJ$19,'Statement of Marks'!GD100,IF(AND(M101="NA",N101="NA"),"NA",IF(AND(M101="",N101=""),"",SUM(M101,N101)))))</f>
        <v>0</v>
      </c>
      <c r="P101" s="809"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812" t="str">
        <f t="shared" si="13"/>
        <v/>
      </c>
      <c r="R101" s="813">
        <f t="shared" si="11"/>
        <v>0</v>
      </c>
      <c r="S101" s="813" t="str">
        <f t="shared" si="14"/>
        <v/>
      </c>
      <c r="T101" s="813" t="str">
        <f t="shared" si="15"/>
        <v/>
      </c>
      <c r="U101" s="814" t="str">
        <f t="shared" si="16"/>
        <v/>
      </c>
      <c r="V101" s="815" t="str">
        <f t="shared" si="17"/>
        <v/>
      </c>
      <c r="W101" s="816" t="str">
        <f t="shared" si="12"/>
        <v/>
      </c>
    </row>
    <row r="102" spans="1:23">
      <c r="A102" s="803">
        <f>IF('Statement of Marks'!A101="","",'Statement of Marks'!A101)</f>
        <v>95</v>
      </c>
      <c r="B102" s="804" t="str">
        <f>IF(OR($D$3="",$L$3=""),"",IF('Statement of Marks'!B101="","",'Statement of Marks'!B101))</f>
        <v/>
      </c>
      <c r="C102" s="805" t="str">
        <f>IF(OR($D$3="",$L$3=""),"",IF('Statement of Marks'!D101="","",'Statement of Marks'!D101))</f>
        <v/>
      </c>
      <c r="D102" s="806" t="str">
        <f>IF(OR($D$3="",$L$3=""),"",IF('Statement of Marks'!E101="","",'Statement of Marks'!E101))</f>
        <v/>
      </c>
      <c r="E102" s="807" t="str">
        <f>IF(OR($D$3="",$L$3=""),"",IF('Statement of Marks'!F101="","",'Statement of Marks'!F101))</f>
        <v/>
      </c>
      <c r="F102" s="807" t="str">
        <f>IF(OR($D$3="",$L$3=""),"",IF('Statement of Marks'!G101="","",'Statement of Marks'!G101))</f>
        <v/>
      </c>
      <c r="G102" s="807" t="str">
        <f>IF(OR($D$3="",$L$3=""),"",IF('Statement of Marks'!H101="","",'Statement of Marks'!H101))</f>
        <v/>
      </c>
      <c r="H102" s="808" t="str">
        <f>IF(OR($D$3="",$L$3=""),"",IF('Statement of Marks'!I101="","",'Statement of Marks'!I101))</f>
        <v/>
      </c>
      <c r="I102" s="808" t="str">
        <f>IF(OR($D$3="",$L$3=""),"",IF('Statement of Marks'!J101="","",'Statement of Marks'!J101))</f>
        <v/>
      </c>
      <c r="J102" s="809"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809"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809"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810">
        <f t="shared" si="10"/>
        <v>0</v>
      </c>
      <c r="N102" s="809"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811">
        <f>IF($L$3=$AJ$18,'Statement of Marks'!FV101,IF($L$3=$AJ$19,'Statement of Marks'!GD101,IF(AND(M102="NA",N102="NA"),"NA",IF(AND(M102="",N102=""),"",SUM(M102,N102)))))</f>
        <v>0</v>
      </c>
      <c r="P102" s="809"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812" t="str">
        <f t="shared" si="13"/>
        <v/>
      </c>
      <c r="R102" s="813">
        <f t="shared" si="11"/>
        <v>0</v>
      </c>
      <c r="S102" s="813" t="str">
        <f t="shared" si="14"/>
        <v/>
      </c>
      <c r="T102" s="813" t="str">
        <f t="shared" si="15"/>
        <v/>
      </c>
      <c r="U102" s="814" t="str">
        <f t="shared" si="16"/>
        <v/>
      </c>
      <c r="V102" s="815" t="str">
        <f t="shared" si="17"/>
        <v/>
      </c>
      <c r="W102" s="816" t="str">
        <f t="shared" si="12"/>
        <v/>
      </c>
    </row>
    <row r="103" spans="1:23">
      <c r="A103" s="803">
        <f>IF('Statement of Marks'!A102="","",'Statement of Marks'!A102)</f>
        <v>96</v>
      </c>
      <c r="B103" s="804" t="str">
        <f>IF(OR($D$3="",$L$3=""),"",IF('Statement of Marks'!B102="","",'Statement of Marks'!B102))</f>
        <v/>
      </c>
      <c r="C103" s="805" t="str">
        <f>IF(OR($D$3="",$L$3=""),"",IF('Statement of Marks'!D102="","",'Statement of Marks'!D102))</f>
        <v/>
      </c>
      <c r="D103" s="806" t="str">
        <f>IF(OR($D$3="",$L$3=""),"",IF('Statement of Marks'!E102="","",'Statement of Marks'!E102))</f>
        <v/>
      </c>
      <c r="E103" s="807" t="str">
        <f>IF(OR($D$3="",$L$3=""),"",IF('Statement of Marks'!F102="","",'Statement of Marks'!F102))</f>
        <v/>
      </c>
      <c r="F103" s="807" t="str">
        <f>IF(OR($D$3="",$L$3=""),"",IF('Statement of Marks'!G102="","",'Statement of Marks'!G102))</f>
        <v/>
      </c>
      <c r="G103" s="807" t="str">
        <f>IF(OR($D$3="",$L$3=""),"",IF('Statement of Marks'!H102="","",'Statement of Marks'!H102))</f>
        <v/>
      </c>
      <c r="H103" s="808" t="str">
        <f>IF(OR($D$3="",$L$3=""),"",IF('Statement of Marks'!I102="","",'Statement of Marks'!I102))</f>
        <v/>
      </c>
      <c r="I103" s="808" t="str">
        <f>IF(OR($D$3="",$L$3=""),"",IF('Statement of Marks'!J102="","",'Statement of Marks'!J102))</f>
        <v/>
      </c>
      <c r="J103" s="809"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809"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809"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810">
        <f t="shared" si="10"/>
        <v>0</v>
      </c>
      <c r="N103" s="809"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811">
        <f>IF($L$3=$AJ$18,'Statement of Marks'!FV102,IF($L$3=$AJ$19,'Statement of Marks'!GD102,IF(AND(M103="NA",N103="NA"),"NA",IF(AND(M103="",N103=""),"",SUM(M103,N103)))))</f>
        <v>0</v>
      </c>
      <c r="P103" s="809"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812" t="str">
        <f t="shared" si="13"/>
        <v/>
      </c>
      <c r="R103" s="813">
        <f t="shared" si="11"/>
        <v>0</v>
      </c>
      <c r="S103" s="813" t="str">
        <f t="shared" si="14"/>
        <v/>
      </c>
      <c r="T103" s="813" t="str">
        <f t="shared" si="15"/>
        <v/>
      </c>
      <c r="U103" s="814" t="str">
        <f t="shared" si="16"/>
        <v/>
      </c>
      <c r="V103" s="815" t="str">
        <f t="shared" si="17"/>
        <v/>
      </c>
      <c r="W103" s="816" t="str">
        <f t="shared" si="12"/>
        <v/>
      </c>
    </row>
    <row r="104" spans="1:23">
      <c r="A104" s="803">
        <f>IF('Statement of Marks'!A103="","",'Statement of Marks'!A103)</f>
        <v>97</v>
      </c>
      <c r="B104" s="804" t="str">
        <f>IF(OR($D$3="",$L$3=""),"",IF('Statement of Marks'!B103="","",'Statement of Marks'!B103))</f>
        <v/>
      </c>
      <c r="C104" s="805" t="str">
        <f>IF(OR($D$3="",$L$3=""),"",IF('Statement of Marks'!D103="","",'Statement of Marks'!D103))</f>
        <v/>
      </c>
      <c r="D104" s="806" t="str">
        <f>IF(OR($D$3="",$L$3=""),"",IF('Statement of Marks'!E103="","",'Statement of Marks'!E103))</f>
        <v/>
      </c>
      <c r="E104" s="807" t="str">
        <f>IF(OR($D$3="",$L$3=""),"",IF('Statement of Marks'!F103="","",'Statement of Marks'!F103))</f>
        <v/>
      </c>
      <c r="F104" s="807" t="str">
        <f>IF(OR($D$3="",$L$3=""),"",IF('Statement of Marks'!G103="","",'Statement of Marks'!G103))</f>
        <v/>
      </c>
      <c r="G104" s="807" t="str">
        <f>IF(OR($D$3="",$L$3=""),"",IF('Statement of Marks'!H103="","",'Statement of Marks'!H103))</f>
        <v/>
      </c>
      <c r="H104" s="808" t="str">
        <f>IF(OR($D$3="",$L$3=""),"",IF('Statement of Marks'!I103="","",'Statement of Marks'!I103))</f>
        <v/>
      </c>
      <c r="I104" s="808" t="str">
        <f>IF(OR($D$3="",$L$3=""),"",IF('Statement of Marks'!J103="","",'Statement of Marks'!J103))</f>
        <v/>
      </c>
      <c r="J104" s="809"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809"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809"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810">
        <f t="shared" si="10"/>
        <v>0</v>
      </c>
      <c r="N104" s="809"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811">
        <f>IF($L$3=$AJ$18,'Statement of Marks'!FV103,IF($L$3=$AJ$19,'Statement of Marks'!GD103,IF(AND(M104="NA",N104="NA"),"NA",IF(AND(M104="",N104=""),"",SUM(M104,N104)))))</f>
        <v>0</v>
      </c>
      <c r="P104" s="809"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812" t="str">
        <f t="shared" si="13"/>
        <v/>
      </c>
      <c r="R104" s="813">
        <f t="shared" ref="R104:R135" si="18">IFERROR(IF($L$3="","",IF(OR($L$3=$AJ$18,$L$3=$AJ$19),COUNTIF(J104:L104,"NA")*$J$7+(COUNTIF(J104:L104,"ML")*$J$7)+(COUNTIF(O104,"ML")*$O$7)+(COUNTIF(N104,"ML")*$N$8)+(COUNTIF(P104,"ML")*$P$7),COUNTIF(N104,"NA")*$N$7+(COUNTIF(J104:L104,"ML")*$J$7)+(COUNTIF(N104,"ML")*$N$7)+(COUNTIF(P104,"ML")*$P$7))),0)</f>
        <v>0</v>
      </c>
      <c r="S104" s="813" t="str">
        <f t="shared" si="14"/>
        <v/>
      </c>
      <c r="T104" s="813" t="str">
        <f t="shared" si="15"/>
        <v/>
      </c>
      <c r="U104" s="814" t="str">
        <f t="shared" si="16"/>
        <v/>
      </c>
      <c r="V104" s="815" t="str">
        <f t="shared" si="17"/>
        <v/>
      </c>
      <c r="W104" s="816" t="str">
        <f t="shared" ref="W104:W135" si="19">IF(Q104="","",IF(OR(U104="",U104=0,U104="RE",U104="AB",B104="NSO"),"",IF(Q104&gt;85%*S104,"A",IF(Q104&gt;70%*S104,"B",IF(Q104&gt;=50%*S104,"C",IF(Q104&gt;=30%*S104,"D","E"))))))</f>
        <v/>
      </c>
    </row>
    <row r="105" spans="1:23">
      <c r="A105" s="803">
        <f>IF('Statement of Marks'!A104="","",'Statement of Marks'!A104)</f>
        <v>98</v>
      </c>
      <c r="B105" s="804" t="str">
        <f>IF(OR($D$3="",$L$3=""),"",IF('Statement of Marks'!B104="","",'Statement of Marks'!B104))</f>
        <v/>
      </c>
      <c r="C105" s="805" t="str">
        <f>IF(OR($D$3="",$L$3=""),"",IF('Statement of Marks'!D104="","",'Statement of Marks'!D104))</f>
        <v/>
      </c>
      <c r="D105" s="806" t="str">
        <f>IF(OR($D$3="",$L$3=""),"",IF('Statement of Marks'!E104="","",'Statement of Marks'!E104))</f>
        <v/>
      </c>
      <c r="E105" s="807" t="str">
        <f>IF(OR($D$3="",$L$3=""),"",IF('Statement of Marks'!F104="","",'Statement of Marks'!F104))</f>
        <v/>
      </c>
      <c r="F105" s="807" t="str">
        <f>IF(OR($D$3="",$L$3=""),"",IF('Statement of Marks'!G104="","",'Statement of Marks'!G104))</f>
        <v/>
      </c>
      <c r="G105" s="807" t="str">
        <f>IF(OR($D$3="",$L$3=""),"",IF('Statement of Marks'!H104="","",'Statement of Marks'!H104))</f>
        <v/>
      </c>
      <c r="H105" s="808" t="str">
        <f>IF(OR($D$3="",$L$3=""),"",IF('Statement of Marks'!I104="","",'Statement of Marks'!I104))</f>
        <v/>
      </c>
      <c r="I105" s="808" t="str">
        <f>IF(OR($D$3="",$L$3=""),"",IF('Statement of Marks'!J104="","",'Statement of Marks'!J104))</f>
        <v/>
      </c>
      <c r="J105" s="809"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809"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809"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810">
        <f t="shared" si="10"/>
        <v>0</v>
      </c>
      <c r="N105" s="809"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811">
        <f>IF($L$3=$AJ$18,'Statement of Marks'!FV104,IF($L$3=$AJ$19,'Statement of Marks'!GD104,IF(AND(M105="NA",N105="NA"),"NA",IF(AND(M105="",N105=""),"",SUM(M105,N105)))))</f>
        <v>0</v>
      </c>
      <c r="P105" s="809"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812" t="str">
        <f t="shared" si="13"/>
        <v/>
      </c>
      <c r="R105" s="813">
        <f t="shared" si="18"/>
        <v>0</v>
      </c>
      <c r="S105" s="813" t="str">
        <f t="shared" si="14"/>
        <v/>
      </c>
      <c r="T105" s="813" t="str">
        <f t="shared" si="15"/>
        <v/>
      </c>
      <c r="U105" s="814" t="str">
        <f t="shared" si="16"/>
        <v/>
      </c>
      <c r="V105" s="815" t="str">
        <f t="shared" si="17"/>
        <v/>
      </c>
      <c r="W105" s="816" t="str">
        <f t="shared" si="19"/>
        <v/>
      </c>
    </row>
    <row r="106" spans="1:23">
      <c r="A106" s="803">
        <f>IF('Statement of Marks'!A105="","",'Statement of Marks'!A105)</f>
        <v>99</v>
      </c>
      <c r="B106" s="804" t="str">
        <f>IF(OR($D$3="",$L$3=""),"",IF('Statement of Marks'!B105="","",'Statement of Marks'!B105))</f>
        <v/>
      </c>
      <c r="C106" s="805" t="str">
        <f>IF(OR($D$3="",$L$3=""),"",IF('Statement of Marks'!D105="","",'Statement of Marks'!D105))</f>
        <v/>
      </c>
      <c r="D106" s="806" t="str">
        <f>IF(OR($D$3="",$L$3=""),"",IF('Statement of Marks'!E105="","",'Statement of Marks'!E105))</f>
        <v/>
      </c>
      <c r="E106" s="807" t="str">
        <f>IF(OR($D$3="",$L$3=""),"",IF('Statement of Marks'!F105="","",'Statement of Marks'!F105))</f>
        <v/>
      </c>
      <c r="F106" s="807" t="str">
        <f>IF(OR($D$3="",$L$3=""),"",IF('Statement of Marks'!G105="","",'Statement of Marks'!G105))</f>
        <v/>
      </c>
      <c r="G106" s="807" t="str">
        <f>IF(OR($D$3="",$L$3=""),"",IF('Statement of Marks'!H105="","",'Statement of Marks'!H105))</f>
        <v/>
      </c>
      <c r="H106" s="808" t="str">
        <f>IF(OR($D$3="",$L$3=""),"",IF('Statement of Marks'!I105="","",'Statement of Marks'!I105))</f>
        <v/>
      </c>
      <c r="I106" s="808" t="str">
        <f>IF(OR($D$3="",$L$3=""),"",IF('Statement of Marks'!J105="","",'Statement of Marks'!J105))</f>
        <v/>
      </c>
      <c r="J106" s="809"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809"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809"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810">
        <f t="shared" si="10"/>
        <v>0</v>
      </c>
      <c r="N106" s="809"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811">
        <f>IF($L$3=$AJ$18,'Statement of Marks'!FV105,IF($L$3=$AJ$19,'Statement of Marks'!GD105,IF(AND(M106="NA",N106="NA"),"NA",IF(AND(M106="",N106=""),"",SUM(M106,N106)))))</f>
        <v>0</v>
      </c>
      <c r="P106" s="809"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812" t="str">
        <f t="shared" si="13"/>
        <v/>
      </c>
      <c r="R106" s="813">
        <f t="shared" si="18"/>
        <v>0</v>
      </c>
      <c r="S106" s="813" t="str">
        <f t="shared" si="14"/>
        <v/>
      </c>
      <c r="T106" s="813" t="str">
        <f t="shared" si="15"/>
        <v/>
      </c>
      <c r="U106" s="814" t="str">
        <f t="shared" si="16"/>
        <v/>
      </c>
      <c r="V106" s="815" t="str">
        <f t="shared" si="17"/>
        <v/>
      </c>
      <c r="W106" s="816" t="str">
        <f t="shared" si="19"/>
        <v/>
      </c>
    </row>
    <row r="107" spans="1:23">
      <c r="A107" s="803">
        <f>IF('Statement of Marks'!A106="","",'Statement of Marks'!A106)</f>
        <v>100</v>
      </c>
      <c r="B107" s="804" t="str">
        <f>IF(OR($D$3="",$L$3=""),"",IF('Statement of Marks'!B106="","",'Statement of Marks'!B106))</f>
        <v/>
      </c>
      <c r="C107" s="805" t="str">
        <f>IF(OR($D$3="",$L$3=""),"",IF('Statement of Marks'!D106="","",'Statement of Marks'!D106))</f>
        <v/>
      </c>
      <c r="D107" s="806" t="str">
        <f>IF(OR($D$3="",$L$3=""),"",IF('Statement of Marks'!E106="","",'Statement of Marks'!E106))</f>
        <v/>
      </c>
      <c r="E107" s="807" t="str">
        <f>IF(OR($D$3="",$L$3=""),"",IF('Statement of Marks'!F106="","",'Statement of Marks'!F106))</f>
        <v/>
      </c>
      <c r="F107" s="807" t="str">
        <f>IF(OR($D$3="",$L$3=""),"",IF('Statement of Marks'!G106="","",'Statement of Marks'!G106))</f>
        <v/>
      </c>
      <c r="G107" s="807" t="str">
        <f>IF(OR($D$3="",$L$3=""),"",IF('Statement of Marks'!H106="","",'Statement of Marks'!H106))</f>
        <v/>
      </c>
      <c r="H107" s="808" t="str">
        <f>IF(OR($D$3="",$L$3=""),"",IF('Statement of Marks'!I106="","",'Statement of Marks'!I106))</f>
        <v/>
      </c>
      <c r="I107" s="808" t="str">
        <f>IF(OR($D$3="",$L$3=""),"",IF('Statement of Marks'!J106="","",'Statement of Marks'!J106))</f>
        <v/>
      </c>
      <c r="J107" s="809"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809"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809"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810">
        <f t="shared" si="10"/>
        <v>0</v>
      </c>
      <c r="N107" s="809"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811">
        <f>IF($L$3=$AJ$18,'Statement of Marks'!FV106,IF($L$3=$AJ$19,'Statement of Marks'!GD106,IF(AND(M107="NA",N107="NA"),"NA",IF(AND(M107="",N107=""),"",SUM(M107,N107)))))</f>
        <v>0</v>
      </c>
      <c r="P107" s="809"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812" t="str">
        <f t="shared" si="13"/>
        <v/>
      </c>
      <c r="R107" s="813">
        <f t="shared" si="18"/>
        <v>0</v>
      </c>
      <c r="S107" s="813" t="str">
        <f t="shared" si="14"/>
        <v/>
      </c>
      <c r="T107" s="813" t="str">
        <f t="shared" si="15"/>
        <v/>
      </c>
      <c r="U107" s="814" t="str">
        <f t="shared" si="16"/>
        <v/>
      </c>
      <c r="V107" s="815" t="str">
        <f t="shared" si="17"/>
        <v/>
      </c>
      <c r="W107" s="816" t="str">
        <f t="shared" si="19"/>
        <v/>
      </c>
    </row>
    <row r="108" spans="1:23">
      <c r="A108" s="803">
        <f>IF('Statement of Marks'!A107="","",'Statement of Marks'!A107)</f>
        <v>101</v>
      </c>
      <c r="B108" s="804" t="str">
        <f>IF(OR($D$3="",$L$3=""),"",IF('Statement of Marks'!B107="","",'Statement of Marks'!B107))</f>
        <v/>
      </c>
      <c r="C108" s="805" t="str">
        <f>IF(OR($D$3="",$L$3=""),"",IF('Statement of Marks'!D107="","",'Statement of Marks'!D107))</f>
        <v/>
      </c>
      <c r="D108" s="806" t="str">
        <f>IF(OR($D$3="",$L$3=""),"",IF('Statement of Marks'!E107="","",'Statement of Marks'!E107))</f>
        <v/>
      </c>
      <c r="E108" s="807" t="str">
        <f>IF(OR($D$3="",$L$3=""),"",IF('Statement of Marks'!F107="","",'Statement of Marks'!F107))</f>
        <v/>
      </c>
      <c r="F108" s="807" t="str">
        <f>IF(OR($D$3="",$L$3=""),"",IF('Statement of Marks'!G107="","",'Statement of Marks'!G107))</f>
        <v/>
      </c>
      <c r="G108" s="807" t="str">
        <f>IF(OR($D$3="",$L$3=""),"",IF('Statement of Marks'!H107="","",'Statement of Marks'!H107))</f>
        <v/>
      </c>
      <c r="H108" s="808" t="str">
        <f>IF(OR($D$3="",$L$3=""),"",IF('Statement of Marks'!I107="","",'Statement of Marks'!I107))</f>
        <v/>
      </c>
      <c r="I108" s="808" t="str">
        <f>IF(OR($D$3="",$L$3=""),"",IF('Statement of Marks'!J107="","",'Statement of Marks'!J107))</f>
        <v/>
      </c>
      <c r="J108" s="809"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809"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809"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810">
        <f t="shared" si="10"/>
        <v>0</v>
      </c>
      <c r="N108" s="809"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811">
        <f>IF($L$3=$AJ$18,'Statement of Marks'!FV107,IF($L$3=$AJ$19,'Statement of Marks'!GD107,IF(AND(M108="NA",N108="NA"),"NA",IF(AND(M108="",N108=""),"",SUM(M108,N108)))))</f>
        <v>0</v>
      </c>
      <c r="P108" s="809"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812" t="str">
        <f t="shared" si="13"/>
        <v/>
      </c>
      <c r="R108" s="813">
        <f t="shared" si="18"/>
        <v>0</v>
      </c>
      <c r="S108" s="813" t="str">
        <f t="shared" si="14"/>
        <v/>
      </c>
      <c r="T108" s="813" t="str">
        <f t="shared" si="15"/>
        <v/>
      </c>
      <c r="U108" s="814" t="str">
        <f t="shared" si="16"/>
        <v/>
      </c>
      <c r="V108" s="815" t="str">
        <f t="shared" si="17"/>
        <v/>
      </c>
      <c r="W108" s="816" t="str">
        <f t="shared" si="19"/>
        <v/>
      </c>
    </row>
    <row r="109" spans="1:23">
      <c r="A109" s="803">
        <f>IF('Statement of Marks'!A108="","",'Statement of Marks'!A108)</f>
        <v>102</v>
      </c>
      <c r="B109" s="804" t="str">
        <f>IF(OR($D$3="",$L$3=""),"",IF('Statement of Marks'!B108="","",'Statement of Marks'!B108))</f>
        <v/>
      </c>
      <c r="C109" s="805" t="str">
        <f>IF(OR($D$3="",$L$3=""),"",IF('Statement of Marks'!D108="","",'Statement of Marks'!D108))</f>
        <v/>
      </c>
      <c r="D109" s="806" t="str">
        <f>IF(OR($D$3="",$L$3=""),"",IF('Statement of Marks'!E108="","",'Statement of Marks'!E108))</f>
        <v/>
      </c>
      <c r="E109" s="807" t="str">
        <f>IF(OR($D$3="",$L$3=""),"",IF('Statement of Marks'!F108="","",'Statement of Marks'!F108))</f>
        <v/>
      </c>
      <c r="F109" s="807" t="str">
        <f>IF(OR($D$3="",$L$3=""),"",IF('Statement of Marks'!G108="","",'Statement of Marks'!G108))</f>
        <v/>
      </c>
      <c r="G109" s="807" t="str">
        <f>IF(OR($D$3="",$L$3=""),"",IF('Statement of Marks'!H108="","",'Statement of Marks'!H108))</f>
        <v/>
      </c>
      <c r="H109" s="808" t="str">
        <f>IF(OR($D$3="",$L$3=""),"",IF('Statement of Marks'!I108="","",'Statement of Marks'!I108))</f>
        <v/>
      </c>
      <c r="I109" s="808" t="str">
        <f>IF(OR($D$3="",$L$3=""),"",IF('Statement of Marks'!J108="","",'Statement of Marks'!J108))</f>
        <v/>
      </c>
      <c r="J109" s="809"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809"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809"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810">
        <f t="shared" si="10"/>
        <v>0</v>
      </c>
      <c r="N109" s="809"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811">
        <f>IF($L$3=$AJ$18,'Statement of Marks'!FV108,IF($L$3=$AJ$19,'Statement of Marks'!GD108,IF(AND(M109="NA",N109="NA"),"NA",IF(AND(M109="",N109=""),"",SUM(M109,N109)))))</f>
        <v>0</v>
      </c>
      <c r="P109" s="809"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812" t="str">
        <f t="shared" si="13"/>
        <v/>
      </c>
      <c r="R109" s="813">
        <f t="shared" si="18"/>
        <v>0</v>
      </c>
      <c r="S109" s="813" t="str">
        <f t="shared" si="14"/>
        <v/>
      </c>
      <c r="T109" s="813" t="str">
        <f t="shared" si="15"/>
        <v/>
      </c>
      <c r="U109" s="814" t="str">
        <f t="shared" si="16"/>
        <v/>
      </c>
      <c r="V109" s="815" t="str">
        <f t="shared" si="17"/>
        <v/>
      </c>
      <c r="W109" s="816" t="str">
        <f t="shared" si="19"/>
        <v/>
      </c>
    </row>
    <row r="110" spans="1:23">
      <c r="A110" s="803">
        <f>IF('Statement of Marks'!A109="","",'Statement of Marks'!A109)</f>
        <v>103</v>
      </c>
      <c r="B110" s="804" t="str">
        <f>IF(OR($D$3="",$L$3=""),"",IF('Statement of Marks'!B109="","",'Statement of Marks'!B109))</f>
        <v/>
      </c>
      <c r="C110" s="805" t="str">
        <f>IF(OR($D$3="",$L$3=""),"",IF('Statement of Marks'!D109="","",'Statement of Marks'!D109))</f>
        <v/>
      </c>
      <c r="D110" s="806" t="str">
        <f>IF(OR($D$3="",$L$3=""),"",IF('Statement of Marks'!E109="","",'Statement of Marks'!E109))</f>
        <v/>
      </c>
      <c r="E110" s="807" t="str">
        <f>IF(OR($D$3="",$L$3=""),"",IF('Statement of Marks'!F109="","",'Statement of Marks'!F109))</f>
        <v/>
      </c>
      <c r="F110" s="807" t="str">
        <f>IF(OR($D$3="",$L$3=""),"",IF('Statement of Marks'!G109="","",'Statement of Marks'!G109))</f>
        <v/>
      </c>
      <c r="G110" s="807" t="str">
        <f>IF(OR($D$3="",$L$3=""),"",IF('Statement of Marks'!H109="","",'Statement of Marks'!H109))</f>
        <v/>
      </c>
      <c r="H110" s="808" t="str">
        <f>IF(OR($D$3="",$L$3=""),"",IF('Statement of Marks'!I109="","",'Statement of Marks'!I109))</f>
        <v/>
      </c>
      <c r="I110" s="808" t="str">
        <f>IF(OR($D$3="",$L$3=""),"",IF('Statement of Marks'!J109="","",'Statement of Marks'!J109))</f>
        <v/>
      </c>
      <c r="J110" s="809"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809"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809"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810">
        <f t="shared" si="10"/>
        <v>0</v>
      </c>
      <c r="N110" s="809"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811">
        <f>IF($L$3=$AJ$18,'Statement of Marks'!FV109,IF($L$3=$AJ$19,'Statement of Marks'!GD109,IF(AND(M110="NA",N110="NA"),"NA",IF(AND(M110="",N110=""),"",SUM(M110,N110)))))</f>
        <v>0</v>
      </c>
      <c r="P110" s="809"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812" t="str">
        <f t="shared" si="13"/>
        <v/>
      </c>
      <c r="R110" s="813">
        <f t="shared" si="18"/>
        <v>0</v>
      </c>
      <c r="S110" s="813" t="str">
        <f t="shared" si="14"/>
        <v/>
      </c>
      <c r="T110" s="813" t="str">
        <f t="shared" si="15"/>
        <v/>
      </c>
      <c r="U110" s="814" t="str">
        <f t="shared" si="16"/>
        <v/>
      </c>
      <c r="V110" s="815" t="str">
        <f t="shared" si="17"/>
        <v/>
      </c>
      <c r="W110" s="816" t="str">
        <f t="shared" si="19"/>
        <v/>
      </c>
    </row>
    <row r="111" spans="1:23">
      <c r="A111" s="803">
        <f>IF('Statement of Marks'!A110="","",'Statement of Marks'!A110)</f>
        <v>104</v>
      </c>
      <c r="B111" s="804" t="str">
        <f>IF(OR($D$3="",$L$3=""),"",IF('Statement of Marks'!B110="","",'Statement of Marks'!B110))</f>
        <v/>
      </c>
      <c r="C111" s="805" t="str">
        <f>IF(OR($D$3="",$L$3=""),"",IF('Statement of Marks'!D110="","",'Statement of Marks'!D110))</f>
        <v/>
      </c>
      <c r="D111" s="806" t="str">
        <f>IF(OR($D$3="",$L$3=""),"",IF('Statement of Marks'!E110="","",'Statement of Marks'!E110))</f>
        <v/>
      </c>
      <c r="E111" s="807" t="str">
        <f>IF(OR($D$3="",$L$3=""),"",IF('Statement of Marks'!F110="","",'Statement of Marks'!F110))</f>
        <v/>
      </c>
      <c r="F111" s="807" t="str">
        <f>IF(OR($D$3="",$L$3=""),"",IF('Statement of Marks'!G110="","",'Statement of Marks'!G110))</f>
        <v/>
      </c>
      <c r="G111" s="807" t="str">
        <f>IF(OR($D$3="",$L$3=""),"",IF('Statement of Marks'!H110="","",'Statement of Marks'!H110))</f>
        <v/>
      </c>
      <c r="H111" s="808" t="str">
        <f>IF(OR($D$3="",$L$3=""),"",IF('Statement of Marks'!I110="","",'Statement of Marks'!I110))</f>
        <v/>
      </c>
      <c r="I111" s="808" t="str">
        <f>IF(OR($D$3="",$L$3=""),"",IF('Statement of Marks'!J110="","",'Statement of Marks'!J110))</f>
        <v/>
      </c>
      <c r="J111" s="809"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809"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809"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810">
        <f t="shared" si="10"/>
        <v>0</v>
      </c>
      <c r="N111" s="809"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811">
        <f>IF($L$3=$AJ$18,'Statement of Marks'!FV110,IF($L$3=$AJ$19,'Statement of Marks'!GD110,IF(AND(M111="NA",N111="NA"),"NA",IF(AND(M111="",N111=""),"",SUM(M111,N111)))))</f>
        <v>0</v>
      </c>
      <c r="P111" s="809"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812" t="str">
        <f t="shared" si="13"/>
        <v/>
      </c>
      <c r="R111" s="813">
        <f t="shared" si="18"/>
        <v>0</v>
      </c>
      <c r="S111" s="813" t="str">
        <f t="shared" si="14"/>
        <v/>
      </c>
      <c r="T111" s="813" t="str">
        <f t="shared" si="15"/>
        <v/>
      </c>
      <c r="U111" s="814" t="str">
        <f t="shared" si="16"/>
        <v/>
      </c>
      <c r="V111" s="815" t="str">
        <f t="shared" si="17"/>
        <v/>
      </c>
      <c r="W111" s="816" t="str">
        <f t="shared" si="19"/>
        <v/>
      </c>
    </row>
    <row r="112" spans="1:23">
      <c r="A112" s="803">
        <f>IF('Statement of Marks'!A111="","",'Statement of Marks'!A111)</f>
        <v>105</v>
      </c>
      <c r="B112" s="804" t="str">
        <f>IF(OR($D$3="",$L$3=""),"",IF('Statement of Marks'!B111="","",'Statement of Marks'!B111))</f>
        <v/>
      </c>
      <c r="C112" s="805" t="str">
        <f>IF(OR($D$3="",$L$3=""),"",IF('Statement of Marks'!D111="","",'Statement of Marks'!D111))</f>
        <v/>
      </c>
      <c r="D112" s="806" t="str">
        <f>IF(OR($D$3="",$L$3=""),"",IF('Statement of Marks'!E111="","",'Statement of Marks'!E111))</f>
        <v/>
      </c>
      <c r="E112" s="807" t="str">
        <f>IF(OR($D$3="",$L$3=""),"",IF('Statement of Marks'!F111="","",'Statement of Marks'!F111))</f>
        <v/>
      </c>
      <c r="F112" s="807" t="str">
        <f>IF(OR($D$3="",$L$3=""),"",IF('Statement of Marks'!G111="","",'Statement of Marks'!G111))</f>
        <v/>
      </c>
      <c r="G112" s="807" t="str">
        <f>IF(OR($D$3="",$L$3=""),"",IF('Statement of Marks'!H111="","",'Statement of Marks'!H111))</f>
        <v/>
      </c>
      <c r="H112" s="808" t="str">
        <f>IF(OR($D$3="",$L$3=""),"",IF('Statement of Marks'!I111="","",'Statement of Marks'!I111))</f>
        <v/>
      </c>
      <c r="I112" s="808" t="str">
        <f>IF(OR($D$3="",$L$3=""),"",IF('Statement of Marks'!J111="","",'Statement of Marks'!J111))</f>
        <v/>
      </c>
      <c r="J112" s="809"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809"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809"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810">
        <f t="shared" si="10"/>
        <v>0</v>
      </c>
      <c r="N112" s="809"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811">
        <f>IF($L$3=$AJ$18,'Statement of Marks'!FV111,IF($L$3=$AJ$19,'Statement of Marks'!GD111,IF(AND(M112="NA",N112="NA"),"NA",IF(AND(M112="",N112=""),"",SUM(M112,N112)))))</f>
        <v>0</v>
      </c>
      <c r="P112" s="809"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812" t="str">
        <f t="shared" si="13"/>
        <v/>
      </c>
      <c r="R112" s="813">
        <f t="shared" si="18"/>
        <v>0</v>
      </c>
      <c r="S112" s="813" t="str">
        <f t="shared" si="14"/>
        <v/>
      </c>
      <c r="T112" s="813" t="str">
        <f t="shared" si="15"/>
        <v/>
      </c>
      <c r="U112" s="814" t="str">
        <f t="shared" si="16"/>
        <v/>
      </c>
      <c r="V112" s="815" t="str">
        <f t="shared" si="17"/>
        <v/>
      </c>
      <c r="W112" s="816" t="str">
        <f t="shared" si="19"/>
        <v/>
      </c>
    </row>
    <row r="113" spans="1:23">
      <c r="A113" s="803">
        <f>IF('Statement of Marks'!A112="","",'Statement of Marks'!A112)</f>
        <v>106</v>
      </c>
      <c r="B113" s="804" t="str">
        <f>IF(OR($D$3="",$L$3=""),"",IF('Statement of Marks'!B112="","",'Statement of Marks'!B112))</f>
        <v/>
      </c>
      <c r="C113" s="805" t="str">
        <f>IF(OR($D$3="",$L$3=""),"",IF('Statement of Marks'!D112="","",'Statement of Marks'!D112))</f>
        <v/>
      </c>
      <c r="D113" s="806" t="str">
        <f>IF(OR($D$3="",$L$3=""),"",IF('Statement of Marks'!E112="","",'Statement of Marks'!E112))</f>
        <v/>
      </c>
      <c r="E113" s="807" t="str">
        <f>IF(OR($D$3="",$L$3=""),"",IF('Statement of Marks'!F112="","",'Statement of Marks'!F112))</f>
        <v/>
      </c>
      <c r="F113" s="807" t="str">
        <f>IF(OR($D$3="",$L$3=""),"",IF('Statement of Marks'!G112="","",'Statement of Marks'!G112))</f>
        <v/>
      </c>
      <c r="G113" s="807" t="str">
        <f>IF(OR($D$3="",$L$3=""),"",IF('Statement of Marks'!H112="","",'Statement of Marks'!H112))</f>
        <v/>
      </c>
      <c r="H113" s="808" t="str">
        <f>IF(OR($D$3="",$L$3=""),"",IF('Statement of Marks'!I112="","",'Statement of Marks'!I112))</f>
        <v/>
      </c>
      <c r="I113" s="808" t="str">
        <f>IF(OR($D$3="",$L$3=""),"",IF('Statement of Marks'!J112="","",'Statement of Marks'!J112))</f>
        <v/>
      </c>
      <c r="J113" s="809"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809"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809"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810">
        <f t="shared" si="10"/>
        <v>0</v>
      </c>
      <c r="N113" s="809"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811">
        <f>IF($L$3=$AJ$18,'Statement of Marks'!FV112,IF($L$3=$AJ$19,'Statement of Marks'!GD112,IF(AND(M113="NA",N113="NA"),"NA",IF(AND(M113="",N113=""),"",SUM(M113,N113)))))</f>
        <v>0</v>
      </c>
      <c r="P113" s="809"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812" t="str">
        <f t="shared" si="13"/>
        <v/>
      </c>
      <c r="R113" s="813">
        <f t="shared" si="18"/>
        <v>0</v>
      </c>
      <c r="S113" s="813" t="str">
        <f t="shared" si="14"/>
        <v/>
      </c>
      <c r="T113" s="813" t="str">
        <f t="shared" si="15"/>
        <v/>
      </c>
      <c r="U113" s="814" t="str">
        <f t="shared" si="16"/>
        <v/>
      </c>
      <c r="V113" s="815" t="str">
        <f t="shared" si="17"/>
        <v/>
      </c>
      <c r="W113" s="816" t="str">
        <f t="shared" si="19"/>
        <v/>
      </c>
    </row>
    <row r="114" spans="1:23">
      <c r="A114" s="803">
        <f>IF('Statement of Marks'!A113="","",'Statement of Marks'!A113)</f>
        <v>107</v>
      </c>
      <c r="B114" s="804" t="str">
        <f>IF(OR($D$3="",$L$3=""),"",IF('Statement of Marks'!B113="","",'Statement of Marks'!B113))</f>
        <v/>
      </c>
      <c r="C114" s="805" t="str">
        <f>IF(OR($D$3="",$L$3=""),"",IF('Statement of Marks'!D113="","",'Statement of Marks'!D113))</f>
        <v/>
      </c>
      <c r="D114" s="806" t="str">
        <f>IF(OR($D$3="",$L$3=""),"",IF('Statement of Marks'!E113="","",'Statement of Marks'!E113))</f>
        <v/>
      </c>
      <c r="E114" s="807" t="str">
        <f>IF(OR($D$3="",$L$3=""),"",IF('Statement of Marks'!F113="","",'Statement of Marks'!F113))</f>
        <v/>
      </c>
      <c r="F114" s="807" t="str">
        <f>IF(OR($D$3="",$L$3=""),"",IF('Statement of Marks'!G113="","",'Statement of Marks'!G113))</f>
        <v/>
      </c>
      <c r="G114" s="807" t="str">
        <f>IF(OR($D$3="",$L$3=""),"",IF('Statement of Marks'!H113="","",'Statement of Marks'!H113))</f>
        <v/>
      </c>
      <c r="H114" s="808" t="str">
        <f>IF(OR($D$3="",$L$3=""),"",IF('Statement of Marks'!I113="","",'Statement of Marks'!I113))</f>
        <v/>
      </c>
      <c r="I114" s="808" t="str">
        <f>IF(OR($D$3="",$L$3=""),"",IF('Statement of Marks'!J113="","",'Statement of Marks'!J113))</f>
        <v/>
      </c>
      <c r="J114" s="809"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809"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809"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810">
        <f t="shared" si="10"/>
        <v>0</v>
      </c>
      <c r="N114" s="809"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811">
        <f>IF($L$3=$AJ$18,'Statement of Marks'!FV113,IF($L$3=$AJ$19,'Statement of Marks'!GD113,IF(AND(M114="NA",N114="NA"),"NA",IF(AND(M114="",N114=""),"",SUM(M114,N114)))))</f>
        <v>0</v>
      </c>
      <c r="P114" s="809"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812" t="str">
        <f t="shared" si="13"/>
        <v/>
      </c>
      <c r="R114" s="813">
        <f t="shared" si="18"/>
        <v>0</v>
      </c>
      <c r="S114" s="813" t="str">
        <f t="shared" si="14"/>
        <v/>
      </c>
      <c r="T114" s="813" t="str">
        <f t="shared" si="15"/>
        <v/>
      </c>
      <c r="U114" s="814" t="str">
        <f t="shared" si="16"/>
        <v/>
      </c>
      <c r="V114" s="815" t="str">
        <f t="shared" si="17"/>
        <v/>
      </c>
      <c r="W114" s="816" t="str">
        <f t="shared" si="19"/>
        <v/>
      </c>
    </row>
    <row r="115" spans="1:23">
      <c r="A115" s="803">
        <f>IF('Statement of Marks'!A114="","",'Statement of Marks'!A114)</f>
        <v>108</v>
      </c>
      <c r="B115" s="804" t="str">
        <f>IF(OR($D$3="",$L$3=""),"",IF('Statement of Marks'!B114="","",'Statement of Marks'!B114))</f>
        <v/>
      </c>
      <c r="C115" s="805" t="str">
        <f>IF(OR($D$3="",$L$3=""),"",IF('Statement of Marks'!D114="","",'Statement of Marks'!D114))</f>
        <v/>
      </c>
      <c r="D115" s="806" t="str">
        <f>IF(OR($D$3="",$L$3=""),"",IF('Statement of Marks'!E114="","",'Statement of Marks'!E114))</f>
        <v/>
      </c>
      <c r="E115" s="807" t="str">
        <f>IF(OR($D$3="",$L$3=""),"",IF('Statement of Marks'!F114="","",'Statement of Marks'!F114))</f>
        <v/>
      </c>
      <c r="F115" s="807" t="str">
        <f>IF(OR($D$3="",$L$3=""),"",IF('Statement of Marks'!G114="","",'Statement of Marks'!G114))</f>
        <v/>
      </c>
      <c r="G115" s="807" t="str">
        <f>IF(OR($D$3="",$L$3=""),"",IF('Statement of Marks'!H114="","",'Statement of Marks'!H114))</f>
        <v/>
      </c>
      <c r="H115" s="808" t="str">
        <f>IF(OR($D$3="",$L$3=""),"",IF('Statement of Marks'!I114="","",'Statement of Marks'!I114))</f>
        <v/>
      </c>
      <c r="I115" s="808" t="str">
        <f>IF(OR($D$3="",$L$3=""),"",IF('Statement of Marks'!J114="","",'Statement of Marks'!J114))</f>
        <v/>
      </c>
      <c r="J115" s="809"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809"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809"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810">
        <f t="shared" si="10"/>
        <v>0</v>
      </c>
      <c r="N115" s="809"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811">
        <f>IF($L$3=$AJ$18,'Statement of Marks'!FV114,IF($L$3=$AJ$19,'Statement of Marks'!GD114,IF(AND(M115="NA",N115="NA"),"NA",IF(AND(M115="",N115=""),"",SUM(M115,N115)))))</f>
        <v>0</v>
      </c>
      <c r="P115" s="809"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812" t="str">
        <f t="shared" si="13"/>
        <v/>
      </c>
      <c r="R115" s="813">
        <f t="shared" si="18"/>
        <v>0</v>
      </c>
      <c r="S115" s="813" t="str">
        <f t="shared" si="14"/>
        <v/>
      </c>
      <c r="T115" s="813" t="str">
        <f t="shared" si="15"/>
        <v/>
      </c>
      <c r="U115" s="814" t="str">
        <f t="shared" si="16"/>
        <v/>
      </c>
      <c r="V115" s="815" t="str">
        <f t="shared" si="17"/>
        <v/>
      </c>
      <c r="W115" s="816" t="str">
        <f t="shared" si="19"/>
        <v/>
      </c>
    </row>
    <row r="116" spans="1:23">
      <c r="A116" s="803">
        <f>IF('Statement of Marks'!A115="","",'Statement of Marks'!A115)</f>
        <v>109</v>
      </c>
      <c r="B116" s="804" t="str">
        <f>IF(OR($D$3="",$L$3=""),"",IF('Statement of Marks'!B115="","",'Statement of Marks'!B115))</f>
        <v/>
      </c>
      <c r="C116" s="805" t="str">
        <f>IF(OR($D$3="",$L$3=""),"",IF('Statement of Marks'!D115="","",'Statement of Marks'!D115))</f>
        <v/>
      </c>
      <c r="D116" s="806" t="str">
        <f>IF(OR($D$3="",$L$3=""),"",IF('Statement of Marks'!E115="","",'Statement of Marks'!E115))</f>
        <v/>
      </c>
      <c r="E116" s="807" t="str">
        <f>IF(OR($D$3="",$L$3=""),"",IF('Statement of Marks'!F115="","",'Statement of Marks'!F115))</f>
        <v/>
      </c>
      <c r="F116" s="807" t="str">
        <f>IF(OR($D$3="",$L$3=""),"",IF('Statement of Marks'!G115="","",'Statement of Marks'!G115))</f>
        <v/>
      </c>
      <c r="G116" s="807" t="str">
        <f>IF(OR($D$3="",$L$3=""),"",IF('Statement of Marks'!H115="","",'Statement of Marks'!H115))</f>
        <v/>
      </c>
      <c r="H116" s="808" t="str">
        <f>IF(OR($D$3="",$L$3=""),"",IF('Statement of Marks'!I115="","",'Statement of Marks'!I115))</f>
        <v/>
      </c>
      <c r="I116" s="808" t="str">
        <f>IF(OR($D$3="",$L$3=""),"",IF('Statement of Marks'!J115="","",'Statement of Marks'!J115))</f>
        <v/>
      </c>
      <c r="J116" s="809"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809"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809"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810">
        <f t="shared" si="10"/>
        <v>0</v>
      </c>
      <c r="N116" s="809"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811">
        <f>IF($L$3=$AJ$18,'Statement of Marks'!FV115,IF($L$3=$AJ$19,'Statement of Marks'!GD115,IF(AND(M116="NA",N116="NA"),"NA",IF(AND(M116="",N116=""),"",SUM(M116,N116)))))</f>
        <v>0</v>
      </c>
      <c r="P116" s="809"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812" t="str">
        <f t="shared" si="13"/>
        <v/>
      </c>
      <c r="R116" s="813">
        <f t="shared" si="18"/>
        <v>0</v>
      </c>
      <c r="S116" s="813" t="str">
        <f t="shared" si="14"/>
        <v/>
      </c>
      <c r="T116" s="813" t="str">
        <f t="shared" si="15"/>
        <v/>
      </c>
      <c r="U116" s="814" t="str">
        <f t="shared" si="16"/>
        <v/>
      </c>
      <c r="V116" s="815" t="str">
        <f t="shared" si="17"/>
        <v/>
      </c>
      <c r="W116" s="816" t="str">
        <f t="shared" si="19"/>
        <v/>
      </c>
    </row>
    <row r="117" spans="1:23">
      <c r="A117" s="803">
        <f>IF('Statement of Marks'!A116="","",'Statement of Marks'!A116)</f>
        <v>110</v>
      </c>
      <c r="B117" s="804" t="str">
        <f>IF(OR($D$3="",$L$3=""),"",IF('Statement of Marks'!B116="","",'Statement of Marks'!B116))</f>
        <v/>
      </c>
      <c r="C117" s="805" t="str">
        <f>IF(OR($D$3="",$L$3=""),"",IF('Statement of Marks'!D116="","",'Statement of Marks'!D116))</f>
        <v/>
      </c>
      <c r="D117" s="806" t="str">
        <f>IF(OR($D$3="",$L$3=""),"",IF('Statement of Marks'!E116="","",'Statement of Marks'!E116))</f>
        <v/>
      </c>
      <c r="E117" s="807" t="str">
        <f>IF(OR($D$3="",$L$3=""),"",IF('Statement of Marks'!F116="","",'Statement of Marks'!F116))</f>
        <v/>
      </c>
      <c r="F117" s="807" t="str">
        <f>IF(OR($D$3="",$L$3=""),"",IF('Statement of Marks'!G116="","",'Statement of Marks'!G116))</f>
        <v/>
      </c>
      <c r="G117" s="807" t="str">
        <f>IF(OR($D$3="",$L$3=""),"",IF('Statement of Marks'!H116="","",'Statement of Marks'!H116))</f>
        <v/>
      </c>
      <c r="H117" s="808" t="str">
        <f>IF(OR($D$3="",$L$3=""),"",IF('Statement of Marks'!I116="","",'Statement of Marks'!I116))</f>
        <v/>
      </c>
      <c r="I117" s="808" t="str">
        <f>IF(OR($D$3="",$L$3=""),"",IF('Statement of Marks'!J116="","",'Statement of Marks'!J116))</f>
        <v/>
      </c>
      <c r="J117" s="809"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809"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809"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810">
        <f t="shared" si="10"/>
        <v>0</v>
      </c>
      <c r="N117" s="809"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811">
        <f>IF($L$3=$AJ$18,'Statement of Marks'!FV116,IF($L$3=$AJ$19,'Statement of Marks'!GD116,IF(AND(M117="NA",N117="NA"),"NA",IF(AND(M117="",N117=""),"",SUM(M117,N117)))))</f>
        <v>0</v>
      </c>
      <c r="P117" s="809"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812" t="str">
        <f t="shared" si="13"/>
        <v/>
      </c>
      <c r="R117" s="813">
        <f t="shared" si="18"/>
        <v>0</v>
      </c>
      <c r="S117" s="813" t="str">
        <f t="shared" si="14"/>
        <v/>
      </c>
      <c r="T117" s="813" t="str">
        <f t="shared" si="15"/>
        <v/>
      </c>
      <c r="U117" s="814" t="str">
        <f t="shared" si="16"/>
        <v/>
      </c>
      <c r="V117" s="815" t="str">
        <f t="shared" si="17"/>
        <v/>
      </c>
      <c r="W117" s="816" t="str">
        <f t="shared" si="19"/>
        <v/>
      </c>
    </row>
    <row r="118" spans="1:23">
      <c r="A118" s="803">
        <f>IF('Statement of Marks'!A117="","",'Statement of Marks'!A117)</f>
        <v>111</v>
      </c>
      <c r="B118" s="804" t="str">
        <f>IF(OR($D$3="",$L$3=""),"",IF('Statement of Marks'!B117="","",'Statement of Marks'!B117))</f>
        <v/>
      </c>
      <c r="C118" s="805" t="str">
        <f>IF(OR($D$3="",$L$3=""),"",IF('Statement of Marks'!D117="","",'Statement of Marks'!D117))</f>
        <v/>
      </c>
      <c r="D118" s="806" t="str">
        <f>IF(OR($D$3="",$L$3=""),"",IF('Statement of Marks'!E117="","",'Statement of Marks'!E117))</f>
        <v/>
      </c>
      <c r="E118" s="807" t="str">
        <f>IF(OR($D$3="",$L$3=""),"",IF('Statement of Marks'!F117="","",'Statement of Marks'!F117))</f>
        <v/>
      </c>
      <c r="F118" s="807" t="str">
        <f>IF(OR($D$3="",$L$3=""),"",IF('Statement of Marks'!G117="","",'Statement of Marks'!G117))</f>
        <v/>
      </c>
      <c r="G118" s="807" t="str">
        <f>IF(OR($D$3="",$L$3=""),"",IF('Statement of Marks'!H117="","",'Statement of Marks'!H117))</f>
        <v/>
      </c>
      <c r="H118" s="808" t="str">
        <f>IF(OR($D$3="",$L$3=""),"",IF('Statement of Marks'!I117="","",'Statement of Marks'!I117))</f>
        <v/>
      </c>
      <c r="I118" s="808" t="str">
        <f>IF(OR($D$3="",$L$3=""),"",IF('Statement of Marks'!J117="","",'Statement of Marks'!J117))</f>
        <v/>
      </c>
      <c r="J118" s="809"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809"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809"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810">
        <f t="shared" si="10"/>
        <v>0</v>
      </c>
      <c r="N118" s="809"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811">
        <f>IF($L$3=$AJ$18,'Statement of Marks'!FV117,IF($L$3=$AJ$19,'Statement of Marks'!GD117,IF(AND(M118="NA",N118="NA"),"NA",IF(AND(M118="",N118=""),"",SUM(M118,N118)))))</f>
        <v>0</v>
      </c>
      <c r="P118" s="809"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812" t="str">
        <f t="shared" si="13"/>
        <v/>
      </c>
      <c r="R118" s="813">
        <f t="shared" si="18"/>
        <v>0</v>
      </c>
      <c r="S118" s="813" t="str">
        <f t="shared" si="14"/>
        <v/>
      </c>
      <c r="T118" s="813" t="str">
        <f t="shared" si="15"/>
        <v/>
      </c>
      <c r="U118" s="814" t="str">
        <f t="shared" si="16"/>
        <v/>
      </c>
      <c r="V118" s="815" t="str">
        <f t="shared" si="17"/>
        <v/>
      </c>
      <c r="W118" s="816" t="str">
        <f t="shared" si="19"/>
        <v/>
      </c>
    </row>
    <row r="119" spans="1:23">
      <c r="A119" s="803">
        <f>IF('Statement of Marks'!A118="","",'Statement of Marks'!A118)</f>
        <v>112</v>
      </c>
      <c r="B119" s="804" t="str">
        <f>IF(OR($D$3="",$L$3=""),"",IF('Statement of Marks'!B118="","",'Statement of Marks'!B118))</f>
        <v/>
      </c>
      <c r="C119" s="805" t="str">
        <f>IF(OR($D$3="",$L$3=""),"",IF('Statement of Marks'!D118="","",'Statement of Marks'!D118))</f>
        <v/>
      </c>
      <c r="D119" s="806" t="str">
        <f>IF(OR($D$3="",$L$3=""),"",IF('Statement of Marks'!E118="","",'Statement of Marks'!E118))</f>
        <v/>
      </c>
      <c r="E119" s="807" t="str">
        <f>IF(OR($D$3="",$L$3=""),"",IF('Statement of Marks'!F118="","",'Statement of Marks'!F118))</f>
        <v/>
      </c>
      <c r="F119" s="807" t="str">
        <f>IF(OR($D$3="",$L$3=""),"",IF('Statement of Marks'!G118="","",'Statement of Marks'!G118))</f>
        <v/>
      </c>
      <c r="G119" s="807" t="str">
        <f>IF(OR($D$3="",$L$3=""),"",IF('Statement of Marks'!H118="","",'Statement of Marks'!H118))</f>
        <v/>
      </c>
      <c r="H119" s="808" t="str">
        <f>IF(OR($D$3="",$L$3=""),"",IF('Statement of Marks'!I118="","",'Statement of Marks'!I118))</f>
        <v/>
      </c>
      <c r="I119" s="808" t="str">
        <f>IF(OR($D$3="",$L$3=""),"",IF('Statement of Marks'!J118="","",'Statement of Marks'!J118))</f>
        <v/>
      </c>
      <c r="J119" s="809"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809"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809"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810">
        <f t="shared" si="10"/>
        <v>0</v>
      </c>
      <c r="N119" s="809"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811">
        <f>IF($L$3=$AJ$18,'Statement of Marks'!FV118,IF($L$3=$AJ$19,'Statement of Marks'!GD118,IF(AND(M119="NA",N119="NA"),"NA",IF(AND(M119="",N119=""),"",SUM(M119,N119)))))</f>
        <v>0</v>
      </c>
      <c r="P119" s="809"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812" t="str">
        <f t="shared" si="13"/>
        <v/>
      </c>
      <c r="R119" s="813">
        <f t="shared" si="18"/>
        <v>0</v>
      </c>
      <c r="S119" s="813" t="str">
        <f t="shared" si="14"/>
        <v/>
      </c>
      <c r="T119" s="813" t="str">
        <f t="shared" si="15"/>
        <v/>
      </c>
      <c r="U119" s="814" t="str">
        <f t="shared" si="16"/>
        <v/>
      </c>
      <c r="V119" s="815" t="str">
        <f t="shared" si="17"/>
        <v/>
      </c>
      <c r="W119" s="816" t="str">
        <f t="shared" si="19"/>
        <v/>
      </c>
    </row>
    <row r="120" spans="1:23">
      <c r="A120" s="803">
        <f>IF('Statement of Marks'!A119="","",'Statement of Marks'!A119)</f>
        <v>113</v>
      </c>
      <c r="B120" s="804" t="str">
        <f>IF(OR($D$3="",$L$3=""),"",IF('Statement of Marks'!B119="","",'Statement of Marks'!B119))</f>
        <v/>
      </c>
      <c r="C120" s="805" t="str">
        <f>IF(OR($D$3="",$L$3=""),"",IF('Statement of Marks'!D119="","",'Statement of Marks'!D119))</f>
        <v/>
      </c>
      <c r="D120" s="806" t="str">
        <f>IF(OR($D$3="",$L$3=""),"",IF('Statement of Marks'!E119="","",'Statement of Marks'!E119))</f>
        <v/>
      </c>
      <c r="E120" s="807" t="str">
        <f>IF(OR($D$3="",$L$3=""),"",IF('Statement of Marks'!F119="","",'Statement of Marks'!F119))</f>
        <v/>
      </c>
      <c r="F120" s="807" t="str">
        <f>IF(OR($D$3="",$L$3=""),"",IF('Statement of Marks'!G119="","",'Statement of Marks'!G119))</f>
        <v/>
      </c>
      <c r="G120" s="807" t="str">
        <f>IF(OR($D$3="",$L$3=""),"",IF('Statement of Marks'!H119="","",'Statement of Marks'!H119))</f>
        <v/>
      </c>
      <c r="H120" s="808" t="str">
        <f>IF(OR($D$3="",$L$3=""),"",IF('Statement of Marks'!I119="","",'Statement of Marks'!I119))</f>
        <v/>
      </c>
      <c r="I120" s="808" t="str">
        <f>IF(OR($D$3="",$L$3=""),"",IF('Statement of Marks'!J119="","",'Statement of Marks'!J119))</f>
        <v/>
      </c>
      <c r="J120" s="809"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809"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809"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810">
        <f t="shared" si="10"/>
        <v>0</v>
      </c>
      <c r="N120" s="809"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811">
        <f>IF($L$3=$AJ$18,'Statement of Marks'!FV119,IF($L$3=$AJ$19,'Statement of Marks'!GD119,IF(AND(M120="NA",N120="NA"),"NA",IF(AND(M120="",N120=""),"",SUM(M120,N120)))))</f>
        <v>0</v>
      </c>
      <c r="P120" s="809"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812" t="str">
        <f t="shared" si="13"/>
        <v/>
      </c>
      <c r="R120" s="813">
        <f t="shared" si="18"/>
        <v>0</v>
      </c>
      <c r="S120" s="813" t="str">
        <f t="shared" si="14"/>
        <v/>
      </c>
      <c r="T120" s="813" t="str">
        <f t="shared" si="15"/>
        <v/>
      </c>
      <c r="U120" s="814" t="str">
        <f t="shared" si="16"/>
        <v/>
      </c>
      <c r="V120" s="815" t="str">
        <f t="shared" si="17"/>
        <v/>
      </c>
      <c r="W120" s="816" t="str">
        <f t="shared" si="19"/>
        <v/>
      </c>
    </row>
    <row r="121" spans="1:23">
      <c r="A121" s="803">
        <f>IF('Statement of Marks'!A120="","",'Statement of Marks'!A120)</f>
        <v>114</v>
      </c>
      <c r="B121" s="804" t="str">
        <f>IF(OR($D$3="",$L$3=""),"",IF('Statement of Marks'!B120="","",'Statement of Marks'!B120))</f>
        <v/>
      </c>
      <c r="C121" s="805" t="str">
        <f>IF(OR($D$3="",$L$3=""),"",IF('Statement of Marks'!D120="","",'Statement of Marks'!D120))</f>
        <v/>
      </c>
      <c r="D121" s="806" t="str">
        <f>IF(OR($D$3="",$L$3=""),"",IF('Statement of Marks'!E120="","",'Statement of Marks'!E120))</f>
        <v/>
      </c>
      <c r="E121" s="807" t="str">
        <f>IF(OR($D$3="",$L$3=""),"",IF('Statement of Marks'!F120="","",'Statement of Marks'!F120))</f>
        <v/>
      </c>
      <c r="F121" s="807" t="str">
        <f>IF(OR($D$3="",$L$3=""),"",IF('Statement of Marks'!G120="","",'Statement of Marks'!G120))</f>
        <v/>
      </c>
      <c r="G121" s="807" t="str">
        <f>IF(OR($D$3="",$L$3=""),"",IF('Statement of Marks'!H120="","",'Statement of Marks'!H120))</f>
        <v/>
      </c>
      <c r="H121" s="808" t="str">
        <f>IF(OR($D$3="",$L$3=""),"",IF('Statement of Marks'!I120="","",'Statement of Marks'!I120))</f>
        <v/>
      </c>
      <c r="I121" s="808" t="str">
        <f>IF(OR($D$3="",$L$3=""),"",IF('Statement of Marks'!J120="","",'Statement of Marks'!J120))</f>
        <v/>
      </c>
      <c r="J121" s="809"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809"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809"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810">
        <f t="shared" si="10"/>
        <v>0</v>
      </c>
      <c r="N121" s="809"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811">
        <f>IF($L$3=$AJ$18,'Statement of Marks'!FV120,IF($L$3=$AJ$19,'Statement of Marks'!GD120,IF(AND(M121="NA",N121="NA"),"NA",IF(AND(M121="",N121=""),"",SUM(M121,N121)))))</f>
        <v>0</v>
      </c>
      <c r="P121" s="809"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812" t="str">
        <f t="shared" si="13"/>
        <v/>
      </c>
      <c r="R121" s="813">
        <f t="shared" si="18"/>
        <v>0</v>
      </c>
      <c r="S121" s="813" t="str">
        <f t="shared" si="14"/>
        <v/>
      </c>
      <c r="T121" s="813" t="str">
        <f t="shared" si="15"/>
        <v/>
      </c>
      <c r="U121" s="814" t="str">
        <f t="shared" si="16"/>
        <v/>
      </c>
      <c r="V121" s="815" t="str">
        <f t="shared" si="17"/>
        <v/>
      </c>
      <c r="W121" s="816" t="str">
        <f t="shared" si="19"/>
        <v/>
      </c>
    </row>
    <row r="122" spans="1:23">
      <c r="A122" s="803">
        <f>IF('Statement of Marks'!A121="","",'Statement of Marks'!A121)</f>
        <v>115</v>
      </c>
      <c r="B122" s="804" t="str">
        <f>IF(OR($D$3="",$L$3=""),"",IF('Statement of Marks'!B121="","",'Statement of Marks'!B121))</f>
        <v/>
      </c>
      <c r="C122" s="805" t="str">
        <f>IF(OR($D$3="",$L$3=""),"",IF('Statement of Marks'!D121="","",'Statement of Marks'!D121))</f>
        <v/>
      </c>
      <c r="D122" s="806" t="str">
        <f>IF(OR($D$3="",$L$3=""),"",IF('Statement of Marks'!E121="","",'Statement of Marks'!E121))</f>
        <v/>
      </c>
      <c r="E122" s="807" t="str">
        <f>IF(OR($D$3="",$L$3=""),"",IF('Statement of Marks'!F121="","",'Statement of Marks'!F121))</f>
        <v/>
      </c>
      <c r="F122" s="807" t="str">
        <f>IF(OR($D$3="",$L$3=""),"",IF('Statement of Marks'!G121="","",'Statement of Marks'!G121))</f>
        <v/>
      </c>
      <c r="G122" s="807" t="str">
        <f>IF(OR($D$3="",$L$3=""),"",IF('Statement of Marks'!H121="","",'Statement of Marks'!H121))</f>
        <v/>
      </c>
      <c r="H122" s="808" t="str">
        <f>IF(OR($D$3="",$L$3=""),"",IF('Statement of Marks'!I121="","",'Statement of Marks'!I121))</f>
        <v/>
      </c>
      <c r="I122" s="808" t="str">
        <f>IF(OR($D$3="",$L$3=""),"",IF('Statement of Marks'!J121="","",'Statement of Marks'!J121))</f>
        <v/>
      </c>
      <c r="J122" s="809"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809"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809"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810">
        <f t="shared" si="10"/>
        <v>0</v>
      </c>
      <c r="N122" s="809"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811">
        <f>IF($L$3=$AJ$18,'Statement of Marks'!FV121,IF($L$3=$AJ$19,'Statement of Marks'!GD121,IF(AND(M122="NA",N122="NA"),"NA",IF(AND(M122="",N122=""),"",SUM(M122,N122)))))</f>
        <v>0</v>
      </c>
      <c r="P122" s="809"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812" t="str">
        <f t="shared" si="13"/>
        <v/>
      </c>
      <c r="R122" s="813">
        <f t="shared" si="18"/>
        <v>0</v>
      </c>
      <c r="S122" s="813" t="str">
        <f t="shared" si="14"/>
        <v/>
      </c>
      <c r="T122" s="813" t="str">
        <f t="shared" si="15"/>
        <v/>
      </c>
      <c r="U122" s="814" t="str">
        <f t="shared" si="16"/>
        <v/>
      </c>
      <c r="V122" s="815" t="str">
        <f t="shared" si="17"/>
        <v/>
      </c>
      <c r="W122" s="816" t="str">
        <f t="shared" si="19"/>
        <v/>
      </c>
    </row>
    <row r="123" spans="1:23">
      <c r="A123" s="803">
        <f>IF('Statement of Marks'!A122="","",'Statement of Marks'!A122)</f>
        <v>116</v>
      </c>
      <c r="B123" s="804" t="str">
        <f>IF(OR($D$3="",$L$3=""),"",IF('Statement of Marks'!B122="","",'Statement of Marks'!B122))</f>
        <v/>
      </c>
      <c r="C123" s="805" t="str">
        <f>IF(OR($D$3="",$L$3=""),"",IF('Statement of Marks'!D122="","",'Statement of Marks'!D122))</f>
        <v/>
      </c>
      <c r="D123" s="806" t="str">
        <f>IF(OR($D$3="",$L$3=""),"",IF('Statement of Marks'!E122="","",'Statement of Marks'!E122))</f>
        <v/>
      </c>
      <c r="E123" s="807" t="str">
        <f>IF(OR($D$3="",$L$3=""),"",IF('Statement of Marks'!F122="","",'Statement of Marks'!F122))</f>
        <v/>
      </c>
      <c r="F123" s="807" t="str">
        <f>IF(OR($D$3="",$L$3=""),"",IF('Statement of Marks'!G122="","",'Statement of Marks'!G122))</f>
        <v/>
      </c>
      <c r="G123" s="807" t="str">
        <f>IF(OR($D$3="",$L$3=""),"",IF('Statement of Marks'!H122="","",'Statement of Marks'!H122))</f>
        <v/>
      </c>
      <c r="H123" s="808" t="str">
        <f>IF(OR($D$3="",$L$3=""),"",IF('Statement of Marks'!I122="","",'Statement of Marks'!I122))</f>
        <v/>
      </c>
      <c r="I123" s="808" t="str">
        <f>IF(OR($D$3="",$L$3=""),"",IF('Statement of Marks'!J122="","",'Statement of Marks'!J122))</f>
        <v/>
      </c>
      <c r="J123" s="809"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809"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809"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810">
        <f t="shared" si="10"/>
        <v>0</v>
      </c>
      <c r="N123" s="809"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811">
        <f>IF($L$3=$AJ$18,'Statement of Marks'!FV122,IF($L$3=$AJ$19,'Statement of Marks'!GD122,IF(AND(M123="NA",N123="NA"),"NA",IF(AND(M123="",N123=""),"",SUM(M123,N123)))))</f>
        <v>0</v>
      </c>
      <c r="P123" s="809"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812" t="str">
        <f t="shared" si="13"/>
        <v/>
      </c>
      <c r="R123" s="813">
        <f t="shared" si="18"/>
        <v>0</v>
      </c>
      <c r="S123" s="813" t="str">
        <f t="shared" si="14"/>
        <v/>
      </c>
      <c r="T123" s="813" t="str">
        <f t="shared" si="15"/>
        <v/>
      </c>
      <c r="U123" s="814" t="str">
        <f t="shared" si="16"/>
        <v/>
      </c>
      <c r="V123" s="815" t="str">
        <f t="shared" si="17"/>
        <v/>
      </c>
      <c r="W123" s="816" t="str">
        <f t="shared" si="19"/>
        <v/>
      </c>
    </row>
    <row r="124" spans="1:23">
      <c r="A124" s="803">
        <f>IF('Statement of Marks'!A123="","",'Statement of Marks'!A123)</f>
        <v>117</v>
      </c>
      <c r="B124" s="804" t="str">
        <f>IF(OR($D$3="",$L$3=""),"",IF('Statement of Marks'!B123="","",'Statement of Marks'!B123))</f>
        <v/>
      </c>
      <c r="C124" s="805" t="str">
        <f>IF(OR($D$3="",$L$3=""),"",IF('Statement of Marks'!D123="","",'Statement of Marks'!D123))</f>
        <v/>
      </c>
      <c r="D124" s="806" t="str">
        <f>IF(OR($D$3="",$L$3=""),"",IF('Statement of Marks'!E123="","",'Statement of Marks'!E123))</f>
        <v/>
      </c>
      <c r="E124" s="807" t="str">
        <f>IF(OR($D$3="",$L$3=""),"",IF('Statement of Marks'!F123="","",'Statement of Marks'!F123))</f>
        <v/>
      </c>
      <c r="F124" s="807" t="str">
        <f>IF(OR($D$3="",$L$3=""),"",IF('Statement of Marks'!G123="","",'Statement of Marks'!G123))</f>
        <v/>
      </c>
      <c r="G124" s="807" t="str">
        <f>IF(OR($D$3="",$L$3=""),"",IF('Statement of Marks'!H123="","",'Statement of Marks'!H123))</f>
        <v/>
      </c>
      <c r="H124" s="808" t="str">
        <f>IF(OR($D$3="",$L$3=""),"",IF('Statement of Marks'!I123="","",'Statement of Marks'!I123))</f>
        <v/>
      </c>
      <c r="I124" s="808" t="str">
        <f>IF(OR($D$3="",$L$3=""),"",IF('Statement of Marks'!J123="","",'Statement of Marks'!J123))</f>
        <v/>
      </c>
      <c r="J124" s="809"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809"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809"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810">
        <f t="shared" si="10"/>
        <v>0</v>
      </c>
      <c r="N124" s="809"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811">
        <f>IF($L$3=$AJ$18,'Statement of Marks'!FV123,IF($L$3=$AJ$19,'Statement of Marks'!GD123,IF(AND(M124="NA",N124="NA"),"NA",IF(AND(M124="",N124=""),"",SUM(M124,N124)))))</f>
        <v>0</v>
      </c>
      <c r="P124" s="809"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812" t="str">
        <f t="shared" si="13"/>
        <v/>
      </c>
      <c r="R124" s="813">
        <f t="shared" si="18"/>
        <v>0</v>
      </c>
      <c r="S124" s="813" t="str">
        <f t="shared" si="14"/>
        <v/>
      </c>
      <c r="T124" s="813" t="str">
        <f t="shared" si="15"/>
        <v/>
      </c>
      <c r="U124" s="814" t="str">
        <f t="shared" si="16"/>
        <v/>
      </c>
      <c r="V124" s="815" t="str">
        <f t="shared" si="17"/>
        <v/>
      </c>
      <c r="W124" s="816" t="str">
        <f t="shared" si="19"/>
        <v/>
      </c>
    </row>
    <row r="125" spans="1:23">
      <c r="A125" s="803">
        <f>IF('Statement of Marks'!A124="","",'Statement of Marks'!A124)</f>
        <v>118</v>
      </c>
      <c r="B125" s="804" t="str">
        <f>IF(OR($D$3="",$L$3=""),"",IF('Statement of Marks'!B124="","",'Statement of Marks'!B124))</f>
        <v/>
      </c>
      <c r="C125" s="805" t="str">
        <f>IF(OR($D$3="",$L$3=""),"",IF('Statement of Marks'!D124="","",'Statement of Marks'!D124))</f>
        <v/>
      </c>
      <c r="D125" s="806" t="str">
        <f>IF(OR($D$3="",$L$3=""),"",IF('Statement of Marks'!E124="","",'Statement of Marks'!E124))</f>
        <v/>
      </c>
      <c r="E125" s="807" t="str">
        <f>IF(OR($D$3="",$L$3=""),"",IF('Statement of Marks'!F124="","",'Statement of Marks'!F124))</f>
        <v/>
      </c>
      <c r="F125" s="807" t="str">
        <f>IF(OR($D$3="",$L$3=""),"",IF('Statement of Marks'!G124="","",'Statement of Marks'!G124))</f>
        <v/>
      </c>
      <c r="G125" s="807" t="str">
        <f>IF(OR($D$3="",$L$3=""),"",IF('Statement of Marks'!H124="","",'Statement of Marks'!H124))</f>
        <v/>
      </c>
      <c r="H125" s="808" t="str">
        <f>IF(OR($D$3="",$L$3=""),"",IF('Statement of Marks'!I124="","",'Statement of Marks'!I124))</f>
        <v/>
      </c>
      <c r="I125" s="808" t="str">
        <f>IF(OR($D$3="",$L$3=""),"",IF('Statement of Marks'!J124="","",'Statement of Marks'!J124))</f>
        <v/>
      </c>
      <c r="J125" s="809"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809"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809"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810">
        <f t="shared" si="10"/>
        <v>0</v>
      </c>
      <c r="N125" s="809"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811">
        <f>IF($L$3=$AJ$18,'Statement of Marks'!FV124,IF($L$3=$AJ$19,'Statement of Marks'!GD124,IF(AND(M125="NA",N125="NA"),"NA",IF(AND(M125="",N125=""),"",SUM(M125,N125)))))</f>
        <v>0</v>
      </c>
      <c r="P125" s="809"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812" t="str">
        <f t="shared" si="13"/>
        <v/>
      </c>
      <c r="R125" s="813">
        <f t="shared" si="18"/>
        <v>0</v>
      </c>
      <c r="S125" s="813" t="str">
        <f t="shared" si="14"/>
        <v/>
      </c>
      <c r="T125" s="813" t="str">
        <f t="shared" si="15"/>
        <v/>
      </c>
      <c r="U125" s="814" t="str">
        <f t="shared" si="16"/>
        <v/>
      </c>
      <c r="V125" s="815" t="str">
        <f t="shared" si="17"/>
        <v/>
      </c>
      <c r="W125" s="816" t="str">
        <f t="shared" si="19"/>
        <v/>
      </c>
    </row>
    <row r="126" spans="1:23">
      <c r="A126" s="803">
        <f>IF('Statement of Marks'!A125="","",'Statement of Marks'!A125)</f>
        <v>119</v>
      </c>
      <c r="B126" s="804" t="str">
        <f>IF(OR($D$3="",$L$3=""),"",IF('Statement of Marks'!B125="","",'Statement of Marks'!B125))</f>
        <v/>
      </c>
      <c r="C126" s="805" t="str">
        <f>IF(OR($D$3="",$L$3=""),"",IF('Statement of Marks'!D125="","",'Statement of Marks'!D125))</f>
        <v/>
      </c>
      <c r="D126" s="806" t="str">
        <f>IF(OR($D$3="",$L$3=""),"",IF('Statement of Marks'!E125="","",'Statement of Marks'!E125))</f>
        <v/>
      </c>
      <c r="E126" s="807" t="str">
        <f>IF(OR($D$3="",$L$3=""),"",IF('Statement of Marks'!F125="","",'Statement of Marks'!F125))</f>
        <v/>
      </c>
      <c r="F126" s="807" t="str">
        <f>IF(OR($D$3="",$L$3=""),"",IF('Statement of Marks'!G125="","",'Statement of Marks'!G125))</f>
        <v/>
      </c>
      <c r="G126" s="807" t="str">
        <f>IF(OR($D$3="",$L$3=""),"",IF('Statement of Marks'!H125="","",'Statement of Marks'!H125))</f>
        <v/>
      </c>
      <c r="H126" s="808" t="str">
        <f>IF(OR($D$3="",$L$3=""),"",IF('Statement of Marks'!I125="","",'Statement of Marks'!I125))</f>
        <v/>
      </c>
      <c r="I126" s="808" t="str">
        <f>IF(OR($D$3="",$L$3=""),"",IF('Statement of Marks'!J125="","",'Statement of Marks'!J125))</f>
        <v/>
      </c>
      <c r="J126" s="809"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809"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809"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810">
        <f t="shared" si="10"/>
        <v>0</v>
      </c>
      <c r="N126" s="809"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811">
        <f>IF($L$3=$AJ$18,'Statement of Marks'!FV125,IF($L$3=$AJ$19,'Statement of Marks'!GD125,IF(AND(M126="NA",N126="NA"),"NA",IF(AND(M126="",N126=""),"",SUM(M126,N126)))))</f>
        <v>0</v>
      </c>
      <c r="P126" s="809"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812" t="str">
        <f t="shared" si="13"/>
        <v/>
      </c>
      <c r="R126" s="813">
        <f t="shared" si="18"/>
        <v>0</v>
      </c>
      <c r="S126" s="813" t="str">
        <f t="shared" si="14"/>
        <v/>
      </c>
      <c r="T126" s="813" t="str">
        <f t="shared" si="15"/>
        <v/>
      </c>
      <c r="U126" s="814" t="str">
        <f t="shared" si="16"/>
        <v/>
      </c>
      <c r="V126" s="815" t="str">
        <f t="shared" si="17"/>
        <v/>
      </c>
      <c r="W126" s="816" t="str">
        <f t="shared" si="19"/>
        <v/>
      </c>
    </row>
    <row r="127" spans="1:23">
      <c r="A127" s="803">
        <f>IF('Statement of Marks'!A126="","",'Statement of Marks'!A126)</f>
        <v>120</v>
      </c>
      <c r="B127" s="804" t="str">
        <f>IF(OR($D$3="",$L$3=""),"",IF('Statement of Marks'!B126="","",'Statement of Marks'!B126))</f>
        <v/>
      </c>
      <c r="C127" s="805" t="str">
        <f>IF(OR($D$3="",$L$3=""),"",IF('Statement of Marks'!D126="","",'Statement of Marks'!D126))</f>
        <v/>
      </c>
      <c r="D127" s="806" t="str">
        <f>IF(OR($D$3="",$L$3=""),"",IF('Statement of Marks'!E126="","",'Statement of Marks'!E126))</f>
        <v/>
      </c>
      <c r="E127" s="807" t="str">
        <f>IF(OR($D$3="",$L$3=""),"",IF('Statement of Marks'!F126="","",'Statement of Marks'!F126))</f>
        <v/>
      </c>
      <c r="F127" s="807" t="str">
        <f>IF(OR($D$3="",$L$3=""),"",IF('Statement of Marks'!G126="","",'Statement of Marks'!G126))</f>
        <v/>
      </c>
      <c r="G127" s="807" t="str">
        <f>IF(OR($D$3="",$L$3=""),"",IF('Statement of Marks'!H126="","",'Statement of Marks'!H126))</f>
        <v/>
      </c>
      <c r="H127" s="808" t="str">
        <f>IF(OR($D$3="",$L$3=""),"",IF('Statement of Marks'!I126="","",'Statement of Marks'!I126))</f>
        <v/>
      </c>
      <c r="I127" s="808" t="str">
        <f>IF(OR($D$3="",$L$3=""),"",IF('Statement of Marks'!J126="","",'Statement of Marks'!J126))</f>
        <v/>
      </c>
      <c r="J127" s="809"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809"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809"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810">
        <f t="shared" si="10"/>
        <v>0</v>
      </c>
      <c r="N127" s="809"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811">
        <f>IF($L$3=$AJ$18,'Statement of Marks'!FV126,IF($L$3=$AJ$19,'Statement of Marks'!GD126,IF(AND(M127="NA",N127="NA"),"NA",IF(AND(M127="",N127=""),"",SUM(M127,N127)))))</f>
        <v>0</v>
      </c>
      <c r="P127" s="809"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812" t="str">
        <f t="shared" si="13"/>
        <v/>
      </c>
      <c r="R127" s="813">
        <f t="shared" si="18"/>
        <v>0</v>
      </c>
      <c r="S127" s="813" t="str">
        <f t="shared" si="14"/>
        <v/>
      </c>
      <c r="T127" s="813" t="str">
        <f t="shared" si="15"/>
        <v/>
      </c>
      <c r="U127" s="814" t="str">
        <f t="shared" si="16"/>
        <v/>
      </c>
      <c r="V127" s="815" t="str">
        <f t="shared" si="17"/>
        <v/>
      </c>
      <c r="W127" s="816" t="str">
        <f t="shared" si="19"/>
        <v/>
      </c>
    </row>
    <row r="128" spans="1:23">
      <c r="A128" s="803">
        <f>IF('Statement of Marks'!A127="","",'Statement of Marks'!A127)</f>
        <v>121</v>
      </c>
      <c r="B128" s="804" t="str">
        <f>IF(OR($D$3="",$L$3=""),"",IF('Statement of Marks'!B127="","",'Statement of Marks'!B127))</f>
        <v/>
      </c>
      <c r="C128" s="805" t="str">
        <f>IF(OR($D$3="",$L$3=""),"",IF('Statement of Marks'!D127="","",'Statement of Marks'!D127))</f>
        <v/>
      </c>
      <c r="D128" s="806" t="str">
        <f>IF(OR($D$3="",$L$3=""),"",IF('Statement of Marks'!E127="","",'Statement of Marks'!E127))</f>
        <v/>
      </c>
      <c r="E128" s="807" t="str">
        <f>IF(OR($D$3="",$L$3=""),"",IF('Statement of Marks'!F127="","",'Statement of Marks'!F127))</f>
        <v/>
      </c>
      <c r="F128" s="807" t="str">
        <f>IF(OR($D$3="",$L$3=""),"",IF('Statement of Marks'!G127="","",'Statement of Marks'!G127))</f>
        <v/>
      </c>
      <c r="G128" s="807" t="str">
        <f>IF(OR($D$3="",$L$3=""),"",IF('Statement of Marks'!H127="","",'Statement of Marks'!H127))</f>
        <v/>
      </c>
      <c r="H128" s="808" t="str">
        <f>IF(OR($D$3="",$L$3=""),"",IF('Statement of Marks'!I127="","",'Statement of Marks'!I127))</f>
        <v/>
      </c>
      <c r="I128" s="808" t="str">
        <f>IF(OR($D$3="",$L$3=""),"",IF('Statement of Marks'!J127="","",'Statement of Marks'!J127))</f>
        <v/>
      </c>
      <c r="J128" s="809"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809"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809"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810">
        <f t="shared" si="10"/>
        <v>0</v>
      </c>
      <c r="N128" s="809"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811">
        <f>IF($L$3=$AJ$18,'Statement of Marks'!FV127,IF($L$3=$AJ$19,'Statement of Marks'!GD127,IF(AND(M128="NA",N128="NA"),"NA",IF(AND(M128="",N128=""),"",SUM(M128,N128)))))</f>
        <v>0</v>
      </c>
      <c r="P128" s="809"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812" t="str">
        <f t="shared" si="13"/>
        <v/>
      </c>
      <c r="R128" s="813">
        <f t="shared" si="18"/>
        <v>0</v>
      </c>
      <c r="S128" s="813" t="str">
        <f t="shared" si="14"/>
        <v/>
      </c>
      <c r="T128" s="813" t="str">
        <f t="shared" si="15"/>
        <v/>
      </c>
      <c r="U128" s="814" t="str">
        <f t="shared" si="16"/>
        <v/>
      </c>
      <c r="V128" s="815" t="str">
        <f t="shared" si="17"/>
        <v/>
      </c>
      <c r="W128" s="816" t="str">
        <f t="shared" si="19"/>
        <v/>
      </c>
    </row>
    <row r="129" spans="1:23">
      <c r="A129" s="803">
        <f>IF('Statement of Marks'!A128="","",'Statement of Marks'!A128)</f>
        <v>122</v>
      </c>
      <c r="B129" s="804" t="str">
        <f>IF(OR($D$3="",$L$3=""),"",IF('Statement of Marks'!B128="","",'Statement of Marks'!B128))</f>
        <v/>
      </c>
      <c r="C129" s="805" t="str">
        <f>IF(OR($D$3="",$L$3=""),"",IF('Statement of Marks'!D128="","",'Statement of Marks'!D128))</f>
        <v/>
      </c>
      <c r="D129" s="806" t="str">
        <f>IF(OR($D$3="",$L$3=""),"",IF('Statement of Marks'!E128="","",'Statement of Marks'!E128))</f>
        <v/>
      </c>
      <c r="E129" s="807" t="str">
        <f>IF(OR($D$3="",$L$3=""),"",IF('Statement of Marks'!F128="","",'Statement of Marks'!F128))</f>
        <v/>
      </c>
      <c r="F129" s="807" t="str">
        <f>IF(OR($D$3="",$L$3=""),"",IF('Statement of Marks'!G128="","",'Statement of Marks'!G128))</f>
        <v/>
      </c>
      <c r="G129" s="807" t="str">
        <f>IF(OR($D$3="",$L$3=""),"",IF('Statement of Marks'!H128="","",'Statement of Marks'!H128))</f>
        <v/>
      </c>
      <c r="H129" s="808" t="str">
        <f>IF(OR($D$3="",$L$3=""),"",IF('Statement of Marks'!I128="","",'Statement of Marks'!I128))</f>
        <v/>
      </c>
      <c r="I129" s="808" t="str">
        <f>IF(OR($D$3="",$L$3=""),"",IF('Statement of Marks'!J128="","",'Statement of Marks'!J128))</f>
        <v/>
      </c>
      <c r="J129" s="809"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809"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809"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810">
        <f t="shared" si="10"/>
        <v>0</v>
      </c>
      <c r="N129" s="809"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811">
        <f>IF($L$3=$AJ$18,'Statement of Marks'!FV128,IF($L$3=$AJ$19,'Statement of Marks'!GD128,IF(AND(M129="NA",N129="NA"),"NA",IF(AND(M129="",N129=""),"",SUM(M129,N129)))))</f>
        <v>0</v>
      </c>
      <c r="P129" s="809"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812" t="str">
        <f t="shared" si="13"/>
        <v/>
      </c>
      <c r="R129" s="813">
        <f t="shared" si="18"/>
        <v>0</v>
      </c>
      <c r="S129" s="813" t="str">
        <f t="shared" si="14"/>
        <v/>
      </c>
      <c r="T129" s="813" t="str">
        <f t="shared" si="15"/>
        <v/>
      </c>
      <c r="U129" s="814" t="str">
        <f t="shared" si="16"/>
        <v/>
      </c>
      <c r="V129" s="815" t="str">
        <f t="shared" si="17"/>
        <v/>
      </c>
      <c r="W129" s="816" t="str">
        <f t="shared" si="19"/>
        <v/>
      </c>
    </row>
    <row r="130" spans="1:23">
      <c r="A130" s="803">
        <f>IF('Statement of Marks'!A129="","",'Statement of Marks'!A129)</f>
        <v>123</v>
      </c>
      <c r="B130" s="804" t="str">
        <f>IF(OR($D$3="",$L$3=""),"",IF('Statement of Marks'!B129="","",'Statement of Marks'!B129))</f>
        <v/>
      </c>
      <c r="C130" s="805" t="str">
        <f>IF(OR($D$3="",$L$3=""),"",IF('Statement of Marks'!D129="","",'Statement of Marks'!D129))</f>
        <v/>
      </c>
      <c r="D130" s="806" t="str">
        <f>IF(OR($D$3="",$L$3=""),"",IF('Statement of Marks'!E129="","",'Statement of Marks'!E129))</f>
        <v/>
      </c>
      <c r="E130" s="807" t="str">
        <f>IF(OR($D$3="",$L$3=""),"",IF('Statement of Marks'!F129="","",'Statement of Marks'!F129))</f>
        <v/>
      </c>
      <c r="F130" s="807" t="str">
        <f>IF(OR($D$3="",$L$3=""),"",IF('Statement of Marks'!G129="","",'Statement of Marks'!G129))</f>
        <v/>
      </c>
      <c r="G130" s="807" t="str">
        <f>IF(OR($D$3="",$L$3=""),"",IF('Statement of Marks'!H129="","",'Statement of Marks'!H129))</f>
        <v/>
      </c>
      <c r="H130" s="808" t="str">
        <f>IF(OR($D$3="",$L$3=""),"",IF('Statement of Marks'!I129="","",'Statement of Marks'!I129))</f>
        <v/>
      </c>
      <c r="I130" s="808" t="str">
        <f>IF(OR($D$3="",$L$3=""),"",IF('Statement of Marks'!J129="","",'Statement of Marks'!J129))</f>
        <v/>
      </c>
      <c r="J130" s="809"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809"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809"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810">
        <f t="shared" si="10"/>
        <v>0</v>
      </c>
      <c r="N130" s="809"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811">
        <f>IF($L$3=$AJ$18,'Statement of Marks'!FV129,IF($L$3=$AJ$19,'Statement of Marks'!GD129,IF(AND(M130="NA",N130="NA"),"NA",IF(AND(M130="",N130=""),"",SUM(M130,N130)))))</f>
        <v>0</v>
      </c>
      <c r="P130" s="809"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812" t="str">
        <f t="shared" si="13"/>
        <v/>
      </c>
      <c r="R130" s="813">
        <f t="shared" si="18"/>
        <v>0</v>
      </c>
      <c r="S130" s="813" t="str">
        <f t="shared" si="14"/>
        <v/>
      </c>
      <c r="T130" s="813" t="str">
        <f t="shared" si="15"/>
        <v/>
      </c>
      <c r="U130" s="814" t="str">
        <f t="shared" si="16"/>
        <v/>
      </c>
      <c r="V130" s="815" t="str">
        <f t="shared" si="17"/>
        <v/>
      </c>
      <c r="W130" s="816" t="str">
        <f t="shared" si="19"/>
        <v/>
      </c>
    </row>
    <row r="131" spans="1:23">
      <c r="A131" s="803">
        <f>IF('Statement of Marks'!A130="","",'Statement of Marks'!A130)</f>
        <v>124</v>
      </c>
      <c r="B131" s="804" t="str">
        <f>IF(OR($D$3="",$L$3=""),"",IF('Statement of Marks'!B130="","",'Statement of Marks'!B130))</f>
        <v/>
      </c>
      <c r="C131" s="805" t="str">
        <f>IF(OR($D$3="",$L$3=""),"",IF('Statement of Marks'!D130="","",'Statement of Marks'!D130))</f>
        <v/>
      </c>
      <c r="D131" s="806" t="str">
        <f>IF(OR($D$3="",$L$3=""),"",IF('Statement of Marks'!E130="","",'Statement of Marks'!E130))</f>
        <v/>
      </c>
      <c r="E131" s="807" t="str">
        <f>IF(OR($D$3="",$L$3=""),"",IF('Statement of Marks'!F130="","",'Statement of Marks'!F130))</f>
        <v/>
      </c>
      <c r="F131" s="807" t="str">
        <f>IF(OR($D$3="",$L$3=""),"",IF('Statement of Marks'!G130="","",'Statement of Marks'!G130))</f>
        <v/>
      </c>
      <c r="G131" s="807" t="str">
        <f>IF(OR($D$3="",$L$3=""),"",IF('Statement of Marks'!H130="","",'Statement of Marks'!H130))</f>
        <v/>
      </c>
      <c r="H131" s="808" t="str">
        <f>IF(OR($D$3="",$L$3=""),"",IF('Statement of Marks'!I130="","",'Statement of Marks'!I130))</f>
        <v/>
      </c>
      <c r="I131" s="808" t="str">
        <f>IF(OR($D$3="",$L$3=""),"",IF('Statement of Marks'!J130="","",'Statement of Marks'!J130))</f>
        <v/>
      </c>
      <c r="J131" s="809"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809"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809"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810">
        <f t="shared" si="10"/>
        <v>0</v>
      </c>
      <c r="N131" s="809"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811">
        <f>IF($L$3=$AJ$18,'Statement of Marks'!FV130,IF($L$3=$AJ$19,'Statement of Marks'!GD130,IF(AND(M131="NA",N131="NA"),"NA",IF(AND(M131="",N131=""),"",SUM(M131,N131)))))</f>
        <v>0</v>
      </c>
      <c r="P131" s="809"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812" t="str">
        <f t="shared" si="13"/>
        <v/>
      </c>
      <c r="R131" s="813">
        <f t="shared" si="18"/>
        <v>0</v>
      </c>
      <c r="S131" s="813" t="str">
        <f t="shared" si="14"/>
        <v/>
      </c>
      <c r="T131" s="813" t="str">
        <f t="shared" si="15"/>
        <v/>
      </c>
      <c r="U131" s="814" t="str">
        <f t="shared" si="16"/>
        <v/>
      </c>
      <c r="V131" s="815" t="str">
        <f t="shared" si="17"/>
        <v/>
      </c>
      <c r="W131" s="816" t="str">
        <f t="shared" si="19"/>
        <v/>
      </c>
    </row>
    <row r="132" spans="1:23">
      <c r="A132" s="803">
        <f>IF('Statement of Marks'!A131="","",'Statement of Marks'!A131)</f>
        <v>125</v>
      </c>
      <c r="B132" s="804" t="str">
        <f>IF(OR($D$3="",$L$3=""),"",IF('Statement of Marks'!B131="","",'Statement of Marks'!B131))</f>
        <v/>
      </c>
      <c r="C132" s="805" t="str">
        <f>IF(OR($D$3="",$L$3=""),"",IF('Statement of Marks'!D131="","",'Statement of Marks'!D131))</f>
        <v/>
      </c>
      <c r="D132" s="806" t="str">
        <f>IF(OR($D$3="",$L$3=""),"",IF('Statement of Marks'!E131="","",'Statement of Marks'!E131))</f>
        <v/>
      </c>
      <c r="E132" s="807" t="str">
        <f>IF(OR($D$3="",$L$3=""),"",IF('Statement of Marks'!F131="","",'Statement of Marks'!F131))</f>
        <v/>
      </c>
      <c r="F132" s="807" t="str">
        <f>IF(OR($D$3="",$L$3=""),"",IF('Statement of Marks'!G131="","",'Statement of Marks'!G131))</f>
        <v/>
      </c>
      <c r="G132" s="807" t="str">
        <f>IF(OR($D$3="",$L$3=""),"",IF('Statement of Marks'!H131="","",'Statement of Marks'!H131))</f>
        <v/>
      </c>
      <c r="H132" s="808" t="str">
        <f>IF(OR($D$3="",$L$3=""),"",IF('Statement of Marks'!I131="","",'Statement of Marks'!I131))</f>
        <v/>
      </c>
      <c r="I132" s="808" t="str">
        <f>IF(OR($D$3="",$L$3=""),"",IF('Statement of Marks'!J131="","",'Statement of Marks'!J131))</f>
        <v/>
      </c>
      <c r="J132" s="809"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809"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809"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810">
        <f t="shared" si="10"/>
        <v>0</v>
      </c>
      <c r="N132" s="809"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811">
        <f>IF($L$3=$AJ$18,'Statement of Marks'!FV131,IF($L$3=$AJ$19,'Statement of Marks'!GD131,IF(AND(M132="NA",N132="NA"),"NA",IF(AND(M132="",N132=""),"",SUM(M132,N132)))))</f>
        <v>0</v>
      </c>
      <c r="P132" s="809"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812" t="str">
        <f t="shared" si="13"/>
        <v/>
      </c>
      <c r="R132" s="813">
        <f t="shared" si="18"/>
        <v>0</v>
      </c>
      <c r="S132" s="813" t="str">
        <f t="shared" si="14"/>
        <v/>
      </c>
      <c r="T132" s="813" t="str">
        <f t="shared" si="15"/>
        <v/>
      </c>
      <c r="U132" s="814" t="str">
        <f t="shared" si="16"/>
        <v/>
      </c>
      <c r="V132" s="815" t="str">
        <f t="shared" si="17"/>
        <v/>
      </c>
      <c r="W132" s="816" t="str">
        <f t="shared" si="19"/>
        <v/>
      </c>
    </row>
    <row r="133" spans="1:23">
      <c r="A133" s="803">
        <f>IF('Statement of Marks'!A132="","",'Statement of Marks'!A132)</f>
        <v>126</v>
      </c>
      <c r="B133" s="804" t="str">
        <f>IF(OR($D$3="",$L$3=""),"",IF('Statement of Marks'!B132="","",'Statement of Marks'!B132))</f>
        <v/>
      </c>
      <c r="C133" s="805" t="str">
        <f>IF(OR($D$3="",$L$3=""),"",IF('Statement of Marks'!D132="","",'Statement of Marks'!D132))</f>
        <v/>
      </c>
      <c r="D133" s="806" t="str">
        <f>IF(OR($D$3="",$L$3=""),"",IF('Statement of Marks'!E132="","",'Statement of Marks'!E132))</f>
        <v/>
      </c>
      <c r="E133" s="807" t="str">
        <f>IF(OR($D$3="",$L$3=""),"",IF('Statement of Marks'!F132="","",'Statement of Marks'!F132))</f>
        <v/>
      </c>
      <c r="F133" s="807" t="str">
        <f>IF(OR($D$3="",$L$3=""),"",IF('Statement of Marks'!G132="","",'Statement of Marks'!G132))</f>
        <v/>
      </c>
      <c r="G133" s="807" t="str">
        <f>IF(OR($D$3="",$L$3=""),"",IF('Statement of Marks'!H132="","",'Statement of Marks'!H132))</f>
        <v/>
      </c>
      <c r="H133" s="808" t="str">
        <f>IF(OR($D$3="",$L$3=""),"",IF('Statement of Marks'!I132="","",'Statement of Marks'!I132))</f>
        <v/>
      </c>
      <c r="I133" s="808" t="str">
        <f>IF(OR($D$3="",$L$3=""),"",IF('Statement of Marks'!J132="","",'Statement of Marks'!J132))</f>
        <v/>
      </c>
      <c r="J133" s="809"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809"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809"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810">
        <f t="shared" si="10"/>
        <v>0</v>
      </c>
      <c r="N133" s="809"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811">
        <f>IF($L$3=$AJ$18,'Statement of Marks'!FV132,IF($L$3=$AJ$19,'Statement of Marks'!GD132,IF(AND(M133="NA",N133="NA"),"NA",IF(AND(M133="",N133=""),"",SUM(M133,N133)))))</f>
        <v>0</v>
      </c>
      <c r="P133" s="809"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812" t="str">
        <f t="shared" si="13"/>
        <v/>
      </c>
      <c r="R133" s="813">
        <f t="shared" si="18"/>
        <v>0</v>
      </c>
      <c r="S133" s="813" t="str">
        <f t="shared" si="14"/>
        <v/>
      </c>
      <c r="T133" s="813" t="str">
        <f t="shared" si="15"/>
        <v/>
      </c>
      <c r="U133" s="814" t="str">
        <f t="shared" si="16"/>
        <v/>
      </c>
      <c r="V133" s="815" t="str">
        <f t="shared" si="17"/>
        <v/>
      </c>
      <c r="W133" s="816" t="str">
        <f t="shared" si="19"/>
        <v/>
      </c>
    </row>
    <row r="134" spans="1:23">
      <c r="A134" s="803">
        <f>IF('Statement of Marks'!A133="","",'Statement of Marks'!A133)</f>
        <v>127</v>
      </c>
      <c r="B134" s="804" t="str">
        <f>IF(OR($D$3="",$L$3=""),"",IF('Statement of Marks'!B133="","",'Statement of Marks'!B133))</f>
        <v/>
      </c>
      <c r="C134" s="805" t="str">
        <f>IF(OR($D$3="",$L$3=""),"",IF('Statement of Marks'!D133="","",'Statement of Marks'!D133))</f>
        <v/>
      </c>
      <c r="D134" s="806" t="str">
        <f>IF(OR($D$3="",$L$3=""),"",IF('Statement of Marks'!E133="","",'Statement of Marks'!E133))</f>
        <v/>
      </c>
      <c r="E134" s="807" t="str">
        <f>IF(OR($D$3="",$L$3=""),"",IF('Statement of Marks'!F133="","",'Statement of Marks'!F133))</f>
        <v/>
      </c>
      <c r="F134" s="807" t="str">
        <f>IF(OR($D$3="",$L$3=""),"",IF('Statement of Marks'!G133="","",'Statement of Marks'!G133))</f>
        <v/>
      </c>
      <c r="G134" s="807" t="str">
        <f>IF(OR($D$3="",$L$3=""),"",IF('Statement of Marks'!H133="","",'Statement of Marks'!H133))</f>
        <v/>
      </c>
      <c r="H134" s="808" t="str">
        <f>IF(OR($D$3="",$L$3=""),"",IF('Statement of Marks'!I133="","",'Statement of Marks'!I133))</f>
        <v/>
      </c>
      <c r="I134" s="808" t="str">
        <f>IF(OR($D$3="",$L$3=""),"",IF('Statement of Marks'!J133="","",'Statement of Marks'!J133))</f>
        <v/>
      </c>
      <c r="J134" s="809"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809"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809"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810">
        <f t="shared" si="10"/>
        <v>0</v>
      </c>
      <c r="N134" s="809"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811">
        <f>IF($L$3=$AJ$18,'Statement of Marks'!FV133,IF($L$3=$AJ$19,'Statement of Marks'!GD133,IF(AND(M134="NA",N134="NA"),"NA",IF(AND(M134="",N134=""),"",SUM(M134,N134)))))</f>
        <v>0</v>
      </c>
      <c r="P134" s="809"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812" t="str">
        <f t="shared" si="13"/>
        <v/>
      </c>
      <c r="R134" s="813">
        <f t="shared" si="18"/>
        <v>0</v>
      </c>
      <c r="S134" s="813" t="str">
        <f t="shared" si="14"/>
        <v/>
      </c>
      <c r="T134" s="813" t="str">
        <f t="shared" si="15"/>
        <v/>
      </c>
      <c r="U134" s="814" t="str">
        <f t="shared" si="16"/>
        <v/>
      </c>
      <c r="V134" s="815" t="str">
        <f t="shared" si="17"/>
        <v/>
      </c>
      <c r="W134" s="816" t="str">
        <f t="shared" si="19"/>
        <v/>
      </c>
    </row>
    <row r="135" spans="1:23">
      <c r="A135" s="803">
        <f>IF('Statement of Marks'!A134="","",'Statement of Marks'!A134)</f>
        <v>128</v>
      </c>
      <c r="B135" s="804" t="str">
        <f>IF(OR($D$3="",$L$3=""),"",IF('Statement of Marks'!B134="","",'Statement of Marks'!B134))</f>
        <v/>
      </c>
      <c r="C135" s="805" t="str">
        <f>IF(OR($D$3="",$L$3=""),"",IF('Statement of Marks'!D134="","",'Statement of Marks'!D134))</f>
        <v/>
      </c>
      <c r="D135" s="806" t="str">
        <f>IF(OR($D$3="",$L$3=""),"",IF('Statement of Marks'!E134="","",'Statement of Marks'!E134))</f>
        <v/>
      </c>
      <c r="E135" s="807" t="str">
        <f>IF(OR($D$3="",$L$3=""),"",IF('Statement of Marks'!F134="","",'Statement of Marks'!F134))</f>
        <v/>
      </c>
      <c r="F135" s="807" t="str">
        <f>IF(OR($D$3="",$L$3=""),"",IF('Statement of Marks'!G134="","",'Statement of Marks'!G134))</f>
        <v/>
      </c>
      <c r="G135" s="807" t="str">
        <f>IF(OR($D$3="",$L$3=""),"",IF('Statement of Marks'!H134="","",'Statement of Marks'!H134))</f>
        <v/>
      </c>
      <c r="H135" s="808" t="str">
        <f>IF(OR($D$3="",$L$3=""),"",IF('Statement of Marks'!I134="","",'Statement of Marks'!I134))</f>
        <v/>
      </c>
      <c r="I135" s="808" t="str">
        <f>IF(OR($D$3="",$L$3=""),"",IF('Statement of Marks'!J134="","",'Statement of Marks'!J134))</f>
        <v/>
      </c>
      <c r="J135" s="809"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809"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809"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810">
        <f t="shared" ref="M135:M198" si="20">IF(AND(J135="",K135="",L135="",$L$3=""),"",IF(OR($L$3=$AJ$18,$L$3=$AJ$19),"",SUM(J135:L135)))</f>
        <v>0</v>
      </c>
      <c r="N135" s="809"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811">
        <f>IF($L$3=$AJ$18,'Statement of Marks'!FV134,IF($L$3=$AJ$19,'Statement of Marks'!GD134,IF(AND(M135="NA",N135="NA"),"NA",IF(AND(M135="",N135=""),"",SUM(M135,N135)))))</f>
        <v>0</v>
      </c>
      <c r="P135" s="809"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812" t="str">
        <f t="shared" si="13"/>
        <v/>
      </c>
      <c r="R135" s="813">
        <f t="shared" si="18"/>
        <v>0</v>
      </c>
      <c r="S135" s="813" t="str">
        <f t="shared" si="14"/>
        <v/>
      </c>
      <c r="T135" s="813" t="str">
        <f t="shared" si="15"/>
        <v/>
      </c>
      <c r="U135" s="814" t="str">
        <f t="shared" si="16"/>
        <v/>
      </c>
      <c r="V135" s="815" t="str">
        <f t="shared" si="17"/>
        <v/>
      </c>
      <c r="W135" s="816" t="str">
        <f t="shared" si="19"/>
        <v/>
      </c>
    </row>
    <row r="136" spans="1:23">
      <c r="A136" s="803">
        <f>IF('Statement of Marks'!A135="","",'Statement of Marks'!A135)</f>
        <v>129</v>
      </c>
      <c r="B136" s="804" t="str">
        <f>IF(OR($D$3="",$L$3=""),"",IF('Statement of Marks'!B135="","",'Statement of Marks'!B135))</f>
        <v/>
      </c>
      <c r="C136" s="805" t="str">
        <f>IF(OR($D$3="",$L$3=""),"",IF('Statement of Marks'!D135="","",'Statement of Marks'!D135))</f>
        <v/>
      </c>
      <c r="D136" s="806" t="str">
        <f>IF(OR($D$3="",$L$3=""),"",IF('Statement of Marks'!E135="","",'Statement of Marks'!E135))</f>
        <v/>
      </c>
      <c r="E136" s="807" t="str">
        <f>IF(OR($D$3="",$L$3=""),"",IF('Statement of Marks'!F135="","",'Statement of Marks'!F135))</f>
        <v/>
      </c>
      <c r="F136" s="807" t="str">
        <f>IF(OR($D$3="",$L$3=""),"",IF('Statement of Marks'!G135="","",'Statement of Marks'!G135))</f>
        <v/>
      </c>
      <c r="G136" s="807" t="str">
        <f>IF(OR($D$3="",$L$3=""),"",IF('Statement of Marks'!H135="","",'Statement of Marks'!H135))</f>
        <v/>
      </c>
      <c r="H136" s="808" t="str">
        <f>IF(OR($D$3="",$L$3=""),"",IF('Statement of Marks'!I135="","",'Statement of Marks'!I135))</f>
        <v/>
      </c>
      <c r="I136" s="808" t="str">
        <f>IF(OR($D$3="",$L$3=""),"",IF('Statement of Marks'!J135="","",'Statement of Marks'!J135))</f>
        <v/>
      </c>
      <c r="J136" s="809"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809"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809"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810">
        <f t="shared" si="20"/>
        <v>0</v>
      </c>
      <c r="N136" s="809"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811">
        <f>IF($L$3=$AJ$18,'Statement of Marks'!FV135,IF($L$3=$AJ$19,'Statement of Marks'!GD135,IF(AND(M136="NA",N136="NA"),"NA",IF(AND(M136="",N136=""),"",SUM(M136,N136)))))</f>
        <v>0</v>
      </c>
      <c r="P136" s="809"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812" t="str">
        <f t="shared" si="13"/>
        <v/>
      </c>
      <c r="R136" s="813">
        <f t="shared" ref="R136:R167" si="21">IFERROR(IF($L$3="","",IF(OR($L$3=$AJ$18,$L$3=$AJ$19),COUNTIF(J136:L136,"NA")*$J$7+(COUNTIF(J136:L136,"ML")*$J$7)+(COUNTIF(O136,"ML")*$O$7)+(COUNTIF(N136,"ML")*$N$8)+(COUNTIF(P136,"ML")*$P$7),COUNTIF(N136,"NA")*$N$7+(COUNTIF(J136:L136,"ML")*$J$7)+(COUNTIF(N136,"ML")*$N$7)+(COUNTIF(P136,"ML")*$P$7))),0)</f>
        <v>0</v>
      </c>
      <c r="S136" s="813" t="str">
        <f t="shared" si="14"/>
        <v/>
      </c>
      <c r="T136" s="813" t="str">
        <f t="shared" si="15"/>
        <v/>
      </c>
      <c r="U136" s="814" t="str">
        <f t="shared" si="16"/>
        <v/>
      </c>
      <c r="V136" s="815" t="str">
        <f t="shared" si="17"/>
        <v/>
      </c>
      <c r="W136" s="816" t="str">
        <f t="shared" ref="W136:W167" si="22">IF(Q136="","",IF(OR(U136="",U136=0,U136="RE",U136="AB",B136="NSO"),"",IF(Q136&gt;85%*S136,"A",IF(Q136&gt;70%*S136,"B",IF(Q136&gt;=50%*S136,"C",IF(Q136&gt;=30%*S136,"D","E"))))))</f>
        <v/>
      </c>
    </row>
    <row r="137" spans="1:23">
      <c r="A137" s="803">
        <f>IF('Statement of Marks'!A136="","",'Statement of Marks'!A136)</f>
        <v>130</v>
      </c>
      <c r="B137" s="804" t="str">
        <f>IF(OR($D$3="",$L$3=""),"",IF('Statement of Marks'!B136="","",'Statement of Marks'!B136))</f>
        <v/>
      </c>
      <c r="C137" s="805" t="str">
        <f>IF(OR($D$3="",$L$3=""),"",IF('Statement of Marks'!D136="","",'Statement of Marks'!D136))</f>
        <v/>
      </c>
      <c r="D137" s="806" t="str">
        <f>IF(OR($D$3="",$L$3=""),"",IF('Statement of Marks'!E136="","",'Statement of Marks'!E136))</f>
        <v/>
      </c>
      <c r="E137" s="807" t="str">
        <f>IF(OR($D$3="",$L$3=""),"",IF('Statement of Marks'!F136="","",'Statement of Marks'!F136))</f>
        <v/>
      </c>
      <c r="F137" s="807" t="str">
        <f>IF(OR($D$3="",$L$3=""),"",IF('Statement of Marks'!G136="","",'Statement of Marks'!G136))</f>
        <v/>
      </c>
      <c r="G137" s="807" t="str">
        <f>IF(OR($D$3="",$L$3=""),"",IF('Statement of Marks'!H136="","",'Statement of Marks'!H136))</f>
        <v/>
      </c>
      <c r="H137" s="808" t="str">
        <f>IF(OR($D$3="",$L$3=""),"",IF('Statement of Marks'!I136="","",'Statement of Marks'!I136))</f>
        <v/>
      </c>
      <c r="I137" s="808" t="str">
        <f>IF(OR($D$3="",$L$3=""),"",IF('Statement of Marks'!J136="","",'Statement of Marks'!J136))</f>
        <v/>
      </c>
      <c r="J137" s="809"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809"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809"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810">
        <f t="shared" si="20"/>
        <v>0</v>
      </c>
      <c r="N137" s="809"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811">
        <f>IF($L$3=$AJ$18,'Statement of Marks'!FV136,IF($L$3=$AJ$19,'Statement of Marks'!GD136,IF(AND(M137="NA",N137="NA"),"NA",IF(AND(M137="",N137=""),"",SUM(M137,N137)))))</f>
        <v>0</v>
      </c>
      <c r="P137" s="809"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812" t="str">
        <f t="shared" ref="Q137:Q200" si="23">IF(O137="","",IF(B137="","",IF(OR($L$3=$AJ$18,$L$3=$AJ$19),SUM(N137,O137,P137),SUM(O137,P137))))</f>
        <v/>
      </c>
      <c r="R137" s="813">
        <f t="shared" si="21"/>
        <v>0</v>
      </c>
      <c r="S137" s="813" t="str">
        <f t="shared" ref="S137:S200" si="24">IF(OR(B137="NSO",B137=0,B137=""),"",IF(OR(B137="NSO",B137=0,B137="",Q137=""),"",IF(OR($L$3=$AJ$8,$L$3=$AJ$9,$L$3=$AJ$10,$L$3=$AJ$11,$L$3=$AJ$12,$L$3=$AJ$13,$L$3=$AJ$14,$L$3=$AJ$15,$L$3=$AJ$16,$L$3=$AJ$17),IF(AND(J137="NA",L137="NA",K137="NA"),$M$7-R137,IF(AND(N137="ML"),$N$7-R137,IF(AND(P137="ML"),$P$7-R137,$Q$7-R137))),IF(AND(N137="NA"),$N$7-R137,IF(AND(O137="ML"),$O$7-R137,IF(AND(P137="ML"),$P$7-R137,$Q$7-R137))))))</f>
        <v/>
      </c>
      <c r="T137" s="813"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814" t="str">
        <f t="shared" ref="U137:U200" si="26">IF(OR(B137="",$L$3=""),"",IF(Q137=0,"",IF(Q137="","",IF(B137="NSO","NSO",IF(OR(T137="AB",P137="ab"),"AB",IF(P137="ML","RE",IF(Q137="ML","RE",IF(AND(Q137&gt;=36%*S137,P137&gt;=$P$7*20%),"P",IF(AND(Q137&gt;=34%*S137,P137&gt;=$P$7*20%),"G",IF(AND(Q137&gt;=31%*S137,P137&gt;=$P$7*20%),"G",IF(AND(Q137&gt;=25%*S137,P137&gt;=$P$7*20%),"S","F")))))))))))</f>
        <v/>
      </c>
      <c r="V137" s="815" t="str">
        <f t="shared" ref="V137:V200" si="27">IF(OR(U137="",U137=0,U137="S",U137="RE",U137="F",U137="AB",B137="NSO"),"",IF(U137="G","G",IF(Q137&gt;=75%*S137,"I",IF(Q137&gt;=60%*S137,"I",IF(Q137&gt;=48%*S137,"II",IF(Q137&gt;=36%*S137,"III",""))))))</f>
        <v/>
      </c>
      <c r="W137" s="816" t="str">
        <f t="shared" si="22"/>
        <v/>
      </c>
    </row>
    <row r="138" spans="1:23">
      <c r="A138" s="803">
        <f>IF('Statement of Marks'!A137="","",'Statement of Marks'!A137)</f>
        <v>131</v>
      </c>
      <c r="B138" s="804" t="str">
        <f>IF(OR($D$3="",$L$3=""),"",IF('Statement of Marks'!B137="","",'Statement of Marks'!B137))</f>
        <v/>
      </c>
      <c r="C138" s="805" t="str">
        <f>IF(OR($D$3="",$L$3=""),"",IF('Statement of Marks'!D137="","",'Statement of Marks'!D137))</f>
        <v/>
      </c>
      <c r="D138" s="806" t="str">
        <f>IF(OR($D$3="",$L$3=""),"",IF('Statement of Marks'!E137="","",'Statement of Marks'!E137))</f>
        <v/>
      </c>
      <c r="E138" s="807" t="str">
        <f>IF(OR($D$3="",$L$3=""),"",IF('Statement of Marks'!F137="","",'Statement of Marks'!F137))</f>
        <v/>
      </c>
      <c r="F138" s="807" t="str">
        <f>IF(OR($D$3="",$L$3=""),"",IF('Statement of Marks'!G137="","",'Statement of Marks'!G137))</f>
        <v/>
      </c>
      <c r="G138" s="807" t="str">
        <f>IF(OR($D$3="",$L$3=""),"",IF('Statement of Marks'!H137="","",'Statement of Marks'!H137))</f>
        <v/>
      </c>
      <c r="H138" s="808" t="str">
        <f>IF(OR($D$3="",$L$3=""),"",IF('Statement of Marks'!I137="","",'Statement of Marks'!I137))</f>
        <v/>
      </c>
      <c r="I138" s="808" t="str">
        <f>IF(OR($D$3="",$L$3=""),"",IF('Statement of Marks'!J137="","",'Statement of Marks'!J137))</f>
        <v/>
      </c>
      <c r="J138" s="809"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809"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809"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810">
        <f t="shared" si="20"/>
        <v>0</v>
      </c>
      <c r="N138" s="809"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811">
        <f>IF($L$3=$AJ$18,'Statement of Marks'!FV137,IF($L$3=$AJ$19,'Statement of Marks'!GD137,IF(AND(M138="NA",N138="NA"),"NA",IF(AND(M138="",N138=""),"",SUM(M138,N138)))))</f>
        <v>0</v>
      </c>
      <c r="P138" s="809"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812" t="str">
        <f t="shared" si="23"/>
        <v/>
      </c>
      <c r="R138" s="813">
        <f t="shared" si="21"/>
        <v>0</v>
      </c>
      <c r="S138" s="813" t="str">
        <f t="shared" si="24"/>
        <v/>
      </c>
      <c r="T138" s="813" t="str">
        <f t="shared" si="25"/>
        <v/>
      </c>
      <c r="U138" s="814" t="str">
        <f t="shared" si="26"/>
        <v/>
      </c>
      <c r="V138" s="815" t="str">
        <f t="shared" si="27"/>
        <v/>
      </c>
      <c r="W138" s="816" t="str">
        <f t="shared" si="22"/>
        <v/>
      </c>
    </row>
    <row r="139" spans="1:23">
      <c r="A139" s="803">
        <f>IF('Statement of Marks'!A138="","",'Statement of Marks'!A138)</f>
        <v>132</v>
      </c>
      <c r="B139" s="804" t="str">
        <f>IF(OR($D$3="",$L$3=""),"",IF('Statement of Marks'!B138="","",'Statement of Marks'!B138))</f>
        <v/>
      </c>
      <c r="C139" s="805" t="str">
        <f>IF(OR($D$3="",$L$3=""),"",IF('Statement of Marks'!D138="","",'Statement of Marks'!D138))</f>
        <v/>
      </c>
      <c r="D139" s="806" t="str">
        <f>IF(OR($D$3="",$L$3=""),"",IF('Statement of Marks'!E138="","",'Statement of Marks'!E138))</f>
        <v/>
      </c>
      <c r="E139" s="807" t="str">
        <f>IF(OR($D$3="",$L$3=""),"",IF('Statement of Marks'!F138="","",'Statement of Marks'!F138))</f>
        <v/>
      </c>
      <c r="F139" s="807" t="str">
        <f>IF(OR($D$3="",$L$3=""),"",IF('Statement of Marks'!G138="","",'Statement of Marks'!G138))</f>
        <v/>
      </c>
      <c r="G139" s="807" t="str">
        <f>IF(OR($D$3="",$L$3=""),"",IF('Statement of Marks'!H138="","",'Statement of Marks'!H138))</f>
        <v/>
      </c>
      <c r="H139" s="808" t="str">
        <f>IF(OR($D$3="",$L$3=""),"",IF('Statement of Marks'!I138="","",'Statement of Marks'!I138))</f>
        <v/>
      </c>
      <c r="I139" s="808" t="str">
        <f>IF(OR($D$3="",$L$3=""),"",IF('Statement of Marks'!J138="","",'Statement of Marks'!J138))</f>
        <v/>
      </c>
      <c r="J139" s="809"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809"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809"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810">
        <f t="shared" si="20"/>
        <v>0</v>
      </c>
      <c r="N139" s="809"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811">
        <f>IF($L$3=$AJ$18,'Statement of Marks'!FV138,IF($L$3=$AJ$19,'Statement of Marks'!GD138,IF(AND(M139="NA",N139="NA"),"NA",IF(AND(M139="",N139=""),"",SUM(M139,N139)))))</f>
        <v>0</v>
      </c>
      <c r="P139" s="809"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812" t="str">
        <f t="shared" si="23"/>
        <v/>
      </c>
      <c r="R139" s="813">
        <f t="shared" si="21"/>
        <v>0</v>
      </c>
      <c r="S139" s="813" t="str">
        <f t="shared" si="24"/>
        <v/>
      </c>
      <c r="T139" s="813" t="str">
        <f t="shared" si="25"/>
        <v/>
      </c>
      <c r="U139" s="814" t="str">
        <f t="shared" si="26"/>
        <v/>
      </c>
      <c r="V139" s="815" t="str">
        <f t="shared" si="27"/>
        <v/>
      </c>
      <c r="W139" s="816" t="str">
        <f t="shared" si="22"/>
        <v/>
      </c>
    </row>
    <row r="140" spans="1:23">
      <c r="A140" s="803">
        <f>IF('Statement of Marks'!A139="","",'Statement of Marks'!A139)</f>
        <v>133</v>
      </c>
      <c r="B140" s="804" t="str">
        <f>IF(OR($D$3="",$L$3=""),"",IF('Statement of Marks'!B139="","",'Statement of Marks'!B139))</f>
        <v/>
      </c>
      <c r="C140" s="805" t="str">
        <f>IF(OR($D$3="",$L$3=""),"",IF('Statement of Marks'!D139="","",'Statement of Marks'!D139))</f>
        <v/>
      </c>
      <c r="D140" s="806" t="str">
        <f>IF(OR($D$3="",$L$3=""),"",IF('Statement of Marks'!E139="","",'Statement of Marks'!E139))</f>
        <v/>
      </c>
      <c r="E140" s="807" t="str">
        <f>IF(OR($D$3="",$L$3=""),"",IF('Statement of Marks'!F139="","",'Statement of Marks'!F139))</f>
        <v/>
      </c>
      <c r="F140" s="807" t="str">
        <f>IF(OR($D$3="",$L$3=""),"",IF('Statement of Marks'!G139="","",'Statement of Marks'!G139))</f>
        <v/>
      </c>
      <c r="G140" s="807" t="str">
        <f>IF(OR($D$3="",$L$3=""),"",IF('Statement of Marks'!H139="","",'Statement of Marks'!H139))</f>
        <v/>
      </c>
      <c r="H140" s="808" t="str">
        <f>IF(OR($D$3="",$L$3=""),"",IF('Statement of Marks'!I139="","",'Statement of Marks'!I139))</f>
        <v/>
      </c>
      <c r="I140" s="808" t="str">
        <f>IF(OR($D$3="",$L$3=""),"",IF('Statement of Marks'!J139="","",'Statement of Marks'!J139))</f>
        <v/>
      </c>
      <c r="J140" s="809"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809"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809"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810">
        <f t="shared" si="20"/>
        <v>0</v>
      </c>
      <c r="N140" s="809"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811">
        <f>IF($L$3=$AJ$18,'Statement of Marks'!FV139,IF($L$3=$AJ$19,'Statement of Marks'!GD139,IF(AND(M140="NA",N140="NA"),"NA",IF(AND(M140="",N140=""),"",SUM(M140,N140)))))</f>
        <v>0</v>
      </c>
      <c r="P140" s="809"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812" t="str">
        <f t="shared" si="23"/>
        <v/>
      </c>
      <c r="R140" s="813">
        <f t="shared" si="21"/>
        <v>0</v>
      </c>
      <c r="S140" s="813" t="str">
        <f t="shared" si="24"/>
        <v/>
      </c>
      <c r="T140" s="813" t="str">
        <f t="shared" si="25"/>
        <v/>
      </c>
      <c r="U140" s="814" t="str">
        <f t="shared" si="26"/>
        <v/>
      </c>
      <c r="V140" s="815" t="str">
        <f t="shared" si="27"/>
        <v/>
      </c>
      <c r="W140" s="816" t="str">
        <f t="shared" si="22"/>
        <v/>
      </c>
    </row>
    <row r="141" spans="1:23">
      <c r="A141" s="803">
        <f>IF('Statement of Marks'!A140="","",'Statement of Marks'!A140)</f>
        <v>134</v>
      </c>
      <c r="B141" s="804" t="str">
        <f>IF(OR($D$3="",$L$3=""),"",IF('Statement of Marks'!B140="","",'Statement of Marks'!B140))</f>
        <v/>
      </c>
      <c r="C141" s="805" t="str">
        <f>IF(OR($D$3="",$L$3=""),"",IF('Statement of Marks'!D140="","",'Statement of Marks'!D140))</f>
        <v/>
      </c>
      <c r="D141" s="806" t="str">
        <f>IF(OR($D$3="",$L$3=""),"",IF('Statement of Marks'!E140="","",'Statement of Marks'!E140))</f>
        <v/>
      </c>
      <c r="E141" s="807" t="str">
        <f>IF(OR($D$3="",$L$3=""),"",IF('Statement of Marks'!F140="","",'Statement of Marks'!F140))</f>
        <v/>
      </c>
      <c r="F141" s="807" t="str">
        <f>IF(OR($D$3="",$L$3=""),"",IF('Statement of Marks'!G140="","",'Statement of Marks'!G140))</f>
        <v/>
      </c>
      <c r="G141" s="807" t="str">
        <f>IF(OR($D$3="",$L$3=""),"",IF('Statement of Marks'!H140="","",'Statement of Marks'!H140))</f>
        <v/>
      </c>
      <c r="H141" s="808" t="str">
        <f>IF(OR($D$3="",$L$3=""),"",IF('Statement of Marks'!I140="","",'Statement of Marks'!I140))</f>
        <v/>
      </c>
      <c r="I141" s="808" t="str">
        <f>IF(OR($D$3="",$L$3=""),"",IF('Statement of Marks'!J140="","",'Statement of Marks'!J140))</f>
        <v/>
      </c>
      <c r="J141" s="809"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809"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809"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810">
        <f t="shared" si="20"/>
        <v>0</v>
      </c>
      <c r="N141" s="809"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811">
        <f>IF($L$3=$AJ$18,'Statement of Marks'!FV140,IF($L$3=$AJ$19,'Statement of Marks'!GD140,IF(AND(M141="NA",N141="NA"),"NA",IF(AND(M141="",N141=""),"",SUM(M141,N141)))))</f>
        <v>0</v>
      </c>
      <c r="P141" s="809"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812" t="str">
        <f t="shared" si="23"/>
        <v/>
      </c>
      <c r="R141" s="813">
        <f t="shared" si="21"/>
        <v>0</v>
      </c>
      <c r="S141" s="813" t="str">
        <f t="shared" si="24"/>
        <v/>
      </c>
      <c r="T141" s="813" t="str">
        <f t="shared" si="25"/>
        <v/>
      </c>
      <c r="U141" s="814" t="str">
        <f t="shared" si="26"/>
        <v/>
      </c>
      <c r="V141" s="815" t="str">
        <f t="shared" si="27"/>
        <v/>
      </c>
      <c r="W141" s="816" t="str">
        <f t="shared" si="22"/>
        <v/>
      </c>
    </row>
    <row r="142" spans="1:23">
      <c r="A142" s="803">
        <f>IF('Statement of Marks'!A141="","",'Statement of Marks'!A141)</f>
        <v>135</v>
      </c>
      <c r="B142" s="804" t="str">
        <f>IF(OR($D$3="",$L$3=""),"",IF('Statement of Marks'!B141="","",'Statement of Marks'!B141))</f>
        <v/>
      </c>
      <c r="C142" s="805" t="str">
        <f>IF(OR($D$3="",$L$3=""),"",IF('Statement of Marks'!D141="","",'Statement of Marks'!D141))</f>
        <v/>
      </c>
      <c r="D142" s="806" t="str">
        <f>IF(OR($D$3="",$L$3=""),"",IF('Statement of Marks'!E141="","",'Statement of Marks'!E141))</f>
        <v/>
      </c>
      <c r="E142" s="807" t="str">
        <f>IF(OR($D$3="",$L$3=""),"",IF('Statement of Marks'!F141="","",'Statement of Marks'!F141))</f>
        <v/>
      </c>
      <c r="F142" s="807" t="str">
        <f>IF(OR($D$3="",$L$3=""),"",IF('Statement of Marks'!G141="","",'Statement of Marks'!G141))</f>
        <v/>
      </c>
      <c r="G142" s="807" t="str">
        <f>IF(OR($D$3="",$L$3=""),"",IF('Statement of Marks'!H141="","",'Statement of Marks'!H141))</f>
        <v/>
      </c>
      <c r="H142" s="808" t="str">
        <f>IF(OR($D$3="",$L$3=""),"",IF('Statement of Marks'!I141="","",'Statement of Marks'!I141))</f>
        <v/>
      </c>
      <c r="I142" s="808" t="str">
        <f>IF(OR($D$3="",$L$3=""),"",IF('Statement of Marks'!J141="","",'Statement of Marks'!J141))</f>
        <v/>
      </c>
      <c r="J142" s="809"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809"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809"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810">
        <f t="shared" si="20"/>
        <v>0</v>
      </c>
      <c r="N142" s="809"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811">
        <f>IF($L$3=$AJ$18,'Statement of Marks'!FV141,IF($L$3=$AJ$19,'Statement of Marks'!GD141,IF(AND(M142="NA",N142="NA"),"NA",IF(AND(M142="",N142=""),"",SUM(M142,N142)))))</f>
        <v>0</v>
      </c>
      <c r="P142" s="809"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812" t="str">
        <f t="shared" si="23"/>
        <v/>
      </c>
      <c r="R142" s="813">
        <f t="shared" si="21"/>
        <v>0</v>
      </c>
      <c r="S142" s="813" t="str">
        <f t="shared" si="24"/>
        <v/>
      </c>
      <c r="T142" s="813" t="str">
        <f t="shared" si="25"/>
        <v/>
      </c>
      <c r="U142" s="814" t="str">
        <f t="shared" si="26"/>
        <v/>
      </c>
      <c r="V142" s="815" t="str">
        <f t="shared" si="27"/>
        <v/>
      </c>
      <c r="W142" s="816" t="str">
        <f t="shared" si="22"/>
        <v/>
      </c>
    </row>
    <row r="143" spans="1:23">
      <c r="A143" s="803">
        <f>IF('Statement of Marks'!A142="","",'Statement of Marks'!A142)</f>
        <v>136</v>
      </c>
      <c r="B143" s="804" t="str">
        <f>IF(OR($D$3="",$L$3=""),"",IF('Statement of Marks'!B142="","",'Statement of Marks'!B142))</f>
        <v/>
      </c>
      <c r="C143" s="805" t="str">
        <f>IF(OR($D$3="",$L$3=""),"",IF('Statement of Marks'!D142="","",'Statement of Marks'!D142))</f>
        <v/>
      </c>
      <c r="D143" s="806" t="str">
        <f>IF(OR($D$3="",$L$3=""),"",IF('Statement of Marks'!E142="","",'Statement of Marks'!E142))</f>
        <v/>
      </c>
      <c r="E143" s="807" t="str">
        <f>IF(OR($D$3="",$L$3=""),"",IF('Statement of Marks'!F142="","",'Statement of Marks'!F142))</f>
        <v/>
      </c>
      <c r="F143" s="807" t="str">
        <f>IF(OR($D$3="",$L$3=""),"",IF('Statement of Marks'!G142="","",'Statement of Marks'!G142))</f>
        <v/>
      </c>
      <c r="G143" s="807" t="str">
        <f>IF(OR($D$3="",$L$3=""),"",IF('Statement of Marks'!H142="","",'Statement of Marks'!H142))</f>
        <v/>
      </c>
      <c r="H143" s="808" t="str">
        <f>IF(OR($D$3="",$L$3=""),"",IF('Statement of Marks'!I142="","",'Statement of Marks'!I142))</f>
        <v/>
      </c>
      <c r="I143" s="808" t="str">
        <f>IF(OR($D$3="",$L$3=""),"",IF('Statement of Marks'!J142="","",'Statement of Marks'!J142))</f>
        <v/>
      </c>
      <c r="J143" s="809"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809"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809"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810">
        <f t="shared" si="20"/>
        <v>0</v>
      </c>
      <c r="N143" s="809"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811">
        <f>IF($L$3=$AJ$18,'Statement of Marks'!FV142,IF($L$3=$AJ$19,'Statement of Marks'!GD142,IF(AND(M143="NA",N143="NA"),"NA",IF(AND(M143="",N143=""),"",SUM(M143,N143)))))</f>
        <v>0</v>
      </c>
      <c r="P143" s="809"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812" t="str">
        <f t="shared" si="23"/>
        <v/>
      </c>
      <c r="R143" s="813">
        <f t="shared" si="21"/>
        <v>0</v>
      </c>
      <c r="S143" s="813" t="str">
        <f t="shared" si="24"/>
        <v/>
      </c>
      <c r="T143" s="813" t="str">
        <f t="shared" si="25"/>
        <v/>
      </c>
      <c r="U143" s="814" t="str">
        <f t="shared" si="26"/>
        <v/>
      </c>
      <c r="V143" s="815" t="str">
        <f t="shared" si="27"/>
        <v/>
      </c>
      <c r="W143" s="816" t="str">
        <f t="shared" si="22"/>
        <v/>
      </c>
    </row>
    <row r="144" spans="1:23">
      <c r="A144" s="803">
        <f>IF('Statement of Marks'!A143="","",'Statement of Marks'!A143)</f>
        <v>137</v>
      </c>
      <c r="B144" s="804" t="str">
        <f>IF(OR($D$3="",$L$3=""),"",IF('Statement of Marks'!B143="","",'Statement of Marks'!B143))</f>
        <v/>
      </c>
      <c r="C144" s="805" t="str">
        <f>IF(OR($D$3="",$L$3=""),"",IF('Statement of Marks'!D143="","",'Statement of Marks'!D143))</f>
        <v/>
      </c>
      <c r="D144" s="806" t="str">
        <f>IF(OR($D$3="",$L$3=""),"",IF('Statement of Marks'!E143="","",'Statement of Marks'!E143))</f>
        <v/>
      </c>
      <c r="E144" s="807" t="str">
        <f>IF(OR($D$3="",$L$3=""),"",IF('Statement of Marks'!F143="","",'Statement of Marks'!F143))</f>
        <v/>
      </c>
      <c r="F144" s="807" t="str">
        <f>IF(OR($D$3="",$L$3=""),"",IF('Statement of Marks'!G143="","",'Statement of Marks'!G143))</f>
        <v/>
      </c>
      <c r="G144" s="807" t="str">
        <f>IF(OR($D$3="",$L$3=""),"",IF('Statement of Marks'!H143="","",'Statement of Marks'!H143))</f>
        <v/>
      </c>
      <c r="H144" s="808" t="str">
        <f>IF(OR($D$3="",$L$3=""),"",IF('Statement of Marks'!I143="","",'Statement of Marks'!I143))</f>
        <v/>
      </c>
      <c r="I144" s="808" t="str">
        <f>IF(OR($D$3="",$L$3=""),"",IF('Statement of Marks'!J143="","",'Statement of Marks'!J143))</f>
        <v/>
      </c>
      <c r="J144" s="809"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809"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809"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810">
        <f t="shared" si="20"/>
        <v>0</v>
      </c>
      <c r="N144" s="809"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811">
        <f>IF($L$3=$AJ$18,'Statement of Marks'!FV143,IF($L$3=$AJ$19,'Statement of Marks'!GD143,IF(AND(M144="NA",N144="NA"),"NA",IF(AND(M144="",N144=""),"",SUM(M144,N144)))))</f>
        <v>0</v>
      </c>
      <c r="P144" s="809"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812" t="str">
        <f t="shared" si="23"/>
        <v/>
      </c>
      <c r="R144" s="813">
        <f t="shared" si="21"/>
        <v>0</v>
      </c>
      <c r="S144" s="813" t="str">
        <f t="shared" si="24"/>
        <v/>
      </c>
      <c r="T144" s="813" t="str">
        <f t="shared" si="25"/>
        <v/>
      </c>
      <c r="U144" s="814" t="str">
        <f t="shared" si="26"/>
        <v/>
      </c>
      <c r="V144" s="815" t="str">
        <f t="shared" si="27"/>
        <v/>
      </c>
      <c r="W144" s="816" t="str">
        <f t="shared" si="22"/>
        <v/>
      </c>
    </row>
    <row r="145" spans="1:23">
      <c r="A145" s="803">
        <f>IF('Statement of Marks'!A144="","",'Statement of Marks'!A144)</f>
        <v>138</v>
      </c>
      <c r="B145" s="804" t="str">
        <f>IF(OR($D$3="",$L$3=""),"",IF('Statement of Marks'!B144="","",'Statement of Marks'!B144))</f>
        <v/>
      </c>
      <c r="C145" s="805" t="str">
        <f>IF(OR($D$3="",$L$3=""),"",IF('Statement of Marks'!D144="","",'Statement of Marks'!D144))</f>
        <v/>
      </c>
      <c r="D145" s="806" t="str">
        <f>IF(OR($D$3="",$L$3=""),"",IF('Statement of Marks'!E144="","",'Statement of Marks'!E144))</f>
        <v/>
      </c>
      <c r="E145" s="807" t="str">
        <f>IF(OR($D$3="",$L$3=""),"",IF('Statement of Marks'!F144="","",'Statement of Marks'!F144))</f>
        <v/>
      </c>
      <c r="F145" s="807" t="str">
        <f>IF(OR($D$3="",$L$3=""),"",IF('Statement of Marks'!G144="","",'Statement of Marks'!G144))</f>
        <v/>
      </c>
      <c r="G145" s="807" t="str">
        <f>IF(OR($D$3="",$L$3=""),"",IF('Statement of Marks'!H144="","",'Statement of Marks'!H144))</f>
        <v/>
      </c>
      <c r="H145" s="808" t="str">
        <f>IF(OR($D$3="",$L$3=""),"",IF('Statement of Marks'!I144="","",'Statement of Marks'!I144))</f>
        <v/>
      </c>
      <c r="I145" s="808" t="str">
        <f>IF(OR($D$3="",$L$3=""),"",IF('Statement of Marks'!J144="","",'Statement of Marks'!J144))</f>
        <v/>
      </c>
      <c r="J145" s="809"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809"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809"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810">
        <f t="shared" si="20"/>
        <v>0</v>
      </c>
      <c r="N145" s="809"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811">
        <f>IF($L$3=$AJ$18,'Statement of Marks'!FV144,IF($L$3=$AJ$19,'Statement of Marks'!GD144,IF(AND(M145="NA",N145="NA"),"NA",IF(AND(M145="",N145=""),"",SUM(M145,N145)))))</f>
        <v>0</v>
      </c>
      <c r="P145" s="809"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812" t="str">
        <f t="shared" si="23"/>
        <v/>
      </c>
      <c r="R145" s="813">
        <f t="shared" si="21"/>
        <v>0</v>
      </c>
      <c r="S145" s="813" t="str">
        <f t="shared" si="24"/>
        <v/>
      </c>
      <c r="T145" s="813" t="str">
        <f t="shared" si="25"/>
        <v/>
      </c>
      <c r="U145" s="814" t="str">
        <f t="shared" si="26"/>
        <v/>
      </c>
      <c r="V145" s="815" t="str">
        <f t="shared" si="27"/>
        <v/>
      </c>
      <c r="W145" s="816" t="str">
        <f t="shared" si="22"/>
        <v/>
      </c>
    </row>
    <row r="146" spans="1:23">
      <c r="A146" s="803">
        <f>IF('Statement of Marks'!A145="","",'Statement of Marks'!A145)</f>
        <v>139</v>
      </c>
      <c r="B146" s="804" t="str">
        <f>IF(OR($D$3="",$L$3=""),"",IF('Statement of Marks'!B145="","",'Statement of Marks'!B145))</f>
        <v/>
      </c>
      <c r="C146" s="805" t="str">
        <f>IF(OR($D$3="",$L$3=""),"",IF('Statement of Marks'!D145="","",'Statement of Marks'!D145))</f>
        <v/>
      </c>
      <c r="D146" s="806" t="str">
        <f>IF(OR($D$3="",$L$3=""),"",IF('Statement of Marks'!E145="","",'Statement of Marks'!E145))</f>
        <v/>
      </c>
      <c r="E146" s="807" t="str">
        <f>IF(OR($D$3="",$L$3=""),"",IF('Statement of Marks'!F145="","",'Statement of Marks'!F145))</f>
        <v/>
      </c>
      <c r="F146" s="807" t="str">
        <f>IF(OR($D$3="",$L$3=""),"",IF('Statement of Marks'!G145="","",'Statement of Marks'!G145))</f>
        <v/>
      </c>
      <c r="G146" s="807" t="str">
        <f>IF(OR($D$3="",$L$3=""),"",IF('Statement of Marks'!H145="","",'Statement of Marks'!H145))</f>
        <v/>
      </c>
      <c r="H146" s="808" t="str">
        <f>IF(OR($D$3="",$L$3=""),"",IF('Statement of Marks'!I145="","",'Statement of Marks'!I145))</f>
        <v/>
      </c>
      <c r="I146" s="808" t="str">
        <f>IF(OR($D$3="",$L$3=""),"",IF('Statement of Marks'!J145="","",'Statement of Marks'!J145))</f>
        <v/>
      </c>
      <c r="J146" s="809"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809"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809"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810">
        <f t="shared" si="20"/>
        <v>0</v>
      </c>
      <c r="N146" s="809"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811">
        <f>IF($L$3=$AJ$18,'Statement of Marks'!FV145,IF($L$3=$AJ$19,'Statement of Marks'!GD145,IF(AND(M146="NA",N146="NA"),"NA",IF(AND(M146="",N146=""),"",SUM(M146,N146)))))</f>
        <v>0</v>
      </c>
      <c r="P146" s="809"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812" t="str">
        <f t="shared" si="23"/>
        <v/>
      </c>
      <c r="R146" s="813">
        <f t="shared" si="21"/>
        <v>0</v>
      </c>
      <c r="S146" s="813" t="str">
        <f t="shared" si="24"/>
        <v/>
      </c>
      <c r="T146" s="813" t="str">
        <f t="shared" si="25"/>
        <v/>
      </c>
      <c r="U146" s="814" t="str">
        <f t="shared" si="26"/>
        <v/>
      </c>
      <c r="V146" s="815" t="str">
        <f t="shared" si="27"/>
        <v/>
      </c>
      <c r="W146" s="816" t="str">
        <f t="shared" si="22"/>
        <v/>
      </c>
    </row>
    <row r="147" spans="1:23">
      <c r="A147" s="803">
        <f>IF('Statement of Marks'!A146="","",'Statement of Marks'!A146)</f>
        <v>140</v>
      </c>
      <c r="B147" s="804" t="str">
        <f>IF(OR($D$3="",$L$3=""),"",IF('Statement of Marks'!B146="","",'Statement of Marks'!B146))</f>
        <v/>
      </c>
      <c r="C147" s="805" t="str">
        <f>IF(OR($D$3="",$L$3=""),"",IF('Statement of Marks'!D146="","",'Statement of Marks'!D146))</f>
        <v/>
      </c>
      <c r="D147" s="806" t="str">
        <f>IF(OR($D$3="",$L$3=""),"",IF('Statement of Marks'!E146="","",'Statement of Marks'!E146))</f>
        <v/>
      </c>
      <c r="E147" s="807" t="str">
        <f>IF(OR($D$3="",$L$3=""),"",IF('Statement of Marks'!F146="","",'Statement of Marks'!F146))</f>
        <v/>
      </c>
      <c r="F147" s="807" t="str">
        <f>IF(OR($D$3="",$L$3=""),"",IF('Statement of Marks'!G146="","",'Statement of Marks'!G146))</f>
        <v/>
      </c>
      <c r="G147" s="807" t="str">
        <f>IF(OR($D$3="",$L$3=""),"",IF('Statement of Marks'!H146="","",'Statement of Marks'!H146))</f>
        <v/>
      </c>
      <c r="H147" s="808" t="str">
        <f>IF(OR($D$3="",$L$3=""),"",IF('Statement of Marks'!I146="","",'Statement of Marks'!I146))</f>
        <v/>
      </c>
      <c r="I147" s="808" t="str">
        <f>IF(OR($D$3="",$L$3=""),"",IF('Statement of Marks'!J146="","",'Statement of Marks'!J146))</f>
        <v/>
      </c>
      <c r="J147" s="809"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809"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809"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810">
        <f t="shared" si="20"/>
        <v>0</v>
      </c>
      <c r="N147" s="809"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811">
        <f>IF($L$3=$AJ$18,'Statement of Marks'!FV146,IF($L$3=$AJ$19,'Statement of Marks'!GD146,IF(AND(M147="NA",N147="NA"),"NA",IF(AND(M147="",N147=""),"",SUM(M147,N147)))))</f>
        <v>0</v>
      </c>
      <c r="P147" s="809"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812" t="str">
        <f t="shared" si="23"/>
        <v/>
      </c>
      <c r="R147" s="813">
        <f t="shared" si="21"/>
        <v>0</v>
      </c>
      <c r="S147" s="813" t="str">
        <f t="shared" si="24"/>
        <v/>
      </c>
      <c r="T147" s="813" t="str">
        <f t="shared" si="25"/>
        <v/>
      </c>
      <c r="U147" s="814" t="str">
        <f t="shared" si="26"/>
        <v/>
      </c>
      <c r="V147" s="815" t="str">
        <f t="shared" si="27"/>
        <v/>
      </c>
      <c r="W147" s="816" t="str">
        <f t="shared" si="22"/>
        <v/>
      </c>
    </row>
    <row r="148" spans="1:23">
      <c r="A148" s="803">
        <f>IF('Statement of Marks'!A147="","",'Statement of Marks'!A147)</f>
        <v>141</v>
      </c>
      <c r="B148" s="804" t="str">
        <f>IF(OR($D$3="",$L$3=""),"",IF('Statement of Marks'!B147="","",'Statement of Marks'!B147))</f>
        <v/>
      </c>
      <c r="C148" s="805" t="str">
        <f>IF(OR($D$3="",$L$3=""),"",IF('Statement of Marks'!D147="","",'Statement of Marks'!D147))</f>
        <v/>
      </c>
      <c r="D148" s="806" t="str">
        <f>IF(OR($D$3="",$L$3=""),"",IF('Statement of Marks'!E147="","",'Statement of Marks'!E147))</f>
        <v/>
      </c>
      <c r="E148" s="807" t="str">
        <f>IF(OR($D$3="",$L$3=""),"",IF('Statement of Marks'!F147="","",'Statement of Marks'!F147))</f>
        <v/>
      </c>
      <c r="F148" s="807" t="str">
        <f>IF(OR($D$3="",$L$3=""),"",IF('Statement of Marks'!G147="","",'Statement of Marks'!G147))</f>
        <v/>
      </c>
      <c r="G148" s="807" t="str">
        <f>IF(OR($D$3="",$L$3=""),"",IF('Statement of Marks'!H147="","",'Statement of Marks'!H147))</f>
        <v/>
      </c>
      <c r="H148" s="808" t="str">
        <f>IF(OR($D$3="",$L$3=""),"",IF('Statement of Marks'!I147="","",'Statement of Marks'!I147))</f>
        <v/>
      </c>
      <c r="I148" s="808" t="str">
        <f>IF(OR($D$3="",$L$3=""),"",IF('Statement of Marks'!J147="","",'Statement of Marks'!J147))</f>
        <v/>
      </c>
      <c r="J148" s="809"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809"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809"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810">
        <f t="shared" si="20"/>
        <v>0</v>
      </c>
      <c r="N148" s="809"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811">
        <f>IF($L$3=$AJ$18,'Statement of Marks'!FV147,IF($L$3=$AJ$19,'Statement of Marks'!GD147,IF(AND(M148="NA",N148="NA"),"NA",IF(AND(M148="",N148=""),"",SUM(M148,N148)))))</f>
        <v>0</v>
      </c>
      <c r="P148" s="809"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812" t="str">
        <f t="shared" si="23"/>
        <v/>
      </c>
      <c r="R148" s="813">
        <f t="shared" si="21"/>
        <v>0</v>
      </c>
      <c r="S148" s="813" t="str">
        <f t="shared" si="24"/>
        <v/>
      </c>
      <c r="T148" s="813" t="str">
        <f t="shared" si="25"/>
        <v/>
      </c>
      <c r="U148" s="814" t="str">
        <f t="shared" si="26"/>
        <v/>
      </c>
      <c r="V148" s="815" t="str">
        <f t="shared" si="27"/>
        <v/>
      </c>
      <c r="W148" s="816" t="str">
        <f t="shared" si="22"/>
        <v/>
      </c>
    </row>
    <row r="149" spans="1:23">
      <c r="A149" s="803">
        <f>IF('Statement of Marks'!A148="","",'Statement of Marks'!A148)</f>
        <v>142</v>
      </c>
      <c r="B149" s="804" t="str">
        <f>IF(OR($D$3="",$L$3=""),"",IF('Statement of Marks'!B148="","",'Statement of Marks'!B148))</f>
        <v/>
      </c>
      <c r="C149" s="805" t="str">
        <f>IF(OR($D$3="",$L$3=""),"",IF('Statement of Marks'!D148="","",'Statement of Marks'!D148))</f>
        <v/>
      </c>
      <c r="D149" s="806" t="str">
        <f>IF(OR($D$3="",$L$3=""),"",IF('Statement of Marks'!E148="","",'Statement of Marks'!E148))</f>
        <v/>
      </c>
      <c r="E149" s="807" t="str">
        <f>IF(OR($D$3="",$L$3=""),"",IF('Statement of Marks'!F148="","",'Statement of Marks'!F148))</f>
        <v/>
      </c>
      <c r="F149" s="807" t="str">
        <f>IF(OR($D$3="",$L$3=""),"",IF('Statement of Marks'!G148="","",'Statement of Marks'!G148))</f>
        <v/>
      </c>
      <c r="G149" s="807" t="str">
        <f>IF(OR($D$3="",$L$3=""),"",IF('Statement of Marks'!H148="","",'Statement of Marks'!H148))</f>
        <v/>
      </c>
      <c r="H149" s="808" t="str">
        <f>IF(OR($D$3="",$L$3=""),"",IF('Statement of Marks'!I148="","",'Statement of Marks'!I148))</f>
        <v/>
      </c>
      <c r="I149" s="808" t="str">
        <f>IF(OR($D$3="",$L$3=""),"",IF('Statement of Marks'!J148="","",'Statement of Marks'!J148))</f>
        <v/>
      </c>
      <c r="J149" s="809"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809"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809"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810">
        <f t="shared" si="20"/>
        <v>0</v>
      </c>
      <c r="N149" s="809"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811">
        <f>IF($L$3=$AJ$18,'Statement of Marks'!FV148,IF($L$3=$AJ$19,'Statement of Marks'!GD148,IF(AND(M149="NA",N149="NA"),"NA",IF(AND(M149="",N149=""),"",SUM(M149,N149)))))</f>
        <v>0</v>
      </c>
      <c r="P149" s="809"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812" t="str">
        <f t="shared" si="23"/>
        <v/>
      </c>
      <c r="R149" s="813">
        <f t="shared" si="21"/>
        <v>0</v>
      </c>
      <c r="S149" s="813" t="str">
        <f t="shared" si="24"/>
        <v/>
      </c>
      <c r="T149" s="813" t="str">
        <f t="shared" si="25"/>
        <v/>
      </c>
      <c r="U149" s="814" t="str">
        <f t="shared" si="26"/>
        <v/>
      </c>
      <c r="V149" s="815" t="str">
        <f t="shared" si="27"/>
        <v/>
      </c>
      <c r="W149" s="816" t="str">
        <f t="shared" si="22"/>
        <v/>
      </c>
    </row>
    <row r="150" spans="1:23">
      <c r="A150" s="803">
        <f>IF('Statement of Marks'!A149="","",'Statement of Marks'!A149)</f>
        <v>143</v>
      </c>
      <c r="B150" s="804" t="str">
        <f>IF(OR($D$3="",$L$3=""),"",IF('Statement of Marks'!B149="","",'Statement of Marks'!B149))</f>
        <v/>
      </c>
      <c r="C150" s="805" t="str">
        <f>IF(OR($D$3="",$L$3=""),"",IF('Statement of Marks'!D149="","",'Statement of Marks'!D149))</f>
        <v/>
      </c>
      <c r="D150" s="806" t="str">
        <f>IF(OR($D$3="",$L$3=""),"",IF('Statement of Marks'!E149="","",'Statement of Marks'!E149))</f>
        <v/>
      </c>
      <c r="E150" s="807" t="str">
        <f>IF(OR($D$3="",$L$3=""),"",IF('Statement of Marks'!F149="","",'Statement of Marks'!F149))</f>
        <v/>
      </c>
      <c r="F150" s="807" t="str">
        <f>IF(OR($D$3="",$L$3=""),"",IF('Statement of Marks'!G149="","",'Statement of Marks'!G149))</f>
        <v/>
      </c>
      <c r="G150" s="807" t="str">
        <f>IF(OR($D$3="",$L$3=""),"",IF('Statement of Marks'!H149="","",'Statement of Marks'!H149))</f>
        <v/>
      </c>
      <c r="H150" s="808" t="str">
        <f>IF(OR($D$3="",$L$3=""),"",IF('Statement of Marks'!I149="","",'Statement of Marks'!I149))</f>
        <v/>
      </c>
      <c r="I150" s="808" t="str">
        <f>IF(OR($D$3="",$L$3=""),"",IF('Statement of Marks'!J149="","",'Statement of Marks'!J149))</f>
        <v/>
      </c>
      <c r="J150" s="809"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809"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809"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810">
        <f t="shared" si="20"/>
        <v>0</v>
      </c>
      <c r="N150" s="809"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811">
        <f>IF($L$3=$AJ$18,'Statement of Marks'!FV149,IF($L$3=$AJ$19,'Statement of Marks'!GD149,IF(AND(M150="NA",N150="NA"),"NA",IF(AND(M150="",N150=""),"",SUM(M150,N150)))))</f>
        <v>0</v>
      </c>
      <c r="P150" s="809"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812" t="str">
        <f t="shared" si="23"/>
        <v/>
      </c>
      <c r="R150" s="813">
        <f t="shared" si="21"/>
        <v>0</v>
      </c>
      <c r="S150" s="813" t="str">
        <f t="shared" si="24"/>
        <v/>
      </c>
      <c r="T150" s="813" t="str">
        <f t="shared" si="25"/>
        <v/>
      </c>
      <c r="U150" s="814" t="str">
        <f t="shared" si="26"/>
        <v/>
      </c>
      <c r="V150" s="815" t="str">
        <f t="shared" si="27"/>
        <v/>
      </c>
      <c r="W150" s="816" t="str">
        <f t="shared" si="22"/>
        <v/>
      </c>
    </row>
    <row r="151" spans="1:23">
      <c r="A151" s="803">
        <f>IF('Statement of Marks'!A150="","",'Statement of Marks'!A150)</f>
        <v>144</v>
      </c>
      <c r="B151" s="804" t="str">
        <f>IF(OR($D$3="",$L$3=""),"",IF('Statement of Marks'!B150="","",'Statement of Marks'!B150))</f>
        <v/>
      </c>
      <c r="C151" s="805" t="str">
        <f>IF(OR($D$3="",$L$3=""),"",IF('Statement of Marks'!D150="","",'Statement of Marks'!D150))</f>
        <v/>
      </c>
      <c r="D151" s="806" t="str">
        <f>IF(OR($D$3="",$L$3=""),"",IF('Statement of Marks'!E150="","",'Statement of Marks'!E150))</f>
        <v/>
      </c>
      <c r="E151" s="807" t="str">
        <f>IF(OR($D$3="",$L$3=""),"",IF('Statement of Marks'!F150="","",'Statement of Marks'!F150))</f>
        <v/>
      </c>
      <c r="F151" s="807" t="str">
        <f>IF(OR($D$3="",$L$3=""),"",IF('Statement of Marks'!G150="","",'Statement of Marks'!G150))</f>
        <v/>
      </c>
      <c r="G151" s="807" t="str">
        <f>IF(OR($D$3="",$L$3=""),"",IF('Statement of Marks'!H150="","",'Statement of Marks'!H150))</f>
        <v/>
      </c>
      <c r="H151" s="808" t="str">
        <f>IF(OR($D$3="",$L$3=""),"",IF('Statement of Marks'!I150="","",'Statement of Marks'!I150))</f>
        <v/>
      </c>
      <c r="I151" s="808" t="str">
        <f>IF(OR($D$3="",$L$3=""),"",IF('Statement of Marks'!J150="","",'Statement of Marks'!J150))</f>
        <v/>
      </c>
      <c r="J151" s="809"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809"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809"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810">
        <f t="shared" si="20"/>
        <v>0</v>
      </c>
      <c r="N151" s="809"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811">
        <f>IF($L$3=$AJ$18,'Statement of Marks'!FV150,IF($L$3=$AJ$19,'Statement of Marks'!GD150,IF(AND(M151="NA",N151="NA"),"NA",IF(AND(M151="",N151=""),"",SUM(M151,N151)))))</f>
        <v>0</v>
      </c>
      <c r="P151" s="809"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812" t="str">
        <f t="shared" si="23"/>
        <v/>
      </c>
      <c r="R151" s="813">
        <f t="shared" si="21"/>
        <v>0</v>
      </c>
      <c r="S151" s="813" t="str">
        <f t="shared" si="24"/>
        <v/>
      </c>
      <c r="T151" s="813" t="str">
        <f t="shared" si="25"/>
        <v/>
      </c>
      <c r="U151" s="814" t="str">
        <f t="shared" si="26"/>
        <v/>
      </c>
      <c r="V151" s="815" t="str">
        <f t="shared" si="27"/>
        <v/>
      </c>
      <c r="W151" s="816" t="str">
        <f t="shared" si="22"/>
        <v/>
      </c>
    </row>
    <row r="152" spans="1:23">
      <c r="A152" s="803">
        <f>IF('Statement of Marks'!A151="","",'Statement of Marks'!A151)</f>
        <v>145</v>
      </c>
      <c r="B152" s="804" t="str">
        <f>IF(OR($D$3="",$L$3=""),"",IF('Statement of Marks'!B151="","",'Statement of Marks'!B151))</f>
        <v/>
      </c>
      <c r="C152" s="805" t="str">
        <f>IF(OR($D$3="",$L$3=""),"",IF('Statement of Marks'!D151="","",'Statement of Marks'!D151))</f>
        <v/>
      </c>
      <c r="D152" s="806" t="str">
        <f>IF(OR($D$3="",$L$3=""),"",IF('Statement of Marks'!E151="","",'Statement of Marks'!E151))</f>
        <v/>
      </c>
      <c r="E152" s="807" t="str">
        <f>IF(OR($D$3="",$L$3=""),"",IF('Statement of Marks'!F151="","",'Statement of Marks'!F151))</f>
        <v/>
      </c>
      <c r="F152" s="807" t="str">
        <f>IF(OR($D$3="",$L$3=""),"",IF('Statement of Marks'!G151="","",'Statement of Marks'!G151))</f>
        <v/>
      </c>
      <c r="G152" s="807" t="str">
        <f>IF(OR($D$3="",$L$3=""),"",IF('Statement of Marks'!H151="","",'Statement of Marks'!H151))</f>
        <v/>
      </c>
      <c r="H152" s="808" t="str">
        <f>IF(OR($D$3="",$L$3=""),"",IF('Statement of Marks'!I151="","",'Statement of Marks'!I151))</f>
        <v/>
      </c>
      <c r="I152" s="808" t="str">
        <f>IF(OR($D$3="",$L$3=""),"",IF('Statement of Marks'!J151="","",'Statement of Marks'!J151))</f>
        <v/>
      </c>
      <c r="J152" s="809"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809"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809"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810">
        <f t="shared" si="20"/>
        <v>0</v>
      </c>
      <c r="N152" s="809"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811">
        <f>IF($L$3=$AJ$18,'Statement of Marks'!FV151,IF($L$3=$AJ$19,'Statement of Marks'!GD151,IF(AND(M152="NA",N152="NA"),"NA",IF(AND(M152="",N152=""),"",SUM(M152,N152)))))</f>
        <v>0</v>
      </c>
      <c r="P152" s="809"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812" t="str">
        <f t="shared" si="23"/>
        <v/>
      </c>
      <c r="R152" s="813">
        <f t="shared" si="21"/>
        <v>0</v>
      </c>
      <c r="S152" s="813" t="str">
        <f t="shared" si="24"/>
        <v/>
      </c>
      <c r="T152" s="813" t="str">
        <f t="shared" si="25"/>
        <v/>
      </c>
      <c r="U152" s="814" t="str">
        <f t="shared" si="26"/>
        <v/>
      </c>
      <c r="V152" s="815" t="str">
        <f t="shared" si="27"/>
        <v/>
      </c>
      <c r="W152" s="816" t="str">
        <f t="shared" si="22"/>
        <v/>
      </c>
    </row>
    <row r="153" spans="1:23">
      <c r="A153" s="803">
        <f>IF('Statement of Marks'!A152="","",'Statement of Marks'!A152)</f>
        <v>146</v>
      </c>
      <c r="B153" s="804" t="str">
        <f>IF(OR($D$3="",$L$3=""),"",IF('Statement of Marks'!B152="","",'Statement of Marks'!B152))</f>
        <v/>
      </c>
      <c r="C153" s="805" t="str">
        <f>IF(OR($D$3="",$L$3=""),"",IF('Statement of Marks'!D152="","",'Statement of Marks'!D152))</f>
        <v/>
      </c>
      <c r="D153" s="806" t="str">
        <f>IF(OR($D$3="",$L$3=""),"",IF('Statement of Marks'!E152="","",'Statement of Marks'!E152))</f>
        <v/>
      </c>
      <c r="E153" s="807" t="str">
        <f>IF(OR($D$3="",$L$3=""),"",IF('Statement of Marks'!F152="","",'Statement of Marks'!F152))</f>
        <v/>
      </c>
      <c r="F153" s="807" t="str">
        <f>IF(OR($D$3="",$L$3=""),"",IF('Statement of Marks'!G152="","",'Statement of Marks'!G152))</f>
        <v/>
      </c>
      <c r="G153" s="807" t="str">
        <f>IF(OR($D$3="",$L$3=""),"",IF('Statement of Marks'!H152="","",'Statement of Marks'!H152))</f>
        <v/>
      </c>
      <c r="H153" s="808" t="str">
        <f>IF(OR($D$3="",$L$3=""),"",IF('Statement of Marks'!I152="","",'Statement of Marks'!I152))</f>
        <v/>
      </c>
      <c r="I153" s="808" t="str">
        <f>IF(OR($D$3="",$L$3=""),"",IF('Statement of Marks'!J152="","",'Statement of Marks'!J152))</f>
        <v/>
      </c>
      <c r="J153" s="809"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809"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809"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810">
        <f t="shared" si="20"/>
        <v>0</v>
      </c>
      <c r="N153" s="809"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811">
        <f>IF($L$3=$AJ$18,'Statement of Marks'!FV152,IF($L$3=$AJ$19,'Statement of Marks'!GD152,IF(AND(M153="NA",N153="NA"),"NA",IF(AND(M153="",N153=""),"",SUM(M153,N153)))))</f>
        <v>0</v>
      </c>
      <c r="P153" s="809"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812" t="str">
        <f t="shared" si="23"/>
        <v/>
      </c>
      <c r="R153" s="813">
        <f t="shared" si="21"/>
        <v>0</v>
      </c>
      <c r="S153" s="813" t="str">
        <f t="shared" si="24"/>
        <v/>
      </c>
      <c r="T153" s="813" t="str">
        <f t="shared" si="25"/>
        <v/>
      </c>
      <c r="U153" s="814" t="str">
        <f t="shared" si="26"/>
        <v/>
      </c>
      <c r="V153" s="815" t="str">
        <f t="shared" si="27"/>
        <v/>
      </c>
      <c r="W153" s="816" t="str">
        <f t="shared" si="22"/>
        <v/>
      </c>
    </row>
    <row r="154" spans="1:23">
      <c r="A154" s="803">
        <f>IF('Statement of Marks'!A153="","",'Statement of Marks'!A153)</f>
        <v>147</v>
      </c>
      <c r="B154" s="804" t="str">
        <f>IF(OR($D$3="",$L$3=""),"",IF('Statement of Marks'!B153="","",'Statement of Marks'!B153))</f>
        <v/>
      </c>
      <c r="C154" s="805" t="str">
        <f>IF(OR($D$3="",$L$3=""),"",IF('Statement of Marks'!D153="","",'Statement of Marks'!D153))</f>
        <v/>
      </c>
      <c r="D154" s="806" t="str">
        <f>IF(OR($D$3="",$L$3=""),"",IF('Statement of Marks'!E153="","",'Statement of Marks'!E153))</f>
        <v/>
      </c>
      <c r="E154" s="807" t="str">
        <f>IF(OR($D$3="",$L$3=""),"",IF('Statement of Marks'!F153="","",'Statement of Marks'!F153))</f>
        <v/>
      </c>
      <c r="F154" s="807" t="str">
        <f>IF(OR($D$3="",$L$3=""),"",IF('Statement of Marks'!G153="","",'Statement of Marks'!G153))</f>
        <v/>
      </c>
      <c r="G154" s="807" t="str">
        <f>IF(OR($D$3="",$L$3=""),"",IF('Statement of Marks'!H153="","",'Statement of Marks'!H153))</f>
        <v/>
      </c>
      <c r="H154" s="808" t="str">
        <f>IF(OR($D$3="",$L$3=""),"",IF('Statement of Marks'!I153="","",'Statement of Marks'!I153))</f>
        <v/>
      </c>
      <c r="I154" s="808" t="str">
        <f>IF(OR($D$3="",$L$3=""),"",IF('Statement of Marks'!J153="","",'Statement of Marks'!J153))</f>
        <v/>
      </c>
      <c r="J154" s="809"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809"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809"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810">
        <f t="shared" si="20"/>
        <v>0</v>
      </c>
      <c r="N154" s="809"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811">
        <f>IF($L$3=$AJ$18,'Statement of Marks'!FV153,IF($L$3=$AJ$19,'Statement of Marks'!GD153,IF(AND(M154="NA",N154="NA"),"NA",IF(AND(M154="",N154=""),"",SUM(M154,N154)))))</f>
        <v>0</v>
      </c>
      <c r="P154" s="809"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812" t="str">
        <f t="shared" si="23"/>
        <v/>
      </c>
      <c r="R154" s="813">
        <f t="shared" si="21"/>
        <v>0</v>
      </c>
      <c r="S154" s="813" t="str">
        <f t="shared" si="24"/>
        <v/>
      </c>
      <c r="T154" s="813" t="str">
        <f t="shared" si="25"/>
        <v/>
      </c>
      <c r="U154" s="814" t="str">
        <f t="shared" si="26"/>
        <v/>
      </c>
      <c r="V154" s="815" t="str">
        <f t="shared" si="27"/>
        <v/>
      </c>
      <c r="W154" s="816" t="str">
        <f t="shared" si="22"/>
        <v/>
      </c>
    </row>
    <row r="155" spans="1:23">
      <c r="A155" s="803">
        <f>IF('Statement of Marks'!A154="","",'Statement of Marks'!A154)</f>
        <v>148</v>
      </c>
      <c r="B155" s="804" t="str">
        <f>IF(OR($D$3="",$L$3=""),"",IF('Statement of Marks'!B154="","",'Statement of Marks'!B154))</f>
        <v/>
      </c>
      <c r="C155" s="805" t="str">
        <f>IF(OR($D$3="",$L$3=""),"",IF('Statement of Marks'!D154="","",'Statement of Marks'!D154))</f>
        <v/>
      </c>
      <c r="D155" s="806" t="str">
        <f>IF(OR($D$3="",$L$3=""),"",IF('Statement of Marks'!E154="","",'Statement of Marks'!E154))</f>
        <v/>
      </c>
      <c r="E155" s="807" t="str">
        <f>IF(OR($D$3="",$L$3=""),"",IF('Statement of Marks'!F154="","",'Statement of Marks'!F154))</f>
        <v/>
      </c>
      <c r="F155" s="807" t="str">
        <f>IF(OR($D$3="",$L$3=""),"",IF('Statement of Marks'!G154="","",'Statement of Marks'!G154))</f>
        <v/>
      </c>
      <c r="G155" s="807" t="str">
        <f>IF(OR($D$3="",$L$3=""),"",IF('Statement of Marks'!H154="","",'Statement of Marks'!H154))</f>
        <v/>
      </c>
      <c r="H155" s="808" t="str">
        <f>IF(OR($D$3="",$L$3=""),"",IF('Statement of Marks'!I154="","",'Statement of Marks'!I154))</f>
        <v/>
      </c>
      <c r="I155" s="808" t="str">
        <f>IF(OR($D$3="",$L$3=""),"",IF('Statement of Marks'!J154="","",'Statement of Marks'!J154))</f>
        <v/>
      </c>
      <c r="J155" s="809"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809"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809"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810">
        <f t="shared" si="20"/>
        <v>0</v>
      </c>
      <c r="N155" s="809"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811">
        <f>IF($L$3=$AJ$18,'Statement of Marks'!FV154,IF($L$3=$AJ$19,'Statement of Marks'!GD154,IF(AND(M155="NA",N155="NA"),"NA",IF(AND(M155="",N155=""),"",SUM(M155,N155)))))</f>
        <v>0</v>
      </c>
      <c r="P155" s="809"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812" t="str">
        <f t="shared" si="23"/>
        <v/>
      </c>
      <c r="R155" s="813">
        <f t="shared" si="21"/>
        <v>0</v>
      </c>
      <c r="S155" s="813" t="str">
        <f t="shared" si="24"/>
        <v/>
      </c>
      <c r="T155" s="813" t="str">
        <f t="shared" si="25"/>
        <v/>
      </c>
      <c r="U155" s="814" t="str">
        <f t="shared" si="26"/>
        <v/>
      </c>
      <c r="V155" s="815" t="str">
        <f t="shared" si="27"/>
        <v/>
      </c>
      <c r="W155" s="816" t="str">
        <f t="shared" si="22"/>
        <v/>
      </c>
    </row>
    <row r="156" spans="1:23">
      <c r="A156" s="803">
        <f>IF('Statement of Marks'!A155="","",'Statement of Marks'!A155)</f>
        <v>149</v>
      </c>
      <c r="B156" s="804" t="str">
        <f>IF(OR($D$3="",$L$3=""),"",IF('Statement of Marks'!B155="","",'Statement of Marks'!B155))</f>
        <v/>
      </c>
      <c r="C156" s="805" t="str">
        <f>IF(OR($D$3="",$L$3=""),"",IF('Statement of Marks'!D155="","",'Statement of Marks'!D155))</f>
        <v/>
      </c>
      <c r="D156" s="806" t="str">
        <f>IF(OR($D$3="",$L$3=""),"",IF('Statement of Marks'!E155="","",'Statement of Marks'!E155))</f>
        <v/>
      </c>
      <c r="E156" s="807" t="str">
        <f>IF(OR($D$3="",$L$3=""),"",IF('Statement of Marks'!F155="","",'Statement of Marks'!F155))</f>
        <v/>
      </c>
      <c r="F156" s="807" t="str">
        <f>IF(OR($D$3="",$L$3=""),"",IF('Statement of Marks'!G155="","",'Statement of Marks'!G155))</f>
        <v/>
      </c>
      <c r="G156" s="807" t="str">
        <f>IF(OR($D$3="",$L$3=""),"",IF('Statement of Marks'!H155="","",'Statement of Marks'!H155))</f>
        <v/>
      </c>
      <c r="H156" s="808" t="str">
        <f>IF(OR($D$3="",$L$3=""),"",IF('Statement of Marks'!I155="","",'Statement of Marks'!I155))</f>
        <v/>
      </c>
      <c r="I156" s="808" t="str">
        <f>IF(OR($D$3="",$L$3=""),"",IF('Statement of Marks'!J155="","",'Statement of Marks'!J155))</f>
        <v/>
      </c>
      <c r="J156" s="809"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809"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809"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810">
        <f t="shared" si="20"/>
        <v>0</v>
      </c>
      <c r="N156" s="809"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811">
        <f>IF($L$3=$AJ$18,'Statement of Marks'!FV155,IF($L$3=$AJ$19,'Statement of Marks'!GD155,IF(AND(M156="NA",N156="NA"),"NA",IF(AND(M156="",N156=""),"",SUM(M156,N156)))))</f>
        <v>0</v>
      </c>
      <c r="P156" s="809"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812" t="str">
        <f t="shared" si="23"/>
        <v/>
      </c>
      <c r="R156" s="813">
        <f t="shared" si="21"/>
        <v>0</v>
      </c>
      <c r="S156" s="813" t="str">
        <f t="shared" si="24"/>
        <v/>
      </c>
      <c r="T156" s="813" t="str">
        <f t="shared" si="25"/>
        <v/>
      </c>
      <c r="U156" s="814" t="str">
        <f t="shared" si="26"/>
        <v/>
      </c>
      <c r="V156" s="815" t="str">
        <f t="shared" si="27"/>
        <v/>
      </c>
      <c r="W156" s="816" t="str">
        <f t="shared" si="22"/>
        <v/>
      </c>
    </row>
    <row r="157" spans="1:23">
      <c r="A157" s="803">
        <f>IF('Statement of Marks'!A156="","",'Statement of Marks'!A156)</f>
        <v>150</v>
      </c>
      <c r="B157" s="804" t="str">
        <f>IF(OR($D$3="",$L$3=""),"",IF('Statement of Marks'!B156="","",'Statement of Marks'!B156))</f>
        <v/>
      </c>
      <c r="C157" s="805" t="str">
        <f>IF(OR($D$3="",$L$3=""),"",IF('Statement of Marks'!D156="","",'Statement of Marks'!D156))</f>
        <v/>
      </c>
      <c r="D157" s="806" t="str">
        <f>IF(OR($D$3="",$L$3=""),"",IF('Statement of Marks'!E156="","",'Statement of Marks'!E156))</f>
        <v/>
      </c>
      <c r="E157" s="807" t="str">
        <f>IF(OR($D$3="",$L$3=""),"",IF('Statement of Marks'!F156="","",'Statement of Marks'!F156))</f>
        <v/>
      </c>
      <c r="F157" s="807" t="str">
        <f>IF(OR($D$3="",$L$3=""),"",IF('Statement of Marks'!G156="","",'Statement of Marks'!G156))</f>
        <v/>
      </c>
      <c r="G157" s="807" t="str">
        <f>IF(OR($D$3="",$L$3=""),"",IF('Statement of Marks'!H156="","",'Statement of Marks'!H156))</f>
        <v/>
      </c>
      <c r="H157" s="808" t="str">
        <f>IF(OR($D$3="",$L$3=""),"",IF('Statement of Marks'!I156="","",'Statement of Marks'!I156))</f>
        <v/>
      </c>
      <c r="I157" s="808" t="str">
        <f>IF(OR($D$3="",$L$3=""),"",IF('Statement of Marks'!J156="","",'Statement of Marks'!J156))</f>
        <v/>
      </c>
      <c r="J157" s="809"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809"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809"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810">
        <f t="shared" si="20"/>
        <v>0</v>
      </c>
      <c r="N157" s="809"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811">
        <f>IF($L$3=$AJ$18,'Statement of Marks'!FV156,IF($L$3=$AJ$19,'Statement of Marks'!GD156,IF(AND(M157="NA",N157="NA"),"NA",IF(AND(M157="",N157=""),"",SUM(M157,N157)))))</f>
        <v>0</v>
      </c>
      <c r="P157" s="809"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812" t="str">
        <f t="shared" si="23"/>
        <v/>
      </c>
      <c r="R157" s="813">
        <f t="shared" si="21"/>
        <v>0</v>
      </c>
      <c r="S157" s="813" t="str">
        <f t="shared" si="24"/>
        <v/>
      </c>
      <c r="T157" s="813" t="str">
        <f t="shared" si="25"/>
        <v/>
      </c>
      <c r="U157" s="814" t="str">
        <f t="shared" si="26"/>
        <v/>
      </c>
      <c r="V157" s="815" t="str">
        <f t="shared" si="27"/>
        <v/>
      </c>
      <c r="W157" s="816" t="str">
        <f t="shared" si="22"/>
        <v/>
      </c>
    </row>
    <row r="158" spans="1:23">
      <c r="A158" s="803">
        <f>IF('Statement of Marks'!A157="","",'Statement of Marks'!A157)</f>
        <v>151</v>
      </c>
      <c r="B158" s="804" t="str">
        <f>IF(OR($D$3="",$L$3=""),"",IF('Statement of Marks'!B157="","",'Statement of Marks'!B157))</f>
        <v/>
      </c>
      <c r="C158" s="805" t="str">
        <f>IF(OR($D$3="",$L$3=""),"",IF('Statement of Marks'!D157="","",'Statement of Marks'!D157))</f>
        <v/>
      </c>
      <c r="D158" s="806" t="str">
        <f>IF(OR($D$3="",$L$3=""),"",IF('Statement of Marks'!E157="","",'Statement of Marks'!E157))</f>
        <v/>
      </c>
      <c r="E158" s="807" t="str">
        <f>IF(OR($D$3="",$L$3=""),"",IF('Statement of Marks'!F157="","",'Statement of Marks'!F157))</f>
        <v/>
      </c>
      <c r="F158" s="807" t="str">
        <f>IF(OR($D$3="",$L$3=""),"",IF('Statement of Marks'!G157="","",'Statement of Marks'!G157))</f>
        <v/>
      </c>
      <c r="G158" s="807" t="str">
        <f>IF(OR($D$3="",$L$3=""),"",IF('Statement of Marks'!H157="","",'Statement of Marks'!H157))</f>
        <v/>
      </c>
      <c r="H158" s="808" t="str">
        <f>IF(OR($D$3="",$L$3=""),"",IF('Statement of Marks'!I157="","",'Statement of Marks'!I157))</f>
        <v/>
      </c>
      <c r="I158" s="808" t="str">
        <f>IF(OR($D$3="",$L$3=""),"",IF('Statement of Marks'!J157="","",'Statement of Marks'!J157))</f>
        <v/>
      </c>
      <c r="J158" s="809"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809"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809"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810">
        <f t="shared" si="20"/>
        <v>0</v>
      </c>
      <c r="N158" s="809"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811">
        <f>IF($L$3=$AJ$18,'Statement of Marks'!FV157,IF($L$3=$AJ$19,'Statement of Marks'!GD157,IF(AND(M158="NA",N158="NA"),"NA",IF(AND(M158="",N158=""),"",SUM(M158,N158)))))</f>
        <v>0</v>
      </c>
      <c r="P158" s="809"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812" t="str">
        <f t="shared" si="23"/>
        <v/>
      </c>
      <c r="R158" s="813">
        <f t="shared" si="21"/>
        <v>0</v>
      </c>
      <c r="S158" s="813" t="str">
        <f t="shared" si="24"/>
        <v/>
      </c>
      <c r="T158" s="813" t="str">
        <f t="shared" si="25"/>
        <v/>
      </c>
      <c r="U158" s="814" t="str">
        <f t="shared" si="26"/>
        <v/>
      </c>
      <c r="V158" s="815" t="str">
        <f t="shared" si="27"/>
        <v/>
      </c>
      <c r="W158" s="816" t="str">
        <f t="shared" si="22"/>
        <v/>
      </c>
    </row>
    <row r="159" spans="1:23">
      <c r="A159" s="803">
        <f>IF('Statement of Marks'!A158="","",'Statement of Marks'!A158)</f>
        <v>152</v>
      </c>
      <c r="B159" s="804" t="str">
        <f>IF(OR($D$3="",$L$3=""),"",IF('Statement of Marks'!B158="","",'Statement of Marks'!B158))</f>
        <v/>
      </c>
      <c r="C159" s="805" t="str">
        <f>IF(OR($D$3="",$L$3=""),"",IF('Statement of Marks'!D158="","",'Statement of Marks'!D158))</f>
        <v/>
      </c>
      <c r="D159" s="806" t="str">
        <f>IF(OR($D$3="",$L$3=""),"",IF('Statement of Marks'!E158="","",'Statement of Marks'!E158))</f>
        <v/>
      </c>
      <c r="E159" s="807" t="str">
        <f>IF(OR($D$3="",$L$3=""),"",IF('Statement of Marks'!F158="","",'Statement of Marks'!F158))</f>
        <v/>
      </c>
      <c r="F159" s="807" t="str">
        <f>IF(OR($D$3="",$L$3=""),"",IF('Statement of Marks'!G158="","",'Statement of Marks'!G158))</f>
        <v/>
      </c>
      <c r="G159" s="807" t="str">
        <f>IF(OR($D$3="",$L$3=""),"",IF('Statement of Marks'!H158="","",'Statement of Marks'!H158))</f>
        <v/>
      </c>
      <c r="H159" s="808" t="str">
        <f>IF(OR($D$3="",$L$3=""),"",IF('Statement of Marks'!I158="","",'Statement of Marks'!I158))</f>
        <v/>
      </c>
      <c r="I159" s="808" t="str">
        <f>IF(OR($D$3="",$L$3=""),"",IF('Statement of Marks'!J158="","",'Statement of Marks'!J158))</f>
        <v/>
      </c>
      <c r="J159" s="809"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809"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809"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810">
        <f t="shared" si="20"/>
        <v>0</v>
      </c>
      <c r="N159" s="809"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811">
        <f>IF($L$3=$AJ$18,'Statement of Marks'!FV158,IF($L$3=$AJ$19,'Statement of Marks'!GD158,IF(AND(M159="NA",N159="NA"),"NA",IF(AND(M159="",N159=""),"",SUM(M159,N159)))))</f>
        <v>0</v>
      </c>
      <c r="P159" s="809"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812" t="str">
        <f t="shared" si="23"/>
        <v/>
      </c>
      <c r="R159" s="813">
        <f t="shared" si="21"/>
        <v>0</v>
      </c>
      <c r="S159" s="813" t="str">
        <f t="shared" si="24"/>
        <v/>
      </c>
      <c r="T159" s="813" t="str">
        <f t="shared" si="25"/>
        <v/>
      </c>
      <c r="U159" s="814" t="str">
        <f t="shared" si="26"/>
        <v/>
      </c>
      <c r="V159" s="815" t="str">
        <f t="shared" si="27"/>
        <v/>
      </c>
      <c r="W159" s="816" t="str">
        <f t="shared" si="22"/>
        <v/>
      </c>
    </row>
    <row r="160" spans="1:23">
      <c r="A160" s="803">
        <f>IF('Statement of Marks'!A159="","",'Statement of Marks'!A159)</f>
        <v>153</v>
      </c>
      <c r="B160" s="804" t="str">
        <f>IF(OR($D$3="",$L$3=""),"",IF('Statement of Marks'!B159="","",'Statement of Marks'!B159))</f>
        <v/>
      </c>
      <c r="C160" s="805" t="str">
        <f>IF(OR($D$3="",$L$3=""),"",IF('Statement of Marks'!D159="","",'Statement of Marks'!D159))</f>
        <v/>
      </c>
      <c r="D160" s="806" t="str">
        <f>IF(OR($D$3="",$L$3=""),"",IF('Statement of Marks'!E159="","",'Statement of Marks'!E159))</f>
        <v/>
      </c>
      <c r="E160" s="807" t="str">
        <f>IF(OR($D$3="",$L$3=""),"",IF('Statement of Marks'!F159="","",'Statement of Marks'!F159))</f>
        <v/>
      </c>
      <c r="F160" s="807" t="str">
        <f>IF(OR($D$3="",$L$3=""),"",IF('Statement of Marks'!G159="","",'Statement of Marks'!G159))</f>
        <v/>
      </c>
      <c r="G160" s="807" t="str">
        <f>IF(OR($D$3="",$L$3=""),"",IF('Statement of Marks'!H159="","",'Statement of Marks'!H159))</f>
        <v/>
      </c>
      <c r="H160" s="808" t="str">
        <f>IF(OR($D$3="",$L$3=""),"",IF('Statement of Marks'!I159="","",'Statement of Marks'!I159))</f>
        <v/>
      </c>
      <c r="I160" s="808" t="str">
        <f>IF(OR($D$3="",$L$3=""),"",IF('Statement of Marks'!J159="","",'Statement of Marks'!J159))</f>
        <v/>
      </c>
      <c r="J160" s="809"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809"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809"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810">
        <f t="shared" si="20"/>
        <v>0</v>
      </c>
      <c r="N160" s="809"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811">
        <f>IF($L$3=$AJ$18,'Statement of Marks'!FV159,IF($L$3=$AJ$19,'Statement of Marks'!GD159,IF(AND(M160="NA",N160="NA"),"NA",IF(AND(M160="",N160=""),"",SUM(M160,N160)))))</f>
        <v>0</v>
      </c>
      <c r="P160" s="809"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812" t="str">
        <f t="shared" si="23"/>
        <v/>
      </c>
      <c r="R160" s="813">
        <f t="shared" si="21"/>
        <v>0</v>
      </c>
      <c r="S160" s="813" t="str">
        <f t="shared" si="24"/>
        <v/>
      </c>
      <c r="T160" s="813" t="str">
        <f t="shared" si="25"/>
        <v/>
      </c>
      <c r="U160" s="814" t="str">
        <f t="shared" si="26"/>
        <v/>
      </c>
      <c r="V160" s="815" t="str">
        <f t="shared" si="27"/>
        <v/>
      </c>
      <c r="W160" s="816" t="str">
        <f t="shared" si="22"/>
        <v/>
      </c>
    </row>
    <row r="161" spans="1:23">
      <c r="A161" s="803">
        <f>IF('Statement of Marks'!A160="","",'Statement of Marks'!A160)</f>
        <v>154</v>
      </c>
      <c r="B161" s="804" t="str">
        <f>IF(OR($D$3="",$L$3=""),"",IF('Statement of Marks'!B160="","",'Statement of Marks'!B160))</f>
        <v/>
      </c>
      <c r="C161" s="805" t="str">
        <f>IF(OR($D$3="",$L$3=""),"",IF('Statement of Marks'!D160="","",'Statement of Marks'!D160))</f>
        <v/>
      </c>
      <c r="D161" s="806" t="str">
        <f>IF(OR($D$3="",$L$3=""),"",IF('Statement of Marks'!E160="","",'Statement of Marks'!E160))</f>
        <v/>
      </c>
      <c r="E161" s="807" t="str">
        <f>IF(OR($D$3="",$L$3=""),"",IF('Statement of Marks'!F160="","",'Statement of Marks'!F160))</f>
        <v/>
      </c>
      <c r="F161" s="807" t="str">
        <f>IF(OR($D$3="",$L$3=""),"",IF('Statement of Marks'!G160="","",'Statement of Marks'!G160))</f>
        <v/>
      </c>
      <c r="G161" s="807" t="str">
        <f>IF(OR($D$3="",$L$3=""),"",IF('Statement of Marks'!H160="","",'Statement of Marks'!H160))</f>
        <v/>
      </c>
      <c r="H161" s="808" t="str">
        <f>IF(OR($D$3="",$L$3=""),"",IF('Statement of Marks'!I160="","",'Statement of Marks'!I160))</f>
        <v/>
      </c>
      <c r="I161" s="808" t="str">
        <f>IF(OR($D$3="",$L$3=""),"",IF('Statement of Marks'!J160="","",'Statement of Marks'!J160))</f>
        <v/>
      </c>
      <c r="J161" s="809"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809"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809"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810">
        <f t="shared" si="20"/>
        <v>0</v>
      </c>
      <c r="N161" s="809"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811">
        <f>IF($L$3=$AJ$18,'Statement of Marks'!FV160,IF($L$3=$AJ$19,'Statement of Marks'!GD160,IF(AND(M161="NA",N161="NA"),"NA",IF(AND(M161="",N161=""),"",SUM(M161,N161)))))</f>
        <v>0</v>
      </c>
      <c r="P161" s="809"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812" t="str">
        <f t="shared" si="23"/>
        <v/>
      </c>
      <c r="R161" s="813">
        <f t="shared" si="21"/>
        <v>0</v>
      </c>
      <c r="S161" s="813" t="str">
        <f t="shared" si="24"/>
        <v/>
      </c>
      <c r="T161" s="813" t="str">
        <f t="shared" si="25"/>
        <v/>
      </c>
      <c r="U161" s="814" t="str">
        <f t="shared" si="26"/>
        <v/>
      </c>
      <c r="V161" s="815" t="str">
        <f t="shared" si="27"/>
        <v/>
      </c>
      <c r="W161" s="816" t="str">
        <f t="shared" si="22"/>
        <v/>
      </c>
    </row>
    <row r="162" spans="1:23">
      <c r="A162" s="803">
        <f>IF('Statement of Marks'!A161="","",'Statement of Marks'!A161)</f>
        <v>155</v>
      </c>
      <c r="B162" s="804" t="str">
        <f>IF(OR($D$3="",$L$3=""),"",IF('Statement of Marks'!B161="","",'Statement of Marks'!B161))</f>
        <v/>
      </c>
      <c r="C162" s="805" t="str">
        <f>IF(OR($D$3="",$L$3=""),"",IF('Statement of Marks'!D161="","",'Statement of Marks'!D161))</f>
        <v/>
      </c>
      <c r="D162" s="806" t="str">
        <f>IF(OR($D$3="",$L$3=""),"",IF('Statement of Marks'!E161="","",'Statement of Marks'!E161))</f>
        <v/>
      </c>
      <c r="E162" s="807" t="str">
        <f>IF(OR($D$3="",$L$3=""),"",IF('Statement of Marks'!F161="","",'Statement of Marks'!F161))</f>
        <v/>
      </c>
      <c r="F162" s="807" t="str">
        <f>IF(OR($D$3="",$L$3=""),"",IF('Statement of Marks'!G161="","",'Statement of Marks'!G161))</f>
        <v/>
      </c>
      <c r="G162" s="807" t="str">
        <f>IF(OR($D$3="",$L$3=""),"",IF('Statement of Marks'!H161="","",'Statement of Marks'!H161))</f>
        <v/>
      </c>
      <c r="H162" s="808" t="str">
        <f>IF(OR($D$3="",$L$3=""),"",IF('Statement of Marks'!I161="","",'Statement of Marks'!I161))</f>
        <v/>
      </c>
      <c r="I162" s="808" t="str">
        <f>IF(OR($D$3="",$L$3=""),"",IF('Statement of Marks'!J161="","",'Statement of Marks'!J161))</f>
        <v/>
      </c>
      <c r="J162" s="809"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809"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809"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810">
        <f t="shared" si="20"/>
        <v>0</v>
      </c>
      <c r="N162" s="809"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811">
        <f>IF($L$3=$AJ$18,'Statement of Marks'!FV161,IF($L$3=$AJ$19,'Statement of Marks'!GD161,IF(AND(M162="NA",N162="NA"),"NA",IF(AND(M162="",N162=""),"",SUM(M162,N162)))))</f>
        <v>0</v>
      </c>
      <c r="P162" s="809"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812" t="str">
        <f t="shared" si="23"/>
        <v/>
      </c>
      <c r="R162" s="813">
        <f t="shared" si="21"/>
        <v>0</v>
      </c>
      <c r="S162" s="813" t="str">
        <f t="shared" si="24"/>
        <v/>
      </c>
      <c r="T162" s="813" t="str">
        <f t="shared" si="25"/>
        <v/>
      </c>
      <c r="U162" s="814" t="str">
        <f t="shared" si="26"/>
        <v/>
      </c>
      <c r="V162" s="815" t="str">
        <f t="shared" si="27"/>
        <v/>
      </c>
      <c r="W162" s="816" t="str">
        <f t="shared" si="22"/>
        <v/>
      </c>
    </row>
    <row r="163" spans="1:23">
      <c r="A163" s="803">
        <f>IF('Statement of Marks'!A162="","",'Statement of Marks'!A162)</f>
        <v>156</v>
      </c>
      <c r="B163" s="804" t="str">
        <f>IF(OR($D$3="",$L$3=""),"",IF('Statement of Marks'!B162="","",'Statement of Marks'!B162))</f>
        <v/>
      </c>
      <c r="C163" s="805" t="str">
        <f>IF(OR($D$3="",$L$3=""),"",IF('Statement of Marks'!D162="","",'Statement of Marks'!D162))</f>
        <v/>
      </c>
      <c r="D163" s="806" t="str">
        <f>IF(OR($D$3="",$L$3=""),"",IF('Statement of Marks'!E162="","",'Statement of Marks'!E162))</f>
        <v/>
      </c>
      <c r="E163" s="807" t="str">
        <f>IF(OR($D$3="",$L$3=""),"",IF('Statement of Marks'!F162="","",'Statement of Marks'!F162))</f>
        <v/>
      </c>
      <c r="F163" s="807" t="str">
        <f>IF(OR($D$3="",$L$3=""),"",IF('Statement of Marks'!G162="","",'Statement of Marks'!G162))</f>
        <v/>
      </c>
      <c r="G163" s="807" t="str">
        <f>IF(OR($D$3="",$L$3=""),"",IF('Statement of Marks'!H162="","",'Statement of Marks'!H162))</f>
        <v/>
      </c>
      <c r="H163" s="808" t="str">
        <f>IF(OR($D$3="",$L$3=""),"",IF('Statement of Marks'!I162="","",'Statement of Marks'!I162))</f>
        <v/>
      </c>
      <c r="I163" s="808" t="str">
        <f>IF(OR($D$3="",$L$3=""),"",IF('Statement of Marks'!J162="","",'Statement of Marks'!J162))</f>
        <v/>
      </c>
      <c r="J163" s="809"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809"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809"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810">
        <f t="shared" si="20"/>
        <v>0</v>
      </c>
      <c r="N163" s="809"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811">
        <f>IF($L$3=$AJ$18,'Statement of Marks'!FV162,IF($L$3=$AJ$19,'Statement of Marks'!GD162,IF(AND(M163="NA",N163="NA"),"NA",IF(AND(M163="",N163=""),"",SUM(M163,N163)))))</f>
        <v>0</v>
      </c>
      <c r="P163" s="809"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812" t="str">
        <f t="shared" si="23"/>
        <v/>
      </c>
      <c r="R163" s="813">
        <f t="shared" si="21"/>
        <v>0</v>
      </c>
      <c r="S163" s="813" t="str">
        <f t="shared" si="24"/>
        <v/>
      </c>
      <c r="T163" s="813" t="str">
        <f t="shared" si="25"/>
        <v/>
      </c>
      <c r="U163" s="814" t="str">
        <f t="shared" si="26"/>
        <v/>
      </c>
      <c r="V163" s="815" t="str">
        <f t="shared" si="27"/>
        <v/>
      </c>
      <c r="W163" s="816" t="str">
        <f t="shared" si="22"/>
        <v/>
      </c>
    </row>
    <row r="164" spans="1:23">
      <c r="A164" s="803">
        <f>IF('Statement of Marks'!A163="","",'Statement of Marks'!A163)</f>
        <v>157</v>
      </c>
      <c r="B164" s="804" t="str">
        <f>IF(OR($D$3="",$L$3=""),"",IF('Statement of Marks'!B163="","",'Statement of Marks'!B163))</f>
        <v/>
      </c>
      <c r="C164" s="805" t="str">
        <f>IF(OR($D$3="",$L$3=""),"",IF('Statement of Marks'!D163="","",'Statement of Marks'!D163))</f>
        <v/>
      </c>
      <c r="D164" s="806" t="str">
        <f>IF(OR($D$3="",$L$3=""),"",IF('Statement of Marks'!E163="","",'Statement of Marks'!E163))</f>
        <v/>
      </c>
      <c r="E164" s="807" t="str">
        <f>IF(OR($D$3="",$L$3=""),"",IF('Statement of Marks'!F163="","",'Statement of Marks'!F163))</f>
        <v/>
      </c>
      <c r="F164" s="807" t="str">
        <f>IF(OR($D$3="",$L$3=""),"",IF('Statement of Marks'!G163="","",'Statement of Marks'!G163))</f>
        <v/>
      </c>
      <c r="G164" s="807" t="str">
        <f>IF(OR($D$3="",$L$3=""),"",IF('Statement of Marks'!H163="","",'Statement of Marks'!H163))</f>
        <v/>
      </c>
      <c r="H164" s="808" t="str">
        <f>IF(OR($D$3="",$L$3=""),"",IF('Statement of Marks'!I163="","",'Statement of Marks'!I163))</f>
        <v/>
      </c>
      <c r="I164" s="808" t="str">
        <f>IF(OR($D$3="",$L$3=""),"",IF('Statement of Marks'!J163="","",'Statement of Marks'!J163))</f>
        <v/>
      </c>
      <c r="J164" s="809"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809"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809"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810">
        <f t="shared" si="20"/>
        <v>0</v>
      </c>
      <c r="N164" s="809"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811">
        <f>IF($L$3=$AJ$18,'Statement of Marks'!FV163,IF($L$3=$AJ$19,'Statement of Marks'!GD163,IF(AND(M164="NA",N164="NA"),"NA",IF(AND(M164="",N164=""),"",SUM(M164,N164)))))</f>
        <v>0</v>
      </c>
      <c r="P164" s="809"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812" t="str">
        <f t="shared" si="23"/>
        <v/>
      </c>
      <c r="R164" s="813">
        <f t="shared" si="21"/>
        <v>0</v>
      </c>
      <c r="S164" s="813" t="str">
        <f t="shared" si="24"/>
        <v/>
      </c>
      <c r="T164" s="813" t="str">
        <f t="shared" si="25"/>
        <v/>
      </c>
      <c r="U164" s="814" t="str">
        <f t="shared" si="26"/>
        <v/>
      </c>
      <c r="V164" s="815" t="str">
        <f t="shared" si="27"/>
        <v/>
      </c>
      <c r="W164" s="816" t="str">
        <f t="shared" si="22"/>
        <v/>
      </c>
    </row>
    <row r="165" spans="1:23">
      <c r="A165" s="803">
        <f>IF('Statement of Marks'!A164="","",'Statement of Marks'!A164)</f>
        <v>158</v>
      </c>
      <c r="B165" s="804" t="str">
        <f>IF(OR($D$3="",$L$3=""),"",IF('Statement of Marks'!B164="","",'Statement of Marks'!B164))</f>
        <v/>
      </c>
      <c r="C165" s="805" t="str">
        <f>IF(OR($D$3="",$L$3=""),"",IF('Statement of Marks'!D164="","",'Statement of Marks'!D164))</f>
        <v/>
      </c>
      <c r="D165" s="806" t="str">
        <f>IF(OR($D$3="",$L$3=""),"",IF('Statement of Marks'!E164="","",'Statement of Marks'!E164))</f>
        <v/>
      </c>
      <c r="E165" s="807" t="str">
        <f>IF(OR($D$3="",$L$3=""),"",IF('Statement of Marks'!F164="","",'Statement of Marks'!F164))</f>
        <v/>
      </c>
      <c r="F165" s="807" t="str">
        <f>IF(OR($D$3="",$L$3=""),"",IF('Statement of Marks'!G164="","",'Statement of Marks'!G164))</f>
        <v/>
      </c>
      <c r="G165" s="807" t="str">
        <f>IF(OR($D$3="",$L$3=""),"",IF('Statement of Marks'!H164="","",'Statement of Marks'!H164))</f>
        <v/>
      </c>
      <c r="H165" s="808" t="str">
        <f>IF(OR($D$3="",$L$3=""),"",IF('Statement of Marks'!I164="","",'Statement of Marks'!I164))</f>
        <v/>
      </c>
      <c r="I165" s="808" t="str">
        <f>IF(OR($D$3="",$L$3=""),"",IF('Statement of Marks'!J164="","",'Statement of Marks'!J164))</f>
        <v/>
      </c>
      <c r="J165" s="809"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809"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809"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810">
        <f t="shared" si="20"/>
        <v>0</v>
      </c>
      <c r="N165" s="809"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811">
        <f>IF($L$3=$AJ$18,'Statement of Marks'!FV164,IF($L$3=$AJ$19,'Statement of Marks'!GD164,IF(AND(M165="NA",N165="NA"),"NA",IF(AND(M165="",N165=""),"",SUM(M165,N165)))))</f>
        <v>0</v>
      </c>
      <c r="P165" s="809"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812" t="str">
        <f t="shared" si="23"/>
        <v/>
      </c>
      <c r="R165" s="813">
        <f t="shared" si="21"/>
        <v>0</v>
      </c>
      <c r="S165" s="813" t="str">
        <f t="shared" si="24"/>
        <v/>
      </c>
      <c r="T165" s="813" t="str">
        <f t="shared" si="25"/>
        <v/>
      </c>
      <c r="U165" s="814" t="str">
        <f t="shared" si="26"/>
        <v/>
      </c>
      <c r="V165" s="815" t="str">
        <f t="shared" si="27"/>
        <v/>
      </c>
      <c r="W165" s="816" t="str">
        <f t="shared" si="22"/>
        <v/>
      </c>
    </row>
    <row r="166" spans="1:23">
      <c r="A166" s="803">
        <f>IF('Statement of Marks'!A165="","",'Statement of Marks'!A165)</f>
        <v>159</v>
      </c>
      <c r="B166" s="804" t="str">
        <f>IF(OR($D$3="",$L$3=""),"",IF('Statement of Marks'!B165="","",'Statement of Marks'!B165))</f>
        <v/>
      </c>
      <c r="C166" s="805" t="str">
        <f>IF(OR($D$3="",$L$3=""),"",IF('Statement of Marks'!D165="","",'Statement of Marks'!D165))</f>
        <v/>
      </c>
      <c r="D166" s="806" t="str">
        <f>IF(OR($D$3="",$L$3=""),"",IF('Statement of Marks'!E165="","",'Statement of Marks'!E165))</f>
        <v/>
      </c>
      <c r="E166" s="807" t="str">
        <f>IF(OR($D$3="",$L$3=""),"",IF('Statement of Marks'!F165="","",'Statement of Marks'!F165))</f>
        <v/>
      </c>
      <c r="F166" s="807" t="str">
        <f>IF(OR($D$3="",$L$3=""),"",IF('Statement of Marks'!G165="","",'Statement of Marks'!G165))</f>
        <v/>
      </c>
      <c r="G166" s="807" t="str">
        <f>IF(OR($D$3="",$L$3=""),"",IF('Statement of Marks'!H165="","",'Statement of Marks'!H165))</f>
        <v/>
      </c>
      <c r="H166" s="808" t="str">
        <f>IF(OR($D$3="",$L$3=""),"",IF('Statement of Marks'!I165="","",'Statement of Marks'!I165))</f>
        <v/>
      </c>
      <c r="I166" s="808" t="str">
        <f>IF(OR($D$3="",$L$3=""),"",IF('Statement of Marks'!J165="","",'Statement of Marks'!J165))</f>
        <v/>
      </c>
      <c r="J166" s="809"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809"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809"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810">
        <f t="shared" si="20"/>
        <v>0</v>
      </c>
      <c r="N166" s="809"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811">
        <f>IF($L$3=$AJ$18,'Statement of Marks'!FV165,IF($L$3=$AJ$19,'Statement of Marks'!GD165,IF(AND(M166="NA",N166="NA"),"NA",IF(AND(M166="",N166=""),"",SUM(M166,N166)))))</f>
        <v>0</v>
      </c>
      <c r="P166" s="809"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812" t="str">
        <f t="shared" si="23"/>
        <v/>
      </c>
      <c r="R166" s="813">
        <f t="shared" si="21"/>
        <v>0</v>
      </c>
      <c r="S166" s="813" t="str">
        <f t="shared" si="24"/>
        <v/>
      </c>
      <c r="T166" s="813" t="str">
        <f t="shared" si="25"/>
        <v/>
      </c>
      <c r="U166" s="814" t="str">
        <f t="shared" si="26"/>
        <v/>
      </c>
      <c r="V166" s="815" t="str">
        <f t="shared" si="27"/>
        <v/>
      </c>
      <c r="W166" s="816" t="str">
        <f t="shared" si="22"/>
        <v/>
      </c>
    </row>
    <row r="167" spans="1:23">
      <c r="A167" s="803">
        <f>IF('Statement of Marks'!A166="","",'Statement of Marks'!A166)</f>
        <v>160</v>
      </c>
      <c r="B167" s="804" t="str">
        <f>IF(OR($D$3="",$L$3=""),"",IF('Statement of Marks'!B166="","",'Statement of Marks'!B166))</f>
        <v/>
      </c>
      <c r="C167" s="805" t="str">
        <f>IF(OR($D$3="",$L$3=""),"",IF('Statement of Marks'!D166="","",'Statement of Marks'!D166))</f>
        <v/>
      </c>
      <c r="D167" s="806" t="str">
        <f>IF(OR($D$3="",$L$3=""),"",IF('Statement of Marks'!E166="","",'Statement of Marks'!E166))</f>
        <v/>
      </c>
      <c r="E167" s="807" t="str">
        <f>IF(OR($D$3="",$L$3=""),"",IF('Statement of Marks'!F166="","",'Statement of Marks'!F166))</f>
        <v/>
      </c>
      <c r="F167" s="807" t="str">
        <f>IF(OR($D$3="",$L$3=""),"",IF('Statement of Marks'!G166="","",'Statement of Marks'!G166))</f>
        <v/>
      </c>
      <c r="G167" s="807" t="str">
        <f>IF(OR($D$3="",$L$3=""),"",IF('Statement of Marks'!H166="","",'Statement of Marks'!H166))</f>
        <v/>
      </c>
      <c r="H167" s="808" t="str">
        <f>IF(OR($D$3="",$L$3=""),"",IF('Statement of Marks'!I166="","",'Statement of Marks'!I166))</f>
        <v/>
      </c>
      <c r="I167" s="808" t="str">
        <f>IF(OR($D$3="",$L$3=""),"",IF('Statement of Marks'!J166="","",'Statement of Marks'!J166))</f>
        <v/>
      </c>
      <c r="J167" s="809"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809"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809"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810">
        <f t="shared" si="20"/>
        <v>0</v>
      </c>
      <c r="N167" s="809"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811">
        <f>IF($L$3=$AJ$18,'Statement of Marks'!FV166,IF($L$3=$AJ$19,'Statement of Marks'!GD166,IF(AND(M167="NA",N167="NA"),"NA",IF(AND(M167="",N167=""),"",SUM(M167,N167)))))</f>
        <v>0</v>
      </c>
      <c r="P167" s="809"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812" t="str">
        <f t="shared" si="23"/>
        <v/>
      </c>
      <c r="R167" s="813">
        <f t="shared" si="21"/>
        <v>0</v>
      </c>
      <c r="S167" s="813" t="str">
        <f t="shared" si="24"/>
        <v/>
      </c>
      <c r="T167" s="813" t="str">
        <f t="shared" si="25"/>
        <v/>
      </c>
      <c r="U167" s="814" t="str">
        <f t="shared" si="26"/>
        <v/>
      </c>
      <c r="V167" s="815" t="str">
        <f t="shared" si="27"/>
        <v/>
      </c>
      <c r="W167" s="816" t="str">
        <f t="shared" si="22"/>
        <v/>
      </c>
    </row>
    <row r="168" spans="1:23">
      <c r="A168" s="803">
        <f>IF('Statement of Marks'!A167="","",'Statement of Marks'!A167)</f>
        <v>161</v>
      </c>
      <c r="B168" s="804" t="str">
        <f>IF(OR($D$3="",$L$3=""),"",IF('Statement of Marks'!B167="","",'Statement of Marks'!B167))</f>
        <v/>
      </c>
      <c r="C168" s="805" t="str">
        <f>IF(OR($D$3="",$L$3=""),"",IF('Statement of Marks'!D167="","",'Statement of Marks'!D167))</f>
        <v/>
      </c>
      <c r="D168" s="806" t="str">
        <f>IF(OR($D$3="",$L$3=""),"",IF('Statement of Marks'!E167="","",'Statement of Marks'!E167))</f>
        <v/>
      </c>
      <c r="E168" s="807" t="str">
        <f>IF(OR($D$3="",$L$3=""),"",IF('Statement of Marks'!F167="","",'Statement of Marks'!F167))</f>
        <v/>
      </c>
      <c r="F168" s="807" t="str">
        <f>IF(OR($D$3="",$L$3=""),"",IF('Statement of Marks'!G167="","",'Statement of Marks'!G167))</f>
        <v/>
      </c>
      <c r="G168" s="807" t="str">
        <f>IF(OR($D$3="",$L$3=""),"",IF('Statement of Marks'!H167="","",'Statement of Marks'!H167))</f>
        <v/>
      </c>
      <c r="H168" s="808" t="str">
        <f>IF(OR($D$3="",$L$3=""),"",IF('Statement of Marks'!I167="","",'Statement of Marks'!I167))</f>
        <v/>
      </c>
      <c r="I168" s="808" t="str">
        <f>IF(OR($D$3="",$L$3=""),"",IF('Statement of Marks'!J167="","",'Statement of Marks'!J167))</f>
        <v/>
      </c>
      <c r="J168" s="809"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809"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809"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810">
        <f t="shared" si="20"/>
        <v>0</v>
      </c>
      <c r="N168" s="809"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811">
        <f>IF($L$3=$AJ$18,'Statement of Marks'!FV167,IF($L$3=$AJ$19,'Statement of Marks'!GD167,IF(AND(M168="NA",N168="NA"),"NA",IF(AND(M168="",N168=""),"",SUM(M168,N168)))))</f>
        <v>0</v>
      </c>
      <c r="P168" s="809"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812" t="str">
        <f t="shared" si="23"/>
        <v/>
      </c>
      <c r="R168" s="813">
        <f t="shared" ref="R168:R199" si="28">IFERROR(IF($L$3="","",IF(OR($L$3=$AJ$18,$L$3=$AJ$19),COUNTIF(J168:L168,"NA")*$J$7+(COUNTIF(J168:L168,"ML")*$J$7)+(COUNTIF(O168,"ML")*$O$7)+(COUNTIF(N168,"ML")*$N$8)+(COUNTIF(P168,"ML")*$P$7),COUNTIF(N168,"NA")*$N$7+(COUNTIF(J168:L168,"ML")*$J$7)+(COUNTIF(N168,"ML")*$N$7)+(COUNTIF(P168,"ML")*$P$7))),0)</f>
        <v>0</v>
      </c>
      <c r="S168" s="813" t="str">
        <f t="shared" si="24"/>
        <v/>
      </c>
      <c r="T168" s="813" t="str">
        <f t="shared" si="25"/>
        <v/>
      </c>
      <c r="U168" s="814" t="str">
        <f t="shared" si="26"/>
        <v/>
      </c>
      <c r="V168" s="815" t="str">
        <f t="shared" si="27"/>
        <v/>
      </c>
      <c r="W168" s="816" t="str">
        <f t="shared" ref="W168:W199" si="29">IF(Q168="","",IF(OR(U168="",U168=0,U168="RE",U168="AB",B168="NSO"),"",IF(Q168&gt;85%*S168,"A",IF(Q168&gt;70%*S168,"B",IF(Q168&gt;=50%*S168,"C",IF(Q168&gt;=30%*S168,"D","E"))))))</f>
        <v/>
      </c>
    </row>
    <row r="169" spans="1:23">
      <c r="A169" s="803">
        <f>IF('Statement of Marks'!A168="","",'Statement of Marks'!A168)</f>
        <v>162</v>
      </c>
      <c r="B169" s="804" t="str">
        <f>IF(OR($D$3="",$L$3=""),"",IF('Statement of Marks'!B168="","",'Statement of Marks'!B168))</f>
        <v/>
      </c>
      <c r="C169" s="805" t="str">
        <f>IF(OR($D$3="",$L$3=""),"",IF('Statement of Marks'!D168="","",'Statement of Marks'!D168))</f>
        <v/>
      </c>
      <c r="D169" s="806" t="str">
        <f>IF(OR($D$3="",$L$3=""),"",IF('Statement of Marks'!E168="","",'Statement of Marks'!E168))</f>
        <v/>
      </c>
      <c r="E169" s="807" t="str">
        <f>IF(OR($D$3="",$L$3=""),"",IF('Statement of Marks'!F168="","",'Statement of Marks'!F168))</f>
        <v/>
      </c>
      <c r="F169" s="807" t="str">
        <f>IF(OR($D$3="",$L$3=""),"",IF('Statement of Marks'!G168="","",'Statement of Marks'!G168))</f>
        <v/>
      </c>
      <c r="G169" s="807" t="str">
        <f>IF(OR($D$3="",$L$3=""),"",IF('Statement of Marks'!H168="","",'Statement of Marks'!H168))</f>
        <v/>
      </c>
      <c r="H169" s="808" t="str">
        <f>IF(OR($D$3="",$L$3=""),"",IF('Statement of Marks'!I168="","",'Statement of Marks'!I168))</f>
        <v/>
      </c>
      <c r="I169" s="808" t="str">
        <f>IF(OR($D$3="",$L$3=""),"",IF('Statement of Marks'!J168="","",'Statement of Marks'!J168))</f>
        <v/>
      </c>
      <c r="J169" s="809"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809"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809"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810">
        <f t="shared" si="20"/>
        <v>0</v>
      </c>
      <c r="N169" s="809"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811">
        <f>IF($L$3=$AJ$18,'Statement of Marks'!FV168,IF($L$3=$AJ$19,'Statement of Marks'!GD168,IF(AND(M169="NA",N169="NA"),"NA",IF(AND(M169="",N169=""),"",SUM(M169,N169)))))</f>
        <v>0</v>
      </c>
      <c r="P169" s="809"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812" t="str">
        <f t="shared" si="23"/>
        <v/>
      </c>
      <c r="R169" s="813">
        <f t="shared" si="28"/>
        <v>0</v>
      </c>
      <c r="S169" s="813" t="str">
        <f t="shared" si="24"/>
        <v/>
      </c>
      <c r="T169" s="813" t="str">
        <f t="shared" si="25"/>
        <v/>
      </c>
      <c r="U169" s="814" t="str">
        <f t="shared" si="26"/>
        <v/>
      </c>
      <c r="V169" s="815" t="str">
        <f t="shared" si="27"/>
        <v/>
      </c>
      <c r="W169" s="816" t="str">
        <f t="shared" si="29"/>
        <v/>
      </c>
    </row>
    <row r="170" spans="1:23">
      <c r="A170" s="803">
        <f>IF('Statement of Marks'!A169="","",'Statement of Marks'!A169)</f>
        <v>163</v>
      </c>
      <c r="B170" s="804" t="str">
        <f>IF(OR($D$3="",$L$3=""),"",IF('Statement of Marks'!B169="","",'Statement of Marks'!B169))</f>
        <v/>
      </c>
      <c r="C170" s="805" t="str">
        <f>IF(OR($D$3="",$L$3=""),"",IF('Statement of Marks'!D169="","",'Statement of Marks'!D169))</f>
        <v/>
      </c>
      <c r="D170" s="806" t="str">
        <f>IF(OR($D$3="",$L$3=""),"",IF('Statement of Marks'!E169="","",'Statement of Marks'!E169))</f>
        <v/>
      </c>
      <c r="E170" s="807" t="str">
        <f>IF(OR($D$3="",$L$3=""),"",IF('Statement of Marks'!F169="","",'Statement of Marks'!F169))</f>
        <v/>
      </c>
      <c r="F170" s="807" t="str">
        <f>IF(OR($D$3="",$L$3=""),"",IF('Statement of Marks'!G169="","",'Statement of Marks'!G169))</f>
        <v/>
      </c>
      <c r="G170" s="807" t="str">
        <f>IF(OR($D$3="",$L$3=""),"",IF('Statement of Marks'!H169="","",'Statement of Marks'!H169))</f>
        <v/>
      </c>
      <c r="H170" s="808" t="str">
        <f>IF(OR($D$3="",$L$3=""),"",IF('Statement of Marks'!I169="","",'Statement of Marks'!I169))</f>
        <v/>
      </c>
      <c r="I170" s="808" t="str">
        <f>IF(OR($D$3="",$L$3=""),"",IF('Statement of Marks'!J169="","",'Statement of Marks'!J169))</f>
        <v/>
      </c>
      <c r="J170" s="809"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809"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809"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810">
        <f t="shared" si="20"/>
        <v>0</v>
      </c>
      <c r="N170" s="809"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811">
        <f>IF($L$3=$AJ$18,'Statement of Marks'!FV169,IF($L$3=$AJ$19,'Statement of Marks'!GD169,IF(AND(M170="NA",N170="NA"),"NA",IF(AND(M170="",N170=""),"",SUM(M170,N170)))))</f>
        <v>0</v>
      </c>
      <c r="P170" s="809"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812" t="str">
        <f t="shared" si="23"/>
        <v/>
      </c>
      <c r="R170" s="813">
        <f t="shared" si="28"/>
        <v>0</v>
      </c>
      <c r="S170" s="813" t="str">
        <f t="shared" si="24"/>
        <v/>
      </c>
      <c r="T170" s="813" t="str">
        <f t="shared" si="25"/>
        <v/>
      </c>
      <c r="U170" s="814" t="str">
        <f t="shared" si="26"/>
        <v/>
      </c>
      <c r="V170" s="815" t="str">
        <f t="shared" si="27"/>
        <v/>
      </c>
      <c r="W170" s="816" t="str">
        <f t="shared" si="29"/>
        <v/>
      </c>
    </row>
    <row r="171" spans="1:23">
      <c r="A171" s="803">
        <f>IF('Statement of Marks'!A170="","",'Statement of Marks'!A170)</f>
        <v>164</v>
      </c>
      <c r="B171" s="804" t="str">
        <f>IF(OR($D$3="",$L$3=""),"",IF('Statement of Marks'!B170="","",'Statement of Marks'!B170))</f>
        <v/>
      </c>
      <c r="C171" s="805" t="str">
        <f>IF(OR($D$3="",$L$3=""),"",IF('Statement of Marks'!D170="","",'Statement of Marks'!D170))</f>
        <v/>
      </c>
      <c r="D171" s="806" t="str">
        <f>IF(OR($D$3="",$L$3=""),"",IF('Statement of Marks'!E170="","",'Statement of Marks'!E170))</f>
        <v/>
      </c>
      <c r="E171" s="807" t="str">
        <f>IF(OR($D$3="",$L$3=""),"",IF('Statement of Marks'!F170="","",'Statement of Marks'!F170))</f>
        <v/>
      </c>
      <c r="F171" s="807" t="str">
        <f>IF(OR($D$3="",$L$3=""),"",IF('Statement of Marks'!G170="","",'Statement of Marks'!G170))</f>
        <v/>
      </c>
      <c r="G171" s="807" t="str">
        <f>IF(OR($D$3="",$L$3=""),"",IF('Statement of Marks'!H170="","",'Statement of Marks'!H170))</f>
        <v/>
      </c>
      <c r="H171" s="808" t="str">
        <f>IF(OR($D$3="",$L$3=""),"",IF('Statement of Marks'!I170="","",'Statement of Marks'!I170))</f>
        <v/>
      </c>
      <c r="I171" s="808" t="str">
        <f>IF(OR($D$3="",$L$3=""),"",IF('Statement of Marks'!J170="","",'Statement of Marks'!J170))</f>
        <v/>
      </c>
      <c r="J171" s="809"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809"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809"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810">
        <f t="shared" si="20"/>
        <v>0</v>
      </c>
      <c r="N171" s="809"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811">
        <f>IF($L$3=$AJ$18,'Statement of Marks'!FV170,IF($L$3=$AJ$19,'Statement of Marks'!GD170,IF(AND(M171="NA",N171="NA"),"NA",IF(AND(M171="",N171=""),"",SUM(M171,N171)))))</f>
        <v>0</v>
      </c>
      <c r="P171" s="809"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812" t="str">
        <f t="shared" si="23"/>
        <v/>
      </c>
      <c r="R171" s="813">
        <f t="shared" si="28"/>
        <v>0</v>
      </c>
      <c r="S171" s="813" t="str">
        <f t="shared" si="24"/>
        <v/>
      </c>
      <c r="T171" s="813" t="str">
        <f t="shared" si="25"/>
        <v/>
      </c>
      <c r="U171" s="814" t="str">
        <f t="shared" si="26"/>
        <v/>
      </c>
      <c r="V171" s="815" t="str">
        <f t="shared" si="27"/>
        <v/>
      </c>
      <c r="W171" s="816" t="str">
        <f t="shared" si="29"/>
        <v/>
      </c>
    </row>
    <row r="172" spans="1:23">
      <c r="A172" s="803">
        <f>IF('Statement of Marks'!A171="","",'Statement of Marks'!A171)</f>
        <v>165</v>
      </c>
      <c r="B172" s="804" t="str">
        <f>IF(OR($D$3="",$L$3=""),"",IF('Statement of Marks'!B171="","",'Statement of Marks'!B171))</f>
        <v/>
      </c>
      <c r="C172" s="805" t="str">
        <f>IF(OR($D$3="",$L$3=""),"",IF('Statement of Marks'!D171="","",'Statement of Marks'!D171))</f>
        <v/>
      </c>
      <c r="D172" s="806" t="str">
        <f>IF(OR($D$3="",$L$3=""),"",IF('Statement of Marks'!E171="","",'Statement of Marks'!E171))</f>
        <v/>
      </c>
      <c r="E172" s="807" t="str">
        <f>IF(OR($D$3="",$L$3=""),"",IF('Statement of Marks'!F171="","",'Statement of Marks'!F171))</f>
        <v/>
      </c>
      <c r="F172" s="807" t="str">
        <f>IF(OR($D$3="",$L$3=""),"",IF('Statement of Marks'!G171="","",'Statement of Marks'!G171))</f>
        <v/>
      </c>
      <c r="G172" s="807" t="str">
        <f>IF(OR($D$3="",$L$3=""),"",IF('Statement of Marks'!H171="","",'Statement of Marks'!H171))</f>
        <v/>
      </c>
      <c r="H172" s="808" t="str">
        <f>IF(OR($D$3="",$L$3=""),"",IF('Statement of Marks'!I171="","",'Statement of Marks'!I171))</f>
        <v/>
      </c>
      <c r="I172" s="808" t="str">
        <f>IF(OR($D$3="",$L$3=""),"",IF('Statement of Marks'!J171="","",'Statement of Marks'!J171))</f>
        <v/>
      </c>
      <c r="J172" s="809"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809"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809"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810">
        <f t="shared" si="20"/>
        <v>0</v>
      </c>
      <c r="N172" s="809"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811">
        <f>IF($L$3=$AJ$18,'Statement of Marks'!FV171,IF($L$3=$AJ$19,'Statement of Marks'!GD171,IF(AND(M172="NA",N172="NA"),"NA",IF(AND(M172="",N172=""),"",SUM(M172,N172)))))</f>
        <v>0</v>
      </c>
      <c r="P172" s="809"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812" t="str">
        <f t="shared" si="23"/>
        <v/>
      </c>
      <c r="R172" s="813">
        <f t="shared" si="28"/>
        <v>0</v>
      </c>
      <c r="S172" s="813" t="str">
        <f t="shared" si="24"/>
        <v/>
      </c>
      <c r="T172" s="813" t="str">
        <f t="shared" si="25"/>
        <v/>
      </c>
      <c r="U172" s="814" t="str">
        <f t="shared" si="26"/>
        <v/>
      </c>
      <c r="V172" s="815" t="str">
        <f t="shared" si="27"/>
        <v/>
      </c>
      <c r="W172" s="816" t="str">
        <f t="shared" si="29"/>
        <v/>
      </c>
    </row>
    <row r="173" spans="1:23">
      <c r="A173" s="803">
        <f>IF('Statement of Marks'!A172="","",'Statement of Marks'!A172)</f>
        <v>166</v>
      </c>
      <c r="B173" s="804" t="str">
        <f>IF(OR($D$3="",$L$3=""),"",IF('Statement of Marks'!B172="","",'Statement of Marks'!B172))</f>
        <v/>
      </c>
      <c r="C173" s="805" t="str">
        <f>IF(OR($D$3="",$L$3=""),"",IF('Statement of Marks'!D172="","",'Statement of Marks'!D172))</f>
        <v/>
      </c>
      <c r="D173" s="806" t="str">
        <f>IF(OR($D$3="",$L$3=""),"",IF('Statement of Marks'!E172="","",'Statement of Marks'!E172))</f>
        <v/>
      </c>
      <c r="E173" s="807" t="str">
        <f>IF(OR($D$3="",$L$3=""),"",IF('Statement of Marks'!F172="","",'Statement of Marks'!F172))</f>
        <v/>
      </c>
      <c r="F173" s="807" t="str">
        <f>IF(OR($D$3="",$L$3=""),"",IF('Statement of Marks'!G172="","",'Statement of Marks'!G172))</f>
        <v/>
      </c>
      <c r="G173" s="807" t="str">
        <f>IF(OR($D$3="",$L$3=""),"",IF('Statement of Marks'!H172="","",'Statement of Marks'!H172))</f>
        <v/>
      </c>
      <c r="H173" s="808" t="str">
        <f>IF(OR($D$3="",$L$3=""),"",IF('Statement of Marks'!I172="","",'Statement of Marks'!I172))</f>
        <v/>
      </c>
      <c r="I173" s="808" t="str">
        <f>IF(OR($D$3="",$L$3=""),"",IF('Statement of Marks'!J172="","",'Statement of Marks'!J172))</f>
        <v/>
      </c>
      <c r="J173" s="809"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809"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809"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810">
        <f t="shared" si="20"/>
        <v>0</v>
      </c>
      <c r="N173" s="809"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811">
        <f>IF($L$3=$AJ$18,'Statement of Marks'!FV172,IF($L$3=$AJ$19,'Statement of Marks'!GD172,IF(AND(M173="NA",N173="NA"),"NA",IF(AND(M173="",N173=""),"",SUM(M173,N173)))))</f>
        <v>0</v>
      </c>
      <c r="P173" s="809"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812" t="str">
        <f t="shared" si="23"/>
        <v/>
      </c>
      <c r="R173" s="813">
        <f t="shared" si="28"/>
        <v>0</v>
      </c>
      <c r="S173" s="813" t="str">
        <f t="shared" si="24"/>
        <v/>
      </c>
      <c r="T173" s="813" t="str">
        <f t="shared" si="25"/>
        <v/>
      </c>
      <c r="U173" s="814" t="str">
        <f t="shared" si="26"/>
        <v/>
      </c>
      <c r="V173" s="815" t="str">
        <f t="shared" si="27"/>
        <v/>
      </c>
      <c r="W173" s="816" t="str">
        <f t="shared" si="29"/>
        <v/>
      </c>
    </row>
    <row r="174" spans="1:23">
      <c r="A174" s="803">
        <f>IF('Statement of Marks'!A173="","",'Statement of Marks'!A173)</f>
        <v>167</v>
      </c>
      <c r="B174" s="804" t="str">
        <f>IF(OR($D$3="",$L$3=""),"",IF('Statement of Marks'!B173="","",'Statement of Marks'!B173))</f>
        <v/>
      </c>
      <c r="C174" s="805" t="str">
        <f>IF(OR($D$3="",$L$3=""),"",IF('Statement of Marks'!D173="","",'Statement of Marks'!D173))</f>
        <v/>
      </c>
      <c r="D174" s="806" t="str">
        <f>IF(OR($D$3="",$L$3=""),"",IF('Statement of Marks'!E173="","",'Statement of Marks'!E173))</f>
        <v/>
      </c>
      <c r="E174" s="807" t="str">
        <f>IF(OR($D$3="",$L$3=""),"",IF('Statement of Marks'!F173="","",'Statement of Marks'!F173))</f>
        <v/>
      </c>
      <c r="F174" s="807" t="str">
        <f>IF(OR($D$3="",$L$3=""),"",IF('Statement of Marks'!G173="","",'Statement of Marks'!G173))</f>
        <v/>
      </c>
      <c r="G174" s="807" t="str">
        <f>IF(OR($D$3="",$L$3=""),"",IF('Statement of Marks'!H173="","",'Statement of Marks'!H173))</f>
        <v/>
      </c>
      <c r="H174" s="808" t="str">
        <f>IF(OR($D$3="",$L$3=""),"",IF('Statement of Marks'!I173="","",'Statement of Marks'!I173))</f>
        <v/>
      </c>
      <c r="I174" s="808" t="str">
        <f>IF(OR($D$3="",$L$3=""),"",IF('Statement of Marks'!J173="","",'Statement of Marks'!J173))</f>
        <v/>
      </c>
      <c r="J174" s="809"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809"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809"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810">
        <f t="shared" si="20"/>
        <v>0</v>
      </c>
      <c r="N174" s="809"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811">
        <f>IF($L$3=$AJ$18,'Statement of Marks'!FV173,IF($L$3=$AJ$19,'Statement of Marks'!GD173,IF(AND(M174="NA",N174="NA"),"NA",IF(AND(M174="",N174=""),"",SUM(M174,N174)))))</f>
        <v>0</v>
      </c>
      <c r="P174" s="809"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812" t="str">
        <f t="shared" si="23"/>
        <v/>
      </c>
      <c r="R174" s="813">
        <f t="shared" si="28"/>
        <v>0</v>
      </c>
      <c r="S174" s="813" t="str">
        <f t="shared" si="24"/>
        <v/>
      </c>
      <c r="T174" s="813" t="str">
        <f t="shared" si="25"/>
        <v/>
      </c>
      <c r="U174" s="814" t="str">
        <f t="shared" si="26"/>
        <v/>
      </c>
      <c r="V174" s="815" t="str">
        <f t="shared" si="27"/>
        <v/>
      </c>
      <c r="W174" s="816" t="str">
        <f t="shared" si="29"/>
        <v/>
      </c>
    </row>
    <row r="175" spans="1:23">
      <c r="A175" s="803">
        <f>IF('Statement of Marks'!A174="","",'Statement of Marks'!A174)</f>
        <v>168</v>
      </c>
      <c r="B175" s="804" t="str">
        <f>IF(OR($D$3="",$L$3=""),"",IF('Statement of Marks'!B174="","",'Statement of Marks'!B174))</f>
        <v/>
      </c>
      <c r="C175" s="805" t="str">
        <f>IF(OR($D$3="",$L$3=""),"",IF('Statement of Marks'!D174="","",'Statement of Marks'!D174))</f>
        <v/>
      </c>
      <c r="D175" s="806" t="str">
        <f>IF(OR($D$3="",$L$3=""),"",IF('Statement of Marks'!E174="","",'Statement of Marks'!E174))</f>
        <v/>
      </c>
      <c r="E175" s="807" t="str">
        <f>IF(OR($D$3="",$L$3=""),"",IF('Statement of Marks'!F174="","",'Statement of Marks'!F174))</f>
        <v/>
      </c>
      <c r="F175" s="807" t="str">
        <f>IF(OR($D$3="",$L$3=""),"",IF('Statement of Marks'!G174="","",'Statement of Marks'!G174))</f>
        <v/>
      </c>
      <c r="G175" s="807" t="str">
        <f>IF(OR($D$3="",$L$3=""),"",IF('Statement of Marks'!H174="","",'Statement of Marks'!H174))</f>
        <v/>
      </c>
      <c r="H175" s="808" t="str">
        <f>IF(OR($D$3="",$L$3=""),"",IF('Statement of Marks'!I174="","",'Statement of Marks'!I174))</f>
        <v/>
      </c>
      <c r="I175" s="808" t="str">
        <f>IF(OR($D$3="",$L$3=""),"",IF('Statement of Marks'!J174="","",'Statement of Marks'!J174))</f>
        <v/>
      </c>
      <c r="J175" s="809"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809"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809"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810">
        <f t="shared" si="20"/>
        <v>0</v>
      </c>
      <c r="N175" s="809"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811">
        <f>IF($L$3=$AJ$18,'Statement of Marks'!FV174,IF($L$3=$AJ$19,'Statement of Marks'!GD174,IF(AND(M175="NA",N175="NA"),"NA",IF(AND(M175="",N175=""),"",SUM(M175,N175)))))</f>
        <v>0</v>
      </c>
      <c r="P175" s="809"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812" t="str">
        <f t="shared" si="23"/>
        <v/>
      </c>
      <c r="R175" s="813">
        <f t="shared" si="28"/>
        <v>0</v>
      </c>
      <c r="S175" s="813" t="str">
        <f t="shared" si="24"/>
        <v/>
      </c>
      <c r="T175" s="813" t="str">
        <f t="shared" si="25"/>
        <v/>
      </c>
      <c r="U175" s="814" t="str">
        <f t="shared" si="26"/>
        <v/>
      </c>
      <c r="V175" s="815" t="str">
        <f t="shared" si="27"/>
        <v/>
      </c>
      <c r="W175" s="816" t="str">
        <f t="shared" si="29"/>
        <v/>
      </c>
    </row>
    <row r="176" spans="1:23">
      <c r="A176" s="803">
        <f>IF('Statement of Marks'!A175="","",'Statement of Marks'!A175)</f>
        <v>169</v>
      </c>
      <c r="B176" s="804" t="str">
        <f>IF(OR($D$3="",$L$3=""),"",IF('Statement of Marks'!B175="","",'Statement of Marks'!B175))</f>
        <v/>
      </c>
      <c r="C176" s="805" t="str">
        <f>IF(OR($D$3="",$L$3=""),"",IF('Statement of Marks'!D175="","",'Statement of Marks'!D175))</f>
        <v/>
      </c>
      <c r="D176" s="806" t="str">
        <f>IF(OR($D$3="",$L$3=""),"",IF('Statement of Marks'!E175="","",'Statement of Marks'!E175))</f>
        <v/>
      </c>
      <c r="E176" s="807" t="str">
        <f>IF(OR($D$3="",$L$3=""),"",IF('Statement of Marks'!F175="","",'Statement of Marks'!F175))</f>
        <v/>
      </c>
      <c r="F176" s="807" t="str">
        <f>IF(OR($D$3="",$L$3=""),"",IF('Statement of Marks'!G175="","",'Statement of Marks'!G175))</f>
        <v/>
      </c>
      <c r="G176" s="807" t="str">
        <f>IF(OR($D$3="",$L$3=""),"",IF('Statement of Marks'!H175="","",'Statement of Marks'!H175))</f>
        <v/>
      </c>
      <c r="H176" s="808" t="str">
        <f>IF(OR($D$3="",$L$3=""),"",IF('Statement of Marks'!I175="","",'Statement of Marks'!I175))</f>
        <v/>
      </c>
      <c r="I176" s="808" t="str">
        <f>IF(OR($D$3="",$L$3=""),"",IF('Statement of Marks'!J175="","",'Statement of Marks'!J175))</f>
        <v/>
      </c>
      <c r="J176" s="809"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809"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809"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810">
        <f t="shared" si="20"/>
        <v>0</v>
      </c>
      <c r="N176" s="809"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811">
        <f>IF($L$3=$AJ$18,'Statement of Marks'!FV175,IF($L$3=$AJ$19,'Statement of Marks'!GD175,IF(AND(M176="NA",N176="NA"),"NA",IF(AND(M176="",N176=""),"",SUM(M176,N176)))))</f>
        <v>0</v>
      </c>
      <c r="P176" s="809"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812" t="str">
        <f t="shared" si="23"/>
        <v/>
      </c>
      <c r="R176" s="813">
        <f t="shared" si="28"/>
        <v>0</v>
      </c>
      <c r="S176" s="813" t="str">
        <f t="shared" si="24"/>
        <v/>
      </c>
      <c r="T176" s="813" t="str">
        <f t="shared" si="25"/>
        <v/>
      </c>
      <c r="U176" s="814" t="str">
        <f t="shared" si="26"/>
        <v/>
      </c>
      <c r="V176" s="815" t="str">
        <f t="shared" si="27"/>
        <v/>
      </c>
      <c r="W176" s="816" t="str">
        <f t="shared" si="29"/>
        <v/>
      </c>
    </row>
    <row r="177" spans="1:23">
      <c r="A177" s="803">
        <f>IF('Statement of Marks'!A176="","",'Statement of Marks'!A176)</f>
        <v>170</v>
      </c>
      <c r="B177" s="804" t="str">
        <f>IF(OR($D$3="",$L$3=""),"",IF('Statement of Marks'!B176="","",'Statement of Marks'!B176))</f>
        <v/>
      </c>
      <c r="C177" s="805" t="str">
        <f>IF(OR($D$3="",$L$3=""),"",IF('Statement of Marks'!D176="","",'Statement of Marks'!D176))</f>
        <v/>
      </c>
      <c r="D177" s="806" t="str">
        <f>IF(OR($D$3="",$L$3=""),"",IF('Statement of Marks'!E176="","",'Statement of Marks'!E176))</f>
        <v/>
      </c>
      <c r="E177" s="807" t="str">
        <f>IF(OR($D$3="",$L$3=""),"",IF('Statement of Marks'!F176="","",'Statement of Marks'!F176))</f>
        <v/>
      </c>
      <c r="F177" s="807" t="str">
        <f>IF(OR($D$3="",$L$3=""),"",IF('Statement of Marks'!G176="","",'Statement of Marks'!G176))</f>
        <v/>
      </c>
      <c r="G177" s="807" t="str">
        <f>IF(OR($D$3="",$L$3=""),"",IF('Statement of Marks'!H176="","",'Statement of Marks'!H176))</f>
        <v/>
      </c>
      <c r="H177" s="808" t="str">
        <f>IF(OR($D$3="",$L$3=""),"",IF('Statement of Marks'!I176="","",'Statement of Marks'!I176))</f>
        <v/>
      </c>
      <c r="I177" s="808" t="str">
        <f>IF(OR($D$3="",$L$3=""),"",IF('Statement of Marks'!J176="","",'Statement of Marks'!J176))</f>
        <v/>
      </c>
      <c r="J177" s="809"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809"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809"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810">
        <f t="shared" si="20"/>
        <v>0</v>
      </c>
      <c r="N177" s="809"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811">
        <f>IF($L$3=$AJ$18,'Statement of Marks'!FV176,IF($L$3=$AJ$19,'Statement of Marks'!GD176,IF(AND(M177="NA",N177="NA"),"NA",IF(AND(M177="",N177=""),"",SUM(M177,N177)))))</f>
        <v>0</v>
      </c>
      <c r="P177" s="809"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812" t="str">
        <f t="shared" si="23"/>
        <v/>
      </c>
      <c r="R177" s="813">
        <f t="shared" si="28"/>
        <v>0</v>
      </c>
      <c r="S177" s="813" t="str">
        <f t="shared" si="24"/>
        <v/>
      </c>
      <c r="T177" s="813" t="str">
        <f t="shared" si="25"/>
        <v/>
      </c>
      <c r="U177" s="814" t="str">
        <f t="shared" si="26"/>
        <v/>
      </c>
      <c r="V177" s="815" t="str">
        <f t="shared" si="27"/>
        <v/>
      </c>
      <c r="W177" s="816" t="str">
        <f t="shared" si="29"/>
        <v/>
      </c>
    </row>
    <row r="178" spans="1:23">
      <c r="A178" s="803">
        <f>IF('Statement of Marks'!A177="","",'Statement of Marks'!A177)</f>
        <v>171</v>
      </c>
      <c r="B178" s="804" t="str">
        <f>IF(OR($D$3="",$L$3=""),"",IF('Statement of Marks'!B177="","",'Statement of Marks'!B177))</f>
        <v/>
      </c>
      <c r="C178" s="805" t="str">
        <f>IF(OR($D$3="",$L$3=""),"",IF('Statement of Marks'!D177="","",'Statement of Marks'!D177))</f>
        <v/>
      </c>
      <c r="D178" s="806" t="str">
        <f>IF(OR($D$3="",$L$3=""),"",IF('Statement of Marks'!E177="","",'Statement of Marks'!E177))</f>
        <v/>
      </c>
      <c r="E178" s="807" t="str">
        <f>IF(OR($D$3="",$L$3=""),"",IF('Statement of Marks'!F177="","",'Statement of Marks'!F177))</f>
        <v/>
      </c>
      <c r="F178" s="807" t="str">
        <f>IF(OR($D$3="",$L$3=""),"",IF('Statement of Marks'!G177="","",'Statement of Marks'!G177))</f>
        <v/>
      </c>
      <c r="G178" s="807" t="str">
        <f>IF(OR($D$3="",$L$3=""),"",IF('Statement of Marks'!H177="","",'Statement of Marks'!H177))</f>
        <v/>
      </c>
      <c r="H178" s="808" t="str">
        <f>IF(OR($D$3="",$L$3=""),"",IF('Statement of Marks'!I177="","",'Statement of Marks'!I177))</f>
        <v/>
      </c>
      <c r="I178" s="808" t="str">
        <f>IF(OR($D$3="",$L$3=""),"",IF('Statement of Marks'!J177="","",'Statement of Marks'!J177))</f>
        <v/>
      </c>
      <c r="J178" s="809"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809"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809"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810">
        <f t="shared" si="20"/>
        <v>0</v>
      </c>
      <c r="N178" s="809"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811">
        <f>IF($L$3=$AJ$18,'Statement of Marks'!FV177,IF($L$3=$AJ$19,'Statement of Marks'!GD177,IF(AND(M178="NA",N178="NA"),"NA",IF(AND(M178="",N178=""),"",SUM(M178,N178)))))</f>
        <v>0</v>
      </c>
      <c r="P178" s="809"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812" t="str">
        <f t="shared" si="23"/>
        <v/>
      </c>
      <c r="R178" s="813">
        <f t="shared" si="28"/>
        <v>0</v>
      </c>
      <c r="S178" s="813" t="str">
        <f t="shared" si="24"/>
        <v/>
      </c>
      <c r="T178" s="813" t="str">
        <f t="shared" si="25"/>
        <v/>
      </c>
      <c r="U178" s="814" t="str">
        <f t="shared" si="26"/>
        <v/>
      </c>
      <c r="V178" s="815" t="str">
        <f t="shared" si="27"/>
        <v/>
      </c>
      <c r="W178" s="816" t="str">
        <f t="shared" si="29"/>
        <v/>
      </c>
    </row>
    <row r="179" spans="1:23">
      <c r="A179" s="803">
        <f>IF('Statement of Marks'!A178="","",'Statement of Marks'!A178)</f>
        <v>172</v>
      </c>
      <c r="B179" s="804" t="str">
        <f>IF(OR($D$3="",$L$3=""),"",IF('Statement of Marks'!B178="","",'Statement of Marks'!B178))</f>
        <v/>
      </c>
      <c r="C179" s="805" t="str">
        <f>IF(OR($D$3="",$L$3=""),"",IF('Statement of Marks'!D178="","",'Statement of Marks'!D178))</f>
        <v/>
      </c>
      <c r="D179" s="806" t="str">
        <f>IF(OR($D$3="",$L$3=""),"",IF('Statement of Marks'!E178="","",'Statement of Marks'!E178))</f>
        <v/>
      </c>
      <c r="E179" s="807" t="str">
        <f>IF(OR($D$3="",$L$3=""),"",IF('Statement of Marks'!F178="","",'Statement of Marks'!F178))</f>
        <v/>
      </c>
      <c r="F179" s="807" t="str">
        <f>IF(OR($D$3="",$L$3=""),"",IF('Statement of Marks'!G178="","",'Statement of Marks'!G178))</f>
        <v/>
      </c>
      <c r="G179" s="807" t="str">
        <f>IF(OR($D$3="",$L$3=""),"",IF('Statement of Marks'!H178="","",'Statement of Marks'!H178))</f>
        <v/>
      </c>
      <c r="H179" s="808" t="str">
        <f>IF(OR($D$3="",$L$3=""),"",IF('Statement of Marks'!I178="","",'Statement of Marks'!I178))</f>
        <v/>
      </c>
      <c r="I179" s="808" t="str">
        <f>IF(OR($D$3="",$L$3=""),"",IF('Statement of Marks'!J178="","",'Statement of Marks'!J178))</f>
        <v/>
      </c>
      <c r="J179" s="809"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809"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809"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810">
        <f t="shared" si="20"/>
        <v>0</v>
      </c>
      <c r="N179" s="809"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811">
        <f>IF($L$3=$AJ$18,'Statement of Marks'!FV178,IF($L$3=$AJ$19,'Statement of Marks'!GD178,IF(AND(M179="NA",N179="NA"),"NA",IF(AND(M179="",N179=""),"",SUM(M179,N179)))))</f>
        <v>0</v>
      </c>
      <c r="P179" s="809"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812" t="str">
        <f t="shared" si="23"/>
        <v/>
      </c>
      <c r="R179" s="813">
        <f t="shared" si="28"/>
        <v>0</v>
      </c>
      <c r="S179" s="813" t="str">
        <f t="shared" si="24"/>
        <v/>
      </c>
      <c r="T179" s="813" t="str">
        <f t="shared" si="25"/>
        <v/>
      </c>
      <c r="U179" s="814" t="str">
        <f t="shared" si="26"/>
        <v/>
      </c>
      <c r="V179" s="815" t="str">
        <f t="shared" si="27"/>
        <v/>
      </c>
      <c r="W179" s="816" t="str">
        <f t="shared" si="29"/>
        <v/>
      </c>
    </row>
    <row r="180" spans="1:23">
      <c r="A180" s="803">
        <f>IF('Statement of Marks'!A179="","",'Statement of Marks'!A179)</f>
        <v>173</v>
      </c>
      <c r="B180" s="804" t="str">
        <f>IF(OR($D$3="",$L$3=""),"",IF('Statement of Marks'!B179="","",'Statement of Marks'!B179))</f>
        <v/>
      </c>
      <c r="C180" s="805" t="str">
        <f>IF(OR($D$3="",$L$3=""),"",IF('Statement of Marks'!D179="","",'Statement of Marks'!D179))</f>
        <v/>
      </c>
      <c r="D180" s="806" t="str">
        <f>IF(OR($D$3="",$L$3=""),"",IF('Statement of Marks'!E179="","",'Statement of Marks'!E179))</f>
        <v/>
      </c>
      <c r="E180" s="807" t="str">
        <f>IF(OR($D$3="",$L$3=""),"",IF('Statement of Marks'!F179="","",'Statement of Marks'!F179))</f>
        <v/>
      </c>
      <c r="F180" s="807" t="str">
        <f>IF(OR($D$3="",$L$3=""),"",IF('Statement of Marks'!G179="","",'Statement of Marks'!G179))</f>
        <v/>
      </c>
      <c r="G180" s="807" t="str">
        <f>IF(OR($D$3="",$L$3=""),"",IF('Statement of Marks'!H179="","",'Statement of Marks'!H179))</f>
        <v/>
      </c>
      <c r="H180" s="808" t="str">
        <f>IF(OR($D$3="",$L$3=""),"",IF('Statement of Marks'!I179="","",'Statement of Marks'!I179))</f>
        <v/>
      </c>
      <c r="I180" s="808" t="str">
        <f>IF(OR($D$3="",$L$3=""),"",IF('Statement of Marks'!J179="","",'Statement of Marks'!J179))</f>
        <v/>
      </c>
      <c r="J180" s="809"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809"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809"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810">
        <f t="shared" si="20"/>
        <v>0</v>
      </c>
      <c r="N180" s="809"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811">
        <f>IF($L$3=$AJ$18,'Statement of Marks'!FV179,IF($L$3=$AJ$19,'Statement of Marks'!GD179,IF(AND(M180="NA",N180="NA"),"NA",IF(AND(M180="",N180=""),"",SUM(M180,N180)))))</f>
        <v>0</v>
      </c>
      <c r="P180" s="809"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812" t="str">
        <f t="shared" si="23"/>
        <v/>
      </c>
      <c r="R180" s="813">
        <f t="shared" si="28"/>
        <v>0</v>
      </c>
      <c r="S180" s="813" t="str">
        <f t="shared" si="24"/>
        <v/>
      </c>
      <c r="T180" s="813" t="str">
        <f t="shared" si="25"/>
        <v/>
      </c>
      <c r="U180" s="814" t="str">
        <f t="shared" si="26"/>
        <v/>
      </c>
      <c r="V180" s="815" t="str">
        <f t="shared" si="27"/>
        <v/>
      </c>
      <c r="W180" s="816" t="str">
        <f t="shared" si="29"/>
        <v/>
      </c>
    </row>
    <row r="181" spans="1:23">
      <c r="A181" s="803">
        <f>IF('Statement of Marks'!A180="","",'Statement of Marks'!A180)</f>
        <v>174</v>
      </c>
      <c r="B181" s="804" t="str">
        <f>IF(OR($D$3="",$L$3=""),"",IF('Statement of Marks'!B180="","",'Statement of Marks'!B180))</f>
        <v/>
      </c>
      <c r="C181" s="805" t="str">
        <f>IF(OR($D$3="",$L$3=""),"",IF('Statement of Marks'!D180="","",'Statement of Marks'!D180))</f>
        <v/>
      </c>
      <c r="D181" s="806" t="str">
        <f>IF(OR($D$3="",$L$3=""),"",IF('Statement of Marks'!E180="","",'Statement of Marks'!E180))</f>
        <v/>
      </c>
      <c r="E181" s="807" t="str">
        <f>IF(OR($D$3="",$L$3=""),"",IF('Statement of Marks'!F180="","",'Statement of Marks'!F180))</f>
        <v/>
      </c>
      <c r="F181" s="807" t="str">
        <f>IF(OR($D$3="",$L$3=""),"",IF('Statement of Marks'!G180="","",'Statement of Marks'!G180))</f>
        <v/>
      </c>
      <c r="G181" s="807" t="str">
        <f>IF(OR($D$3="",$L$3=""),"",IF('Statement of Marks'!H180="","",'Statement of Marks'!H180))</f>
        <v/>
      </c>
      <c r="H181" s="808" t="str">
        <f>IF(OR($D$3="",$L$3=""),"",IF('Statement of Marks'!I180="","",'Statement of Marks'!I180))</f>
        <v/>
      </c>
      <c r="I181" s="808" t="str">
        <f>IF(OR($D$3="",$L$3=""),"",IF('Statement of Marks'!J180="","",'Statement of Marks'!J180))</f>
        <v/>
      </c>
      <c r="J181" s="809"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809"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809"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810">
        <f t="shared" si="20"/>
        <v>0</v>
      </c>
      <c r="N181" s="809"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811">
        <f>IF($L$3=$AJ$18,'Statement of Marks'!FV180,IF($L$3=$AJ$19,'Statement of Marks'!GD180,IF(AND(M181="NA",N181="NA"),"NA",IF(AND(M181="",N181=""),"",SUM(M181,N181)))))</f>
        <v>0</v>
      </c>
      <c r="P181" s="809"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812" t="str">
        <f t="shared" si="23"/>
        <v/>
      </c>
      <c r="R181" s="813">
        <f t="shared" si="28"/>
        <v>0</v>
      </c>
      <c r="S181" s="813" t="str">
        <f t="shared" si="24"/>
        <v/>
      </c>
      <c r="T181" s="813" t="str">
        <f t="shared" si="25"/>
        <v/>
      </c>
      <c r="U181" s="814" t="str">
        <f t="shared" si="26"/>
        <v/>
      </c>
      <c r="V181" s="815" t="str">
        <f t="shared" si="27"/>
        <v/>
      </c>
      <c r="W181" s="816" t="str">
        <f t="shared" si="29"/>
        <v/>
      </c>
    </row>
    <row r="182" spans="1:23">
      <c r="A182" s="803">
        <f>IF('Statement of Marks'!A181="","",'Statement of Marks'!A181)</f>
        <v>175</v>
      </c>
      <c r="B182" s="804" t="str">
        <f>IF(OR($D$3="",$L$3=""),"",IF('Statement of Marks'!B181="","",'Statement of Marks'!B181))</f>
        <v/>
      </c>
      <c r="C182" s="805" t="str">
        <f>IF(OR($D$3="",$L$3=""),"",IF('Statement of Marks'!D181="","",'Statement of Marks'!D181))</f>
        <v/>
      </c>
      <c r="D182" s="806" t="str">
        <f>IF(OR($D$3="",$L$3=""),"",IF('Statement of Marks'!E181="","",'Statement of Marks'!E181))</f>
        <v/>
      </c>
      <c r="E182" s="807" t="str">
        <f>IF(OR($D$3="",$L$3=""),"",IF('Statement of Marks'!F181="","",'Statement of Marks'!F181))</f>
        <v/>
      </c>
      <c r="F182" s="807" t="str">
        <f>IF(OR($D$3="",$L$3=""),"",IF('Statement of Marks'!G181="","",'Statement of Marks'!G181))</f>
        <v/>
      </c>
      <c r="G182" s="807" t="str">
        <f>IF(OR($D$3="",$L$3=""),"",IF('Statement of Marks'!H181="","",'Statement of Marks'!H181))</f>
        <v/>
      </c>
      <c r="H182" s="808" t="str">
        <f>IF(OR($D$3="",$L$3=""),"",IF('Statement of Marks'!I181="","",'Statement of Marks'!I181))</f>
        <v/>
      </c>
      <c r="I182" s="808" t="str">
        <f>IF(OR($D$3="",$L$3=""),"",IF('Statement of Marks'!J181="","",'Statement of Marks'!J181))</f>
        <v/>
      </c>
      <c r="J182" s="809"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809"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809"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810">
        <f t="shared" si="20"/>
        <v>0</v>
      </c>
      <c r="N182" s="809"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811">
        <f>IF($L$3=$AJ$18,'Statement of Marks'!FV181,IF($L$3=$AJ$19,'Statement of Marks'!GD181,IF(AND(M182="NA",N182="NA"),"NA",IF(AND(M182="",N182=""),"",SUM(M182,N182)))))</f>
        <v>0</v>
      </c>
      <c r="P182" s="809"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812" t="str">
        <f t="shared" si="23"/>
        <v/>
      </c>
      <c r="R182" s="813">
        <f t="shared" si="28"/>
        <v>0</v>
      </c>
      <c r="S182" s="813" t="str">
        <f t="shared" si="24"/>
        <v/>
      </c>
      <c r="T182" s="813" t="str">
        <f t="shared" si="25"/>
        <v/>
      </c>
      <c r="U182" s="814" t="str">
        <f t="shared" si="26"/>
        <v/>
      </c>
      <c r="V182" s="815" t="str">
        <f t="shared" si="27"/>
        <v/>
      </c>
      <c r="W182" s="816" t="str">
        <f t="shared" si="29"/>
        <v/>
      </c>
    </row>
    <row r="183" spans="1:23">
      <c r="A183" s="803">
        <f>IF('Statement of Marks'!A182="","",'Statement of Marks'!A182)</f>
        <v>176</v>
      </c>
      <c r="B183" s="804" t="str">
        <f>IF(OR($D$3="",$L$3=""),"",IF('Statement of Marks'!B182="","",'Statement of Marks'!B182))</f>
        <v/>
      </c>
      <c r="C183" s="805" t="str">
        <f>IF(OR($D$3="",$L$3=""),"",IF('Statement of Marks'!D182="","",'Statement of Marks'!D182))</f>
        <v/>
      </c>
      <c r="D183" s="806" t="str">
        <f>IF(OR($D$3="",$L$3=""),"",IF('Statement of Marks'!E182="","",'Statement of Marks'!E182))</f>
        <v/>
      </c>
      <c r="E183" s="807" t="str">
        <f>IF(OR($D$3="",$L$3=""),"",IF('Statement of Marks'!F182="","",'Statement of Marks'!F182))</f>
        <v/>
      </c>
      <c r="F183" s="807" t="str">
        <f>IF(OR($D$3="",$L$3=""),"",IF('Statement of Marks'!G182="","",'Statement of Marks'!G182))</f>
        <v/>
      </c>
      <c r="G183" s="807" t="str">
        <f>IF(OR($D$3="",$L$3=""),"",IF('Statement of Marks'!H182="","",'Statement of Marks'!H182))</f>
        <v/>
      </c>
      <c r="H183" s="808" t="str">
        <f>IF(OR($D$3="",$L$3=""),"",IF('Statement of Marks'!I182="","",'Statement of Marks'!I182))</f>
        <v/>
      </c>
      <c r="I183" s="808" t="str">
        <f>IF(OR($D$3="",$L$3=""),"",IF('Statement of Marks'!J182="","",'Statement of Marks'!J182))</f>
        <v/>
      </c>
      <c r="J183" s="809"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809"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809"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810">
        <f t="shared" si="20"/>
        <v>0</v>
      </c>
      <c r="N183" s="809"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811">
        <f>IF($L$3=$AJ$18,'Statement of Marks'!FV182,IF($L$3=$AJ$19,'Statement of Marks'!GD182,IF(AND(M183="NA",N183="NA"),"NA",IF(AND(M183="",N183=""),"",SUM(M183,N183)))))</f>
        <v>0</v>
      </c>
      <c r="P183" s="809"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812" t="str">
        <f t="shared" si="23"/>
        <v/>
      </c>
      <c r="R183" s="813">
        <f t="shared" si="28"/>
        <v>0</v>
      </c>
      <c r="S183" s="813" t="str">
        <f t="shared" si="24"/>
        <v/>
      </c>
      <c r="T183" s="813" t="str">
        <f t="shared" si="25"/>
        <v/>
      </c>
      <c r="U183" s="814" t="str">
        <f t="shared" si="26"/>
        <v/>
      </c>
      <c r="V183" s="815" t="str">
        <f t="shared" si="27"/>
        <v/>
      </c>
      <c r="W183" s="816" t="str">
        <f t="shared" si="29"/>
        <v/>
      </c>
    </row>
    <row r="184" spans="1:23">
      <c r="A184" s="803">
        <f>IF('Statement of Marks'!A183="","",'Statement of Marks'!A183)</f>
        <v>177</v>
      </c>
      <c r="B184" s="804" t="str">
        <f>IF(OR($D$3="",$L$3=""),"",IF('Statement of Marks'!B183="","",'Statement of Marks'!B183))</f>
        <v/>
      </c>
      <c r="C184" s="805" t="str">
        <f>IF(OR($D$3="",$L$3=""),"",IF('Statement of Marks'!D183="","",'Statement of Marks'!D183))</f>
        <v/>
      </c>
      <c r="D184" s="806" t="str">
        <f>IF(OR($D$3="",$L$3=""),"",IF('Statement of Marks'!E183="","",'Statement of Marks'!E183))</f>
        <v/>
      </c>
      <c r="E184" s="807" t="str">
        <f>IF(OR($D$3="",$L$3=""),"",IF('Statement of Marks'!F183="","",'Statement of Marks'!F183))</f>
        <v/>
      </c>
      <c r="F184" s="807" t="str">
        <f>IF(OR($D$3="",$L$3=""),"",IF('Statement of Marks'!G183="","",'Statement of Marks'!G183))</f>
        <v/>
      </c>
      <c r="G184" s="807" t="str">
        <f>IF(OR($D$3="",$L$3=""),"",IF('Statement of Marks'!H183="","",'Statement of Marks'!H183))</f>
        <v/>
      </c>
      <c r="H184" s="808" t="str">
        <f>IF(OR($D$3="",$L$3=""),"",IF('Statement of Marks'!I183="","",'Statement of Marks'!I183))</f>
        <v/>
      </c>
      <c r="I184" s="808" t="str">
        <f>IF(OR($D$3="",$L$3=""),"",IF('Statement of Marks'!J183="","",'Statement of Marks'!J183))</f>
        <v/>
      </c>
      <c r="J184" s="809"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809"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809"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810">
        <f t="shared" si="20"/>
        <v>0</v>
      </c>
      <c r="N184" s="809"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811">
        <f>IF($L$3=$AJ$18,'Statement of Marks'!FV183,IF($L$3=$AJ$19,'Statement of Marks'!GD183,IF(AND(M184="NA",N184="NA"),"NA",IF(AND(M184="",N184=""),"",SUM(M184,N184)))))</f>
        <v>0</v>
      </c>
      <c r="P184" s="809"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812" t="str">
        <f t="shared" si="23"/>
        <v/>
      </c>
      <c r="R184" s="813">
        <f t="shared" si="28"/>
        <v>0</v>
      </c>
      <c r="S184" s="813" t="str">
        <f t="shared" si="24"/>
        <v/>
      </c>
      <c r="T184" s="813" t="str">
        <f t="shared" si="25"/>
        <v/>
      </c>
      <c r="U184" s="814" t="str">
        <f t="shared" si="26"/>
        <v/>
      </c>
      <c r="V184" s="815" t="str">
        <f t="shared" si="27"/>
        <v/>
      </c>
      <c r="W184" s="816" t="str">
        <f t="shared" si="29"/>
        <v/>
      </c>
    </row>
    <row r="185" spans="1:23">
      <c r="A185" s="803">
        <f>IF('Statement of Marks'!A184="","",'Statement of Marks'!A184)</f>
        <v>178</v>
      </c>
      <c r="B185" s="804" t="str">
        <f>IF(OR($D$3="",$L$3=""),"",IF('Statement of Marks'!B184="","",'Statement of Marks'!B184))</f>
        <v/>
      </c>
      <c r="C185" s="805" t="str">
        <f>IF(OR($D$3="",$L$3=""),"",IF('Statement of Marks'!D184="","",'Statement of Marks'!D184))</f>
        <v/>
      </c>
      <c r="D185" s="806" t="str">
        <f>IF(OR($D$3="",$L$3=""),"",IF('Statement of Marks'!E184="","",'Statement of Marks'!E184))</f>
        <v/>
      </c>
      <c r="E185" s="807" t="str">
        <f>IF(OR($D$3="",$L$3=""),"",IF('Statement of Marks'!F184="","",'Statement of Marks'!F184))</f>
        <v/>
      </c>
      <c r="F185" s="807" t="str">
        <f>IF(OR($D$3="",$L$3=""),"",IF('Statement of Marks'!G184="","",'Statement of Marks'!G184))</f>
        <v/>
      </c>
      <c r="G185" s="807" t="str">
        <f>IF(OR($D$3="",$L$3=""),"",IF('Statement of Marks'!H184="","",'Statement of Marks'!H184))</f>
        <v/>
      </c>
      <c r="H185" s="808" t="str">
        <f>IF(OR($D$3="",$L$3=""),"",IF('Statement of Marks'!I184="","",'Statement of Marks'!I184))</f>
        <v/>
      </c>
      <c r="I185" s="808" t="str">
        <f>IF(OR($D$3="",$L$3=""),"",IF('Statement of Marks'!J184="","",'Statement of Marks'!J184))</f>
        <v/>
      </c>
      <c r="J185" s="809"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809"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809"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810">
        <f t="shared" si="20"/>
        <v>0</v>
      </c>
      <c r="N185" s="809"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811">
        <f>IF($L$3=$AJ$18,'Statement of Marks'!FV184,IF($L$3=$AJ$19,'Statement of Marks'!GD184,IF(AND(M185="NA",N185="NA"),"NA",IF(AND(M185="",N185=""),"",SUM(M185,N185)))))</f>
        <v>0</v>
      </c>
      <c r="P185" s="809"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812" t="str">
        <f t="shared" si="23"/>
        <v/>
      </c>
      <c r="R185" s="813">
        <f t="shared" si="28"/>
        <v>0</v>
      </c>
      <c r="S185" s="813" t="str">
        <f t="shared" si="24"/>
        <v/>
      </c>
      <c r="T185" s="813" t="str">
        <f t="shared" si="25"/>
        <v/>
      </c>
      <c r="U185" s="814" t="str">
        <f t="shared" si="26"/>
        <v/>
      </c>
      <c r="V185" s="815" t="str">
        <f t="shared" si="27"/>
        <v/>
      </c>
      <c r="W185" s="816" t="str">
        <f t="shared" si="29"/>
        <v/>
      </c>
    </row>
    <row r="186" spans="1:23">
      <c r="A186" s="803">
        <f>IF('Statement of Marks'!A185="","",'Statement of Marks'!A185)</f>
        <v>179</v>
      </c>
      <c r="B186" s="804" t="str">
        <f>IF(OR($D$3="",$L$3=""),"",IF('Statement of Marks'!B185="","",'Statement of Marks'!B185))</f>
        <v/>
      </c>
      <c r="C186" s="805" t="str">
        <f>IF(OR($D$3="",$L$3=""),"",IF('Statement of Marks'!D185="","",'Statement of Marks'!D185))</f>
        <v/>
      </c>
      <c r="D186" s="806" t="str">
        <f>IF(OR($D$3="",$L$3=""),"",IF('Statement of Marks'!E185="","",'Statement of Marks'!E185))</f>
        <v/>
      </c>
      <c r="E186" s="807" t="str">
        <f>IF(OR($D$3="",$L$3=""),"",IF('Statement of Marks'!F185="","",'Statement of Marks'!F185))</f>
        <v/>
      </c>
      <c r="F186" s="807" t="str">
        <f>IF(OR($D$3="",$L$3=""),"",IF('Statement of Marks'!G185="","",'Statement of Marks'!G185))</f>
        <v/>
      </c>
      <c r="G186" s="807" t="str">
        <f>IF(OR($D$3="",$L$3=""),"",IF('Statement of Marks'!H185="","",'Statement of Marks'!H185))</f>
        <v/>
      </c>
      <c r="H186" s="808" t="str">
        <f>IF(OR($D$3="",$L$3=""),"",IF('Statement of Marks'!I185="","",'Statement of Marks'!I185))</f>
        <v/>
      </c>
      <c r="I186" s="808" t="str">
        <f>IF(OR($D$3="",$L$3=""),"",IF('Statement of Marks'!J185="","",'Statement of Marks'!J185))</f>
        <v/>
      </c>
      <c r="J186" s="809"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809"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809"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810">
        <f t="shared" si="20"/>
        <v>0</v>
      </c>
      <c r="N186" s="809"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811">
        <f>IF($L$3=$AJ$18,'Statement of Marks'!FV185,IF($L$3=$AJ$19,'Statement of Marks'!GD185,IF(AND(M186="NA",N186="NA"),"NA",IF(AND(M186="",N186=""),"",SUM(M186,N186)))))</f>
        <v>0</v>
      </c>
      <c r="P186" s="809"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812" t="str">
        <f t="shared" si="23"/>
        <v/>
      </c>
      <c r="R186" s="813">
        <f t="shared" si="28"/>
        <v>0</v>
      </c>
      <c r="S186" s="813" t="str">
        <f t="shared" si="24"/>
        <v/>
      </c>
      <c r="T186" s="813" t="str">
        <f t="shared" si="25"/>
        <v/>
      </c>
      <c r="U186" s="814" t="str">
        <f t="shared" si="26"/>
        <v/>
      </c>
      <c r="V186" s="815" t="str">
        <f t="shared" si="27"/>
        <v/>
      </c>
      <c r="W186" s="816" t="str">
        <f t="shared" si="29"/>
        <v/>
      </c>
    </row>
    <row r="187" spans="1:23">
      <c r="A187" s="803">
        <f>IF('Statement of Marks'!A186="","",'Statement of Marks'!A186)</f>
        <v>180</v>
      </c>
      <c r="B187" s="804" t="str">
        <f>IF(OR($D$3="",$L$3=""),"",IF('Statement of Marks'!B186="","",'Statement of Marks'!B186))</f>
        <v/>
      </c>
      <c r="C187" s="805" t="str">
        <f>IF(OR($D$3="",$L$3=""),"",IF('Statement of Marks'!D186="","",'Statement of Marks'!D186))</f>
        <v/>
      </c>
      <c r="D187" s="806" t="str">
        <f>IF(OR($D$3="",$L$3=""),"",IF('Statement of Marks'!E186="","",'Statement of Marks'!E186))</f>
        <v/>
      </c>
      <c r="E187" s="807" t="str">
        <f>IF(OR($D$3="",$L$3=""),"",IF('Statement of Marks'!F186="","",'Statement of Marks'!F186))</f>
        <v/>
      </c>
      <c r="F187" s="807" t="str">
        <f>IF(OR($D$3="",$L$3=""),"",IF('Statement of Marks'!G186="","",'Statement of Marks'!G186))</f>
        <v/>
      </c>
      <c r="G187" s="807" t="str">
        <f>IF(OR($D$3="",$L$3=""),"",IF('Statement of Marks'!H186="","",'Statement of Marks'!H186))</f>
        <v/>
      </c>
      <c r="H187" s="808" t="str">
        <f>IF(OR($D$3="",$L$3=""),"",IF('Statement of Marks'!I186="","",'Statement of Marks'!I186))</f>
        <v/>
      </c>
      <c r="I187" s="808" t="str">
        <f>IF(OR($D$3="",$L$3=""),"",IF('Statement of Marks'!J186="","",'Statement of Marks'!J186))</f>
        <v/>
      </c>
      <c r="J187" s="809"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809"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809"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810">
        <f t="shared" si="20"/>
        <v>0</v>
      </c>
      <c r="N187" s="809"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811">
        <f>IF($L$3=$AJ$18,'Statement of Marks'!FV186,IF($L$3=$AJ$19,'Statement of Marks'!GD186,IF(AND(M187="NA",N187="NA"),"NA",IF(AND(M187="",N187=""),"",SUM(M187,N187)))))</f>
        <v>0</v>
      </c>
      <c r="P187" s="809"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812" t="str">
        <f t="shared" si="23"/>
        <v/>
      </c>
      <c r="R187" s="813">
        <f t="shared" si="28"/>
        <v>0</v>
      </c>
      <c r="S187" s="813" t="str">
        <f t="shared" si="24"/>
        <v/>
      </c>
      <c r="T187" s="813" t="str">
        <f t="shared" si="25"/>
        <v/>
      </c>
      <c r="U187" s="814" t="str">
        <f t="shared" si="26"/>
        <v/>
      </c>
      <c r="V187" s="815" t="str">
        <f t="shared" si="27"/>
        <v/>
      </c>
      <c r="W187" s="816" t="str">
        <f t="shared" si="29"/>
        <v/>
      </c>
    </row>
    <row r="188" spans="1:23">
      <c r="A188" s="803">
        <f>IF('Statement of Marks'!A187="","",'Statement of Marks'!A187)</f>
        <v>181</v>
      </c>
      <c r="B188" s="804" t="str">
        <f>IF(OR($D$3="",$L$3=""),"",IF('Statement of Marks'!B187="","",'Statement of Marks'!B187))</f>
        <v/>
      </c>
      <c r="C188" s="805" t="str">
        <f>IF(OR($D$3="",$L$3=""),"",IF('Statement of Marks'!D187="","",'Statement of Marks'!D187))</f>
        <v/>
      </c>
      <c r="D188" s="806" t="str">
        <f>IF(OR($D$3="",$L$3=""),"",IF('Statement of Marks'!E187="","",'Statement of Marks'!E187))</f>
        <v/>
      </c>
      <c r="E188" s="807" t="str">
        <f>IF(OR($D$3="",$L$3=""),"",IF('Statement of Marks'!F187="","",'Statement of Marks'!F187))</f>
        <v/>
      </c>
      <c r="F188" s="807" t="str">
        <f>IF(OR($D$3="",$L$3=""),"",IF('Statement of Marks'!G187="","",'Statement of Marks'!G187))</f>
        <v/>
      </c>
      <c r="G188" s="807" t="str">
        <f>IF(OR($D$3="",$L$3=""),"",IF('Statement of Marks'!H187="","",'Statement of Marks'!H187))</f>
        <v/>
      </c>
      <c r="H188" s="808" t="str">
        <f>IF(OR($D$3="",$L$3=""),"",IF('Statement of Marks'!I187="","",'Statement of Marks'!I187))</f>
        <v/>
      </c>
      <c r="I188" s="808" t="str">
        <f>IF(OR($D$3="",$L$3=""),"",IF('Statement of Marks'!J187="","",'Statement of Marks'!J187))</f>
        <v/>
      </c>
      <c r="J188" s="809"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809"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809"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810">
        <f t="shared" si="20"/>
        <v>0</v>
      </c>
      <c r="N188" s="809"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811">
        <f>IF($L$3=$AJ$18,'Statement of Marks'!FV187,IF($L$3=$AJ$19,'Statement of Marks'!GD187,IF(AND(M188="NA",N188="NA"),"NA",IF(AND(M188="",N188=""),"",SUM(M188,N188)))))</f>
        <v>0</v>
      </c>
      <c r="P188" s="809"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812" t="str">
        <f t="shared" si="23"/>
        <v/>
      </c>
      <c r="R188" s="813">
        <f t="shared" si="28"/>
        <v>0</v>
      </c>
      <c r="S188" s="813" t="str">
        <f t="shared" si="24"/>
        <v/>
      </c>
      <c r="T188" s="813" t="str">
        <f t="shared" si="25"/>
        <v/>
      </c>
      <c r="U188" s="814" t="str">
        <f t="shared" si="26"/>
        <v/>
      </c>
      <c r="V188" s="815" t="str">
        <f t="shared" si="27"/>
        <v/>
      </c>
      <c r="W188" s="816" t="str">
        <f t="shared" si="29"/>
        <v/>
      </c>
    </row>
    <row r="189" spans="1:23">
      <c r="A189" s="803">
        <f>IF('Statement of Marks'!A188="","",'Statement of Marks'!A188)</f>
        <v>182</v>
      </c>
      <c r="B189" s="804" t="str">
        <f>IF(OR($D$3="",$L$3=""),"",IF('Statement of Marks'!B188="","",'Statement of Marks'!B188))</f>
        <v/>
      </c>
      <c r="C189" s="805" t="str">
        <f>IF(OR($D$3="",$L$3=""),"",IF('Statement of Marks'!D188="","",'Statement of Marks'!D188))</f>
        <v/>
      </c>
      <c r="D189" s="806" t="str">
        <f>IF(OR($D$3="",$L$3=""),"",IF('Statement of Marks'!E188="","",'Statement of Marks'!E188))</f>
        <v/>
      </c>
      <c r="E189" s="807" t="str">
        <f>IF(OR($D$3="",$L$3=""),"",IF('Statement of Marks'!F188="","",'Statement of Marks'!F188))</f>
        <v/>
      </c>
      <c r="F189" s="807" t="str">
        <f>IF(OR($D$3="",$L$3=""),"",IF('Statement of Marks'!G188="","",'Statement of Marks'!G188))</f>
        <v/>
      </c>
      <c r="G189" s="807" t="str">
        <f>IF(OR($D$3="",$L$3=""),"",IF('Statement of Marks'!H188="","",'Statement of Marks'!H188))</f>
        <v/>
      </c>
      <c r="H189" s="808" t="str">
        <f>IF(OR($D$3="",$L$3=""),"",IF('Statement of Marks'!I188="","",'Statement of Marks'!I188))</f>
        <v/>
      </c>
      <c r="I189" s="808" t="str">
        <f>IF(OR($D$3="",$L$3=""),"",IF('Statement of Marks'!J188="","",'Statement of Marks'!J188))</f>
        <v/>
      </c>
      <c r="J189" s="809"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809"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809"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810">
        <f t="shared" si="20"/>
        <v>0</v>
      </c>
      <c r="N189" s="809"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811">
        <f>IF($L$3=$AJ$18,'Statement of Marks'!FV188,IF($L$3=$AJ$19,'Statement of Marks'!GD188,IF(AND(M189="NA",N189="NA"),"NA",IF(AND(M189="",N189=""),"",SUM(M189,N189)))))</f>
        <v>0</v>
      </c>
      <c r="P189" s="809"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812" t="str">
        <f t="shared" si="23"/>
        <v/>
      </c>
      <c r="R189" s="813">
        <f t="shared" si="28"/>
        <v>0</v>
      </c>
      <c r="S189" s="813" t="str">
        <f t="shared" si="24"/>
        <v/>
      </c>
      <c r="T189" s="813" t="str">
        <f t="shared" si="25"/>
        <v/>
      </c>
      <c r="U189" s="814" t="str">
        <f t="shared" si="26"/>
        <v/>
      </c>
      <c r="V189" s="815" t="str">
        <f t="shared" si="27"/>
        <v/>
      </c>
      <c r="W189" s="816" t="str">
        <f t="shared" si="29"/>
        <v/>
      </c>
    </row>
    <row r="190" spans="1:23">
      <c r="A190" s="803">
        <f>IF('Statement of Marks'!A189="","",'Statement of Marks'!A189)</f>
        <v>183</v>
      </c>
      <c r="B190" s="804" t="str">
        <f>IF(OR($D$3="",$L$3=""),"",IF('Statement of Marks'!B189="","",'Statement of Marks'!B189))</f>
        <v/>
      </c>
      <c r="C190" s="805" t="str">
        <f>IF(OR($D$3="",$L$3=""),"",IF('Statement of Marks'!D189="","",'Statement of Marks'!D189))</f>
        <v/>
      </c>
      <c r="D190" s="806" t="str">
        <f>IF(OR($D$3="",$L$3=""),"",IF('Statement of Marks'!E189="","",'Statement of Marks'!E189))</f>
        <v/>
      </c>
      <c r="E190" s="807" t="str">
        <f>IF(OR($D$3="",$L$3=""),"",IF('Statement of Marks'!F189="","",'Statement of Marks'!F189))</f>
        <v/>
      </c>
      <c r="F190" s="807" t="str">
        <f>IF(OR($D$3="",$L$3=""),"",IF('Statement of Marks'!G189="","",'Statement of Marks'!G189))</f>
        <v/>
      </c>
      <c r="G190" s="807" t="str">
        <f>IF(OR($D$3="",$L$3=""),"",IF('Statement of Marks'!H189="","",'Statement of Marks'!H189))</f>
        <v/>
      </c>
      <c r="H190" s="808" t="str">
        <f>IF(OR($D$3="",$L$3=""),"",IF('Statement of Marks'!I189="","",'Statement of Marks'!I189))</f>
        <v/>
      </c>
      <c r="I190" s="808" t="str">
        <f>IF(OR($D$3="",$L$3=""),"",IF('Statement of Marks'!J189="","",'Statement of Marks'!J189))</f>
        <v/>
      </c>
      <c r="J190" s="809"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809"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809"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810">
        <f t="shared" si="20"/>
        <v>0</v>
      </c>
      <c r="N190" s="809"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811">
        <f>IF($L$3=$AJ$18,'Statement of Marks'!FV189,IF($L$3=$AJ$19,'Statement of Marks'!GD189,IF(AND(M190="NA",N190="NA"),"NA",IF(AND(M190="",N190=""),"",SUM(M190,N190)))))</f>
        <v>0</v>
      </c>
      <c r="P190" s="809"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812" t="str">
        <f t="shared" si="23"/>
        <v/>
      </c>
      <c r="R190" s="813">
        <f t="shared" si="28"/>
        <v>0</v>
      </c>
      <c r="S190" s="813" t="str">
        <f t="shared" si="24"/>
        <v/>
      </c>
      <c r="T190" s="813" t="str">
        <f t="shared" si="25"/>
        <v/>
      </c>
      <c r="U190" s="814" t="str">
        <f t="shared" si="26"/>
        <v/>
      </c>
      <c r="V190" s="815" t="str">
        <f t="shared" si="27"/>
        <v/>
      </c>
      <c r="W190" s="816" t="str">
        <f t="shared" si="29"/>
        <v/>
      </c>
    </row>
    <row r="191" spans="1:23">
      <c r="A191" s="803">
        <f>IF('Statement of Marks'!A190="","",'Statement of Marks'!A190)</f>
        <v>184</v>
      </c>
      <c r="B191" s="804" t="str">
        <f>IF(OR($D$3="",$L$3=""),"",IF('Statement of Marks'!B190="","",'Statement of Marks'!B190))</f>
        <v/>
      </c>
      <c r="C191" s="805" t="str">
        <f>IF(OR($D$3="",$L$3=""),"",IF('Statement of Marks'!D190="","",'Statement of Marks'!D190))</f>
        <v/>
      </c>
      <c r="D191" s="806" t="str">
        <f>IF(OR($D$3="",$L$3=""),"",IF('Statement of Marks'!E190="","",'Statement of Marks'!E190))</f>
        <v/>
      </c>
      <c r="E191" s="807" t="str">
        <f>IF(OR($D$3="",$L$3=""),"",IF('Statement of Marks'!F190="","",'Statement of Marks'!F190))</f>
        <v/>
      </c>
      <c r="F191" s="807" t="str">
        <f>IF(OR($D$3="",$L$3=""),"",IF('Statement of Marks'!G190="","",'Statement of Marks'!G190))</f>
        <v/>
      </c>
      <c r="G191" s="807" t="str">
        <f>IF(OR($D$3="",$L$3=""),"",IF('Statement of Marks'!H190="","",'Statement of Marks'!H190))</f>
        <v/>
      </c>
      <c r="H191" s="808" t="str">
        <f>IF(OR($D$3="",$L$3=""),"",IF('Statement of Marks'!I190="","",'Statement of Marks'!I190))</f>
        <v/>
      </c>
      <c r="I191" s="808" t="str">
        <f>IF(OR($D$3="",$L$3=""),"",IF('Statement of Marks'!J190="","",'Statement of Marks'!J190))</f>
        <v/>
      </c>
      <c r="J191" s="809"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809"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809"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810">
        <f t="shared" si="20"/>
        <v>0</v>
      </c>
      <c r="N191" s="809"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811">
        <f>IF($L$3=$AJ$18,'Statement of Marks'!FV190,IF($L$3=$AJ$19,'Statement of Marks'!GD190,IF(AND(M191="NA",N191="NA"),"NA",IF(AND(M191="",N191=""),"",SUM(M191,N191)))))</f>
        <v>0</v>
      </c>
      <c r="P191" s="809"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812" t="str">
        <f t="shared" si="23"/>
        <v/>
      </c>
      <c r="R191" s="813">
        <f t="shared" si="28"/>
        <v>0</v>
      </c>
      <c r="S191" s="813" t="str">
        <f t="shared" si="24"/>
        <v/>
      </c>
      <c r="T191" s="813" t="str">
        <f t="shared" si="25"/>
        <v/>
      </c>
      <c r="U191" s="814" t="str">
        <f t="shared" si="26"/>
        <v/>
      </c>
      <c r="V191" s="815" t="str">
        <f t="shared" si="27"/>
        <v/>
      </c>
      <c r="W191" s="816" t="str">
        <f t="shared" si="29"/>
        <v/>
      </c>
    </row>
    <row r="192" spans="1:23">
      <c r="A192" s="803">
        <f>IF('Statement of Marks'!A191="","",'Statement of Marks'!A191)</f>
        <v>185</v>
      </c>
      <c r="B192" s="804" t="str">
        <f>IF(OR($D$3="",$L$3=""),"",IF('Statement of Marks'!B191="","",'Statement of Marks'!B191))</f>
        <v/>
      </c>
      <c r="C192" s="805" t="str">
        <f>IF(OR($D$3="",$L$3=""),"",IF('Statement of Marks'!D191="","",'Statement of Marks'!D191))</f>
        <v/>
      </c>
      <c r="D192" s="806" t="str">
        <f>IF(OR($D$3="",$L$3=""),"",IF('Statement of Marks'!E191="","",'Statement of Marks'!E191))</f>
        <v/>
      </c>
      <c r="E192" s="807" t="str">
        <f>IF(OR($D$3="",$L$3=""),"",IF('Statement of Marks'!F191="","",'Statement of Marks'!F191))</f>
        <v/>
      </c>
      <c r="F192" s="807" t="str">
        <f>IF(OR($D$3="",$L$3=""),"",IF('Statement of Marks'!G191="","",'Statement of Marks'!G191))</f>
        <v/>
      </c>
      <c r="G192" s="807" t="str">
        <f>IF(OR($D$3="",$L$3=""),"",IF('Statement of Marks'!H191="","",'Statement of Marks'!H191))</f>
        <v/>
      </c>
      <c r="H192" s="808" t="str">
        <f>IF(OR($D$3="",$L$3=""),"",IF('Statement of Marks'!I191="","",'Statement of Marks'!I191))</f>
        <v/>
      </c>
      <c r="I192" s="808" t="str">
        <f>IF(OR($D$3="",$L$3=""),"",IF('Statement of Marks'!J191="","",'Statement of Marks'!J191))</f>
        <v/>
      </c>
      <c r="J192" s="809"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809"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809"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810">
        <f t="shared" si="20"/>
        <v>0</v>
      </c>
      <c r="N192" s="809"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811">
        <f>IF($L$3=$AJ$18,'Statement of Marks'!FV191,IF($L$3=$AJ$19,'Statement of Marks'!GD191,IF(AND(M192="NA",N192="NA"),"NA",IF(AND(M192="",N192=""),"",SUM(M192,N192)))))</f>
        <v>0</v>
      </c>
      <c r="P192" s="809"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812" t="str">
        <f t="shared" si="23"/>
        <v/>
      </c>
      <c r="R192" s="813">
        <f t="shared" si="28"/>
        <v>0</v>
      </c>
      <c r="S192" s="813" t="str">
        <f t="shared" si="24"/>
        <v/>
      </c>
      <c r="T192" s="813" t="str">
        <f t="shared" si="25"/>
        <v/>
      </c>
      <c r="U192" s="814" t="str">
        <f t="shared" si="26"/>
        <v/>
      </c>
      <c r="V192" s="815" t="str">
        <f t="shared" si="27"/>
        <v/>
      </c>
      <c r="W192" s="816" t="str">
        <f t="shared" si="29"/>
        <v/>
      </c>
    </row>
    <row r="193" spans="1:23">
      <c r="A193" s="803">
        <f>IF('Statement of Marks'!A192="","",'Statement of Marks'!A192)</f>
        <v>186</v>
      </c>
      <c r="B193" s="804" t="str">
        <f>IF(OR($D$3="",$L$3=""),"",IF('Statement of Marks'!B192="","",'Statement of Marks'!B192))</f>
        <v/>
      </c>
      <c r="C193" s="805" t="str">
        <f>IF(OR($D$3="",$L$3=""),"",IF('Statement of Marks'!D192="","",'Statement of Marks'!D192))</f>
        <v/>
      </c>
      <c r="D193" s="806" t="str">
        <f>IF(OR($D$3="",$L$3=""),"",IF('Statement of Marks'!E192="","",'Statement of Marks'!E192))</f>
        <v/>
      </c>
      <c r="E193" s="807" t="str">
        <f>IF(OR($D$3="",$L$3=""),"",IF('Statement of Marks'!F192="","",'Statement of Marks'!F192))</f>
        <v/>
      </c>
      <c r="F193" s="807" t="str">
        <f>IF(OR($D$3="",$L$3=""),"",IF('Statement of Marks'!G192="","",'Statement of Marks'!G192))</f>
        <v/>
      </c>
      <c r="G193" s="807" t="str">
        <f>IF(OR($D$3="",$L$3=""),"",IF('Statement of Marks'!H192="","",'Statement of Marks'!H192))</f>
        <v/>
      </c>
      <c r="H193" s="808" t="str">
        <f>IF(OR($D$3="",$L$3=""),"",IF('Statement of Marks'!I192="","",'Statement of Marks'!I192))</f>
        <v/>
      </c>
      <c r="I193" s="808" t="str">
        <f>IF(OR($D$3="",$L$3=""),"",IF('Statement of Marks'!J192="","",'Statement of Marks'!J192))</f>
        <v/>
      </c>
      <c r="J193" s="809"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809"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809"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810">
        <f t="shared" si="20"/>
        <v>0</v>
      </c>
      <c r="N193" s="809"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811">
        <f>IF($L$3=$AJ$18,'Statement of Marks'!FV192,IF($L$3=$AJ$19,'Statement of Marks'!GD192,IF(AND(M193="NA",N193="NA"),"NA",IF(AND(M193="",N193=""),"",SUM(M193,N193)))))</f>
        <v>0</v>
      </c>
      <c r="P193" s="809"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812" t="str">
        <f t="shared" si="23"/>
        <v/>
      </c>
      <c r="R193" s="813">
        <f t="shared" si="28"/>
        <v>0</v>
      </c>
      <c r="S193" s="813" t="str">
        <f t="shared" si="24"/>
        <v/>
      </c>
      <c r="T193" s="813" t="str">
        <f t="shared" si="25"/>
        <v/>
      </c>
      <c r="U193" s="814" t="str">
        <f t="shared" si="26"/>
        <v/>
      </c>
      <c r="V193" s="815" t="str">
        <f t="shared" si="27"/>
        <v/>
      </c>
      <c r="W193" s="816" t="str">
        <f t="shared" si="29"/>
        <v/>
      </c>
    </row>
    <row r="194" spans="1:23">
      <c r="A194" s="803">
        <f>IF('Statement of Marks'!A193="","",'Statement of Marks'!A193)</f>
        <v>187</v>
      </c>
      <c r="B194" s="804" t="str">
        <f>IF(OR($D$3="",$L$3=""),"",IF('Statement of Marks'!B193="","",'Statement of Marks'!B193))</f>
        <v/>
      </c>
      <c r="C194" s="805" t="str">
        <f>IF(OR($D$3="",$L$3=""),"",IF('Statement of Marks'!D193="","",'Statement of Marks'!D193))</f>
        <v/>
      </c>
      <c r="D194" s="806" t="str">
        <f>IF(OR($D$3="",$L$3=""),"",IF('Statement of Marks'!E193="","",'Statement of Marks'!E193))</f>
        <v/>
      </c>
      <c r="E194" s="807" t="str">
        <f>IF(OR($D$3="",$L$3=""),"",IF('Statement of Marks'!F193="","",'Statement of Marks'!F193))</f>
        <v/>
      </c>
      <c r="F194" s="807" t="str">
        <f>IF(OR($D$3="",$L$3=""),"",IF('Statement of Marks'!G193="","",'Statement of Marks'!G193))</f>
        <v/>
      </c>
      <c r="G194" s="807" t="str">
        <f>IF(OR($D$3="",$L$3=""),"",IF('Statement of Marks'!H193="","",'Statement of Marks'!H193))</f>
        <v/>
      </c>
      <c r="H194" s="808" t="str">
        <f>IF(OR($D$3="",$L$3=""),"",IF('Statement of Marks'!I193="","",'Statement of Marks'!I193))</f>
        <v/>
      </c>
      <c r="I194" s="808" t="str">
        <f>IF(OR($D$3="",$L$3=""),"",IF('Statement of Marks'!J193="","",'Statement of Marks'!J193))</f>
        <v/>
      </c>
      <c r="J194" s="809"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809"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809"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810">
        <f t="shared" si="20"/>
        <v>0</v>
      </c>
      <c r="N194" s="809"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811">
        <f>IF($L$3=$AJ$18,'Statement of Marks'!FV193,IF($L$3=$AJ$19,'Statement of Marks'!GD193,IF(AND(M194="NA",N194="NA"),"NA",IF(AND(M194="",N194=""),"",SUM(M194,N194)))))</f>
        <v>0</v>
      </c>
      <c r="P194" s="809"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812" t="str">
        <f t="shared" si="23"/>
        <v/>
      </c>
      <c r="R194" s="813">
        <f t="shared" si="28"/>
        <v>0</v>
      </c>
      <c r="S194" s="813" t="str">
        <f t="shared" si="24"/>
        <v/>
      </c>
      <c r="T194" s="813" t="str">
        <f t="shared" si="25"/>
        <v/>
      </c>
      <c r="U194" s="814" t="str">
        <f t="shared" si="26"/>
        <v/>
      </c>
      <c r="V194" s="815" t="str">
        <f t="shared" si="27"/>
        <v/>
      </c>
      <c r="W194" s="816" t="str">
        <f t="shared" si="29"/>
        <v/>
      </c>
    </row>
    <row r="195" spans="1:23">
      <c r="A195" s="803">
        <f>IF('Statement of Marks'!A194="","",'Statement of Marks'!A194)</f>
        <v>188</v>
      </c>
      <c r="B195" s="804" t="str">
        <f>IF(OR($D$3="",$L$3=""),"",IF('Statement of Marks'!B194="","",'Statement of Marks'!B194))</f>
        <v/>
      </c>
      <c r="C195" s="805" t="str">
        <f>IF(OR($D$3="",$L$3=""),"",IF('Statement of Marks'!D194="","",'Statement of Marks'!D194))</f>
        <v/>
      </c>
      <c r="D195" s="806" t="str">
        <f>IF(OR($D$3="",$L$3=""),"",IF('Statement of Marks'!E194="","",'Statement of Marks'!E194))</f>
        <v/>
      </c>
      <c r="E195" s="807" t="str">
        <f>IF(OR($D$3="",$L$3=""),"",IF('Statement of Marks'!F194="","",'Statement of Marks'!F194))</f>
        <v/>
      </c>
      <c r="F195" s="807" t="str">
        <f>IF(OR($D$3="",$L$3=""),"",IF('Statement of Marks'!G194="","",'Statement of Marks'!G194))</f>
        <v/>
      </c>
      <c r="G195" s="807" t="str">
        <f>IF(OR($D$3="",$L$3=""),"",IF('Statement of Marks'!H194="","",'Statement of Marks'!H194))</f>
        <v/>
      </c>
      <c r="H195" s="808" t="str">
        <f>IF(OR($D$3="",$L$3=""),"",IF('Statement of Marks'!I194="","",'Statement of Marks'!I194))</f>
        <v/>
      </c>
      <c r="I195" s="808" t="str">
        <f>IF(OR($D$3="",$L$3=""),"",IF('Statement of Marks'!J194="","",'Statement of Marks'!J194))</f>
        <v/>
      </c>
      <c r="J195" s="809"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809"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809"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810">
        <f t="shared" si="20"/>
        <v>0</v>
      </c>
      <c r="N195" s="809"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811">
        <f>IF($L$3=$AJ$18,'Statement of Marks'!FV194,IF($L$3=$AJ$19,'Statement of Marks'!GD194,IF(AND(M195="NA",N195="NA"),"NA",IF(AND(M195="",N195=""),"",SUM(M195,N195)))))</f>
        <v>0</v>
      </c>
      <c r="P195" s="809"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812" t="str">
        <f t="shared" si="23"/>
        <v/>
      </c>
      <c r="R195" s="813">
        <f t="shared" si="28"/>
        <v>0</v>
      </c>
      <c r="S195" s="813" t="str">
        <f t="shared" si="24"/>
        <v/>
      </c>
      <c r="T195" s="813" t="str">
        <f t="shared" si="25"/>
        <v/>
      </c>
      <c r="U195" s="814" t="str">
        <f t="shared" si="26"/>
        <v/>
      </c>
      <c r="V195" s="815" t="str">
        <f t="shared" si="27"/>
        <v/>
      </c>
      <c r="W195" s="816" t="str">
        <f t="shared" si="29"/>
        <v/>
      </c>
    </row>
    <row r="196" spans="1:23">
      <c r="A196" s="803">
        <f>IF('Statement of Marks'!A195="","",'Statement of Marks'!A195)</f>
        <v>189</v>
      </c>
      <c r="B196" s="804" t="str">
        <f>IF(OR($D$3="",$L$3=""),"",IF('Statement of Marks'!B195="","",'Statement of Marks'!B195))</f>
        <v/>
      </c>
      <c r="C196" s="805" t="str">
        <f>IF(OR($D$3="",$L$3=""),"",IF('Statement of Marks'!D195="","",'Statement of Marks'!D195))</f>
        <v/>
      </c>
      <c r="D196" s="806" t="str">
        <f>IF(OR($D$3="",$L$3=""),"",IF('Statement of Marks'!E195="","",'Statement of Marks'!E195))</f>
        <v/>
      </c>
      <c r="E196" s="807" t="str">
        <f>IF(OR($D$3="",$L$3=""),"",IF('Statement of Marks'!F195="","",'Statement of Marks'!F195))</f>
        <v/>
      </c>
      <c r="F196" s="807" t="str">
        <f>IF(OR($D$3="",$L$3=""),"",IF('Statement of Marks'!G195="","",'Statement of Marks'!G195))</f>
        <v/>
      </c>
      <c r="G196" s="807" t="str">
        <f>IF(OR($D$3="",$L$3=""),"",IF('Statement of Marks'!H195="","",'Statement of Marks'!H195))</f>
        <v/>
      </c>
      <c r="H196" s="808" t="str">
        <f>IF(OR($D$3="",$L$3=""),"",IF('Statement of Marks'!I195="","",'Statement of Marks'!I195))</f>
        <v/>
      </c>
      <c r="I196" s="808" t="str">
        <f>IF(OR($D$3="",$L$3=""),"",IF('Statement of Marks'!J195="","",'Statement of Marks'!J195))</f>
        <v/>
      </c>
      <c r="J196" s="809"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809"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809"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810">
        <f t="shared" si="20"/>
        <v>0</v>
      </c>
      <c r="N196" s="809"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811">
        <f>IF($L$3=$AJ$18,'Statement of Marks'!FV195,IF($L$3=$AJ$19,'Statement of Marks'!GD195,IF(AND(M196="NA",N196="NA"),"NA",IF(AND(M196="",N196=""),"",SUM(M196,N196)))))</f>
        <v>0</v>
      </c>
      <c r="P196" s="809"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812" t="str">
        <f t="shared" si="23"/>
        <v/>
      </c>
      <c r="R196" s="813">
        <f t="shared" si="28"/>
        <v>0</v>
      </c>
      <c r="S196" s="813" t="str">
        <f t="shared" si="24"/>
        <v/>
      </c>
      <c r="T196" s="813" t="str">
        <f t="shared" si="25"/>
        <v/>
      </c>
      <c r="U196" s="814" t="str">
        <f t="shared" si="26"/>
        <v/>
      </c>
      <c r="V196" s="815" t="str">
        <f t="shared" si="27"/>
        <v/>
      </c>
      <c r="W196" s="816" t="str">
        <f t="shared" si="29"/>
        <v/>
      </c>
    </row>
    <row r="197" spans="1:23">
      <c r="A197" s="803">
        <f>IF('Statement of Marks'!A196="","",'Statement of Marks'!A196)</f>
        <v>190</v>
      </c>
      <c r="B197" s="804" t="str">
        <f>IF(OR($D$3="",$L$3=""),"",IF('Statement of Marks'!B196="","",'Statement of Marks'!B196))</f>
        <v/>
      </c>
      <c r="C197" s="805" t="str">
        <f>IF(OR($D$3="",$L$3=""),"",IF('Statement of Marks'!D196="","",'Statement of Marks'!D196))</f>
        <v/>
      </c>
      <c r="D197" s="806" t="str">
        <f>IF(OR($D$3="",$L$3=""),"",IF('Statement of Marks'!E196="","",'Statement of Marks'!E196))</f>
        <v/>
      </c>
      <c r="E197" s="807" t="str">
        <f>IF(OR($D$3="",$L$3=""),"",IF('Statement of Marks'!F196="","",'Statement of Marks'!F196))</f>
        <v/>
      </c>
      <c r="F197" s="807" t="str">
        <f>IF(OR($D$3="",$L$3=""),"",IF('Statement of Marks'!G196="","",'Statement of Marks'!G196))</f>
        <v/>
      </c>
      <c r="G197" s="807" t="str">
        <f>IF(OR($D$3="",$L$3=""),"",IF('Statement of Marks'!H196="","",'Statement of Marks'!H196))</f>
        <v/>
      </c>
      <c r="H197" s="808" t="str">
        <f>IF(OR($D$3="",$L$3=""),"",IF('Statement of Marks'!I196="","",'Statement of Marks'!I196))</f>
        <v/>
      </c>
      <c r="I197" s="808" t="str">
        <f>IF(OR($D$3="",$L$3=""),"",IF('Statement of Marks'!J196="","",'Statement of Marks'!J196))</f>
        <v/>
      </c>
      <c r="J197" s="809"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809"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809"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810">
        <f t="shared" si="20"/>
        <v>0</v>
      </c>
      <c r="N197" s="809"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811">
        <f>IF($L$3=$AJ$18,'Statement of Marks'!FV196,IF($L$3=$AJ$19,'Statement of Marks'!GD196,IF(AND(M197="NA",N197="NA"),"NA",IF(AND(M197="",N197=""),"",SUM(M197,N197)))))</f>
        <v>0</v>
      </c>
      <c r="P197" s="809"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812" t="str">
        <f t="shared" si="23"/>
        <v/>
      </c>
      <c r="R197" s="813">
        <f t="shared" si="28"/>
        <v>0</v>
      </c>
      <c r="S197" s="813" t="str">
        <f t="shared" si="24"/>
        <v/>
      </c>
      <c r="T197" s="813" t="str">
        <f t="shared" si="25"/>
        <v/>
      </c>
      <c r="U197" s="814" t="str">
        <f t="shared" si="26"/>
        <v/>
      </c>
      <c r="V197" s="815" t="str">
        <f t="shared" si="27"/>
        <v/>
      </c>
      <c r="W197" s="816" t="str">
        <f t="shared" si="29"/>
        <v/>
      </c>
    </row>
    <row r="198" spans="1:23">
      <c r="A198" s="803">
        <f>IF('Statement of Marks'!A197="","",'Statement of Marks'!A197)</f>
        <v>191</v>
      </c>
      <c r="B198" s="804" t="str">
        <f>IF(OR($D$3="",$L$3=""),"",IF('Statement of Marks'!B197="","",'Statement of Marks'!B197))</f>
        <v/>
      </c>
      <c r="C198" s="805" t="str">
        <f>IF(OR($D$3="",$L$3=""),"",IF('Statement of Marks'!D197="","",'Statement of Marks'!D197))</f>
        <v/>
      </c>
      <c r="D198" s="806" t="str">
        <f>IF(OR($D$3="",$L$3=""),"",IF('Statement of Marks'!E197="","",'Statement of Marks'!E197))</f>
        <v/>
      </c>
      <c r="E198" s="807" t="str">
        <f>IF(OR($D$3="",$L$3=""),"",IF('Statement of Marks'!F197="","",'Statement of Marks'!F197))</f>
        <v/>
      </c>
      <c r="F198" s="807" t="str">
        <f>IF(OR($D$3="",$L$3=""),"",IF('Statement of Marks'!G197="","",'Statement of Marks'!G197))</f>
        <v/>
      </c>
      <c r="G198" s="807" t="str">
        <f>IF(OR($D$3="",$L$3=""),"",IF('Statement of Marks'!H197="","",'Statement of Marks'!H197))</f>
        <v/>
      </c>
      <c r="H198" s="808" t="str">
        <f>IF(OR($D$3="",$L$3=""),"",IF('Statement of Marks'!I197="","",'Statement of Marks'!I197))</f>
        <v/>
      </c>
      <c r="I198" s="808" t="str">
        <f>IF(OR($D$3="",$L$3=""),"",IF('Statement of Marks'!J197="","",'Statement of Marks'!J197))</f>
        <v/>
      </c>
      <c r="J198" s="809"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809"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809"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810">
        <f t="shared" si="20"/>
        <v>0</v>
      </c>
      <c r="N198" s="809"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811">
        <f>IF($L$3=$AJ$18,'Statement of Marks'!FV197,IF($L$3=$AJ$19,'Statement of Marks'!GD197,IF(AND(M198="NA",N198="NA"),"NA",IF(AND(M198="",N198=""),"",SUM(M198,N198)))))</f>
        <v>0</v>
      </c>
      <c r="P198" s="809"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812" t="str">
        <f t="shared" si="23"/>
        <v/>
      </c>
      <c r="R198" s="813">
        <f t="shared" si="28"/>
        <v>0</v>
      </c>
      <c r="S198" s="813" t="str">
        <f t="shared" si="24"/>
        <v/>
      </c>
      <c r="T198" s="813" t="str">
        <f t="shared" si="25"/>
        <v/>
      </c>
      <c r="U198" s="814" t="str">
        <f t="shared" si="26"/>
        <v/>
      </c>
      <c r="V198" s="815" t="str">
        <f t="shared" si="27"/>
        <v/>
      </c>
      <c r="W198" s="816" t="str">
        <f t="shared" si="29"/>
        <v/>
      </c>
    </row>
    <row r="199" spans="1:23">
      <c r="A199" s="803">
        <f>IF('Statement of Marks'!A198="","",'Statement of Marks'!A198)</f>
        <v>192</v>
      </c>
      <c r="B199" s="804" t="str">
        <f>IF(OR($D$3="",$L$3=""),"",IF('Statement of Marks'!B198="","",'Statement of Marks'!B198))</f>
        <v/>
      </c>
      <c r="C199" s="805" t="str">
        <f>IF(OR($D$3="",$L$3=""),"",IF('Statement of Marks'!D198="","",'Statement of Marks'!D198))</f>
        <v/>
      </c>
      <c r="D199" s="806" t="str">
        <f>IF(OR($D$3="",$L$3=""),"",IF('Statement of Marks'!E198="","",'Statement of Marks'!E198))</f>
        <v/>
      </c>
      <c r="E199" s="807" t="str">
        <f>IF(OR($D$3="",$L$3=""),"",IF('Statement of Marks'!F198="","",'Statement of Marks'!F198))</f>
        <v/>
      </c>
      <c r="F199" s="807" t="str">
        <f>IF(OR($D$3="",$L$3=""),"",IF('Statement of Marks'!G198="","",'Statement of Marks'!G198))</f>
        <v/>
      </c>
      <c r="G199" s="807" t="str">
        <f>IF(OR($D$3="",$L$3=""),"",IF('Statement of Marks'!H198="","",'Statement of Marks'!H198))</f>
        <v/>
      </c>
      <c r="H199" s="808" t="str">
        <f>IF(OR($D$3="",$L$3=""),"",IF('Statement of Marks'!I198="","",'Statement of Marks'!I198))</f>
        <v/>
      </c>
      <c r="I199" s="808" t="str">
        <f>IF(OR($D$3="",$L$3=""),"",IF('Statement of Marks'!J198="","",'Statement of Marks'!J198))</f>
        <v/>
      </c>
      <c r="J199" s="809"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809"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809"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810">
        <f t="shared" ref="M199:M207" si="30">IF(AND(J199="",K199="",L199="",$L$3=""),"",IF(OR($L$3=$AJ$18,$L$3=$AJ$19),"",SUM(J199:L199)))</f>
        <v>0</v>
      </c>
      <c r="N199" s="809"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811">
        <f>IF($L$3=$AJ$18,'Statement of Marks'!FV198,IF($L$3=$AJ$19,'Statement of Marks'!GD198,IF(AND(M199="NA",N199="NA"),"NA",IF(AND(M199="",N199=""),"",SUM(M199,N199)))))</f>
        <v>0</v>
      </c>
      <c r="P199" s="809"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812" t="str">
        <f t="shared" si="23"/>
        <v/>
      </c>
      <c r="R199" s="813">
        <f t="shared" si="28"/>
        <v>0</v>
      </c>
      <c r="S199" s="813" t="str">
        <f t="shared" si="24"/>
        <v/>
      </c>
      <c r="T199" s="813" t="str">
        <f t="shared" si="25"/>
        <v/>
      </c>
      <c r="U199" s="814" t="str">
        <f t="shared" si="26"/>
        <v/>
      </c>
      <c r="V199" s="815" t="str">
        <f t="shared" si="27"/>
        <v/>
      </c>
      <c r="W199" s="816" t="str">
        <f t="shared" si="29"/>
        <v/>
      </c>
    </row>
    <row r="200" spans="1:23">
      <c r="A200" s="803">
        <f>IF('Statement of Marks'!A199="","",'Statement of Marks'!A199)</f>
        <v>193</v>
      </c>
      <c r="B200" s="804" t="str">
        <f>IF(OR($D$3="",$L$3=""),"",IF('Statement of Marks'!B199="","",'Statement of Marks'!B199))</f>
        <v/>
      </c>
      <c r="C200" s="805" t="str">
        <f>IF(OR($D$3="",$L$3=""),"",IF('Statement of Marks'!D199="","",'Statement of Marks'!D199))</f>
        <v/>
      </c>
      <c r="D200" s="806" t="str">
        <f>IF(OR($D$3="",$L$3=""),"",IF('Statement of Marks'!E199="","",'Statement of Marks'!E199))</f>
        <v/>
      </c>
      <c r="E200" s="807" t="str">
        <f>IF(OR($D$3="",$L$3=""),"",IF('Statement of Marks'!F199="","",'Statement of Marks'!F199))</f>
        <v/>
      </c>
      <c r="F200" s="807" t="str">
        <f>IF(OR($D$3="",$L$3=""),"",IF('Statement of Marks'!G199="","",'Statement of Marks'!G199))</f>
        <v/>
      </c>
      <c r="G200" s="807" t="str">
        <f>IF(OR($D$3="",$L$3=""),"",IF('Statement of Marks'!H199="","",'Statement of Marks'!H199))</f>
        <v/>
      </c>
      <c r="H200" s="808" t="str">
        <f>IF(OR($D$3="",$L$3=""),"",IF('Statement of Marks'!I199="","",'Statement of Marks'!I199))</f>
        <v/>
      </c>
      <c r="I200" s="808" t="str">
        <f>IF(OR($D$3="",$L$3=""),"",IF('Statement of Marks'!J199="","",'Statement of Marks'!J199))</f>
        <v/>
      </c>
      <c r="J200" s="809"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809"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809"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810">
        <f t="shared" si="30"/>
        <v>0</v>
      </c>
      <c r="N200" s="809"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811">
        <f>IF($L$3=$AJ$18,'Statement of Marks'!FV199,IF($L$3=$AJ$19,'Statement of Marks'!GD199,IF(AND(M200="NA",N200="NA"),"NA",IF(AND(M200="",N200=""),"",SUM(M200,N200)))))</f>
        <v>0</v>
      </c>
      <c r="P200" s="809"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812" t="str">
        <f t="shared" si="23"/>
        <v/>
      </c>
      <c r="R200" s="813">
        <f t="shared" ref="R200:R207" si="31">IFERROR(IF($L$3="","",IF(OR($L$3=$AJ$18,$L$3=$AJ$19),COUNTIF(J200:L200,"NA")*$J$7+(COUNTIF(J200:L200,"ML")*$J$7)+(COUNTIF(O200,"ML")*$O$7)+(COUNTIF(N200,"ML")*$N$8)+(COUNTIF(P200,"ML")*$P$7),COUNTIF(N200,"NA")*$N$7+(COUNTIF(J200:L200,"ML")*$J$7)+(COUNTIF(N200,"ML")*$N$7)+(COUNTIF(P200,"ML")*$P$7))),0)</f>
        <v>0</v>
      </c>
      <c r="S200" s="813" t="str">
        <f t="shared" si="24"/>
        <v/>
      </c>
      <c r="T200" s="813" t="str">
        <f t="shared" si="25"/>
        <v/>
      </c>
      <c r="U200" s="814" t="str">
        <f t="shared" si="26"/>
        <v/>
      </c>
      <c r="V200" s="815" t="str">
        <f t="shared" si="27"/>
        <v/>
      </c>
      <c r="W200" s="816" t="str">
        <f t="shared" ref="W200:W207" si="32">IF(Q200="","",IF(OR(U200="",U200=0,U200="RE",U200="AB",B200="NSO"),"",IF(Q200&gt;85%*S200,"A",IF(Q200&gt;70%*S200,"B",IF(Q200&gt;=50%*S200,"C",IF(Q200&gt;=30%*S200,"D","E"))))))</f>
        <v/>
      </c>
    </row>
    <row r="201" spans="1:23">
      <c r="A201" s="803">
        <f>IF('Statement of Marks'!A200="","",'Statement of Marks'!A200)</f>
        <v>194</v>
      </c>
      <c r="B201" s="804" t="str">
        <f>IF(OR($D$3="",$L$3=""),"",IF('Statement of Marks'!B200="","",'Statement of Marks'!B200))</f>
        <v/>
      </c>
      <c r="C201" s="805" t="str">
        <f>IF(OR($D$3="",$L$3=""),"",IF('Statement of Marks'!D200="","",'Statement of Marks'!D200))</f>
        <v/>
      </c>
      <c r="D201" s="806" t="str">
        <f>IF(OR($D$3="",$L$3=""),"",IF('Statement of Marks'!E200="","",'Statement of Marks'!E200))</f>
        <v/>
      </c>
      <c r="E201" s="807" t="str">
        <f>IF(OR($D$3="",$L$3=""),"",IF('Statement of Marks'!F200="","",'Statement of Marks'!F200))</f>
        <v/>
      </c>
      <c r="F201" s="807" t="str">
        <f>IF(OR($D$3="",$L$3=""),"",IF('Statement of Marks'!G200="","",'Statement of Marks'!G200))</f>
        <v/>
      </c>
      <c r="G201" s="807" t="str">
        <f>IF(OR($D$3="",$L$3=""),"",IF('Statement of Marks'!H200="","",'Statement of Marks'!H200))</f>
        <v/>
      </c>
      <c r="H201" s="808" t="str">
        <f>IF(OR($D$3="",$L$3=""),"",IF('Statement of Marks'!I200="","",'Statement of Marks'!I200))</f>
        <v/>
      </c>
      <c r="I201" s="808" t="str">
        <f>IF(OR($D$3="",$L$3=""),"",IF('Statement of Marks'!J200="","",'Statement of Marks'!J200))</f>
        <v/>
      </c>
      <c r="J201" s="809"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809"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809"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810">
        <f t="shared" si="30"/>
        <v>0</v>
      </c>
      <c r="N201" s="809"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811">
        <f>IF($L$3=$AJ$18,'Statement of Marks'!FV200,IF($L$3=$AJ$19,'Statement of Marks'!GD200,IF(AND(M201="NA",N201="NA"),"NA",IF(AND(M201="",N201=""),"",SUM(M201,N201)))))</f>
        <v>0</v>
      </c>
      <c r="P201" s="809"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812" t="str">
        <f t="shared" ref="Q201:Q207" si="33">IF(O201="","",IF(B201="","",IF(OR($L$3=$AJ$18,$L$3=$AJ$19),SUM(N201,O201,P201),SUM(O201,P201))))</f>
        <v/>
      </c>
      <c r="R201" s="813">
        <f t="shared" si="31"/>
        <v>0</v>
      </c>
      <c r="S201" s="813" t="str">
        <f t="shared" ref="S201:S207" si="34">IF(OR(B201="NSO",B201=0,B201=""),"",IF(OR(B201="NSO",B201=0,B201="",Q201=""),"",IF(OR($L$3=$AJ$8,$L$3=$AJ$9,$L$3=$AJ$10,$L$3=$AJ$11,$L$3=$AJ$12,$L$3=$AJ$13,$L$3=$AJ$14,$L$3=$AJ$15,$L$3=$AJ$16,$L$3=$AJ$17),IF(AND(J201="NA",L201="NA",K201="NA"),$M$7-R201,IF(AND(N201="ML"),$N$7-R201,IF(AND(P201="ML"),$P$7-R201,$Q$7-R201))),IF(AND(N201="NA"),$N$7-R201,IF(AND(O201="ML"),$O$7-R201,IF(AND(P201="ML"),$P$7-R201,$Q$7-R201))))))</f>
        <v/>
      </c>
      <c r="T201" s="813"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814" t="str">
        <f t="shared" ref="U201:U207" si="36">IF(OR(B201="",$L$3=""),"",IF(Q201=0,"",IF(Q201="","",IF(B201="NSO","NSO",IF(OR(T201="AB",P201="ab"),"AB",IF(P201="ML","RE",IF(Q201="ML","RE",IF(AND(Q201&gt;=36%*S201,P201&gt;=$P$7*20%),"P",IF(AND(Q201&gt;=34%*S201,P201&gt;=$P$7*20%),"G",IF(AND(Q201&gt;=31%*S201,P201&gt;=$P$7*20%),"G",IF(AND(Q201&gt;=25%*S201,P201&gt;=$P$7*20%),"S","F")))))))))))</f>
        <v/>
      </c>
      <c r="V201" s="815" t="str">
        <f t="shared" ref="V201:V207" si="37">IF(OR(U201="",U201=0,U201="S",U201="RE",U201="F",U201="AB",B201="NSO"),"",IF(U201="G","G",IF(Q201&gt;=75%*S201,"I",IF(Q201&gt;=60%*S201,"I",IF(Q201&gt;=48%*S201,"II",IF(Q201&gt;=36%*S201,"III",""))))))</f>
        <v/>
      </c>
      <c r="W201" s="816" t="str">
        <f t="shared" si="32"/>
        <v/>
      </c>
    </row>
    <row r="202" spans="1:23">
      <c r="A202" s="803">
        <f>IF('Statement of Marks'!A201="","",'Statement of Marks'!A201)</f>
        <v>195</v>
      </c>
      <c r="B202" s="804" t="str">
        <f>IF(OR($D$3="",$L$3=""),"",IF('Statement of Marks'!B201="","",'Statement of Marks'!B201))</f>
        <v/>
      </c>
      <c r="C202" s="805" t="str">
        <f>IF(OR($D$3="",$L$3=""),"",IF('Statement of Marks'!D201="","",'Statement of Marks'!D201))</f>
        <v/>
      </c>
      <c r="D202" s="806" t="str">
        <f>IF(OR($D$3="",$L$3=""),"",IF('Statement of Marks'!E201="","",'Statement of Marks'!E201))</f>
        <v/>
      </c>
      <c r="E202" s="807" t="str">
        <f>IF(OR($D$3="",$L$3=""),"",IF('Statement of Marks'!F201="","",'Statement of Marks'!F201))</f>
        <v/>
      </c>
      <c r="F202" s="807" t="str">
        <f>IF(OR($D$3="",$L$3=""),"",IF('Statement of Marks'!G201="","",'Statement of Marks'!G201))</f>
        <v/>
      </c>
      <c r="G202" s="807" t="str">
        <f>IF(OR($D$3="",$L$3=""),"",IF('Statement of Marks'!H201="","",'Statement of Marks'!H201))</f>
        <v/>
      </c>
      <c r="H202" s="808" t="str">
        <f>IF(OR($D$3="",$L$3=""),"",IF('Statement of Marks'!I201="","",'Statement of Marks'!I201))</f>
        <v/>
      </c>
      <c r="I202" s="808" t="str">
        <f>IF(OR($D$3="",$L$3=""),"",IF('Statement of Marks'!J201="","",'Statement of Marks'!J201))</f>
        <v/>
      </c>
      <c r="J202" s="809"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809"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809"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810">
        <f t="shared" si="30"/>
        <v>0</v>
      </c>
      <c r="N202" s="809"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811">
        <f>IF($L$3=$AJ$18,'Statement of Marks'!FV201,IF($L$3=$AJ$19,'Statement of Marks'!GD201,IF(AND(M202="NA",N202="NA"),"NA",IF(AND(M202="",N202=""),"",SUM(M202,N202)))))</f>
        <v>0</v>
      </c>
      <c r="P202" s="809"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812" t="str">
        <f t="shared" si="33"/>
        <v/>
      </c>
      <c r="R202" s="813">
        <f t="shared" si="31"/>
        <v>0</v>
      </c>
      <c r="S202" s="813" t="str">
        <f t="shared" si="34"/>
        <v/>
      </c>
      <c r="T202" s="813" t="str">
        <f t="shared" si="35"/>
        <v/>
      </c>
      <c r="U202" s="814" t="str">
        <f t="shared" si="36"/>
        <v/>
      </c>
      <c r="V202" s="815" t="str">
        <f t="shared" si="37"/>
        <v/>
      </c>
      <c r="W202" s="816" t="str">
        <f t="shared" si="32"/>
        <v/>
      </c>
    </row>
    <row r="203" spans="1:23">
      <c r="A203" s="803">
        <f>IF('Statement of Marks'!A202="","",'Statement of Marks'!A202)</f>
        <v>196</v>
      </c>
      <c r="B203" s="804" t="str">
        <f>IF(OR($D$3="",$L$3=""),"",IF('Statement of Marks'!B202="","",'Statement of Marks'!B202))</f>
        <v/>
      </c>
      <c r="C203" s="805" t="str">
        <f>IF(OR($D$3="",$L$3=""),"",IF('Statement of Marks'!D202="","",'Statement of Marks'!D202))</f>
        <v/>
      </c>
      <c r="D203" s="806" t="str">
        <f>IF(OR($D$3="",$L$3=""),"",IF('Statement of Marks'!E202="","",'Statement of Marks'!E202))</f>
        <v/>
      </c>
      <c r="E203" s="807" t="str">
        <f>IF(OR($D$3="",$L$3=""),"",IF('Statement of Marks'!F202="","",'Statement of Marks'!F202))</f>
        <v/>
      </c>
      <c r="F203" s="807" t="str">
        <f>IF(OR($D$3="",$L$3=""),"",IF('Statement of Marks'!G202="","",'Statement of Marks'!G202))</f>
        <v/>
      </c>
      <c r="G203" s="807" t="str">
        <f>IF(OR($D$3="",$L$3=""),"",IF('Statement of Marks'!H202="","",'Statement of Marks'!H202))</f>
        <v/>
      </c>
      <c r="H203" s="808" t="str">
        <f>IF(OR($D$3="",$L$3=""),"",IF('Statement of Marks'!I202="","",'Statement of Marks'!I202))</f>
        <v/>
      </c>
      <c r="I203" s="808" t="str">
        <f>IF(OR($D$3="",$L$3=""),"",IF('Statement of Marks'!J202="","",'Statement of Marks'!J202))</f>
        <v/>
      </c>
      <c r="J203" s="809"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809"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809"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810">
        <f t="shared" si="30"/>
        <v>0</v>
      </c>
      <c r="N203" s="809"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811">
        <f>IF($L$3=$AJ$18,'Statement of Marks'!FV202,IF($L$3=$AJ$19,'Statement of Marks'!GD202,IF(AND(M203="NA",N203="NA"),"NA",IF(AND(M203="",N203=""),"",SUM(M203,N203)))))</f>
        <v>0</v>
      </c>
      <c r="P203" s="809"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812" t="str">
        <f t="shared" si="33"/>
        <v/>
      </c>
      <c r="R203" s="813">
        <f t="shared" si="31"/>
        <v>0</v>
      </c>
      <c r="S203" s="813" t="str">
        <f t="shared" si="34"/>
        <v/>
      </c>
      <c r="T203" s="813" t="str">
        <f t="shared" si="35"/>
        <v/>
      </c>
      <c r="U203" s="814" t="str">
        <f t="shared" si="36"/>
        <v/>
      </c>
      <c r="V203" s="815" t="str">
        <f t="shared" si="37"/>
        <v/>
      </c>
      <c r="W203" s="816" t="str">
        <f t="shared" si="32"/>
        <v/>
      </c>
    </row>
    <row r="204" spans="1:23">
      <c r="A204" s="803">
        <f>IF('Statement of Marks'!A203="","",'Statement of Marks'!A203)</f>
        <v>197</v>
      </c>
      <c r="B204" s="804" t="str">
        <f>IF(OR($D$3="",$L$3=""),"",IF('Statement of Marks'!B203="","",'Statement of Marks'!B203))</f>
        <v/>
      </c>
      <c r="C204" s="805" t="str">
        <f>IF(OR($D$3="",$L$3=""),"",IF('Statement of Marks'!D203="","",'Statement of Marks'!D203))</f>
        <v/>
      </c>
      <c r="D204" s="806" t="str">
        <f>IF(OR($D$3="",$L$3=""),"",IF('Statement of Marks'!E203="","",'Statement of Marks'!E203))</f>
        <v/>
      </c>
      <c r="E204" s="807" t="str">
        <f>IF(OR($D$3="",$L$3=""),"",IF('Statement of Marks'!F203="","",'Statement of Marks'!F203))</f>
        <v/>
      </c>
      <c r="F204" s="807" t="str">
        <f>IF(OR($D$3="",$L$3=""),"",IF('Statement of Marks'!G203="","",'Statement of Marks'!G203))</f>
        <v/>
      </c>
      <c r="G204" s="807" t="str">
        <f>IF(OR($D$3="",$L$3=""),"",IF('Statement of Marks'!H203="","",'Statement of Marks'!H203))</f>
        <v/>
      </c>
      <c r="H204" s="808" t="str">
        <f>IF(OR($D$3="",$L$3=""),"",IF('Statement of Marks'!I203="","",'Statement of Marks'!I203))</f>
        <v/>
      </c>
      <c r="I204" s="808" t="str">
        <f>IF(OR($D$3="",$L$3=""),"",IF('Statement of Marks'!J203="","",'Statement of Marks'!J203))</f>
        <v/>
      </c>
      <c r="J204" s="809"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809"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809"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810">
        <f t="shared" si="30"/>
        <v>0</v>
      </c>
      <c r="N204" s="809"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811">
        <f>IF($L$3=$AJ$18,'Statement of Marks'!FV203,IF($L$3=$AJ$19,'Statement of Marks'!GD203,IF(AND(M204="NA",N204="NA"),"NA",IF(AND(M204="",N204=""),"",SUM(M204,N204)))))</f>
        <v>0</v>
      </c>
      <c r="P204" s="809"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812" t="str">
        <f t="shared" si="33"/>
        <v/>
      </c>
      <c r="R204" s="813">
        <f t="shared" si="31"/>
        <v>0</v>
      </c>
      <c r="S204" s="813" t="str">
        <f t="shared" si="34"/>
        <v/>
      </c>
      <c r="T204" s="813" t="str">
        <f t="shared" si="35"/>
        <v/>
      </c>
      <c r="U204" s="814" t="str">
        <f t="shared" si="36"/>
        <v/>
      </c>
      <c r="V204" s="815" t="str">
        <f t="shared" si="37"/>
        <v/>
      </c>
      <c r="W204" s="816" t="str">
        <f t="shared" si="32"/>
        <v/>
      </c>
    </row>
    <row r="205" spans="1:23">
      <c r="A205" s="803">
        <f>IF('Statement of Marks'!A204="","",'Statement of Marks'!A204)</f>
        <v>198</v>
      </c>
      <c r="B205" s="804" t="str">
        <f>IF(OR($D$3="",$L$3=""),"",IF('Statement of Marks'!B204="","",'Statement of Marks'!B204))</f>
        <v/>
      </c>
      <c r="C205" s="805" t="str">
        <f>IF(OR($D$3="",$L$3=""),"",IF('Statement of Marks'!D204="","",'Statement of Marks'!D204))</f>
        <v/>
      </c>
      <c r="D205" s="806" t="str">
        <f>IF(OR($D$3="",$L$3=""),"",IF('Statement of Marks'!E204="","",'Statement of Marks'!E204))</f>
        <v/>
      </c>
      <c r="E205" s="807" t="str">
        <f>IF(OR($D$3="",$L$3=""),"",IF('Statement of Marks'!F204="","",'Statement of Marks'!F204))</f>
        <v/>
      </c>
      <c r="F205" s="807" t="str">
        <f>IF(OR($D$3="",$L$3=""),"",IF('Statement of Marks'!G204="","",'Statement of Marks'!G204))</f>
        <v/>
      </c>
      <c r="G205" s="807" t="str">
        <f>IF(OR($D$3="",$L$3=""),"",IF('Statement of Marks'!H204="","",'Statement of Marks'!H204))</f>
        <v/>
      </c>
      <c r="H205" s="808" t="str">
        <f>IF(OR($D$3="",$L$3=""),"",IF('Statement of Marks'!I204="","",'Statement of Marks'!I204))</f>
        <v/>
      </c>
      <c r="I205" s="808" t="str">
        <f>IF(OR($D$3="",$L$3=""),"",IF('Statement of Marks'!J204="","",'Statement of Marks'!J204))</f>
        <v/>
      </c>
      <c r="J205" s="809"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809"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809"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810">
        <f t="shared" si="30"/>
        <v>0</v>
      </c>
      <c r="N205" s="809"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811">
        <f>IF($L$3=$AJ$18,'Statement of Marks'!FV204,IF($L$3=$AJ$19,'Statement of Marks'!GD204,IF(AND(M205="NA",N205="NA"),"NA",IF(AND(M205="",N205=""),"",SUM(M205,N205)))))</f>
        <v>0</v>
      </c>
      <c r="P205" s="809"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812" t="str">
        <f t="shared" si="33"/>
        <v/>
      </c>
      <c r="R205" s="813">
        <f t="shared" si="31"/>
        <v>0</v>
      </c>
      <c r="S205" s="813" t="str">
        <f t="shared" si="34"/>
        <v/>
      </c>
      <c r="T205" s="813" t="str">
        <f t="shared" si="35"/>
        <v/>
      </c>
      <c r="U205" s="814" t="str">
        <f t="shared" si="36"/>
        <v/>
      </c>
      <c r="V205" s="815" t="str">
        <f t="shared" si="37"/>
        <v/>
      </c>
      <c r="W205" s="816" t="str">
        <f t="shared" si="32"/>
        <v/>
      </c>
    </row>
    <row r="206" spans="1:23">
      <c r="A206" s="803">
        <f>IF('Statement of Marks'!A205="","",'Statement of Marks'!A205)</f>
        <v>199</v>
      </c>
      <c r="B206" s="804" t="str">
        <f>IF(OR($D$3="",$L$3=""),"",IF('Statement of Marks'!B205="","",'Statement of Marks'!B205))</f>
        <v/>
      </c>
      <c r="C206" s="805" t="str">
        <f>IF(OR($D$3="",$L$3=""),"",IF('Statement of Marks'!D205="","",'Statement of Marks'!D205))</f>
        <v/>
      </c>
      <c r="D206" s="806" t="str">
        <f>IF(OR($D$3="",$L$3=""),"",IF('Statement of Marks'!E205="","",'Statement of Marks'!E205))</f>
        <v/>
      </c>
      <c r="E206" s="807" t="str">
        <f>IF(OR($D$3="",$L$3=""),"",IF('Statement of Marks'!F205="","",'Statement of Marks'!F205))</f>
        <v/>
      </c>
      <c r="F206" s="807" t="str">
        <f>IF(OR($D$3="",$L$3=""),"",IF('Statement of Marks'!G205="","",'Statement of Marks'!G205))</f>
        <v/>
      </c>
      <c r="G206" s="807" t="str">
        <f>IF(OR($D$3="",$L$3=""),"",IF('Statement of Marks'!H205="","",'Statement of Marks'!H205))</f>
        <v/>
      </c>
      <c r="H206" s="808" t="str">
        <f>IF(OR($D$3="",$L$3=""),"",IF('Statement of Marks'!I205="","",'Statement of Marks'!I205))</f>
        <v/>
      </c>
      <c r="I206" s="808" t="str">
        <f>IF(OR($D$3="",$L$3=""),"",IF('Statement of Marks'!J205="","",'Statement of Marks'!J205))</f>
        <v/>
      </c>
      <c r="J206" s="809"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809"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809"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810">
        <f t="shared" si="30"/>
        <v>0</v>
      </c>
      <c r="N206" s="809"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811">
        <f>IF($L$3=$AJ$18,'Statement of Marks'!FV205,IF($L$3=$AJ$19,'Statement of Marks'!GD205,IF(AND(M206="NA",N206="NA"),"NA",IF(AND(M206="",N206=""),"",SUM(M206,N206)))))</f>
        <v>0</v>
      </c>
      <c r="P206" s="809"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812" t="str">
        <f t="shared" si="33"/>
        <v/>
      </c>
      <c r="R206" s="813">
        <f t="shared" si="31"/>
        <v>0</v>
      </c>
      <c r="S206" s="813" t="str">
        <f t="shared" si="34"/>
        <v/>
      </c>
      <c r="T206" s="813" t="str">
        <f t="shared" si="35"/>
        <v/>
      </c>
      <c r="U206" s="814" t="str">
        <f t="shared" si="36"/>
        <v/>
      </c>
      <c r="V206" s="815" t="str">
        <f t="shared" si="37"/>
        <v/>
      </c>
      <c r="W206" s="816" t="str">
        <f t="shared" si="32"/>
        <v/>
      </c>
    </row>
    <row r="207" spans="1:23">
      <c r="A207" s="803">
        <f>IF('Statement of Marks'!A206="","",'Statement of Marks'!A206)</f>
        <v>200</v>
      </c>
      <c r="B207" s="804" t="str">
        <f>IF(OR($D$3="",$L$3=""),"",IF('Statement of Marks'!B206="","",'Statement of Marks'!B206))</f>
        <v/>
      </c>
      <c r="C207" s="805" t="str">
        <f>IF(OR($D$3="",$L$3=""),"",IF('Statement of Marks'!D206="","",'Statement of Marks'!D206))</f>
        <v/>
      </c>
      <c r="D207" s="806" t="str">
        <f>IF(OR($D$3="",$L$3=""),"",IF('Statement of Marks'!E206="","",'Statement of Marks'!E206))</f>
        <v/>
      </c>
      <c r="E207" s="807" t="str">
        <f>IF(OR($D$3="",$L$3=""),"",IF('Statement of Marks'!F206="","",'Statement of Marks'!F206))</f>
        <v/>
      </c>
      <c r="F207" s="807" t="str">
        <f>IF(OR($D$3="",$L$3=""),"",IF('Statement of Marks'!G206="","",'Statement of Marks'!G206))</f>
        <v/>
      </c>
      <c r="G207" s="807" t="str">
        <f>IF(OR($D$3="",$L$3=""),"",IF('Statement of Marks'!H206="","",'Statement of Marks'!H206))</f>
        <v/>
      </c>
      <c r="H207" s="808" t="str">
        <f>IF(OR($D$3="",$L$3=""),"",IF('Statement of Marks'!I206="","",'Statement of Marks'!I206))</f>
        <v/>
      </c>
      <c r="I207" s="808" t="str">
        <f>IF(OR($D$3="",$L$3=""),"",IF('Statement of Marks'!J206="","",'Statement of Marks'!J206))</f>
        <v/>
      </c>
      <c r="J207" s="809"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809"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809"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810">
        <f t="shared" si="30"/>
        <v>0</v>
      </c>
      <c r="N207" s="809"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811">
        <f>IF($L$3=$AJ$18,'Statement of Marks'!FV206,IF($L$3=$AJ$19,'Statement of Marks'!GD206,IF(AND(M207="NA",N207="NA"),"NA",IF(AND(M207="",N207=""),"",SUM(M207,N207)))))</f>
        <v>0</v>
      </c>
      <c r="P207" s="809"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812" t="str">
        <f t="shared" si="33"/>
        <v/>
      </c>
      <c r="R207" s="813">
        <f t="shared" si="31"/>
        <v>0</v>
      </c>
      <c r="S207" s="813" t="str">
        <f t="shared" si="34"/>
        <v/>
      </c>
      <c r="T207" s="813" t="str">
        <f t="shared" si="35"/>
        <v/>
      </c>
      <c r="U207" s="814" t="str">
        <f t="shared" si="36"/>
        <v/>
      </c>
      <c r="V207" s="815" t="str">
        <f t="shared" si="37"/>
        <v/>
      </c>
      <c r="W207" s="816" t="str">
        <f t="shared" si="32"/>
        <v/>
      </c>
    </row>
    <row r="208" spans="1:23">
      <c r="A208" s="1324"/>
      <c r="B208" s="1324"/>
      <c r="C208" s="1324"/>
      <c r="D208" s="1324"/>
      <c r="E208" s="1324"/>
      <c r="F208" s="1324"/>
      <c r="G208" s="1324"/>
      <c r="H208" s="1324"/>
      <c r="I208" s="1324"/>
      <c r="J208" s="1324"/>
      <c r="K208" s="1324"/>
      <c r="L208" s="1324"/>
      <c r="M208" s="1324"/>
      <c r="N208" s="1324"/>
      <c r="O208" s="1324"/>
      <c r="P208" s="1324"/>
      <c r="Q208" s="1324"/>
      <c r="R208" s="1324"/>
      <c r="S208" s="1324"/>
      <c r="T208" s="1324"/>
      <c r="U208" s="1324"/>
      <c r="V208" s="1324"/>
      <c r="W208" s="1324"/>
    </row>
    <row r="209" spans="1:23">
      <c r="A209" s="1325" t="s">
        <v>267</v>
      </c>
      <c r="B209" s="1326"/>
      <c r="C209" s="1326"/>
      <c r="D209" s="1326"/>
      <c r="E209" s="1327"/>
      <c r="F209" s="1317" t="str">
        <f>IF('School Profile'!$D$12="Hindi","विषय का नाम :","Subject Name :")</f>
        <v>विषय का नाम :</v>
      </c>
      <c r="G209" s="1317"/>
      <c r="H209" s="1311" t="str">
        <f>IF(OR($D$3="",$L$3=""),"",IF($L$3="","",$L$3))</f>
        <v>अंग्रेजी</v>
      </c>
      <c r="I209" s="1311"/>
      <c r="J209" s="1311"/>
      <c r="K209" s="1311"/>
      <c r="L209" s="1311"/>
      <c r="M209" s="1311"/>
      <c r="N209" s="1311"/>
      <c r="O209" s="1311"/>
      <c r="P209" s="1311"/>
      <c r="Q209" s="1311"/>
      <c r="R209" s="818"/>
      <c r="S209" s="818"/>
      <c r="T209" s="818"/>
      <c r="U209" s="818"/>
      <c r="V209" s="818"/>
      <c r="W209" s="1333"/>
    </row>
    <row r="210" spans="1:23" ht="15" customHeight="1">
      <c r="A210" s="1328"/>
      <c r="B210" s="1329"/>
      <c r="C210" s="1329"/>
      <c r="D210" s="1329"/>
      <c r="E210" s="1330"/>
      <c r="F210" s="1317" t="str">
        <f>IF('School Profile'!$D$12="Hindi","विषयाध्यापक का नाम :","Name Of Subject Teacher :")</f>
        <v>विषयाध्यापक का नाम :</v>
      </c>
      <c r="G210" s="1317"/>
      <c r="H210" s="1311"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11"/>
      <c r="J210" s="1311"/>
      <c r="K210" s="1311"/>
      <c r="L210" s="1311"/>
      <c r="M210" s="1311"/>
      <c r="N210" s="1311"/>
      <c r="O210" s="1311"/>
      <c r="P210" s="1311"/>
      <c r="Q210" s="1311"/>
      <c r="R210" s="788"/>
      <c r="S210" s="788"/>
      <c r="T210" s="788"/>
      <c r="U210" s="788"/>
      <c r="V210" s="788"/>
      <c r="W210" s="1334"/>
    </row>
    <row r="211" spans="1:23" ht="15" customHeight="1">
      <c r="A211" s="1328"/>
      <c r="B211" s="1329"/>
      <c r="C211" s="1329"/>
      <c r="D211" s="1329"/>
      <c r="E211" s="1330"/>
      <c r="F211" s="1317" t="str">
        <f>IF('School Profile'!$D$12="Hindi","परीक्षा में बैठने वाले विद्यार्थियों की संख्या :","No. of students appeared :")</f>
        <v>परीक्षा में बैठने वाले विद्यार्थियों की संख्या :</v>
      </c>
      <c r="G211" s="1317"/>
      <c r="H211" s="1312">
        <f>IF(AND(H209="",H210=""),"",COUNTA(U8:U207)-COUNTIF(B8:B207,"NSO")-COUNTIF(U8:U207,"AB")-COUNTIF(U8:U207,""))</f>
        <v>31</v>
      </c>
      <c r="I211" s="1312"/>
      <c r="J211" s="1312"/>
      <c r="K211" s="1312"/>
      <c r="L211" s="1312"/>
      <c r="M211" s="1312"/>
      <c r="N211" s="1312"/>
      <c r="O211" s="1312"/>
      <c r="P211" s="1312"/>
      <c r="Q211" s="1312"/>
      <c r="R211" s="789"/>
      <c r="S211" s="789"/>
      <c r="T211" s="789"/>
      <c r="U211" s="789"/>
      <c r="V211" s="789"/>
      <c r="W211" s="1334"/>
    </row>
    <row r="212" spans="1:23" ht="15" customHeight="1">
      <c r="A212" s="1328"/>
      <c r="B212" s="1329"/>
      <c r="C212" s="1329"/>
      <c r="D212" s="1329"/>
      <c r="E212" s="1330"/>
      <c r="F212" s="1317" t="str">
        <f>IF('School Profile'!$D$12="Hindi","ग्रेड :","Grade :")</f>
        <v>ग्रेड :</v>
      </c>
      <c r="G212" s="1317"/>
      <c r="H212" s="1309" t="s">
        <v>37</v>
      </c>
      <c r="I212" s="1310"/>
      <c r="J212" s="1309" t="s">
        <v>38</v>
      </c>
      <c r="K212" s="1310"/>
      <c r="L212" s="1309" t="s">
        <v>39</v>
      </c>
      <c r="M212" s="1310"/>
      <c r="N212" s="1309" t="s">
        <v>74</v>
      </c>
      <c r="O212" s="1310"/>
      <c r="P212" s="1309" t="s">
        <v>55</v>
      </c>
      <c r="Q212" s="1310"/>
      <c r="R212" s="791"/>
      <c r="S212" s="791"/>
      <c r="T212" s="791"/>
      <c r="U212" s="792"/>
      <c r="V212" s="792"/>
      <c r="W212" s="1334"/>
    </row>
    <row r="213" spans="1:23" ht="15.75">
      <c r="A213" s="1328"/>
      <c r="B213" s="1329"/>
      <c r="C213" s="1329"/>
      <c r="D213" s="1329"/>
      <c r="E213" s="1330"/>
      <c r="F213" s="1317" t="str">
        <f>IF('School Profile'!$D$12="Hindi","ग्रेडवार उत्तीर्ण विद्यार्थी :","Total Passed Grade wise :")</f>
        <v>ग्रेडवार उत्तीर्ण विद्यार्थी :</v>
      </c>
      <c r="G213" s="1317"/>
      <c r="H213" s="1314">
        <f>IF(AND(H209="",H210=""),"",COUNTIF(V8:V207,"I"))</f>
        <v>30</v>
      </c>
      <c r="I213" s="1336"/>
      <c r="J213" s="1313">
        <f>IF(AND(H209="",H210=""),"",COUNTIF(V8:V207,"II"))</f>
        <v>0</v>
      </c>
      <c r="K213" s="1314"/>
      <c r="L213" s="1313">
        <f>IF(AND(H209="",H210=""),"",COUNTIF(V8:V207,"III"))</f>
        <v>1</v>
      </c>
      <c r="M213" s="1314"/>
      <c r="N213" s="1313">
        <f>IF(AND(H209="",H210=""),"",COUNTIF(V8:V207,"G"))</f>
        <v>0</v>
      </c>
      <c r="O213" s="1314"/>
      <c r="P213" s="1315">
        <f>SUM(H213,J213,L213,N213)</f>
        <v>31</v>
      </c>
      <c r="Q213" s="1316"/>
      <c r="R213" s="793"/>
      <c r="S213" s="793"/>
      <c r="T213" s="793"/>
      <c r="U213" s="794"/>
      <c r="V213" s="794"/>
      <c r="W213" s="1334"/>
    </row>
    <row r="214" spans="1:23">
      <c r="A214" s="1328"/>
      <c r="B214" s="1329"/>
      <c r="C214" s="1329"/>
      <c r="D214" s="1329"/>
      <c r="E214" s="1330"/>
      <c r="F214" s="1317" t="str">
        <f>IF('School Profile'!$D$12="Hindi","कुल उत्तीर्ण प्रतिशत में  :","Total Pass  %  :")</f>
        <v>कुल उत्तीर्ण प्रतिशत में  :</v>
      </c>
      <c r="G214" s="1317"/>
      <c r="H214" s="1320">
        <f>IF(AND(H209="",H210=""),"",IF(H211=0,0,P213/H211*100))</f>
        <v>100</v>
      </c>
      <c r="I214" s="1320"/>
      <c r="J214" s="1320"/>
      <c r="K214" s="1320"/>
      <c r="L214" s="1320"/>
      <c r="M214" s="1320"/>
      <c r="N214" s="1320"/>
      <c r="O214" s="1320"/>
      <c r="P214" s="1320"/>
      <c r="Q214" s="1320"/>
      <c r="R214" s="795"/>
      <c r="S214" s="795"/>
      <c r="T214" s="795"/>
      <c r="U214" s="795"/>
      <c r="V214" s="795"/>
      <c r="W214" s="1334"/>
    </row>
    <row r="215" spans="1:23">
      <c r="A215" s="1328"/>
      <c r="B215" s="1329"/>
      <c r="C215" s="1329"/>
      <c r="D215" s="1329"/>
      <c r="E215" s="1330"/>
      <c r="F215" s="1317" t="str">
        <f>IF('School Profile'!$D$12="Hindi","पूरक परीक्षा  :","Supplementary  :")</f>
        <v>पूरक परीक्षा  :</v>
      </c>
      <c r="G215" s="1317"/>
      <c r="H215" s="1308">
        <f>IF(AND(H209="",H210=""),"",COUNTIF(U8:U207,"S"))</f>
        <v>0</v>
      </c>
      <c r="I215" s="1308"/>
      <c r="J215" s="1308"/>
      <c r="K215" s="1308"/>
      <c r="L215" s="1308"/>
      <c r="M215" s="1308"/>
      <c r="N215" s="1308"/>
      <c r="O215" s="1308"/>
      <c r="P215" s="1308"/>
      <c r="Q215" s="1308"/>
      <c r="R215" s="790"/>
      <c r="S215" s="790"/>
      <c r="T215" s="790"/>
      <c r="U215" s="790"/>
      <c r="V215" s="790"/>
      <c r="W215" s="1334"/>
    </row>
    <row r="216" spans="1:23">
      <c r="A216" s="1328"/>
      <c r="B216" s="1329"/>
      <c r="C216" s="1329"/>
      <c r="D216" s="1329"/>
      <c r="E216" s="1330"/>
      <c r="F216" s="1321" t="str">
        <f>IF('School Profile'!$D$12="Hindi","अनुतीर्ण  :","Failed  :")</f>
        <v>अनुतीर्ण  :</v>
      </c>
      <c r="G216" s="1321"/>
      <c r="H216" s="1308">
        <f>IF(AND(H209="",H210=""),"",COUNTIF(U8:U207,"F"))</f>
        <v>0</v>
      </c>
      <c r="I216" s="1308"/>
      <c r="J216" s="1308"/>
      <c r="K216" s="1308"/>
      <c r="L216" s="1308"/>
      <c r="M216" s="1308"/>
      <c r="N216" s="1308"/>
      <c r="O216" s="1308"/>
      <c r="P216" s="1308"/>
      <c r="Q216" s="1308"/>
      <c r="R216" s="790"/>
      <c r="S216" s="790"/>
      <c r="T216" s="790"/>
      <c r="U216" s="790"/>
      <c r="V216" s="790"/>
      <c r="W216" s="1334"/>
    </row>
    <row r="217" spans="1:23" ht="15" customHeight="1">
      <c r="A217" s="1328"/>
      <c r="B217" s="1329"/>
      <c r="C217" s="1329"/>
      <c r="D217" s="1329"/>
      <c r="E217" s="1330"/>
      <c r="F217" s="1321" t="str">
        <f>IF('School Profile'!$D$12="Hindi","पुनः परीक्षा तक परिणाम रोका गया  :","Result with held until re-exam  :")</f>
        <v>पुनः परीक्षा तक परिणाम रोका गया  :</v>
      </c>
      <c r="G217" s="1321"/>
      <c r="H217" s="1308">
        <f>IF(AND(H209="",H210=""),"",COUNTIF(U8:U207,"RW"))</f>
        <v>0</v>
      </c>
      <c r="I217" s="1308"/>
      <c r="J217" s="1308"/>
      <c r="K217" s="1308"/>
      <c r="L217" s="1308"/>
      <c r="M217" s="1308"/>
      <c r="N217" s="1308"/>
      <c r="O217" s="1308"/>
      <c r="P217" s="1308"/>
      <c r="Q217" s="1308"/>
      <c r="R217" s="790"/>
      <c r="S217" s="790"/>
      <c r="T217" s="790"/>
      <c r="U217" s="790"/>
      <c r="V217" s="790"/>
      <c r="W217" s="1334"/>
    </row>
    <row r="218" spans="1:23">
      <c r="A218" s="1328"/>
      <c r="B218" s="1329"/>
      <c r="C218" s="1329"/>
      <c r="D218" s="1329"/>
      <c r="E218" s="1330"/>
      <c r="F218" s="1317" t="str">
        <f>IF('School Profile'!$D$12="Hindi","अनुपस्थिति  :","Absence  :")</f>
        <v>अनुपस्थिति  :</v>
      </c>
      <c r="G218" s="1317"/>
      <c r="H218" s="1308">
        <f>IF(AND(H209="",H210=""),"",COUNTIF(U8:U207,"AB"))</f>
        <v>0</v>
      </c>
      <c r="I218" s="1308"/>
      <c r="J218" s="1308"/>
      <c r="K218" s="1308"/>
      <c r="L218" s="1308"/>
      <c r="M218" s="1308"/>
      <c r="N218" s="1308"/>
      <c r="O218" s="1308"/>
      <c r="P218" s="1308"/>
      <c r="Q218" s="1308"/>
      <c r="R218" s="790"/>
      <c r="S218" s="790"/>
      <c r="T218" s="790"/>
      <c r="U218" s="790"/>
      <c r="V218" s="790"/>
      <c r="W218" s="1334"/>
    </row>
    <row r="219" spans="1:23" ht="15" customHeight="1">
      <c r="A219" s="1328"/>
      <c r="B219" s="1329"/>
      <c r="C219" s="1329"/>
      <c r="D219" s="1329"/>
      <c r="E219" s="1330"/>
      <c r="F219" s="1317" t="str">
        <f>IF('School Profile'!$D$12="Hindi","नाम पृथक विद्यार्थियों की संख्या  :","N.S.O. Students :")</f>
        <v>नाम पृथक विद्यार्थियों की संख्या  :</v>
      </c>
      <c r="G219" s="1317"/>
      <c r="H219" s="1308">
        <f>IF(AND(H209="",H210=""),"",COUNTIF(U8:U207,"NSO"))</f>
        <v>0</v>
      </c>
      <c r="I219" s="1308"/>
      <c r="J219" s="1308"/>
      <c r="K219" s="1308"/>
      <c r="L219" s="1308"/>
      <c r="M219" s="1308"/>
      <c r="N219" s="1308"/>
      <c r="O219" s="1308"/>
      <c r="P219" s="1308"/>
      <c r="Q219" s="1308"/>
      <c r="R219" s="790"/>
      <c r="S219" s="790"/>
      <c r="T219" s="790"/>
      <c r="U219" s="790"/>
      <c r="V219" s="790"/>
      <c r="W219" s="1334"/>
    </row>
    <row r="220" spans="1:23" ht="15" customHeight="1">
      <c r="A220" s="1331"/>
      <c r="B220" s="1332"/>
      <c r="C220" s="1332"/>
      <c r="D220" s="1332"/>
      <c r="E220" s="1332"/>
      <c r="F220" s="1317" t="str">
        <f>IF('School Profile'!$D$12="Hindi","पुनः परीक्षा वाले विद्यार्थियों की संख्या  :","No. of students for re-exam. :")</f>
        <v>पुनः परीक्षा वाले विद्यार्थियों की संख्या  :</v>
      </c>
      <c r="G220" s="1317"/>
      <c r="H220" s="1308">
        <f>IF(AND(H209="",H210=""),"",COUNTIF(U8:U207,"RE"))</f>
        <v>0</v>
      </c>
      <c r="I220" s="1308"/>
      <c r="J220" s="1308"/>
      <c r="K220" s="1308"/>
      <c r="L220" s="1308"/>
      <c r="M220" s="1308"/>
      <c r="N220" s="1308"/>
      <c r="O220" s="1308"/>
      <c r="P220" s="1308"/>
      <c r="Q220" s="1308"/>
      <c r="R220" s="819"/>
      <c r="S220" s="819"/>
      <c r="T220" s="819"/>
      <c r="U220" s="819"/>
      <c r="V220" s="819"/>
      <c r="W220" s="1335"/>
    </row>
  </sheetData>
  <sheetProtection password="D5A2" sheet="1" objects="1" scenarios="1"/>
  <protectedRanges>
    <protectedRange password="EA02" sqref="N6 M5:N5 O5:P6 J5:L7 M7:P7 O8:O207 M8:M207" name="mark sheet"/>
  </protectedRanges>
  <mergeCells count="63">
    <mergeCell ref="A1:W1"/>
    <mergeCell ref="A2:W2"/>
    <mergeCell ref="B3:C3"/>
    <mergeCell ref="I3:K3"/>
    <mergeCell ref="L3:W3"/>
    <mergeCell ref="G5:G7"/>
    <mergeCell ref="H5:H7"/>
    <mergeCell ref="I5:I7"/>
    <mergeCell ref="A5:A7"/>
    <mergeCell ref="B5:B7"/>
    <mergeCell ref="C5:C7"/>
    <mergeCell ref="D5:D7"/>
    <mergeCell ref="E5:E7"/>
    <mergeCell ref="F5:F7"/>
    <mergeCell ref="Z5:AD6"/>
    <mergeCell ref="O5:O6"/>
    <mergeCell ref="Q5:Q6"/>
    <mergeCell ref="R5:R6"/>
    <mergeCell ref="P5:P6"/>
    <mergeCell ref="S5:S6"/>
    <mergeCell ref="T5:T6"/>
    <mergeCell ref="U5:U6"/>
    <mergeCell ref="V5:V6"/>
    <mergeCell ref="W5:W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H220:Q220"/>
    <mergeCell ref="P212:Q212"/>
    <mergeCell ref="H209:Q209"/>
    <mergeCell ref="H210:Q210"/>
    <mergeCell ref="H211:Q211"/>
    <mergeCell ref="N213:O213"/>
    <mergeCell ref="P213:Q213"/>
  </mergeCells>
  <conditionalFormatting sqref="H209:H214 J212:M213 N212:Q212 L213:Q213 H8:L207 N8:N207 P8:P207">
    <cfRule type="containsText" dxfId="203" priority="18" stopIfTrue="1" operator="containsText" text="OBC">
      <formula>NOT(ISERROR(SEARCH("OBC",H8)))</formula>
    </cfRule>
    <cfRule type="containsText" dxfId="202" priority="19" stopIfTrue="1" operator="containsText" text="ST">
      <formula>NOT(ISERROR(SEARCH("ST",H8)))</formula>
    </cfRule>
    <cfRule type="containsText" dxfId="201" priority="20" stopIfTrue="1" operator="containsText" text="SC">
      <formula>NOT(ISERROR(SEARCH("SC",H8)))</formula>
    </cfRule>
  </conditionalFormatting>
  <conditionalFormatting sqref="I8:L207 N8:N207 P8:P207">
    <cfRule type="expression" dxfId="200" priority="16">
      <formula>I8="F"</formula>
    </cfRule>
    <cfRule type="expression" dxfId="199" priority="17">
      <formula>I8="M"</formula>
    </cfRule>
  </conditionalFormatting>
  <conditionalFormatting sqref="O7:O207 M7:M207">
    <cfRule type="cellIs" dxfId="198" priority="15" operator="equal">
      <formula>0</formula>
    </cfRule>
  </conditionalFormatting>
  <conditionalFormatting sqref="U8:U207">
    <cfRule type="containsText" dxfId="197" priority="4" stopIfTrue="1" operator="containsText" text="F">
      <formula>NOT(ISERROR(SEARCH("F",U8)))</formula>
    </cfRule>
  </conditionalFormatting>
  <conditionalFormatting sqref="U8:U207">
    <cfRule type="containsText" dxfId="196" priority="1" stopIfTrue="1" operator="containsText" text="G">
      <formula>NOT(ISERROR(SEARCH("G",U8)))</formula>
    </cfRule>
    <cfRule type="containsText" dxfId="195" priority="2" stopIfTrue="1" operator="containsText" text="S">
      <formula>NOT(ISERROR(SEARCH("S",U8)))</formula>
    </cfRule>
    <cfRule type="containsText" dxfId="194"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topLeftCell="B1" workbookViewId="0">
      <selection activeCell="K1" sqref="K1:R1"/>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78" t="str">
        <f>IF('School Profile'!D12="Hindi",CONCATENATE("विद्यालय का नाम :-","  ",'School Profile'!D9),CONCATENATE("School Name :-","  ",'School Profile'!D8))</f>
        <v xml:space="preserve">विद्यालय का नाम :-  महात्मा गाँधी राजकीय विद्यालय (अंग्रेजी माध्यम) बर, पाली </v>
      </c>
      <c r="B1" s="1378"/>
      <c r="C1" s="1378"/>
      <c r="D1" s="1378"/>
      <c r="E1" s="1378"/>
      <c r="F1" s="1378"/>
      <c r="G1" s="1378"/>
      <c r="H1" s="1378"/>
      <c r="I1" s="1378"/>
      <c r="J1" s="1378"/>
      <c r="K1" s="1379"/>
      <c r="L1" s="1379"/>
      <c r="M1" s="1379"/>
      <c r="N1" s="1379"/>
      <c r="O1" s="1379"/>
      <c r="P1" s="1379"/>
      <c r="Q1" s="1379"/>
      <c r="R1" s="1379"/>
      <c r="S1" s="1381" t="str">
        <f>IF('School Profile'!$D$12="Hindi","पूरक परीक्षा के अंको की एंट्री","Supplementary Exam Marks Entry")</f>
        <v>पूरक परीक्षा के अंको की एंट्री</v>
      </c>
      <c r="T1" s="1381"/>
      <c r="U1" s="1381"/>
      <c r="V1" s="1381"/>
      <c r="W1" s="1381"/>
      <c r="X1" s="1381"/>
      <c r="Y1" s="1381"/>
      <c r="Z1" s="1381"/>
      <c r="AA1" s="1381"/>
      <c r="AB1" s="1381"/>
      <c r="AC1" s="1381"/>
      <c r="AD1" s="1381"/>
      <c r="AE1" s="1381"/>
      <c r="AF1" s="1381"/>
      <c r="AG1" s="1381"/>
      <c r="AH1" s="1381"/>
      <c r="AI1" s="1381"/>
      <c r="AJ1" s="1381"/>
      <c r="AK1" s="1381"/>
      <c r="AL1" s="1381"/>
      <c r="AM1" s="1381"/>
      <c r="AN1" s="1381"/>
      <c r="AO1" s="1381"/>
      <c r="AP1" s="1381"/>
      <c r="AQ1" s="1381"/>
      <c r="AR1" s="1381"/>
      <c r="AS1" s="1381"/>
    </row>
    <row r="2" spans="1:46" ht="33.75" customHeight="1">
      <c r="A2" s="1382" t="str">
        <f>IF('School Profile'!D12="Hindi","कक्षा :-","CLASS :-")</f>
        <v>कक्षा :-</v>
      </c>
      <c r="B2" s="1382"/>
      <c r="C2" s="1380" t="str">
        <f>'Statement of Marks'!E3</f>
        <v>9th</v>
      </c>
      <c r="D2" s="1380"/>
      <c r="E2" s="1380"/>
      <c r="F2" s="610" t="str">
        <f>IF('School Profile'!D12="Hindi","सत्र  :-","Session :-")</f>
        <v>सत्र  :-</v>
      </c>
      <c r="G2" s="1380" t="str">
        <f>'Marks Entry'!I3</f>
        <v>2024-2025</v>
      </c>
      <c r="H2" s="1380"/>
      <c r="I2" s="1380"/>
      <c r="J2" s="1380"/>
      <c r="K2" s="1370" t="str">
        <f>IF('School Profile'!$D$12="Hindi","मुख्य परीक्षा विषयवार परिणाम ","Main Exam Subject wise Result")</f>
        <v xml:space="preserve">मुख्य परीक्षा विषयवार परिणाम </v>
      </c>
      <c r="L2" s="1370"/>
      <c r="M2" s="1370"/>
      <c r="N2" s="1370"/>
      <c r="O2" s="1370"/>
      <c r="P2" s="1370"/>
      <c r="Q2" s="1370"/>
      <c r="R2" s="1383" t="str">
        <f>IF('School Profile'!$D$12="Hindi","पूरक परीक्षा के विषय","Supplementary Exam Subject")</f>
        <v>पूरक परीक्षा के विषय</v>
      </c>
      <c r="S2" s="1384" t="str">
        <f>IF('School Profile'!$D$12="Hindi","पूरक परीक्षा के विषयों की संख्या","Total No. of Supplementary Subjects")</f>
        <v>पूरक परीक्षा के विषयों की संख्या</v>
      </c>
      <c r="T2" s="1352" t="str">
        <f>'Statement of Marks'!K3</f>
        <v>हिंदी</v>
      </c>
      <c r="U2" s="1352"/>
      <c r="V2" s="1352"/>
      <c r="W2" s="1352" t="str">
        <f>'Statement of Marks'!Y3</f>
        <v>अंग्रेजी</v>
      </c>
      <c r="X2" s="1352"/>
      <c r="Y2" s="1352"/>
      <c r="Z2" s="1369" t="str">
        <f>IF('School Profile'!$D$12="Hindi","तृतीय भाषा","Third Language")</f>
        <v>तृतीय भाषा</v>
      </c>
      <c r="AA2" s="1369"/>
      <c r="AB2" s="1369"/>
      <c r="AC2" s="1369" t="str">
        <f>'Statement of Marks'!BB3</f>
        <v>गणित</v>
      </c>
      <c r="AD2" s="1369"/>
      <c r="AE2" s="1369"/>
      <c r="AF2" s="1369" t="str">
        <f>'Statement of Marks'!BP3</f>
        <v>विज्ञान</v>
      </c>
      <c r="AG2" s="1369"/>
      <c r="AH2" s="1369"/>
      <c r="AI2" s="1369" t="str">
        <f>'Statement of Marks'!CE3</f>
        <v>सामाजिक विज्ञान</v>
      </c>
      <c r="AJ2" s="1369"/>
      <c r="AK2" s="1369"/>
      <c r="AL2" s="1369" t="str">
        <f>Q3</f>
        <v>व्यावसायिक शिक्षा</v>
      </c>
      <c r="AM2" s="1369"/>
      <c r="AN2" s="1369"/>
      <c r="AO2" s="1368" t="str">
        <f>IF('School Profile'!$D$12="Hindi","पूरक/पुनः परीक्षा के कुल विषय","Supp. / Re-exam Marks Number of Subjects Entered")</f>
        <v>पूरक/पुनः परीक्षा के कुल विषय</v>
      </c>
      <c r="AP2" s="1368" t="str">
        <f>IF('School Profile'!$D$12="Hindi","पूरक/पुनः परीक्षा में उतीर्ण कुल विषय","No. of Subjects Passed in Supp. / Re-exam")</f>
        <v>पूरक/पुनः परीक्षा में उतीर्ण कुल विषय</v>
      </c>
      <c r="AQ2" s="1366" t="str">
        <f>IF('School Profile'!$D$12="Hindi","पूरक/पुनः परीक्षा का परिणाम","Supp. / Re-exam Result")</f>
        <v>पूरक/पुनः परीक्षा का परिणाम</v>
      </c>
      <c r="AR2" s="1366"/>
      <c r="AS2" s="1366"/>
    </row>
    <row r="3" spans="1:46" s="177" customFormat="1" ht="93" customHeight="1">
      <c r="A3" s="1377" t="str">
        <f>IF('Statement of Marks'!A4="","",'Statement of Marks'!A4)</f>
        <v xml:space="preserve">क्र. स. </v>
      </c>
      <c r="B3" s="1377" t="str">
        <f>IF('Statement of Marks'!B4="","",'Statement of Marks'!B4)</f>
        <v>रोल न.</v>
      </c>
      <c r="C3" s="1377" t="str">
        <f>IF('Statement of Marks'!D4="","",'Statement of Marks'!D4)</f>
        <v>प्रवेशांक</v>
      </c>
      <c r="D3" s="1377" t="str">
        <f>IF('Statement of Marks'!E4="","",'Statement of Marks'!E4)</f>
        <v xml:space="preserve">जन्मतिथि </v>
      </c>
      <c r="E3" s="1372" t="str">
        <f>IF('Statement of Marks'!F4="","",'Statement of Marks'!F4)</f>
        <v xml:space="preserve">विद्यार्थी का नाम </v>
      </c>
      <c r="F3" s="1372" t="str">
        <f>IF('Statement of Marks'!G4="","",'Statement of Marks'!G4)</f>
        <v xml:space="preserve">पिता का नाम </v>
      </c>
      <c r="G3" s="1372" t="str">
        <f>IF('Statement of Marks'!H4="","",'Statement of Marks'!H4)</f>
        <v xml:space="preserve">माता का नाम </v>
      </c>
      <c r="H3" s="1372" t="str">
        <f>IF('School Profile'!$D$12="Hindi","मुख्य परीक्षा परिणाम ","Main Exam Result")</f>
        <v xml:space="preserve">मुख्य परीक्षा परिणाम </v>
      </c>
      <c r="I3" s="1376" t="str">
        <f>IF('School Profile'!$D$12="Hindi","श्रेणी","Division")</f>
        <v>श्रेणी</v>
      </c>
      <c r="J3" s="1352" t="str">
        <f>IF('School Profile'!$D$12="Hindi","प्राप्तांक प्रतिशत","Optained Percentage %")</f>
        <v>प्राप्तांक प्रतिशत</v>
      </c>
      <c r="K3" s="1367" t="str">
        <f>'Statement of Marks'!K3</f>
        <v>हिंदी</v>
      </c>
      <c r="L3" s="1367" t="str">
        <f>'Statement of Marks'!Y3</f>
        <v>अंग्रेजी</v>
      </c>
      <c r="M3" s="1367" t="str">
        <f>IF('School Profile'!$D$12="Hindi","तृतीय भाषा","Third Language")</f>
        <v>तृतीय भाषा</v>
      </c>
      <c r="N3" s="1367" t="str">
        <f>'Statement of Marks'!BB3</f>
        <v>गणित</v>
      </c>
      <c r="O3" s="1367" t="str">
        <f>'Statement of Marks'!BP3</f>
        <v>विज्ञान</v>
      </c>
      <c r="P3" s="1367" t="str">
        <f>'Statement of Marks'!CE3</f>
        <v>सामाजिक विज्ञान</v>
      </c>
      <c r="Q3" s="1367" t="str">
        <f>IF('School Profile'!$D$12="Hindi","व्यावसायिक शिक्षा","Vocational Education")</f>
        <v>व्यावसायिक शिक्षा</v>
      </c>
      <c r="R3" s="1383"/>
      <c r="S3" s="1384"/>
      <c r="T3" s="600" t="str">
        <f>IF('School Profile'!$D$12="Hindi","प्राप्तांक","Marks Obtained")</f>
        <v>प्राप्तांक</v>
      </c>
      <c r="U3" s="722" t="str">
        <f>IF('School Profile'!$D$12="Hindi","जोड़े जाने वाले अंक","Marks to be Added")</f>
        <v>जोड़े जाने वाले अंक</v>
      </c>
      <c r="V3" s="722" t="str">
        <f>IF('School Profile'!$D$12="Hindi","विषय परिणाम","Subject Result")</f>
        <v>विषय परिणाम</v>
      </c>
      <c r="W3" s="600" t="str">
        <f>IF('School Profile'!$D$12="Hindi","प्राप्तांक","Marks Obtained")</f>
        <v>प्राप्तांक</v>
      </c>
      <c r="X3" s="722" t="str">
        <f>IF('School Profile'!$D$12="Hindi","जोड़े जाने वाले अंक","Marks to be Added")</f>
        <v>जोड़े जाने वाले अंक</v>
      </c>
      <c r="Y3" s="722" t="str">
        <f>IF('School Profile'!$D$12="Hindi","विषय परिणाम","Subject Result")</f>
        <v>विषय परिणाम</v>
      </c>
      <c r="Z3" s="600" t="str">
        <f>IF('School Profile'!$D$12="Hindi","प्राप्तांक","Marks Obtained")</f>
        <v>प्राप्तांक</v>
      </c>
      <c r="AA3" s="722" t="str">
        <f>IF('School Profile'!$D$12="Hindi","जोड़े जाने वाले अंक","Marks to be Added")</f>
        <v>जोड़े जाने वाले अंक</v>
      </c>
      <c r="AB3" s="722" t="str">
        <f>IF('School Profile'!$D$12="Hindi","विषय परिणाम","Subject Result")</f>
        <v>विषय परिणाम</v>
      </c>
      <c r="AC3" s="600" t="str">
        <f>IF('School Profile'!$D$12="Hindi","प्राप्तांक","Marks Obtained")</f>
        <v>प्राप्तांक</v>
      </c>
      <c r="AD3" s="722" t="str">
        <f>IF('School Profile'!$D$12="Hindi","जोड़े जाने वाले अंक","Marks to be Added")</f>
        <v>जोड़े जाने वाले अंक</v>
      </c>
      <c r="AE3" s="722" t="str">
        <f>IF('School Profile'!$D$12="Hindi","विषय परिणाम","Subject Result")</f>
        <v>विषय परिणाम</v>
      </c>
      <c r="AF3" s="600" t="str">
        <f>IF('School Profile'!$D$12="Hindi","प्राप्तांक","Marks Obtained")</f>
        <v>प्राप्तांक</v>
      </c>
      <c r="AG3" s="722" t="str">
        <f>IF('School Profile'!$D$12="Hindi","जोड़े जाने वाले अंक","Marks to be Added")</f>
        <v>जोड़े जाने वाले अंक</v>
      </c>
      <c r="AH3" s="722" t="str">
        <f>IF('School Profile'!$D$12="Hindi","विषय परिणाम","Subject Result")</f>
        <v>विषय परिणाम</v>
      </c>
      <c r="AI3" s="600" t="str">
        <f>IF('School Profile'!$D$12="Hindi","प्राप्तांक","Marks Obtained")</f>
        <v>प्राप्तांक</v>
      </c>
      <c r="AJ3" s="722" t="str">
        <f>IF('School Profile'!$D$12="Hindi","जोड़े जाने वाले अंक","Marks to be Added")</f>
        <v>जोड़े जाने वाले अंक</v>
      </c>
      <c r="AK3" s="722" t="str">
        <f>IF('School Profile'!$D$12="Hindi","विषय परिणाम","Subject Result")</f>
        <v>विषय परिणाम</v>
      </c>
      <c r="AL3" s="600" t="str">
        <f>IF('School Profile'!$D$12="Hindi","प्राप्तांक","Marks Obtained")</f>
        <v>प्राप्तांक</v>
      </c>
      <c r="AM3" s="600" t="str">
        <f>IF('School Profile'!$D$12="Hindi","जोड़े जाने वाले अंक","Marks to be Added")</f>
        <v>जोड़े जाने वाले अंक</v>
      </c>
      <c r="AN3" s="600" t="str">
        <f>IF('School Profile'!$D$12="Hindi","विषय परिणाम","Subject Result")</f>
        <v>विषय परिणाम</v>
      </c>
      <c r="AO3" s="1368"/>
      <c r="AP3" s="1368"/>
      <c r="AQ3" s="599" t="str">
        <f>IF('School Profile'!$D$12="Hindi","परिणाम ","Result")</f>
        <v xml:space="preserve">परिणाम </v>
      </c>
      <c r="AR3" s="609" t="str">
        <f>IF('School Profile'!D12="Hindi","प्रतिशत","Percentage")</f>
        <v>प्रतिशत</v>
      </c>
      <c r="AS3" s="609" t="str">
        <f>IF('School Profile'!$D$12="Hindi","श्रेणी","Division")</f>
        <v>श्रेणी</v>
      </c>
    </row>
    <row r="4" spans="1:46" s="177" customFormat="1" ht="21" customHeight="1">
      <c r="A4" s="1377"/>
      <c r="B4" s="1377"/>
      <c r="C4" s="1377"/>
      <c r="D4" s="1377"/>
      <c r="E4" s="1372"/>
      <c r="F4" s="1372"/>
      <c r="G4" s="1372"/>
      <c r="H4" s="1372"/>
      <c r="I4" s="1376"/>
      <c r="J4" s="1352"/>
      <c r="K4" s="1367"/>
      <c r="L4" s="1367"/>
      <c r="M4" s="1367"/>
      <c r="N4" s="1367"/>
      <c r="O4" s="1367"/>
      <c r="P4" s="1367"/>
      <c r="Q4" s="1367"/>
      <c r="R4" s="1372" t="str">
        <f>IF('School Profile'!$D$12="Hindi","पूरक परीक्षा के अंक","Supplementary Exam Marks")</f>
        <v>पूरक परीक्षा के अंक</v>
      </c>
      <c r="S4" s="1372"/>
      <c r="T4" s="175">
        <v>100</v>
      </c>
      <c r="U4" s="178"/>
      <c r="V4" s="178"/>
      <c r="W4" s="175">
        <v>100</v>
      </c>
      <c r="X4" s="178"/>
      <c r="Y4" s="178"/>
      <c r="Z4" s="176">
        <v>100</v>
      </c>
      <c r="AA4" s="178"/>
      <c r="AB4" s="178"/>
      <c r="AC4" s="176">
        <v>100</v>
      </c>
      <c r="AD4" s="178"/>
      <c r="AE4" s="178"/>
      <c r="AF4" s="176">
        <v>100</v>
      </c>
      <c r="AG4" s="178"/>
      <c r="AH4" s="178"/>
      <c r="AI4" s="176">
        <v>100</v>
      </c>
      <c r="AJ4" s="178"/>
      <c r="AK4" s="178"/>
      <c r="AL4" s="176">
        <v>100</v>
      </c>
      <c r="AM4" s="179"/>
      <c r="AN4" s="179"/>
      <c r="AO4" s="179"/>
      <c r="AP4" s="179"/>
      <c r="AQ4" s="180"/>
      <c r="AR4" s="180"/>
      <c r="AS4" s="180"/>
    </row>
    <row r="5" spans="1:46">
      <c r="A5" s="169">
        <f>IF('Statement of Marks'!A7="","",'Statement of Marks'!A7)</f>
        <v>1</v>
      </c>
      <c r="B5" s="169">
        <f>IF('Statement of Marks'!B7="","",'Statement of Marks'!B7)</f>
        <v>901</v>
      </c>
      <c r="C5" s="169">
        <f>IF('Statement of Marks'!D7="","",'Statement of Marks'!D7)</f>
        <v>521</v>
      </c>
      <c r="D5" s="170">
        <f>IF('Statement of Marks'!E7="","",'Statement of Marks'!E7)</f>
        <v>40461</v>
      </c>
      <c r="E5" s="171" t="str">
        <f>IF('Statement of Marks'!F7="","",'Statement of Marks'!F7)</f>
        <v>RAHUL JAT</v>
      </c>
      <c r="F5" s="171" t="str">
        <f>IF('Statement of Marks'!G7="","",'Statement of Marks'!G7)</f>
        <v>HL JAT</v>
      </c>
      <c r="G5" s="171" t="str">
        <f>IF('Statement of Marks'!H7="","",'Statement of Marks'!H7)</f>
        <v>LALI</v>
      </c>
      <c r="H5" s="172" t="str">
        <f>IF('Statement of Marks'!HS7="","",'Statement of Marks'!HS7)</f>
        <v>PASS</v>
      </c>
      <c r="I5" s="172" t="str">
        <f>IF('Statement of Marks'!HV7="","",'Statement of Marks'!HV7)</f>
        <v>1st</v>
      </c>
      <c r="J5" s="173">
        <f>IF('Statement of Marks'!HU7="","",'Statement of Marks'!HU7)</f>
        <v>73.833333333333329</v>
      </c>
      <c r="K5" s="181" t="str">
        <f>'Statement of Marks'!GN7</f>
        <v>I</v>
      </c>
      <c r="L5" s="181" t="str">
        <f>'Statement of Marks'!GQ7</f>
        <v>I</v>
      </c>
      <c r="M5" s="181" t="str">
        <f>'Statement of Marks'!GT7</f>
        <v>I</v>
      </c>
      <c r="N5" s="181" t="str">
        <f>'Statement of Marks'!HB7</f>
        <v>I</v>
      </c>
      <c r="O5" s="181" t="str">
        <f>'Statement of Marks'!HE7</f>
        <v>I</v>
      </c>
      <c r="P5" s="181" t="str">
        <f>'Statement of Marks'!HH7</f>
        <v>I</v>
      </c>
      <c r="Q5" s="181" t="str">
        <f>'Statement of Marks'!HK7</f>
        <v>D</v>
      </c>
      <c r="R5" s="173" t="str">
        <f>IF(COUNTIF(K5:Q5,"F")&gt;0,"",CONCATENATE('Statement of Marks'!HO7,'Statement of Marks'!HQ7))</f>
        <v xml:space="preserve">            </v>
      </c>
      <c r="S5" s="174">
        <f>IF(COUNTIF(K5:Q5,"F")&gt;0,"",COUNTIF(K5:Q5,"S")+COUNTIF(K5:Q5,"RE")+COUNTIF(K5:Q5,"REP"))</f>
        <v>0</v>
      </c>
      <c r="T5" s="5"/>
      <c r="U5" s="182" t="str">
        <f>IF(T5="","",IF(OR(T5="AB",K5="RE"),T5,IF(AND(K5="S"),ROUNDUP(T5,0),)))</f>
        <v/>
      </c>
      <c r="V5" s="182" t="str">
        <f>IF(T5="","",IF(OR(T5="AB",T5&lt;36%*$T$4),"F","P"))</f>
        <v/>
      </c>
      <c r="W5" s="5"/>
      <c r="X5" s="182" t="str">
        <f>IF(W5="","",IF(OR(W5="AB",L5="RE"),W5,IF(AND(L5="S"),ROUNDUP(W5,0),)))</f>
        <v/>
      </c>
      <c r="Y5" s="182" t="str">
        <f>IF(W5="","",IF(OR(W5="AB",W5&lt;36%*$W$4),"F","P"))</f>
        <v/>
      </c>
      <c r="Z5" s="5"/>
      <c r="AA5" s="182" t="str">
        <f>IF(Z5="","",IF(OR(Z5="AB",M5="RE"),Z5,IF(AND(M5="S"),ROUNDUP(Z5,0),)))</f>
        <v/>
      </c>
      <c r="AB5" s="183" t="str">
        <f>IF(Z5="","",IF(OR(Z5="AB",Z5&lt;36%*$Z$4),"F","P"))</f>
        <v/>
      </c>
      <c r="AC5" s="5"/>
      <c r="AD5" s="182" t="str">
        <f>IF(AC5="","",IF(OR(AC5="AB",N5="RE"),AC5,IF(AND(N5="S"),ROUNDUP(AC5,0),)))</f>
        <v/>
      </c>
      <c r="AE5" s="183" t="str">
        <f>IF(AC5="","",IF(OR(AC5="AB",AC5&lt;36%*$AC$4),"F","P"))</f>
        <v/>
      </c>
      <c r="AF5" s="5"/>
      <c r="AG5" s="182" t="str">
        <f>IF(AF5="","",IF(OR(AF5="AB",O5="RE"),AF5,IF(AND(O5="S"),ROUNDUP(AF5,0),)))</f>
        <v/>
      </c>
      <c r="AH5" s="183" t="str">
        <f>IF(AF5="","",IF(OR(AF5="AB",AF5&lt;36%*$AF$4),"F","P"))</f>
        <v/>
      </c>
      <c r="AI5" s="5"/>
      <c r="AJ5" s="183" t="str">
        <f>IF(AI5="","",IF(OR(AI5="AB",P5="RE"),AI5,IF(AND(P5="S"),ROUNDUP(AI5,0),)))</f>
        <v/>
      </c>
      <c r="AK5" s="183" t="str">
        <f>IF(AI5="","",IF(OR(AI5="AB",AI5&lt;36%*$AI$4),"F","P"))</f>
        <v/>
      </c>
      <c r="AL5" s="5"/>
      <c r="AM5" s="183" t="str">
        <f>IF(AL5="","",IF(OR(AL5="AB",Q5="RE"),AL5,IF(AND(Q5="S"),ROUNDUP(AL5,0),)))</f>
        <v/>
      </c>
      <c r="AN5" s="183" t="str">
        <f>IF(AL5="","",IF(OR(AL5="AB",AL5&lt;36%*$AL$4),"F","P"))</f>
        <v/>
      </c>
      <c r="AO5" s="184">
        <f>IF(COUNTIF(K5:Q5,"F")&gt;0,"",COUNTA(T5,W5,Z5,AC5,AF5,AI5,AL5))</f>
        <v>0</v>
      </c>
      <c r="AP5" s="184">
        <f>IF(COUNTIF(K5:Q5,"F")&gt;0,"",COUNTIF(T5:AN5,"P"))</f>
        <v>0</v>
      </c>
      <c r="AQ5" s="608" t="str">
        <f>IF(AND(T5="",W5="",Z5="",AC5="",AF5="",AI5="",AL5=""),"",IF(COUNTIF(K5:Q5,"F")&gt;0,"",IF(S5=0,"",IF(S5&gt;AO5,H5,IF(S5&gt;AP5,"FAIL","PASS")))))</f>
        <v/>
      </c>
      <c r="AR5" s="185" t="str">
        <f>IF(COUNTIF(K5:Q5,"F")&gt;0,"",IF(AQ5="PASS",'Statement of Marks'!HZ7,""))</f>
        <v/>
      </c>
      <c r="AS5" s="185" t="str">
        <f>IF(AQ5="PASS",'Statement of Marks'!IA7,"")</f>
        <v/>
      </c>
    </row>
    <row r="6" spans="1:46" ht="15.95" customHeight="1">
      <c r="A6" s="169">
        <f>IF('Statement of Marks'!A8="","",'Statement of Marks'!A8)</f>
        <v>2</v>
      </c>
      <c r="B6" s="169">
        <f>IF('Statement of Marks'!B8="","",'Statement of Marks'!B8)</f>
        <v>902</v>
      </c>
      <c r="C6" s="169">
        <f>IF('Statement of Marks'!D8="","",'Statement of Marks'!D8)</f>
        <v>501</v>
      </c>
      <c r="D6" s="170">
        <f>IF('Statement of Marks'!E8="","",'Statement of Marks'!E8)</f>
        <v>40065</v>
      </c>
      <c r="E6" s="171" t="str">
        <f>IF('Statement of Marks'!F8="","",'Statement of Marks'!F8)</f>
        <v>RAM</v>
      </c>
      <c r="F6" s="171" t="str">
        <f>IF('Statement of Marks'!G8="","",'Statement of Marks'!G8)</f>
        <v>SHYAM</v>
      </c>
      <c r="G6" s="171" t="str">
        <f>IF('Statement of Marks'!H8="","",'Statement of Marks'!H8)</f>
        <v>SITA</v>
      </c>
      <c r="H6" s="172" t="str">
        <f>IF('Statement of Marks'!HS8="","",'Statement of Marks'!HS8)</f>
        <v>PASS</v>
      </c>
      <c r="I6" s="172" t="str">
        <f>IF('Statement of Marks'!HV8="","",'Statement of Marks'!HV8)</f>
        <v>1st</v>
      </c>
      <c r="J6" s="173">
        <f>IF('Statement of Marks'!HU8="","",'Statement of Marks'!HU8)</f>
        <v>71.583333333333329</v>
      </c>
      <c r="K6" s="181" t="str">
        <f>'Statement of Marks'!GN8</f>
        <v>I</v>
      </c>
      <c r="L6" s="181" t="str">
        <f>'Statement of Marks'!GQ8</f>
        <v>D</v>
      </c>
      <c r="M6" s="181" t="str">
        <f>'Statement of Marks'!GT8</f>
        <v>D</v>
      </c>
      <c r="N6" s="181" t="str">
        <f>'Statement of Marks'!HB8</f>
        <v>II</v>
      </c>
      <c r="O6" s="181" t="str">
        <f>'Statement of Marks'!HE8</f>
        <v>II</v>
      </c>
      <c r="P6" s="181" t="str">
        <f>'Statement of Marks'!HH8</f>
        <v>I</v>
      </c>
      <c r="Q6" s="181" t="str">
        <f>'Statement of Marks'!HK8</f>
        <v>II</v>
      </c>
      <c r="R6" s="173" t="str">
        <f>IF(COUNTIF(K6:Q6,"F")&gt;0,"",CONCATENATE('Statement of Marks'!HO8,'Statement of Marks'!HQ8))</f>
        <v xml:space="preserve">            </v>
      </c>
      <c r="S6" s="174">
        <f t="shared" ref="S6:S69" si="0">IF(COUNTIF(K6:Q6,"F")&gt;0,"",COUNTIF(K6:Q6,"S")+COUNTIF(K6:Q6,"RE")+COUNTIF(K6:Q6,"REP"))</f>
        <v>0</v>
      </c>
      <c r="T6" s="5"/>
      <c r="U6" s="182" t="str">
        <f t="shared" ref="U6:U69" si="1">IF(T6="","",IF(OR(T6="AB",K6="RE"),T6,IF(AND(K6="S"),ROUNDUP(T6,0),)))</f>
        <v/>
      </c>
      <c r="V6" s="182" t="str">
        <f t="shared" ref="V6:V69" si="2">IF(T6="","",IF(OR(T6="AB",T6&lt;36%*$T$4),"F","P"))</f>
        <v/>
      </c>
      <c r="W6" s="5"/>
      <c r="X6" s="182" t="str">
        <f t="shared" ref="X6:X69" si="3">IF(W6="","",IF(OR(W6="AB",L6="RE"),W6,IF(AND(L6="S"),ROUNDUP(W6,0),)))</f>
        <v/>
      </c>
      <c r="Y6" s="182" t="str">
        <f t="shared" ref="Y6:Y69" si="4">IF(W6="","",IF(OR(W6="AB",W6&lt;36%*$W$4),"F","P"))</f>
        <v/>
      </c>
      <c r="Z6" s="5"/>
      <c r="AA6" s="182" t="str">
        <f t="shared" ref="AA6:AA69" si="5">IF(Z6="","",IF(OR(Z6="AB",M6="RE"),Z6,IF(AND(M6="S"),ROUNDUP(Z6,0),)))</f>
        <v/>
      </c>
      <c r="AB6" s="183" t="str">
        <f t="shared" ref="AB6:AB69" si="6">IF(Z6="","",IF(OR(Z6="AB",Z6&lt;36%*$Z$4),"F","P"))</f>
        <v/>
      </c>
      <c r="AC6" s="5"/>
      <c r="AD6" s="182" t="str">
        <f t="shared" ref="AD6:AD69" si="7">IF(AC6="","",IF(OR(AC6="AB",N6="RE"),AC6,IF(AND(N6="S"),ROUNDUP(AC6,0),)))</f>
        <v/>
      </c>
      <c r="AE6" s="183" t="str">
        <f t="shared" ref="AE6:AE69" si="8">IF(AC6="","",IF(OR(AC6="AB",AC6&lt;36%*$AC$4),"F","P"))</f>
        <v/>
      </c>
      <c r="AF6" s="5"/>
      <c r="AG6" s="182" t="str">
        <f t="shared" ref="AG6:AG69" si="9">IF(AF6="","",IF(OR(AF6="AB",O6="RE"),AF6,IF(AND(O6="S"),ROUNDUP(AF6,0),)))</f>
        <v/>
      </c>
      <c r="AH6" s="183" t="str">
        <f t="shared" ref="AH6:AH69" si="10">IF(AF6="","",IF(OR(AF6="AB",AF6&lt;36%*$AF$4),"F","P"))</f>
        <v/>
      </c>
      <c r="AI6" s="5"/>
      <c r="AJ6" s="183" t="str">
        <f t="shared" ref="AJ6:AJ69" si="11">IF(AI6="","",IF(OR(AI6="AB",P6="RE"),AI6,IF(AND(P6="S"),ROUNDUP(AI6,0),)))</f>
        <v/>
      </c>
      <c r="AK6" s="183" t="str">
        <f t="shared" ref="AK6:AK69" si="12">IF(AI6="","",IF(OR(AI6="AB",AI6&lt;36%*$AI$4),"F","P"))</f>
        <v/>
      </c>
      <c r="AL6" s="5"/>
      <c r="AM6" s="183" t="str">
        <f t="shared" ref="AM6:AM69" si="13">IF(AL6="","",IF(OR(AL6="AB",Q6="RE"),AL6,IF(AND(Q6="S"),ROUNDUP(AL6,0),)))</f>
        <v/>
      </c>
      <c r="AN6" s="183" t="str">
        <f t="shared" ref="AN6:AN69" si="14">IF(AL6="","",IF(OR(AL6="AB",AL6&lt;36%*$AL$4),"F","P"))</f>
        <v/>
      </c>
      <c r="AO6" s="184">
        <f t="shared" ref="AO6:AO69" si="15">IF(COUNTIF(K6:Q6,"F")&gt;0,"",COUNTA(T6,W6,Z6,AC6,AF6,AI6,AL6))</f>
        <v>0</v>
      </c>
      <c r="AP6" s="184">
        <f t="shared" ref="AP6:AP69" si="16">IF(COUNTIF(K6:Q6,"F")&gt;0,"",COUNTIF(T6:AN6,"P"))</f>
        <v>0</v>
      </c>
      <c r="AQ6" s="608" t="str">
        <f t="shared" ref="AQ6:AQ69" si="17">IF(AND(T6="",W6="",Z6="",AC6="",AF6="",AI6="",AL6=""),"",IF(COUNTIF(K6:Q6,"F")&gt;0,"",IF(S6=0,"",IF(S6&gt;AO6,H6,IF(S6&gt;AP6,"FAIL","PASS")))))</f>
        <v/>
      </c>
      <c r="AR6" s="185" t="str">
        <f>IF(COUNTIF(K6:Q6,"F")&gt;0,"",IF(AQ6="PASS",'Statement of Marks'!HZ8,""))</f>
        <v/>
      </c>
      <c r="AS6" s="185" t="str">
        <f>IF(AQ6="PASS",'Statement of Marks'!IA8,"")</f>
        <v/>
      </c>
    </row>
    <row r="7" spans="1:46">
      <c r="A7" s="169">
        <f>IF('Statement of Marks'!A9="","",'Statement of Marks'!A9)</f>
        <v>3</v>
      </c>
      <c r="B7" s="169">
        <f>IF('Statement of Marks'!B9="","",'Statement of Marks'!B9)</f>
        <v>903</v>
      </c>
      <c r="C7" s="169" t="str">
        <f>IF('Statement of Marks'!D9="","",'Statement of Marks'!D9)</f>
        <v/>
      </c>
      <c r="D7" s="170">
        <f>IF('Statement of Marks'!E9="","",'Statement of Marks'!E9)</f>
        <v>41192</v>
      </c>
      <c r="E7" s="171" t="str">
        <f>IF('Statement of Marks'!F9="","",'Statement of Marks'!F9)</f>
        <v>DINESH</v>
      </c>
      <c r="F7" s="171" t="str">
        <f>IF('Statement of Marks'!G9="","",'Statement of Marks'!G9)</f>
        <v/>
      </c>
      <c r="G7" s="171" t="str">
        <f>IF('Statement of Marks'!H9="","",'Statement of Marks'!H9)</f>
        <v/>
      </c>
      <c r="H7" s="172" t="str">
        <f>IF('Statement of Marks'!HS9="","",'Statement of Marks'!HS9)</f>
        <v>FAIL</v>
      </c>
      <c r="I7" s="172" t="str">
        <f>IF('Statement of Marks'!HV9="","",'Statement of Marks'!HV9)</f>
        <v/>
      </c>
      <c r="J7" s="173">
        <f>IF('Statement of Marks'!HU9="","",'Statement of Marks'!HU9)</f>
        <v>73.416666666666671</v>
      </c>
      <c r="K7" s="181" t="str">
        <f>'Statement of Marks'!GN9</f>
        <v>F</v>
      </c>
      <c r="L7" s="181" t="str">
        <f>'Statement of Marks'!GQ9</f>
        <v>D</v>
      </c>
      <c r="M7" s="181" t="str">
        <f>'Statement of Marks'!GT9</f>
        <v>II</v>
      </c>
      <c r="N7" s="181" t="str">
        <f>'Statement of Marks'!HB9</f>
        <v>D</v>
      </c>
      <c r="O7" s="181" t="str">
        <f>'Statement of Marks'!HE9</f>
        <v>II</v>
      </c>
      <c r="P7" s="181" t="str">
        <f>'Statement of Marks'!HH9</f>
        <v>II</v>
      </c>
      <c r="Q7" s="181" t="str">
        <f>'Statement of Marks'!HK9</f>
        <v>D</v>
      </c>
      <c r="R7" s="173" t="str">
        <f>IF(COUNTIF(K7:Q7,"F")&gt;0,"",CONCATENATE('Statement of Marks'!HO9,'Statement of Marks'!HQ9))</f>
        <v/>
      </c>
      <c r="S7" s="174" t="str">
        <f t="shared" si="0"/>
        <v/>
      </c>
      <c r="T7" s="5"/>
      <c r="U7" s="182" t="str">
        <f t="shared" si="1"/>
        <v/>
      </c>
      <c r="V7" s="182" t="str">
        <f t="shared" si="2"/>
        <v/>
      </c>
      <c r="W7" s="5"/>
      <c r="X7" s="182" t="str">
        <f t="shared" si="3"/>
        <v/>
      </c>
      <c r="Y7" s="182" t="str">
        <f t="shared" si="4"/>
        <v/>
      </c>
      <c r="Z7" s="5"/>
      <c r="AA7" s="182" t="str">
        <f t="shared" si="5"/>
        <v/>
      </c>
      <c r="AB7" s="183" t="str">
        <f t="shared" si="6"/>
        <v/>
      </c>
      <c r="AC7" s="5"/>
      <c r="AD7" s="182" t="str">
        <f t="shared" si="7"/>
        <v/>
      </c>
      <c r="AE7" s="183" t="str">
        <f t="shared" si="8"/>
        <v/>
      </c>
      <c r="AF7" s="5"/>
      <c r="AG7" s="182" t="str">
        <f t="shared" si="9"/>
        <v/>
      </c>
      <c r="AH7" s="183" t="str">
        <f t="shared" si="10"/>
        <v/>
      </c>
      <c r="AI7" s="5"/>
      <c r="AJ7" s="183" t="str">
        <f t="shared" si="11"/>
        <v/>
      </c>
      <c r="AK7" s="183" t="str">
        <f t="shared" si="12"/>
        <v/>
      </c>
      <c r="AL7" s="5"/>
      <c r="AM7" s="183" t="str">
        <f t="shared" si="13"/>
        <v/>
      </c>
      <c r="AN7" s="183" t="str">
        <f t="shared" si="14"/>
        <v/>
      </c>
      <c r="AO7" s="184" t="str">
        <f t="shared" si="15"/>
        <v/>
      </c>
      <c r="AP7" s="184" t="str">
        <f t="shared" si="16"/>
        <v/>
      </c>
      <c r="AQ7" s="608" t="str">
        <f t="shared" si="17"/>
        <v/>
      </c>
      <c r="AR7" s="185" t="str">
        <f>IF(COUNTIF(K7:Q7,"F")&gt;0,"",IF(AQ7="PASS",'Statement of Marks'!HZ9,""))</f>
        <v/>
      </c>
      <c r="AS7" s="185" t="str">
        <f>IF(AQ7="PASS",'Statement of Marks'!IA9,"")</f>
        <v/>
      </c>
    </row>
    <row r="8" spans="1:46">
      <c r="A8" s="169">
        <f>IF('Statement of Marks'!A10="","",'Statement of Marks'!A10)</f>
        <v>4</v>
      </c>
      <c r="B8" s="169">
        <f>IF('Statement of Marks'!B10="","",'Statement of Marks'!B10)</f>
        <v>904</v>
      </c>
      <c r="C8" s="169" t="str">
        <f>IF('Statement of Marks'!D10="","",'Statement of Marks'!D10)</f>
        <v/>
      </c>
      <c r="D8" s="170">
        <f>IF('Statement of Marks'!E10="","",'Statement of Marks'!E10)</f>
        <v>40670</v>
      </c>
      <c r="E8" s="171" t="str">
        <f>IF('Statement of Marks'!F10="","",'Statement of Marks'!F10)</f>
        <v>RAMESH</v>
      </c>
      <c r="F8" s="171" t="str">
        <f>IF('Statement of Marks'!G10="","",'Statement of Marks'!G10)</f>
        <v/>
      </c>
      <c r="G8" s="171" t="str">
        <f>IF('Statement of Marks'!H10="","",'Statement of Marks'!H10)</f>
        <v/>
      </c>
      <c r="H8" s="172" t="str">
        <f>IF('Statement of Marks'!HS10="","",'Statement of Marks'!HS10)</f>
        <v>BY GRACE PASS</v>
      </c>
      <c r="I8" s="172" t="str">
        <f>IF('Statement of Marks'!HV10="","",'Statement of Marks'!HV10)</f>
        <v>2nd</v>
      </c>
      <c r="J8" s="173">
        <f>IF('Statement of Marks'!HU10="","",'Statement of Marks'!HU10)</f>
        <v>57.75</v>
      </c>
      <c r="K8" s="181" t="str">
        <f>'Statement of Marks'!GN10</f>
        <v>I</v>
      </c>
      <c r="L8" s="181" t="str">
        <f>'Statement of Marks'!GQ10</f>
        <v>D</v>
      </c>
      <c r="M8" s="181" t="str">
        <f>'Statement of Marks'!GT10</f>
        <v>II</v>
      </c>
      <c r="N8" s="181" t="str">
        <f>'Statement of Marks'!HB10</f>
        <v>G</v>
      </c>
      <c r="O8" s="181" t="str">
        <f>'Statement of Marks'!HE10</f>
        <v>II</v>
      </c>
      <c r="P8" s="181" t="str">
        <f>'Statement of Marks'!HH10</f>
        <v>II</v>
      </c>
      <c r="Q8" s="181" t="str">
        <f>'Statement of Marks'!HK10</f>
        <v/>
      </c>
      <c r="R8" s="173" t="str">
        <f>IF(COUNTIF(K8:Q8,"F")&gt;0,"",CONCATENATE('Statement of Marks'!HO10,'Statement of Marks'!HQ10))</f>
        <v xml:space="preserve">            </v>
      </c>
      <c r="S8" s="174">
        <f t="shared" si="0"/>
        <v>0</v>
      </c>
      <c r="T8" s="5"/>
      <c r="U8" s="182" t="str">
        <f t="shared" si="1"/>
        <v/>
      </c>
      <c r="V8" s="182" t="str">
        <f t="shared" si="2"/>
        <v/>
      </c>
      <c r="W8" s="5"/>
      <c r="X8" s="182" t="str">
        <f t="shared" si="3"/>
        <v/>
      </c>
      <c r="Y8" s="182" t="str">
        <f t="shared" si="4"/>
        <v/>
      </c>
      <c r="Z8" s="5"/>
      <c r="AA8" s="182" t="str">
        <f t="shared" si="5"/>
        <v/>
      </c>
      <c r="AB8" s="183" t="str">
        <f t="shared" si="6"/>
        <v/>
      </c>
      <c r="AC8" s="5"/>
      <c r="AD8" s="182" t="str">
        <f t="shared" si="7"/>
        <v/>
      </c>
      <c r="AE8" s="183" t="str">
        <f t="shared" si="8"/>
        <v/>
      </c>
      <c r="AF8" s="5"/>
      <c r="AG8" s="182" t="str">
        <f t="shared" si="9"/>
        <v/>
      </c>
      <c r="AH8" s="183" t="str">
        <f t="shared" si="10"/>
        <v/>
      </c>
      <c r="AI8" s="5"/>
      <c r="AJ8" s="183" t="str">
        <f t="shared" si="11"/>
        <v/>
      </c>
      <c r="AK8" s="183" t="str">
        <f t="shared" si="12"/>
        <v/>
      </c>
      <c r="AL8" s="5"/>
      <c r="AM8" s="183" t="str">
        <f t="shared" si="13"/>
        <v/>
      </c>
      <c r="AN8" s="183" t="str">
        <f t="shared" si="14"/>
        <v/>
      </c>
      <c r="AO8" s="184">
        <f t="shared" si="15"/>
        <v>0</v>
      </c>
      <c r="AP8" s="184">
        <f t="shared" si="16"/>
        <v>0</v>
      </c>
      <c r="AQ8" s="608" t="str">
        <f t="shared" si="17"/>
        <v/>
      </c>
      <c r="AR8" s="185" t="str">
        <f>IF(COUNTIF(K8:Q8,"F")&gt;0,"",IF(AQ8="PASS",'Statement of Marks'!HZ10,""))</f>
        <v/>
      </c>
      <c r="AS8" s="185" t="str">
        <f>IF(AQ8="PASS",'Statement of Marks'!IA10,"")</f>
        <v/>
      </c>
    </row>
    <row r="9" spans="1:46" ht="15.95" customHeight="1">
      <c r="A9" s="169">
        <f>IF('Statement of Marks'!A11="","",'Statement of Marks'!A11)</f>
        <v>5</v>
      </c>
      <c r="B9" s="169">
        <f>IF('Statement of Marks'!B11="","",'Statement of Marks'!B11)</f>
        <v>905</v>
      </c>
      <c r="C9" s="169" t="str">
        <f>IF('Statement of Marks'!D11="","",'Statement of Marks'!D11)</f>
        <v/>
      </c>
      <c r="D9" s="170">
        <f>IF('Statement of Marks'!E11="","",'Statement of Marks'!E11)</f>
        <v>41525</v>
      </c>
      <c r="E9" s="171" t="str">
        <f>IF('Statement of Marks'!F11="","",'Statement of Marks'!F11)</f>
        <v>SHYAM</v>
      </c>
      <c r="F9" s="171" t="str">
        <f>IF('Statement of Marks'!G11="","",'Statement of Marks'!G11)</f>
        <v/>
      </c>
      <c r="G9" s="171" t="str">
        <f>IF('Statement of Marks'!H11="","",'Statement of Marks'!H11)</f>
        <v/>
      </c>
      <c r="H9" s="172" t="str">
        <f>IF('Statement of Marks'!HS11="","",'Statement of Marks'!HS11)</f>
        <v>PASS</v>
      </c>
      <c r="I9" s="172" t="str">
        <f>IF('Statement of Marks'!HV11="","",'Statement of Marks'!HV11)</f>
        <v>1st</v>
      </c>
      <c r="J9" s="173">
        <f>IF('Statement of Marks'!HU11="","",'Statement of Marks'!HU11)</f>
        <v>60.75</v>
      </c>
      <c r="K9" s="181" t="str">
        <f>'Statement of Marks'!GN11</f>
        <v>I</v>
      </c>
      <c r="L9" s="181" t="str">
        <f>'Statement of Marks'!GQ11</f>
        <v>I</v>
      </c>
      <c r="M9" s="181" t="str">
        <f>'Statement of Marks'!GT11</f>
        <v>II</v>
      </c>
      <c r="N9" s="181" t="str">
        <f>'Statement of Marks'!HB11</f>
        <v>II</v>
      </c>
      <c r="O9" s="181" t="str">
        <f>'Statement of Marks'!HE11</f>
        <v>II</v>
      </c>
      <c r="P9" s="181" t="str">
        <f>'Statement of Marks'!HH11</f>
        <v>II</v>
      </c>
      <c r="Q9" s="181" t="str">
        <f>'Statement of Marks'!HK11</f>
        <v/>
      </c>
      <c r="R9" s="173" t="str">
        <f>IF(COUNTIF(K9:Q9,"F")&gt;0,"",CONCATENATE('Statement of Marks'!HO11,'Statement of Marks'!HQ11))</f>
        <v xml:space="preserve">            </v>
      </c>
      <c r="S9" s="174">
        <f t="shared" si="0"/>
        <v>0</v>
      </c>
      <c r="T9" s="5"/>
      <c r="U9" s="182" t="str">
        <f t="shared" si="1"/>
        <v/>
      </c>
      <c r="V9" s="182" t="str">
        <f t="shared" si="2"/>
        <v/>
      </c>
      <c r="W9" s="5"/>
      <c r="X9" s="182" t="str">
        <f t="shared" si="3"/>
        <v/>
      </c>
      <c r="Y9" s="182" t="str">
        <f t="shared" si="4"/>
        <v/>
      </c>
      <c r="Z9" s="5"/>
      <c r="AA9" s="182" t="str">
        <f t="shared" si="5"/>
        <v/>
      </c>
      <c r="AB9" s="183" t="str">
        <f t="shared" si="6"/>
        <v/>
      </c>
      <c r="AC9" s="5"/>
      <c r="AD9" s="182" t="str">
        <f t="shared" si="7"/>
        <v/>
      </c>
      <c r="AE9" s="183" t="str">
        <f t="shared" si="8"/>
        <v/>
      </c>
      <c r="AF9" s="5"/>
      <c r="AG9" s="182" t="str">
        <f t="shared" si="9"/>
        <v/>
      </c>
      <c r="AH9" s="183" t="str">
        <f t="shared" si="10"/>
        <v/>
      </c>
      <c r="AI9" s="5"/>
      <c r="AJ9" s="183" t="str">
        <f t="shared" si="11"/>
        <v/>
      </c>
      <c r="AK9" s="183" t="str">
        <f t="shared" si="12"/>
        <v/>
      </c>
      <c r="AL9" s="5"/>
      <c r="AM9" s="183" t="str">
        <f t="shared" si="13"/>
        <v/>
      </c>
      <c r="AN9" s="183" t="str">
        <f t="shared" si="14"/>
        <v/>
      </c>
      <c r="AO9" s="184">
        <f t="shared" si="15"/>
        <v>0</v>
      </c>
      <c r="AP9" s="184">
        <f t="shared" si="16"/>
        <v>0</v>
      </c>
      <c r="AQ9" s="608" t="str">
        <f t="shared" si="17"/>
        <v/>
      </c>
      <c r="AR9" s="185" t="str">
        <f>IF(COUNTIF(K9:Q9,"F")&gt;0,"",IF(AQ9="PASS",'Statement of Marks'!HZ11,""))</f>
        <v/>
      </c>
      <c r="AS9" s="185" t="str">
        <f>IF(AQ9="PASS",'Statement of Marks'!IA11,"")</f>
        <v/>
      </c>
    </row>
    <row r="10" spans="1:46" ht="15.95" customHeight="1">
      <c r="A10" s="169">
        <f>IF('Statement of Marks'!A12="","",'Statement of Marks'!A12)</f>
        <v>6</v>
      </c>
      <c r="B10" s="169">
        <f>IF('Statement of Marks'!B12="","",'Statement of Marks'!B12)</f>
        <v>906</v>
      </c>
      <c r="C10" s="169" t="str">
        <f>IF('Statement of Marks'!D12="","",'Statement of Marks'!D12)</f>
        <v/>
      </c>
      <c r="D10" s="170">
        <f>IF('Statement of Marks'!E12="","",'Statement of Marks'!E12)</f>
        <v>40933</v>
      </c>
      <c r="E10" s="171" t="str">
        <f>IF('Statement of Marks'!F12="","",'Statement of Marks'!F12)</f>
        <v>GITA</v>
      </c>
      <c r="F10" s="171" t="str">
        <f>IF('Statement of Marks'!G12="","",'Statement of Marks'!G12)</f>
        <v/>
      </c>
      <c r="G10" s="171" t="str">
        <f>IF('Statement of Marks'!H12="","",'Statement of Marks'!H12)</f>
        <v/>
      </c>
      <c r="H10" s="172" t="str">
        <f>IF('Statement of Marks'!HS12="","",'Statement of Marks'!HS12)</f>
        <v>PASS</v>
      </c>
      <c r="I10" s="172" t="str">
        <f>IF('Statement of Marks'!HV12="","",'Statement of Marks'!HV12)</f>
        <v>1st</v>
      </c>
      <c r="J10" s="173">
        <f>IF('Statement of Marks'!HU12="","",'Statement of Marks'!HU12)</f>
        <v>65.294117647058826</v>
      </c>
      <c r="K10" s="181" t="str">
        <f>'Statement of Marks'!GN12</f>
        <v>I</v>
      </c>
      <c r="L10" s="181" t="str">
        <f>'Statement of Marks'!GQ12</f>
        <v>D</v>
      </c>
      <c r="M10" s="181" t="str">
        <f>'Statement of Marks'!GT12</f>
        <v>II</v>
      </c>
      <c r="N10" s="181" t="str">
        <f>'Statement of Marks'!HB12</f>
        <v>II</v>
      </c>
      <c r="O10" s="181" t="str">
        <f>'Statement of Marks'!HE12</f>
        <v>II</v>
      </c>
      <c r="P10" s="181" t="str">
        <f>'Statement of Marks'!HH12</f>
        <v>II</v>
      </c>
      <c r="Q10" s="181" t="str">
        <f>'Statement of Marks'!HK12</f>
        <v/>
      </c>
      <c r="R10" s="173" t="str">
        <f>IF(COUNTIF(K10:Q10,"F")&gt;0,"",CONCATENATE('Statement of Marks'!HO12,'Statement of Marks'!HQ12))</f>
        <v xml:space="preserve">            </v>
      </c>
      <c r="S10" s="174">
        <f t="shared" si="0"/>
        <v>0</v>
      </c>
      <c r="T10" s="5"/>
      <c r="U10" s="182" t="str">
        <f t="shared" si="1"/>
        <v/>
      </c>
      <c r="V10" s="182" t="str">
        <f t="shared" si="2"/>
        <v/>
      </c>
      <c r="W10" s="5"/>
      <c r="X10" s="182" t="str">
        <f t="shared" si="3"/>
        <v/>
      </c>
      <c r="Y10" s="182" t="str">
        <f t="shared" si="4"/>
        <v/>
      </c>
      <c r="Z10" s="5"/>
      <c r="AA10" s="182" t="str">
        <f t="shared" si="5"/>
        <v/>
      </c>
      <c r="AB10" s="183" t="str">
        <f t="shared" si="6"/>
        <v/>
      </c>
      <c r="AC10" s="5"/>
      <c r="AD10" s="182" t="str">
        <f t="shared" si="7"/>
        <v/>
      </c>
      <c r="AE10" s="183" t="str">
        <f t="shared" si="8"/>
        <v/>
      </c>
      <c r="AF10" s="5"/>
      <c r="AG10" s="182" t="str">
        <f t="shared" si="9"/>
        <v/>
      </c>
      <c r="AH10" s="183" t="str">
        <f t="shared" si="10"/>
        <v/>
      </c>
      <c r="AI10" s="5"/>
      <c r="AJ10" s="183" t="str">
        <f t="shared" si="11"/>
        <v/>
      </c>
      <c r="AK10" s="183" t="str">
        <f t="shared" si="12"/>
        <v/>
      </c>
      <c r="AL10" s="5"/>
      <c r="AM10" s="183" t="str">
        <f t="shared" si="13"/>
        <v/>
      </c>
      <c r="AN10" s="183" t="str">
        <f t="shared" si="14"/>
        <v/>
      </c>
      <c r="AO10" s="184">
        <f t="shared" si="15"/>
        <v>0</v>
      </c>
      <c r="AP10" s="184">
        <f t="shared" si="16"/>
        <v>0</v>
      </c>
      <c r="AQ10" s="608" t="str">
        <f t="shared" si="17"/>
        <v/>
      </c>
      <c r="AR10" s="185" t="str">
        <f>IF(COUNTIF(K10:Q10,"F")&gt;0,"",IF(AQ10="PASS",'Statement of Marks'!HZ12,""))</f>
        <v/>
      </c>
      <c r="AS10" s="185" t="str">
        <f>IF(AQ10="PASS",'Statement of Marks'!IA12,"")</f>
        <v/>
      </c>
      <c r="AT10" s="186"/>
    </row>
    <row r="11" spans="1:46" ht="15.95" customHeight="1">
      <c r="A11" s="169">
        <f>IF('Statement of Marks'!A13="","",'Statement of Marks'!A13)</f>
        <v>7</v>
      </c>
      <c r="B11" s="169">
        <f>IF('Statement of Marks'!B13="","",'Statement of Marks'!B13)</f>
        <v>907</v>
      </c>
      <c r="C11" s="169" t="str">
        <f>IF('Statement of Marks'!D13="","",'Statement of Marks'!D13)</f>
        <v/>
      </c>
      <c r="D11" s="170">
        <f>IF('Statement of Marks'!E13="","",'Statement of Marks'!E13)</f>
        <v>41317</v>
      </c>
      <c r="E11" s="171" t="str">
        <f>IF('Statement of Marks'!F13="","",'Statement of Marks'!F13)</f>
        <v>MITA</v>
      </c>
      <c r="F11" s="171" t="str">
        <f>IF('Statement of Marks'!G13="","",'Statement of Marks'!G13)</f>
        <v/>
      </c>
      <c r="G11" s="171" t="str">
        <f>IF('Statement of Marks'!H13="","",'Statement of Marks'!H13)</f>
        <v/>
      </c>
      <c r="H11" s="172" t="str">
        <f>IF('Statement of Marks'!HS13="","",'Statement of Marks'!HS13)</f>
        <v>SUPPLEMENTARY</v>
      </c>
      <c r="I11" s="172" t="str">
        <f>IF('Statement of Marks'!HV13="","",'Statement of Marks'!HV13)</f>
        <v/>
      </c>
      <c r="J11" s="173">
        <f>IF('Statement of Marks'!HU13="","",'Statement of Marks'!HU13)</f>
        <v>57.815126050420169</v>
      </c>
      <c r="K11" s="181" t="str">
        <f>'Statement of Marks'!GN13</f>
        <v>I</v>
      </c>
      <c r="L11" s="181" t="str">
        <f>'Statement of Marks'!GQ13</f>
        <v>I</v>
      </c>
      <c r="M11" s="181" t="str">
        <f>'Statement of Marks'!GT13</f>
        <v>II</v>
      </c>
      <c r="N11" s="181" t="str">
        <f>'Statement of Marks'!HB13</f>
        <v>S</v>
      </c>
      <c r="O11" s="181" t="str">
        <f>'Statement of Marks'!HE13</f>
        <v>II</v>
      </c>
      <c r="P11" s="181" t="str">
        <f>'Statement of Marks'!HH13</f>
        <v>I</v>
      </c>
      <c r="Q11" s="181" t="str">
        <f>'Statement of Marks'!HK13</f>
        <v/>
      </c>
      <c r="R11" s="173" t="str">
        <f>IF(COUNTIF(K11:Q11,"F")&gt;0,"",CONCATENATE('Statement of Marks'!HO13,'Statement of Marks'!HQ13))</f>
        <v xml:space="preserve">   गणित         </v>
      </c>
      <c r="S11" s="174">
        <f t="shared" si="0"/>
        <v>1</v>
      </c>
      <c r="T11" s="5"/>
      <c r="U11" s="182" t="str">
        <f t="shared" si="1"/>
        <v/>
      </c>
      <c r="V11" s="182" t="str">
        <f t="shared" si="2"/>
        <v/>
      </c>
      <c r="W11" s="5"/>
      <c r="X11" s="182" t="str">
        <f t="shared" si="3"/>
        <v/>
      </c>
      <c r="Y11" s="182" t="str">
        <f t="shared" si="4"/>
        <v/>
      </c>
      <c r="Z11" s="5"/>
      <c r="AA11" s="182" t="str">
        <f t="shared" si="5"/>
        <v/>
      </c>
      <c r="AB11" s="183" t="str">
        <f t="shared" si="6"/>
        <v/>
      </c>
      <c r="AC11" s="5">
        <v>36</v>
      </c>
      <c r="AD11" s="182">
        <f>IF(AC11="","",IF(OR(AC11="AB",N11="RE"),AC11,IF(AND(N11="S"),ROUNDUP(AC11,0),)))</f>
        <v>36</v>
      </c>
      <c r="AE11" s="183" t="str">
        <f t="shared" si="8"/>
        <v>P</v>
      </c>
      <c r="AF11" s="5"/>
      <c r="AG11" s="182" t="str">
        <f t="shared" si="9"/>
        <v/>
      </c>
      <c r="AH11" s="183" t="str">
        <f t="shared" si="10"/>
        <v/>
      </c>
      <c r="AI11" s="5"/>
      <c r="AJ11" s="183" t="str">
        <f>IF(AI11="","",IF(OR(AI11="AB",P11="RE"),AI11,IF(AND(P11="S"),ROUNDUP(AI11,0),)))</f>
        <v/>
      </c>
      <c r="AK11" s="183" t="str">
        <f t="shared" si="12"/>
        <v/>
      </c>
      <c r="AL11" s="5"/>
      <c r="AM11" s="183" t="str">
        <f t="shared" si="13"/>
        <v/>
      </c>
      <c r="AN11" s="183" t="str">
        <f t="shared" si="14"/>
        <v/>
      </c>
      <c r="AO11" s="184">
        <f t="shared" si="15"/>
        <v>1</v>
      </c>
      <c r="AP11" s="184">
        <f t="shared" si="16"/>
        <v>1</v>
      </c>
      <c r="AQ11" s="608" t="str">
        <f t="shared" si="17"/>
        <v>PASS</v>
      </c>
      <c r="AR11" s="185">
        <f>IF(COUNTIF(K11:Q11,"F")&gt;0,"",IF(AQ11="PASS",'Statement of Marks'!HZ13,""))</f>
        <v>60.363636363636367</v>
      </c>
      <c r="AS11" s="185" t="str">
        <f>IF(AQ11="PASS",'Statement of Marks'!IA13,"")</f>
        <v>I</v>
      </c>
    </row>
    <row r="12" spans="1:46" ht="15.95" customHeight="1">
      <c r="A12" s="169">
        <f>IF('Statement of Marks'!A14="","",'Statement of Marks'!A14)</f>
        <v>8</v>
      </c>
      <c r="B12" s="169">
        <f>IF('Statement of Marks'!B14="","",'Statement of Marks'!B14)</f>
        <v>908</v>
      </c>
      <c r="C12" s="169" t="str">
        <f>IF('Statement of Marks'!D14="","",'Statement of Marks'!D14)</f>
        <v/>
      </c>
      <c r="D12" s="170">
        <f>IF('Statement of Marks'!E14="","",'Statement of Marks'!E14)</f>
        <v>40282</v>
      </c>
      <c r="E12" s="171" t="str">
        <f>IF('Statement of Marks'!F14="","",'Statement of Marks'!F14)</f>
        <v>SITA</v>
      </c>
      <c r="F12" s="171" t="str">
        <f>IF('Statement of Marks'!G14="","",'Statement of Marks'!G14)</f>
        <v/>
      </c>
      <c r="G12" s="171" t="str">
        <f>IF('Statement of Marks'!H14="","",'Statement of Marks'!H14)</f>
        <v/>
      </c>
      <c r="H12" s="172" t="str">
        <f>IF('Statement of Marks'!HS14="","",'Statement of Marks'!HS14)</f>
        <v>PASS</v>
      </c>
      <c r="I12" s="172" t="str">
        <f>IF('Statement of Marks'!HV14="","",'Statement of Marks'!HV14)</f>
        <v>1st</v>
      </c>
      <c r="J12" s="173">
        <f>IF('Statement of Marks'!HU14="","",'Statement of Marks'!HU14)</f>
        <v>70.5</v>
      </c>
      <c r="K12" s="181" t="str">
        <f>'Statement of Marks'!GN14</f>
        <v>I</v>
      </c>
      <c r="L12" s="181" t="str">
        <f>'Statement of Marks'!GQ14</f>
        <v>D</v>
      </c>
      <c r="M12" s="181" t="str">
        <f>'Statement of Marks'!GT14</f>
        <v>D</v>
      </c>
      <c r="N12" s="181" t="str">
        <f>'Statement of Marks'!HB14</f>
        <v>II</v>
      </c>
      <c r="O12" s="181" t="str">
        <f>'Statement of Marks'!HE14</f>
        <v>II</v>
      </c>
      <c r="P12" s="181" t="str">
        <f>'Statement of Marks'!HH14</f>
        <v>II</v>
      </c>
      <c r="Q12" s="181" t="str">
        <f>'Statement of Marks'!HK14</f>
        <v/>
      </c>
      <c r="R12" s="173" t="str">
        <f>IF(COUNTIF(K12:Q12,"F")&gt;0,"",CONCATENATE('Statement of Marks'!HO14,'Statement of Marks'!HQ14))</f>
        <v xml:space="preserve">            </v>
      </c>
      <c r="S12" s="174">
        <f t="shared" si="0"/>
        <v>0</v>
      </c>
      <c r="T12" s="5"/>
      <c r="U12" s="182" t="str">
        <f t="shared" si="1"/>
        <v/>
      </c>
      <c r="V12" s="182" t="str">
        <f t="shared" si="2"/>
        <v/>
      </c>
      <c r="W12" s="5"/>
      <c r="X12" s="182" t="str">
        <f t="shared" si="3"/>
        <v/>
      </c>
      <c r="Y12" s="182" t="str">
        <f t="shared" si="4"/>
        <v/>
      </c>
      <c r="Z12" s="5"/>
      <c r="AA12" s="182" t="str">
        <f t="shared" si="5"/>
        <v/>
      </c>
      <c r="AB12" s="183" t="str">
        <f t="shared" si="6"/>
        <v/>
      </c>
      <c r="AC12" s="5"/>
      <c r="AD12" s="182" t="str">
        <f t="shared" si="7"/>
        <v/>
      </c>
      <c r="AE12" s="183" t="str">
        <f t="shared" si="8"/>
        <v/>
      </c>
      <c r="AF12" s="5"/>
      <c r="AG12" s="182" t="str">
        <f t="shared" si="9"/>
        <v/>
      </c>
      <c r="AH12" s="183" t="str">
        <f t="shared" si="10"/>
        <v/>
      </c>
      <c r="AI12" s="5"/>
      <c r="AJ12" s="183" t="str">
        <f t="shared" si="11"/>
        <v/>
      </c>
      <c r="AK12" s="183" t="str">
        <f t="shared" si="12"/>
        <v/>
      </c>
      <c r="AL12" s="5"/>
      <c r="AM12" s="183" t="str">
        <f t="shared" si="13"/>
        <v/>
      </c>
      <c r="AN12" s="183" t="str">
        <f t="shared" si="14"/>
        <v/>
      </c>
      <c r="AO12" s="184">
        <f t="shared" si="15"/>
        <v>0</v>
      </c>
      <c r="AP12" s="184">
        <f t="shared" si="16"/>
        <v>0</v>
      </c>
      <c r="AQ12" s="608" t="str">
        <f t="shared" si="17"/>
        <v/>
      </c>
      <c r="AR12" s="185" t="str">
        <f>IF(COUNTIF(K12:Q12,"F")&gt;0,"",IF(AQ12="PASS",'Statement of Marks'!HZ14,""))</f>
        <v/>
      </c>
      <c r="AS12" s="185" t="str">
        <f>IF(AQ12="PASS",'Statement of Marks'!IA14,"")</f>
        <v/>
      </c>
    </row>
    <row r="13" spans="1:46" ht="15.95" customHeight="1">
      <c r="A13" s="169">
        <f>IF('Statement of Marks'!A15="","",'Statement of Marks'!A15)</f>
        <v>9</v>
      </c>
      <c r="B13" s="169">
        <f>IF('Statement of Marks'!B15="","",'Statement of Marks'!B15)</f>
        <v>909</v>
      </c>
      <c r="C13" s="169" t="str">
        <f>IF('Statement of Marks'!D15="","",'Statement of Marks'!D15)</f>
        <v/>
      </c>
      <c r="D13" s="170">
        <f>IF('Statement of Marks'!E15="","",'Statement of Marks'!E15)</f>
        <v>40065</v>
      </c>
      <c r="E13" s="171" t="str">
        <f>IF('Statement of Marks'!F15="","",'Statement of Marks'!F15)</f>
        <v>RITA</v>
      </c>
      <c r="F13" s="171" t="str">
        <f>IF('Statement of Marks'!G15="","",'Statement of Marks'!G15)</f>
        <v/>
      </c>
      <c r="G13" s="171" t="str">
        <f>IF('Statement of Marks'!H15="","",'Statement of Marks'!H15)</f>
        <v/>
      </c>
      <c r="H13" s="172" t="str">
        <f>IF('Statement of Marks'!HS15="","",'Statement of Marks'!HS15)</f>
        <v>PASS</v>
      </c>
      <c r="I13" s="172" t="str">
        <f>IF('Statement of Marks'!HV15="","",'Statement of Marks'!HV15)</f>
        <v>1st</v>
      </c>
      <c r="J13" s="173">
        <f>IF('Statement of Marks'!HU15="","",'Statement of Marks'!HU15)</f>
        <v>60.333333333333336</v>
      </c>
      <c r="K13" s="181" t="str">
        <f>'Statement of Marks'!GN15</f>
        <v>II</v>
      </c>
      <c r="L13" s="181" t="str">
        <f>'Statement of Marks'!GQ15</f>
        <v>D</v>
      </c>
      <c r="M13" s="181" t="str">
        <f>'Statement of Marks'!GT15</f>
        <v>II</v>
      </c>
      <c r="N13" s="181" t="str">
        <f>'Statement of Marks'!HB15</f>
        <v>III</v>
      </c>
      <c r="O13" s="181" t="str">
        <f>'Statement of Marks'!HE15</f>
        <v>II</v>
      </c>
      <c r="P13" s="181" t="str">
        <f>'Statement of Marks'!HH15</f>
        <v>II</v>
      </c>
      <c r="Q13" s="181" t="str">
        <f>'Statement of Marks'!HK15</f>
        <v/>
      </c>
      <c r="R13" s="173" t="str">
        <f>IF(COUNTIF(K13:Q13,"F")&gt;0,"",CONCATENATE('Statement of Marks'!HO15,'Statement of Marks'!HQ15))</f>
        <v xml:space="preserve">            </v>
      </c>
      <c r="S13" s="174">
        <f t="shared" si="0"/>
        <v>0</v>
      </c>
      <c r="T13" s="5"/>
      <c r="U13" s="182" t="str">
        <f t="shared" si="1"/>
        <v/>
      </c>
      <c r="V13" s="182" t="str">
        <f t="shared" si="2"/>
        <v/>
      </c>
      <c r="W13" s="5"/>
      <c r="X13" s="182" t="str">
        <f t="shared" si="3"/>
        <v/>
      </c>
      <c r="Y13" s="182" t="str">
        <f t="shared" si="4"/>
        <v/>
      </c>
      <c r="Z13" s="5"/>
      <c r="AA13" s="182" t="str">
        <f t="shared" si="5"/>
        <v/>
      </c>
      <c r="AB13" s="183" t="str">
        <f t="shared" si="6"/>
        <v/>
      </c>
      <c r="AC13" s="5"/>
      <c r="AD13" s="182" t="str">
        <f t="shared" si="7"/>
        <v/>
      </c>
      <c r="AE13" s="183" t="str">
        <f t="shared" si="8"/>
        <v/>
      </c>
      <c r="AF13" s="5"/>
      <c r="AG13" s="182" t="str">
        <f t="shared" si="9"/>
        <v/>
      </c>
      <c r="AH13" s="183" t="str">
        <f t="shared" si="10"/>
        <v/>
      </c>
      <c r="AI13" s="5"/>
      <c r="AJ13" s="183" t="str">
        <f t="shared" si="11"/>
        <v/>
      </c>
      <c r="AK13" s="183" t="str">
        <f t="shared" si="12"/>
        <v/>
      </c>
      <c r="AL13" s="5"/>
      <c r="AM13" s="183" t="str">
        <f t="shared" si="13"/>
        <v/>
      </c>
      <c r="AN13" s="183" t="str">
        <f t="shared" si="14"/>
        <v/>
      </c>
      <c r="AO13" s="184">
        <f t="shared" si="15"/>
        <v>0</v>
      </c>
      <c r="AP13" s="184">
        <f t="shared" si="16"/>
        <v>0</v>
      </c>
      <c r="AQ13" s="608" t="str">
        <f t="shared" si="17"/>
        <v/>
      </c>
      <c r="AR13" s="185" t="str">
        <f>IF(COUNTIF(K13:Q13,"F")&gt;0,"",IF(AQ13="PASS",'Statement of Marks'!HZ15,""))</f>
        <v/>
      </c>
      <c r="AS13" s="185" t="str">
        <f>IF(AQ13="PASS",'Statement of Marks'!IA15,"")</f>
        <v/>
      </c>
    </row>
    <row r="14" spans="1:46" ht="15.95" customHeight="1">
      <c r="A14" s="169">
        <f>IF('Statement of Marks'!A16="","",'Statement of Marks'!A16)</f>
        <v>10</v>
      </c>
      <c r="B14" s="169">
        <f>IF('Statement of Marks'!B16="","",'Statement of Marks'!B16)</f>
        <v>910</v>
      </c>
      <c r="C14" s="169" t="str">
        <f>IF('Statement of Marks'!D16="","",'Statement of Marks'!D16)</f>
        <v/>
      </c>
      <c r="D14" s="170">
        <f>IF('Statement of Marks'!E16="","",'Statement of Marks'!E16)</f>
        <v>40737</v>
      </c>
      <c r="E14" s="171" t="str">
        <f>IF('Statement of Marks'!F16="","",'Statement of Marks'!F16)</f>
        <v>SONU</v>
      </c>
      <c r="F14" s="171" t="str">
        <f>IF('Statement of Marks'!G16="","",'Statement of Marks'!G16)</f>
        <v/>
      </c>
      <c r="G14" s="171" t="str">
        <f>IF('Statement of Marks'!H16="","",'Statement of Marks'!H16)</f>
        <v/>
      </c>
      <c r="H14" s="172" t="str">
        <f>IF('Statement of Marks'!HS16="","",'Statement of Marks'!HS16)</f>
        <v>BY GRACE PASS</v>
      </c>
      <c r="I14" s="172" t="str">
        <f>IF('Statement of Marks'!HV16="","",'Statement of Marks'!HV16)</f>
        <v>2nd</v>
      </c>
      <c r="J14" s="173">
        <f>IF('Statement of Marks'!HU16="","",'Statement of Marks'!HU16)</f>
        <v>52.75</v>
      </c>
      <c r="K14" s="181" t="str">
        <f>'Statement of Marks'!GN16</f>
        <v>I</v>
      </c>
      <c r="L14" s="181" t="str">
        <f>'Statement of Marks'!GQ16</f>
        <v>III</v>
      </c>
      <c r="M14" s="181" t="str">
        <f>'Statement of Marks'!GT16</f>
        <v>II</v>
      </c>
      <c r="N14" s="181" t="str">
        <f>'Statement of Marks'!HB16</f>
        <v>G</v>
      </c>
      <c r="O14" s="181" t="str">
        <f>'Statement of Marks'!HE16</f>
        <v>II</v>
      </c>
      <c r="P14" s="181" t="str">
        <f>'Statement of Marks'!HH16</f>
        <v>II</v>
      </c>
      <c r="Q14" s="181" t="str">
        <f>'Statement of Marks'!HK16</f>
        <v/>
      </c>
      <c r="R14" s="173" t="str">
        <f>IF(COUNTIF(K14:Q14,"F")&gt;0,"",CONCATENATE('Statement of Marks'!HO16,'Statement of Marks'!HQ16))</f>
        <v xml:space="preserve">            </v>
      </c>
      <c r="S14" s="174">
        <f t="shared" si="0"/>
        <v>0</v>
      </c>
      <c r="T14" s="5"/>
      <c r="U14" s="182" t="str">
        <f t="shared" si="1"/>
        <v/>
      </c>
      <c r="V14" s="182" t="str">
        <f t="shared" si="2"/>
        <v/>
      </c>
      <c r="W14" s="5"/>
      <c r="X14" s="182" t="str">
        <f t="shared" si="3"/>
        <v/>
      </c>
      <c r="Y14" s="182" t="str">
        <f t="shared" si="4"/>
        <v/>
      </c>
      <c r="Z14" s="5"/>
      <c r="AA14" s="182" t="str">
        <f t="shared" si="5"/>
        <v/>
      </c>
      <c r="AB14" s="183" t="str">
        <f t="shared" si="6"/>
        <v/>
      </c>
      <c r="AC14" s="5"/>
      <c r="AD14" s="182" t="str">
        <f t="shared" si="7"/>
        <v/>
      </c>
      <c r="AE14" s="183" t="str">
        <f t="shared" si="8"/>
        <v/>
      </c>
      <c r="AF14" s="5"/>
      <c r="AG14" s="182" t="str">
        <f t="shared" si="9"/>
        <v/>
      </c>
      <c r="AH14" s="183" t="str">
        <f t="shared" si="10"/>
        <v/>
      </c>
      <c r="AI14" s="5"/>
      <c r="AJ14" s="183" t="str">
        <f t="shared" si="11"/>
        <v/>
      </c>
      <c r="AK14" s="183" t="str">
        <f t="shared" si="12"/>
        <v/>
      </c>
      <c r="AL14" s="5"/>
      <c r="AM14" s="183" t="str">
        <f t="shared" si="13"/>
        <v/>
      </c>
      <c r="AN14" s="183" t="str">
        <f t="shared" si="14"/>
        <v/>
      </c>
      <c r="AO14" s="184">
        <f t="shared" si="15"/>
        <v>0</v>
      </c>
      <c r="AP14" s="184">
        <f t="shared" si="16"/>
        <v>0</v>
      </c>
      <c r="AQ14" s="608" t="str">
        <f t="shared" si="17"/>
        <v/>
      </c>
      <c r="AR14" s="185" t="str">
        <f>IF(COUNTIF(K14:Q14,"F")&gt;0,"",IF(AQ14="PASS",'Statement of Marks'!HZ16,""))</f>
        <v/>
      </c>
      <c r="AS14" s="185" t="str">
        <f>IF(AQ14="PASS",'Statement of Marks'!IA16,"")</f>
        <v/>
      </c>
    </row>
    <row r="15" spans="1:46" ht="15.95" customHeight="1">
      <c r="A15" s="169">
        <f>IF('Statement of Marks'!A17="","",'Statement of Marks'!A17)</f>
        <v>11</v>
      </c>
      <c r="B15" s="169">
        <f>IF('Statement of Marks'!B17="","",'Statement of Marks'!B17)</f>
        <v>911</v>
      </c>
      <c r="C15" s="169" t="str">
        <f>IF('Statement of Marks'!D17="","",'Statement of Marks'!D17)</f>
        <v/>
      </c>
      <c r="D15" s="170">
        <f>IF('Statement of Marks'!E17="","",'Statement of Marks'!E17)</f>
        <v>41878</v>
      </c>
      <c r="E15" s="171" t="str">
        <f>IF('Statement of Marks'!F17="","",'Statement of Marks'!F17)</f>
        <v>MONU</v>
      </c>
      <c r="F15" s="171" t="str">
        <f>IF('Statement of Marks'!G17="","",'Statement of Marks'!G17)</f>
        <v/>
      </c>
      <c r="G15" s="171" t="str">
        <f>IF('Statement of Marks'!H17="","",'Statement of Marks'!H17)</f>
        <v/>
      </c>
      <c r="H15" s="172" t="str">
        <f>IF('Statement of Marks'!HS17="","",'Statement of Marks'!HS17)</f>
        <v>FAIL</v>
      </c>
      <c r="I15" s="172" t="str">
        <f>IF('Statement of Marks'!HV17="","",'Statement of Marks'!HV17)</f>
        <v/>
      </c>
      <c r="J15" s="173">
        <f>IF('Statement of Marks'!HU17="","",'Statement of Marks'!HU17)</f>
        <v>62.083333333333336</v>
      </c>
      <c r="K15" s="181" t="str">
        <f>'Statement of Marks'!GN17</f>
        <v>AB</v>
      </c>
      <c r="L15" s="181" t="str">
        <f>'Statement of Marks'!GQ17</f>
        <v>D</v>
      </c>
      <c r="M15" s="181" t="str">
        <f>'Statement of Marks'!GT17</f>
        <v>II</v>
      </c>
      <c r="N15" s="181" t="str">
        <f>'Statement of Marks'!HB17</f>
        <v>II</v>
      </c>
      <c r="O15" s="181" t="str">
        <f>'Statement of Marks'!HE17</f>
        <v>II</v>
      </c>
      <c r="P15" s="181" t="str">
        <f>'Statement of Marks'!HH17</f>
        <v>II</v>
      </c>
      <c r="Q15" s="181" t="str">
        <f>'Statement of Marks'!HK17</f>
        <v/>
      </c>
      <c r="R15" s="173" t="str">
        <f>IF(COUNTIF(K15:Q15,"F")&gt;0,"",CONCATENATE('Statement of Marks'!HO17,'Statement of Marks'!HQ17))</f>
        <v xml:space="preserve">            </v>
      </c>
      <c r="S15" s="174">
        <f t="shared" si="0"/>
        <v>0</v>
      </c>
      <c r="T15" s="5"/>
      <c r="U15" s="182" t="str">
        <f t="shared" si="1"/>
        <v/>
      </c>
      <c r="V15" s="182" t="str">
        <f t="shared" si="2"/>
        <v/>
      </c>
      <c r="W15" s="5"/>
      <c r="X15" s="182" t="str">
        <f t="shared" si="3"/>
        <v/>
      </c>
      <c r="Y15" s="182" t="str">
        <f t="shared" si="4"/>
        <v/>
      </c>
      <c r="Z15" s="5"/>
      <c r="AA15" s="182" t="str">
        <f t="shared" si="5"/>
        <v/>
      </c>
      <c r="AB15" s="183" t="str">
        <f t="shared" si="6"/>
        <v/>
      </c>
      <c r="AC15" s="5"/>
      <c r="AD15" s="182" t="str">
        <f t="shared" si="7"/>
        <v/>
      </c>
      <c r="AE15" s="183" t="str">
        <f t="shared" si="8"/>
        <v/>
      </c>
      <c r="AF15" s="5"/>
      <c r="AG15" s="182" t="str">
        <f t="shared" si="9"/>
        <v/>
      </c>
      <c r="AH15" s="183" t="str">
        <f t="shared" si="10"/>
        <v/>
      </c>
      <c r="AI15" s="5"/>
      <c r="AJ15" s="183" t="str">
        <f t="shared" si="11"/>
        <v/>
      </c>
      <c r="AK15" s="183" t="str">
        <f t="shared" si="12"/>
        <v/>
      </c>
      <c r="AL15" s="5"/>
      <c r="AM15" s="183" t="str">
        <f t="shared" si="13"/>
        <v/>
      </c>
      <c r="AN15" s="183" t="str">
        <f t="shared" si="14"/>
        <v/>
      </c>
      <c r="AO15" s="184">
        <f t="shared" si="15"/>
        <v>0</v>
      </c>
      <c r="AP15" s="184">
        <f t="shared" si="16"/>
        <v>0</v>
      </c>
      <c r="AQ15" s="608" t="str">
        <f t="shared" si="17"/>
        <v/>
      </c>
      <c r="AR15" s="185" t="str">
        <f>IF(COUNTIF(K15:Q15,"F")&gt;0,"",IF(AQ15="PASS",'Statement of Marks'!HZ17,""))</f>
        <v/>
      </c>
      <c r="AS15" s="185" t="str">
        <f>IF(AQ15="PASS",'Statement of Marks'!IA17,"")</f>
        <v/>
      </c>
    </row>
    <row r="16" spans="1:46">
      <c r="A16" s="169">
        <f>IF('Statement of Marks'!A18="","",'Statement of Marks'!A18)</f>
        <v>12</v>
      </c>
      <c r="B16" s="169">
        <f>IF('Statement of Marks'!B18="","",'Statement of Marks'!B18)</f>
        <v>912</v>
      </c>
      <c r="C16" s="169" t="str">
        <f>IF('Statement of Marks'!D18="","",'Statement of Marks'!D18)</f>
        <v/>
      </c>
      <c r="D16" s="170" t="str">
        <f>IF('Statement of Marks'!E18="","",'Statement of Marks'!E18)</f>
        <v/>
      </c>
      <c r="E16" s="171" t="str">
        <f>IF('Statement of Marks'!F18="","",'Statement of Marks'!F18)</f>
        <v>JAY</v>
      </c>
      <c r="F16" s="171" t="str">
        <f>IF('Statement of Marks'!G18="","",'Statement of Marks'!G18)</f>
        <v/>
      </c>
      <c r="G16" s="171" t="str">
        <f>IF('Statement of Marks'!H18="","",'Statement of Marks'!H18)</f>
        <v/>
      </c>
      <c r="H16" s="172" t="str">
        <f>IF('Statement of Marks'!HS18="","",'Statement of Marks'!HS18)</f>
        <v>BY GRACE PASS</v>
      </c>
      <c r="I16" s="172" t="str">
        <f>IF('Statement of Marks'!HV18="","",'Statement of Marks'!HV18)</f>
        <v>2nd</v>
      </c>
      <c r="J16" s="173">
        <f>IF('Statement of Marks'!HU18="","",'Statement of Marks'!HU18)</f>
        <v>59.833333333333336</v>
      </c>
      <c r="K16" s="181" t="str">
        <f>'Statement of Marks'!GN18</f>
        <v>I</v>
      </c>
      <c r="L16" s="181" t="str">
        <f>'Statement of Marks'!GQ18</f>
        <v>D</v>
      </c>
      <c r="M16" s="181" t="str">
        <f>'Statement of Marks'!GT18</f>
        <v>II</v>
      </c>
      <c r="N16" s="181" t="str">
        <f>'Statement of Marks'!HB18</f>
        <v>G</v>
      </c>
      <c r="O16" s="181" t="str">
        <f>'Statement of Marks'!HE18</f>
        <v>II</v>
      </c>
      <c r="P16" s="181" t="str">
        <f>'Statement of Marks'!HH18</f>
        <v>II</v>
      </c>
      <c r="Q16" s="181" t="str">
        <f>'Statement of Marks'!HK18</f>
        <v/>
      </c>
      <c r="R16" s="173" t="str">
        <f>IF(COUNTIF(K16:Q16,"F")&gt;0,"",CONCATENATE('Statement of Marks'!HO18,'Statement of Marks'!HQ18))</f>
        <v xml:space="preserve">            </v>
      </c>
      <c r="S16" s="174">
        <f t="shared" si="0"/>
        <v>0</v>
      </c>
      <c r="T16" s="5"/>
      <c r="U16" s="182" t="str">
        <f t="shared" si="1"/>
        <v/>
      </c>
      <c r="V16" s="182" t="str">
        <f t="shared" si="2"/>
        <v/>
      </c>
      <c r="W16" s="5"/>
      <c r="X16" s="182" t="str">
        <f t="shared" si="3"/>
        <v/>
      </c>
      <c r="Y16" s="182" t="str">
        <f t="shared" si="4"/>
        <v/>
      </c>
      <c r="Z16" s="5"/>
      <c r="AA16" s="182" t="str">
        <f t="shared" si="5"/>
        <v/>
      </c>
      <c r="AB16" s="183" t="str">
        <f t="shared" si="6"/>
        <v/>
      </c>
      <c r="AC16" s="5"/>
      <c r="AD16" s="182" t="str">
        <f t="shared" si="7"/>
        <v/>
      </c>
      <c r="AE16" s="183" t="str">
        <f t="shared" si="8"/>
        <v/>
      </c>
      <c r="AF16" s="5"/>
      <c r="AG16" s="182" t="str">
        <f t="shared" si="9"/>
        <v/>
      </c>
      <c r="AH16" s="183" t="str">
        <f t="shared" si="10"/>
        <v/>
      </c>
      <c r="AI16" s="5"/>
      <c r="AJ16" s="183" t="str">
        <f t="shared" si="11"/>
        <v/>
      </c>
      <c r="AK16" s="183" t="str">
        <f t="shared" si="12"/>
        <v/>
      </c>
      <c r="AL16" s="5"/>
      <c r="AM16" s="183" t="str">
        <f t="shared" si="13"/>
        <v/>
      </c>
      <c r="AN16" s="183" t="str">
        <f t="shared" si="14"/>
        <v/>
      </c>
      <c r="AO16" s="184">
        <f t="shared" si="15"/>
        <v>0</v>
      </c>
      <c r="AP16" s="184">
        <f t="shared" si="16"/>
        <v>0</v>
      </c>
      <c r="AQ16" s="608" t="str">
        <f t="shared" si="17"/>
        <v/>
      </c>
      <c r="AR16" s="185" t="str">
        <f>IF(COUNTIF(K16:Q16,"F")&gt;0,"",IF(AQ16="PASS",'Statement of Marks'!HZ18,""))</f>
        <v/>
      </c>
      <c r="AS16" s="185" t="str">
        <f>IF(AQ16="PASS",'Statement of Marks'!IA18,"")</f>
        <v/>
      </c>
    </row>
    <row r="17" spans="1:45">
      <c r="A17" s="169">
        <f>IF('Statement of Marks'!A19="","",'Statement of Marks'!A19)</f>
        <v>13</v>
      </c>
      <c r="B17" s="169">
        <f>IF('Statement of Marks'!B19="","",'Statement of Marks'!B19)</f>
        <v>913</v>
      </c>
      <c r="C17" s="169" t="str">
        <f>IF('Statement of Marks'!D19="","",'Statement of Marks'!D19)</f>
        <v/>
      </c>
      <c r="D17" s="170" t="str">
        <f>IF('Statement of Marks'!E19="","",'Statement of Marks'!E19)</f>
        <v/>
      </c>
      <c r="E17" s="171" t="str">
        <f>IF('Statement of Marks'!F19="","",'Statement of Marks'!F19)</f>
        <v>VIRU</v>
      </c>
      <c r="F17" s="171" t="str">
        <f>IF('Statement of Marks'!G19="","",'Statement of Marks'!G19)</f>
        <v/>
      </c>
      <c r="G17" s="171" t="str">
        <f>IF('Statement of Marks'!H19="","",'Statement of Marks'!H19)</f>
        <v/>
      </c>
      <c r="H17" s="172" t="str">
        <f>IF('Statement of Marks'!HS19="","",'Statement of Marks'!HS19)</f>
        <v>PASS</v>
      </c>
      <c r="I17" s="172" t="str">
        <f>IF('Statement of Marks'!HV19="","",'Statement of Marks'!HV19)</f>
        <v>1st</v>
      </c>
      <c r="J17" s="173">
        <f>IF('Statement of Marks'!HU19="","",'Statement of Marks'!HU19)</f>
        <v>60.083333333333336</v>
      </c>
      <c r="K17" s="181" t="str">
        <f>'Statement of Marks'!GN19</f>
        <v>I</v>
      </c>
      <c r="L17" s="181" t="str">
        <f>'Statement of Marks'!GQ19</f>
        <v>D</v>
      </c>
      <c r="M17" s="181" t="str">
        <f>'Statement of Marks'!GT19</f>
        <v>II</v>
      </c>
      <c r="N17" s="181" t="str">
        <f>'Statement of Marks'!HB19</f>
        <v>II</v>
      </c>
      <c r="O17" s="181" t="str">
        <f>'Statement of Marks'!HE19</f>
        <v>II</v>
      </c>
      <c r="P17" s="181" t="str">
        <f>'Statement of Marks'!HH19</f>
        <v>II</v>
      </c>
      <c r="Q17" s="181" t="str">
        <f>'Statement of Marks'!HK19</f>
        <v/>
      </c>
      <c r="R17" s="173" t="str">
        <f>IF(COUNTIF(K17:Q17,"F")&gt;0,"",CONCATENATE('Statement of Marks'!HO19,'Statement of Marks'!HQ19))</f>
        <v xml:space="preserve">            </v>
      </c>
      <c r="S17" s="174">
        <f t="shared" si="0"/>
        <v>0</v>
      </c>
      <c r="T17" s="5"/>
      <c r="U17" s="182" t="str">
        <f t="shared" si="1"/>
        <v/>
      </c>
      <c r="V17" s="182" t="str">
        <f t="shared" si="2"/>
        <v/>
      </c>
      <c r="W17" s="5"/>
      <c r="X17" s="182" t="str">
        <f t="shared" si="3"/>
        <v/>
      </c>
      <c r="Y17" s="182" t="str">
        <f t="shared" si="4"/>
        <v/>
      </c>
      <c r="Z17" s="5"/>
      <c r="AA17" s="182" t="str">
        <f t="shared" si="5"/>
        <v/>
      </c>
      <c r="AB17" s="183" t="str">
        <f t="shared" si="6"/>
        <v/>
      </c>
      <c r="AC17" s="5"/>
      <c r="AD17" s="182" t="str">
        <f t="shared" si="7"/>
        <v/>
      </c>
      <c r="AE17" s="183" t="str">
        <f t="shared" si="8"/>
        <v/>
      </c>
      <c r="AF17" s="5"/>
      <c r="AG17" s="182" t="str">
        <f t="shared" si="9"/>
        <v/>
      </c>
      <c r="AH17" s="183" t="str">
        <f t="shared" si="10"/>
        <v/>
      </c>
      <c r="AI17" s="5"/>
      <c r="AJ17" s="183" t="str">
        <f t="shared" si="11"/>
        <v/>
      </c>
      <c r="AK17" s="183" t="str">
        <f t="shared" si="12"/>
        <v/>
      </c>
      <c r="AL17" s="5"/>
      <c r="AM17" s="183" t="str">
        <f t="shared" si="13"/>
        <v/>
      </c>
      <c r="AN17" s="183" t="str">
        <f t="shared" si="14"/>
        <v/>
      </c>
      <c r="AO17" s="184">
        <f t="shared" si="15"/>
        <v>0</v>
      </c>
      <c r="AP17" s="184">
        <f t="shared" si="16"/>
        <v>0</v>
      </c>
      <c r="AQ17" s="608" t="str">
        <f t="shared" si="17"/>
        <v/>
      </c>
      <c r="AR17" s="185" t="str">
        <f>IF(COUNTIF(K17:Q17,"F")&gt;0,"",IF(AQ17="PASS",'Statement of Marks'!HZ19,""))</f>
        <v/>
      </c>
      <c r="AS17" s="185" t="str">
        <f>IF(AQ17="PASS",'Statement of Marks'!IA19,"")</f>
        <v/>
      </c>
    </row>
    <row r="18" spans="1:45">
      <c r="A18" s="169">
        <f>IF('Statement of Marks'!A20="","",'Statement of Marks'!A20)</f>
        <v>14</v>
      </c>
      <c r="B18" s="169">
        <f>IF('Statement of Marks'!B20="","",'Statement of Marks'!B20)</f>
        <v>914</v>
      </c>
      <c r="C18" s="169" t="str">
        <f>IF('Statement of Marks'!D20="","",'Statement of Marks'!D20)</f>
        <v/>
      </c>
      <c r="D18" s="170" t="str">
        <f>IF('Statement of Marks'!E20="","",'Statement of Marks'!E20)</f>
        <v/>
      </c>
      <c r="E18" s="171" t="str">
        <f>IF('Statement of Marks'!F20="","",'Statement of Marks'!F20)</f>
        <v>ANIL</v>
      </c>
      <c r="F18" s="171" t="str">
        <f>IF('Statement of Marks'!G20="","",'Statement of Marks'!G20)</f>
        <v/>
      </c>
      <c r="G18" s="171" t="str">
        <f>IF('Statement of Marks'!H20="","",'Statement of Marks'!H20)</f>
        <v/>
      </c>
      <c r="H18" s="172" t="str">
        <f>IF('Statement of Marks'!HS20="","",'Statement of Marks'!HS20)</f>
        <v>BY GRACE PASS</v>
      </c>
      <c r="I18" s="172" t="str">
        <f>IF('Statement of Marks'!HV20="","",'Statement of Marks'!HV20)</f>
        <v>2nd</v>
      </c>
      <c r="J18" s="173">
        <f>IF('Statement of Marks'!HU20="","",'Statement of Marks'!HU20)</f>
        <v>56.5</v>
      </c>
      <c r="K18" s="181" t="str">
        <f>'Statement of Marks'!GN20</f>
        <v>I</v>
      </c>
      <c r="L18" s="181" t="str">
        <f>'Statement of Marks'!GQ20</f>
        <v>D</v>
      </c>
      <c r="M18" s="181" t="str">
        <f>'Statement of Marks'!GT20</f>
        <v>II</v>
      </c>
      <c r="N18" s="181" t="str">
        <f>'Statement of Marks'!HB20</f>
        <v>G</v>
      </c>
      <c r="O18" s="181" t="str">
        <f>'Statement of Marks'!HE20</f>
        <v>G</v>
      </c>
      <c r="P18" s="181" t="str">
        <f>'Statement of Marks'!HH20</f>
        <v>II</v>
      </c>
      <c r="Q18" s="181" t="str">
        <f>'Statement of Marks'!HK20</f>
        <v/>
      </c>
      <c r="R18" s="173" t="str">
        <f>IF(COUNTIF(K18:Q18,"F")&gt;0,"",CONCATENATE('Statement of Marks'!HO20,'Statement of Marks'!HQ20))</f>
        <v xml:space="preserve">            </v>
      </c>
      <c r="S18" s="174">
        <f t="shared" si="0"/>
        <v>0</v>
      </c>
      <c r="T18" s="5"/>
      <c r="U18" s="182" t="str">
        <f t="shared" si="1"/>
        <v/>
      </c>
      <c r="V18" s="182" t="str">
        <f t="shared" si="2"/>
        <v/>
      </c>
      <c r="W18" s="5"/>
      <c r="X18" s="182" t="str">
        <f t="shared" si="3"/>
        <v/>
      </c>
      <c r="Y18" s="182" t="str">
        <f t="shared" si="4"/>
        <v/>
      </c>
      <c r="Z18" s="5"/>
      <c r="AA18" s="182" t="str">
        <f t="shared" si="5"/>
        <v/>
      </c>
      <c r="AB18" s="183" t="str">
        <f t="shared" si="6"/>
        <v/>
      </c>
      <c r="AC18" s="5"/>
      <c r="AD18" s="182" t="str">
        <f t="shared" si="7"/>
        <v/>
      </c>
      <c r="AE18" s="183" t="str">
        <f t="shared" si="8"/>
        <v/>
      </c>
      <c r="AF18" s="5"/>
      <c r="AG18" s="182" t="str">
        <f t="shared" si="9"/>
        <v/>
      </c>
      <c r="AH18" s="183" t="str">
        <f t="shared" si="10"/>
        <v/>
      </c>
      <c r="AI18" s="5"/>
      <c r="AJ18" s="183" t="str">
        <f t="shared" si="11"/>
        <v/>
      </c>
      <c r="AK18" s="183" t="str">
        <f t="shared" si="12"/>
        <v/>
      </c>
      <c r="AL18" s="5"/>
      <c r="AM18" s="183" t="str">
        <f t="shared" si="13"/>
        <v/>
      </c>
      <c r="AN18" s="183" t="str">
        <f t="shared" si="14"/>
        <v/>
      </c>
      <c r="AO18" s="184">
        <f t="shared" si="15"/>
        <v>0</v>
      </c>
      <c r="AP18" s="184">
        <f t="shared" si="16"/>
        <v>0</v>
      </c>
      <c r="AQ18" s="608" t="str">
        <f t="shared" si="17"/>
        <v/>
      </c>
      <c r="AR18" s="185" t="str">
        <f>IF(COUNTIF(K18:Q18,"F")&gt;0,"",IF(AQ18="PASS",'Statement of Marks'!HZ20,""))</f>
        <v/>
      </c>
      <c r="AS18" s="185" t="str">
        <f>IF(AQ18="PASS",'Statement of Marks'!IA20,"")</f>
        <v/>
      </c>
    </row>
    <row r="19" spans="1:45">
      <c r="A19" s="169">
        <f>IF('Statement of Marks'!A21="","",'Statement of Marks'!A21)</f>
        <v>15</v>
      </c>
      <c r="B19" s="169">
        <f>IF('Statement of Marks'!B21="","",'Statement of Marks'!B21)</f>
        <v>915</v>
      </c>
      <c r="C19" s="169" t="str">
        <f>IF('Statement of Marks'!D21="","",'Statement of Marks'!D21)</f>
        <v/>
      </c>
      <c r="D19" s="170" t="str">
        <f>IF('Statement of Marks'!E21="","",'Statement of Marks'!E21)</f>
        <v/>
      </c>
      <c r="E19" s="171" t="str">
        <f>IF('Statement of Marks'!F21="","",'Statement of Marks'!F21)</f>
        <v>RAHIM</v>
      </c>
      <c r="F19" s="171" t="str">
        <f>IF('Statement of Marks'!G21="","",'Statement of Marks'!G21)</f>
        <v/>
      </c>
      <c r="G19" s="171" t="str">
        <f>IF('Statement of Marks'!H21="","",'Statement of Marks'!H21)</f>
        <v/>
      </c>
      <c r="H19" s="172" t="str">
        <f>IF('Statement of Marks'!HS21="","",'Statement of Marks'!HS21)</f>
        <v>PASS</v>
      </c>
      <c r="I19" s="172" t="str">
        <f>IF('Statement of Marks'!HV21="","",'Statement of Marks'!HV21)</f>
        <v>2nd</v>
      </c>
      <c r="J19" s="173">
        <f>IF('Statement of Marks'!HU21="","",'Statement of Marks'!HU21)</f>
        <v>57.25</v>
      </c>
      <c r="K19" s="181" t="str">
        <f>'Statement of Marks'!GN21</f>
        <v>II</v>
      </c>
      <c r="L19" s="181" t="str">
        <f>'Statement of Marks'!GQ21</f>
        <v>D</v>
      </c>
      <c r="M19" s="181" t="str">
        <f>'Statement of Marks'!GT21</f>
        <v>II</v>
      </c>
      <c r="N19" s="181" t="str">
        <f>'Statement of Marks'!HB21</f>
        <v>III</v>
      </c>
      <c r="O19" s="181" t="str">
        <f>'Statement of Marks'!HE21</f>
        <v>II</v>
      </c>
      <c r="P19" s="181" t="str">
        <f>'Statement of Marks'!HH21</f>
        <v>II</v>
      </c>
      <c r="Q19" s="181" t="str">
        <f>'Statement of Marks'!HK21</f>
        <v/>
      </c>
      <c r="R19" s="173" t="str">
        <f>IF(COUNTIF(K19:Q19,"F")&gt;0,"",CONCATENATE('Statement of Marks'!HO21,'Statement of Marks'!HQ21))</f>
        <v xml:space="preserve">            </v>
      </c>
      <c r="S19" s="174">
        <f t="shared" si="0"/>
        <v>0</v>
      </c>
      <c r="T19" s="5"/>
      <c r="U19" s="182" t="str">
        <f t="shared" si="1"/>
        <v/>
      </c>
      <c r="V19" s="182" t="str">
        <f t="shared" si="2"/>
        <v/>
      </c>
      <c r="W19" s="5"/>
      <c r="X19" s="182" t="str">
        <f t="shared" si="3"/>
        <v/>
      </c>
      <c r="Y19" s="182" t="str">
        <f t="shared" si="4"/>
        <v/>
      </c>
      <c r="Z19" s="5"/>
      <c r="AA19" s="182" t="str">
        <f t="shared" si="5"/>
        <v/>
      </c>
      <c r="AB19" s="183" t="str">
        <f t="shared" si="6"/>
        <v/>
      </c>
      <c r="AC19" s="5"/>
      <c r="AD19" s="182" t="str">
        <f t="shared" si="7"/>
        <v/>
      </c>
      <c r="AE19" s="183" t="str">
        <f t="shared" si="8"/>
        <v/>
      </c>
      <c r="AF19" s="5"/>
      <c r="AG19" s="182" t="str">
        <f t="shared" si="9"/>
        <v/>
      </c>
      <c r="AH19" s="183" t="str">
        <f t="shared" si="10"/>
        <v/>
      </c>
      <c r="AI19" s="5"/>
      <c r="AJ19" s="183" t="str">
        <f t="shared" si="11"/>
        <v/>
      </c>
      <c r="AK19" s="183" t="str">
        <f t="shared" si="12"/>
        <v/>
      </c>
      <c r="AL19" s="5"/>
      <c r="AM19" s="183" t="str">
        <f t="shared" si="13"/>
        <v/>
      </c>
      <c r="AN19" s="183" t="str">
        <f t="shared" si="14"/>
        <v/>
      </c>
      <c r="AO19" s="184">
        <f t="shared" si="15"/>
        <v>0</v>
      </c>
      <c r="AP19" s="184">
        <f t="shared" si="16"/>
        <v>0</v>
      </c>
      <c r="AQ19" s="608" t="str">
        <f t="shared" si="17"/>
        <v/>
      </c>
      <c r="AR19" s="185" t="str">
        <f>IF(COUNTIF(K19:Q19,"F")&gt;0,"",IF(AQ19="PASS",'Statement of Marks'!HZ21,""))</f>
        <v/>
      </c>
      <c r="AS19" s="185" t="str">
        <f>IF(AQ19="PASS",'Statement of Marks'!IA21,"")</f>
        <v/>
      </c>
    </row>
    <row r="20" spans="1:45">
      <c r="A20" s="169">
        <f>IF('Statement of Marks'!A22="","",'Statement of Marks'!A22)</f>
        <v>16</v>
      </c>
      <c r="B20" s="169">
        <f>IF('Statement of Marks'!B22="","",'Statement of Marks'!B22)</f>
        <v>916</v>
      </c>
      <c r="C20" s="169" t="str">
        <f>IF('Statement of Marks'!D22="","",'Statement of Marks'!D22)</f>
        <v/>
      </c>
      <c r="D20" s="170" t="str">
        <f>IF('Statement of Marks'!E22="","",'Statement of Marks'!E22)</f>
        <v/>
      </c>
      <c r="E20" s="171" t="str">
        <f>IF('Statement of Marks'!F22="","",'Statement of Marks'!F22)</f>
        <v>KARIM</v>
      </c>
      <c r="F20" s="171" t="str">
        <f>IF('Statement of Marks'!G22="","",'Statement of Marks'!G22)</f>
        <v/>
      </c>
      <c r="G20" s="171" t="str">
        <f>IF('Statement of Marks'!H22="","",'Statement of Marks'!H22)</f>
        <v/>
      </c>
      <c r="H20" s="172" t="str">
        <f>IF('Statement of Marks'!HS22="","",'Statement of Marks'!HS22)</f>
        <v>PASS</v>
      </c>
      <c r="I20" s="172" t="str">
        <f>IF('Statement of Marks'!HV22="","",'Statement of Marks'!HV22)</f>
        <v>1st</v>
      </c>
      <c r="J20" s="173">
        <f>IF('Statement of Marks'!HU22="","",'Statement of Marks'!HU22)</f>
        <v>64</v>
      </c>
      <c r="K20" s="181" t="str">
        <f>'Statement of Marks'!GN22</f>
        <v>I</v>
      </c>
      <c r="L20" s="181" t="str">
        <f>'Statement of Marks'!GQ22</f>
        <v>D</v>
      </c>
      <c r="M20" s="181" t="str">
        <f>'Statement of Marks'!GT22</f>
        <v>II</v>
      </c>
      <c r="N20" s="181" t="str">
        <f>'Statement of Marks'!HB22</f>
        <v>II</v>
      </c>
      <c r="O20" s="181" t="str">
        <f>'Statement of Marks'!HE22</f>
        <v>II</v>
      </c>
      <c r="P20" s="181" t="str">
        <f>'Statement of Marks'!HH22</f>
        <v>II</v>
      </c>
      <c r="Q20" s="181" t="str">
        <f>'Statement of Marks'!HK22</f>
        <v/>
      </c>
      <c r="R20" s="173" t="str">
        <f>IF(COUNTIF(K20:Q20,"F")&gt;0,"",CONCATENATE('Statement of Marks'!HO22,'Statement of Marks'!HQ22))</f>
        <v xml:space="preserve">            </v>
      </c>
      <c r="S20" s="174">
        <f t="shared" si="0"/>
        <v>0</v>
      </c>
      <c r="T20" s="5"/>
      <c r="U20" s="182" t="str">
        <f t="shared" si="1"/>
        <v/>
      </c>
      <c r="V20" s="182" t="str">
        <f t="shared" si="2"/>
        <v/>
      </c>
      <c r="W20" s="5"/>
      <c r="X20" s="182" t="str">
        <f t="shared" si="3"/>
        <v/>
      </c>
      <c r="Y20" s="182" t="str">
        <f t="shared" si="4"/>
        <v/>
      </c>
      <c r="Z20" s="5"/>
      <c r="AA20" s="182" t="str">
        <f t="shared" si="5"/>
        <v/>
      </c>
      <c r="AB20" s="183" t="str">
        <f t="shared" si="6"/>
        <v/>
      </c>
      <c r="AC20" s="5"/>
      <c r="AD20" s="182" t="str">
        <f t="shared" si="7"/>
        <v/>
      </c>
      <c r="AE20" s="183" t="str">
        <f t="shared" si="8"/>
        <v/>
      </c>
      <c r="AF20" s="5"/>
      <c r="AG20" s="182" t="str">
        <f t="shared" si="9"/>
        <v/>
      </c>
      <c r="AH20" s="183" t="str">
        <f t="shared" si="10"/>
        <v/>
      </c>
      <c r="AI20" s="5"/>
      <c r="AJ20" s="183" t="str">
        <f t="shared" si="11"/>
        <v/>
      </c>
      <c r="AK20" s="183" t="str">
        <f t="shared" si="12"/>
        <v/>
      </c>
      <c r="AL20" s="5"/>
      <c r="AM20" s="183" t="str">
        <f t="shared" si="13"/>
        <v/>
      </c>
      <c r="AN20" s="183" t="str">
        <f t="shared" si="14"/>
        <v/>
      </c>
      <c r="AO20" s="184">
        <f t="shared" si="15"/>
        <v>0</v>
      </c>
      <c r="AP20" s="184">
        <f t="shared" si="16"/>
        <v>0</v>
      </c>
      <c r="AQ20" s="608" t="str">
        <f t="shared" si="17"/>
        <v/>
      </c>
      <c r="AR20" s="185" t="str">
        <f>IF(COUNTIF(K20:Q20,"F")&gt;0,"",IF(AQ20="PASS",'Statement of Marks'!HZ22,""))</f>
        <v/>
      </c>
      <c r="AS20" s="185" t="str">
        <f>IF(AQ20="PASS",'Statement of Marks'!IA22,"")</f>
        <v/>
      </c>
    </row>
    <row r="21" spans="1:45">
      <c r="A21" s="169">
        <f>IF('Statement of Marks'!A23="","",'Statement of Marks'!A23)</f>
        <v>17</v>
      </c>
      <c r="B21" s="169">
        <f>IF('Statement of Marks'!B23="","",'Statement of Marks'!B23)</f>
        <v>917</v>
      </c>
      <c r="C21" s="169" t="str">
        <f>IF('Statement of Marks'!D23="","",'Statement of Marks'!D23)</f>
        <v/>
      </c>
      <c r="D21" s="170" t="str">
        <f>IF('Statement of Marks'!E23="","",'Statement of Marks'!E23)</f>
        <v/>
      </c>
      <c r="E21" s="171" t="str">
        <f>IF('Statement of Marks'!F23="","",'Statement of Marks'!F23)</f>
        <v>FATIMA</v>
      </c>
      <c r="F21" s="171" t="str">
        <f>IF('Statement of Marks'!G23="","",'Statement of Marks'!G23)</f>
        <v/>
      </c>
      <c r="G21" s="171" t="str">
        <f>IF('Statement of Marks'!H23="","",'Statement of Marks'!H23)</f>
        <v/>
      </c>
      <c r="H21" s="172" t="str">
        <f>IF('Statement of Marks'!HS23="","",'Statement of Marks'!HS23)</f>
        <v>PASS</v>
      </c>
      <c r="I21" s="172" t="str">
        <f>IF('Statement of Marks'!HV23="","",'Statement of Marks'!HV23)</f>
        <v>1st</v>
      </c>
      <c r="J21" s="173">
        <f>IF('Statement of Marks'!HU23="","",'Statement of Marks'!HU23)</f>
        <v>64.083333333333329</v>
      </c>
      <c r="K21" s="181" t="str">
        <f>'Statement of Marks'!GN23</f>
        <v>I</v>
      </c>
      <c r="L21" s="181" t="str">
        <f>'Statement of Marks'!GQ23</f>
        <v>D</v>
      </c>
      <c r="M21" s="181" t="str">
        <f>'Statement of Marks'!GT23</f>
        <v>II</v>
      </c>
      <c r="N21" s="181" t="str">
        <f>'Statement of Marks'!HB23</f>
        <v>II</v>
      </c>
      <c r="O21" s="181" t="str">
        <f>'Statement of Marks'!HE23</f>
        <v>II</v>
      </c>
      <c r="P21" s="181" t="str">
        <f>'Statement of Marks'!HH23</f>
        <v>II</v>
      </c>
      <c r="Q21" s="181" t="str">
        <f>'Statement of Marks'!HK23</f>
        <v/>
      </c>
      <c r="R21" s="173" t="str">
        <f>IF(COUNTIF(K21:Q21,"F")&gt;0,"",CONCATENATE('Statement of Marks'!HO23,'Statement of Marks'!HQ23))</f>
        <v xml:space="preserve">            </v>
      </c>
      <c r="S21" s="174">
        <f t="shared" si="0"/>
        <v>0</v>
      </c>
      <c r="T21" s="5"/>
      <c r="U21" s="182" t="str">
        <f t="shared" si="1"/>
        <v/>
      </c>
      <c r="V21" s="182" t="str">
        <f t="shared" si="2"/>
        <v/>
      </c>
      <c r="W21" s="5"/>
      <c r="X21" s="182" t="str">
        <f t="shared" si="3"/>
        <v/>
      </c>
      <c r="Y21" s="182" t="str">
        <f t="shared" si="4"/>
        <v/>
      </c>
      <c r="Z21" s="5"/>
      <c r="AA21" s="182" t="str">
        <f t="shared" si="5"/>
        <v/>
      </c>
      <c r="AB21" s="183" t="str">
        <f t="shared" si="6"/>
        <v/>
      </c>
      <c r="AC21" s="5"/>
      <c r="AD21" s="182" t="str">
        <f t="shared" si="7"/>
        <v/>
      </c>
      <c r="AE21" s="183" t="str">
        <f t="shared" si="8"/>
        <v/>
      </c>
      <c r="AF21" s="5"/>
      <c r="AG21" s="182" t="str">
        <f t="shared" si="9"/>
        <v/>
      </c>
      <c r="AH21" s="183" t="str">
        <f t="shared" si="10"/>
        <v/>
      </c>
      <c r="AI21" s="5"/>
      <c r="AJ21" s="183" t="str">
        <f t="shared" si="11"/>
        <v/>
      </c>
      <c r="AK21" s="183" t="str">
        <f t="shared" si="12"/>
        <v/>
      </c>
      <c r="AL21" s="5"/>
      <c r="AM21" s="183" t="str">
        <f t="shared" si="13"/>
        <v/>
      </c>
      <c r="AN21" s="183" t="str">
        <f t="shared" si="14"/>
        <v/>
      </c>
      <c r="AO21" s="184">
        <f t="shared" si="15"/>
        <v>0</v>
      </c>
      <c r="AP21" s="184">
        <f t="shared" si="16"/>
        <v>0</v>
      </c>
      <c r="AQ21" s="608" t="str">
        <f t="shared" si="17"/>
        <v/>
      </c>
      <c r="AR21" s="185" t="str">
        <f>IF(COUNTIF(K21:Q21,"F")&gt;0,"",IF(AQ21="PASS",'Statement of Marks'!HZ23,""))</f>
        <v/>
      </c>
      <c r="AS21" s="185" t="str">
        <f>IF(AQ21="PASS",'Statement of Marks'!IA23,"")</f>
        <v/>
      </c>
    </row>
    <row r="22" spans="1:45">
      <c r="A22" s="169">
        <f>IF('Statement of Marks'!A24="","",'Statement of Marks'!A24)</f>
        <v>18</v>
      </c>
      <c r="B22" s="169">
        <f>IF('Statement of Marks'!B24="","",'Statement of Marks'!B24)</f>
        <v>918</v>
      </c>
      <c r="C22" s="169" t="str">
        <f>IF('Statement of Marks'!D24="","",'Statement of Marks'!D24)</f>
        <v/>
      </c>
      <c r="D22" s="170" t="str">
        <f>IF('Statement of Marks'!E24="","",'Statement of Marks'!E24)</f>
        <v/>
      </c>
      <c r="E22" s="171" t="str">
        <f>IF('Statement of Marks'!F24="","",'Statement of Marks'!F24)</f>
        <v>LAXMI</v>
      </c>
      <c r="F22" s="171" t="str">
        <f>IF('Statement of Marks'!G24="","",'Statement of Marks'!G24)</f>
        <v/>
      </c>
      <c r="G22" s="171" t="str">
        <f>IF('Statement of Marks'!H24="","",'Statement of Marks'!H24)</f>
        <v/>
      </c>
      <c r="H22" s="172" t="str">
        <f>IF('Statement of Marks'!HS24="","",'Statement of Marks'!HS24)</f>
        <v>PASS</v>
      </c>
      <c r="I22" s="172" t="str">
        <f>IF('Statement of Marks'!HV24="","",'Statement of Marks'!HV24)</f>
        <v>1st</v>
      </c>
      <c r="J22" s="173">
        <f>IF('Statement of Marks'!HU24="","",'Statement of Marks'!HU24)</f>
        <v>64</v>
      </c>
      <c r="K22" s="181" t="str">
        <f>'Statement of Marks'!GN24</f>
        <v>I</v>
      </c>
      <c r="L22" s="181" t="str">
        <f>'Statement of Marks'!GQ24</f>
        <v>D</v>
      </c>
      <c r="M22" s="181" t="str">
        <f>'Statement of Marks'!GT24</f>
        <v>II</v>
      </c>
      <c r="N22" s="181" t="str">
        <f>'Statement of Marks'!HB24</f>
        <v>II</v>
      </c>
      <c r="O22" s="181" t="str">
        <f>'Statement of Marks'!HE24</f>
        <v>II</v>
      </c>
      <c r="P22" s="181" t="str">
        <f>'Statement of Marks'!HH24</f>
        <v>II</v>
      </c>
      <c r="Q22" s="181" t="str">
        <f>'Statement of Marks'!HK24</f>
        <v/>
      </c>
      <c r="R22" s="173" t="str">
        <f>IF(COUNTIF(K22:Q22,"F")&gt;0,"",CONCATENATE('Statement of Marks'!HO24,'Statement of Marks'!HQ24))</f>
        <v xml:space="preserve">            </v>
      </c>
      <c r="S22" s="174">
        <f t="shared" si="0"/>
        <v>0</v>
      </c>
      <c r="T22" s="5"/>
      <c r="U22" s="182" t="str">
        <f t="shared" si="1"/>
        <v/>
      </c>
      <c r="V22" s="182" t="str">
        <f t="shared" si="2"/>
        <v/>
      </c>
      <c r="W22" s="5"/>
      <c r="X22" s="182" t="str">
        <f t="shared" si="3"/>
        <v/>
      </c>
      <c r="Y22" s="182" t="str">
        <f t="shared" si="4"/>
        <v/>
      </c>
      <c r="Z22" s="5"/>
      <c r="AA22" s="182" t="str">
        <f t="shared" si="5"/>
        <v/>
      </c>
      <c r="AB22" s="183" t="str">
        <f t="shared" si="6"/>
        <v/>
      </c>
      <c r="AC22" s="5"/>
      <c r="AD22" s="182" t="str">
        <f t="shared" si="7"/>
        <v/>
      </c>
      <c r="AE22" s="183" t="str">
        <f t="shared" si="8"/>
        <v/>
      </c>
      <c r="AF22" s="5"/>
      <c r="AG22" s="182" t="str">
        <f t="shared" si="9"/>
        <v/>
      </c>
      <c r="AH22" s="183" t="str">
        <f t="shared" si="10"/>
        <v/>
      </c>
      <c r="AI22" s="5"/>
      <c r="AJ22" s="183" t="str">
        <f t="shared" si="11"/>
        <v/>
      </c>
      <c r="AK22" s="183" t="str">
        <f t="shared" si="12"/>
        <v/>
      </c>
      <c r="AL22" s="5"/>
      <c r="AM22" s="183" t="str">
        <f t="shared" si="13"/>
        <v/>
      </c>
      <c r="AN22" s="183" t="str">
        <f t="shared" si="14"/>
        <v/>
      </c>
      <c r="AO22" s="184">
        <f t="shared" si="15"/>
        <v>0</v>
      </c>
      <c r="AP22" s="184">
        <f t="shared" si="16"/>
        <v>0</v>
      </c>
      <c r="AQ22" s="608" t="str">
        <f t="shared" si="17"/>
        <v/>
      </c>
      <c r="AR22" s="185" t="str">
        <f>IF(COUNTIF(K22:Q22,"F")&gt;0,"",IF(AQ22="PASS",'Statement of Marks'!HZ24,""))</f>
        <v/>
      </c>
      <c r="AS22" s="185" t="str">
        <f>IF(AQ22="PASS",'Statement of Marks'!IA24,"")</f>
        <v/>
      </c>
    </row>
    <row r="23" spans="1:45" ht="15.75" customHeight="1">
      <c r="A23" s="169">
        <f>IF('Statement of Marks'!A25="","",'Statement of Marks'!A25)</f>
        <v>19</v>
      </c>
      <c r="B23" s="169">
        <f>IF('Statement of Marks'!B25="","",'Statement of Marks'!B25)</f>
        <v>919</v>
      </c>
      <c r="C23" s="169" t="str">
        <f>IF('Statement of Marks'!D25="","",'Statement of Marks'!D25)</f>
        <v/>
      </c>
      <c r="D23" s="170" t="str">
        <f>IF('Statement of Marks'!E25="","",'Statement of Marks'!E25)</f>
        <v/>
      </c>
      <c r="E23" s="171" t="str">
        <f>IF('Statement of Marks'!F25="","",'Statement of Marks'!F25)</f>
        <v>RAZA</v>
      </c>
      <c r="F23" s="171" t="str">
        <f>IF('Statement of Marks'!G25="","",'Statement of Marks'!G25)</f>
        <v/>
      </c>
      <c r="G23" s="171" t="str">
        <f>IF('Statement of Marks'!H25="","",'Statement of Marks'!H25)</f>
        <v/>
      </c>
      <c r="H23" s="172" t="str">
        <f>IF('Statement of Marks'!HS25="","",'Statement of Marks'!HS25)</f>
        <v>PASS</v>
      </c>
      <c r="I23" s="172" t="str">
        <f>IF('Statement of Marks'!HV25="","",'Statement of Marks'!HV25)</f>
        <v>1st</v>
      </c>
      <c r="J23" s="173">
        <f>IF('Statement of Marks'!HU25="","",'Statement of Marks'!HU25)</f>
        <v>64</v>
      </c>
      <c r="K23" s="181" t="str">
        <f>'Statement of Marks'!GN25</f>
        <v>I</v>
      </c>
      <c r="L23" s="181" t="str">
        <f>'Statement of Marks'!GQ25</f>
        <v>D</v>
      </c>
      <c r="M23" s="181" t="str">
        <f>'Statement of Marks'!GT25</f>
        <v>II</v>
      </c>
      <c r="N23" s="181" t="str">
        <f>'Statement of Marks'!HB25</f>
        <v>II</v>
      </c>
      <c r="O23" s="181" t="str">
        <f>'Statement of Marks'!HE25</f>
        <v>II</v>
      </c>
      <c r="P23" s="181" t="str">
        <f>'Statement of Marks'!HH25</f>
        <v>II</v>
      </c>
      <c r="Q23" s="181" t="str">
        <f>'Statement of Marks'!HK25</f>
        <v/>
      </c>
      <c r="R23" s="173" t="str">
        <f>IF(COUNTIF(K23:Q23,"F")&gt;0,"",CONCATENATE('Statement of Marks'!HO25,'Statement of Marks'!HQ25))</f>
        <v xml:space="preserve">            </v>
      </c>
      <c r="S23" s="174">
        <f t="shared" si="0"/>
        <v>0</v>
      </c>
      <c r="T23" s="5"/>
      <c r="U23" s="182" t="str">
        <f t="shared" si="1"/>
        <v/>
      </c>
      <c r="V23" s="182" t="str">
        <f t="shared" si="2"/>
        <v/>
      </c>
      <c r="W23" s="5"/>
      <c r="X23" s="182" t="str">
        <f t="shared" si="3"/>
        <v/>
      </c>
      <c r="Y23" s="182" t="str">
        <f t="shared" si="4"/>
        <v/>
      </c>
      <c r="Z23" s="5"/>
      <c r="AA23" s="182" t="str">
        <f t="shared" si="5"/>
        <v/>
      </c>
      <c r="AB23" s="183" t="str">
        <f t="shared" si="6"/>
        <v/>
      </c>
      <c r="AC23" s="5"/>
      <c r="AD23" s="182" t="str">
        <f t="shared" si="7"/>
        <v/>
      </c>
      <c r="AE23" s="183" t="str">
        <f t="shared" si="8"/>
        <v/>
      </c>
      <c r="AF23" s="5"/>
      <c r="AG23" s="182" t="str">
        <f t="shared" si="9"/>
        <v/>
      </c>
      <c r="AH23" s="183" t="str">
        <f t="shared" si="10"/>
        <v/>
      </c>
      <c r="AI23" s="5"/>
      <c r="AJ23" s="183" t="str">
        <f t="shared" si="11"/>
        <v/>
      </c>
      <c r="AK23" s="183" t="str">
        <f t="shared" si="12"/>
        <v/>
      </c>
      <c r="AL23" s="5"/>
      <c r="AM23" s="183" t="str">
        <f t="shared" si="13"/>
        <v/>
      </c>
      <c r="AN23" s="183" t="str">
        <f t="shared" si="14"/>
        <v/>
      </c>
      <c r="AO23" s="184">
        <f t="shared" si="15"/>
        <v>0</v>
      </c>
      <c r="AP23" s="184">
        <f t="shared" si="16"/>
        <v>0</v>
      </c>
      <c r="AQ23" s="608" t="str">
        <f t="shared" si="17"/>
        <v/>
      </c>
      <c r="AR23" s="185" t="str">
        <f>IF(COUNTIF(K23:Q23,"F")&gt;0,"",IF(AQ23="PASS",'Statement of Marks'!HZ25,""))</f>
        <v/>
      </c>
      <c r="AS23" s="185" t="str">
        <f>IF(AQ23="PASS",'Statement of Marks'!IA25,"")</f>
        <v/>
      </c>
    </row>
    <row r="24" spans="1:45">
      <c r="A24" s="169">
        <f>IF('Statement of Marks'!A26="","",'Statement of Marks'!A26)</f>
        <v>20</v>
      </c>
      <c r="B24" s="169">
        <f>IF('Statement of Marks'!B26="","",'Statement of Marks'!B26)</f>
        <v>920</v>
      </c>
      <c r="C24" s="169" t="str">
        <f>IF('Statement of Marks'!D26="","",'Statement of Marks'!D26)</f>
        <v/>
      </c>
      <c r="D24" s="170" t="str">
        <f>IF('Statement of Marks'!E26="","",'Statement of Marks'!E26)</f>
        <v/>
      </c>
      <c r="E24" s="171" t="str">
        <f>IF('Statement of Marks'!F26="","",'Statement of Marks'!F26)</f>
        <v>ROZA</v>
      </c>
      <c r="F24" s="171" t="str">
        <f>IF('Statement of Marks'!G26="","",'Statement of Marks'!G26)</f>
        <v/>
      </c>
      <c r="G24" s="171" t="str">
        <f>IF('Statement of Marks'!H26="","",'Statement of Marks'!H26)</f>
        <v/>
      </c>
      <c r="H24" s="172" t="str">
        <f>IF('Statement of Marks'!HS26="","",'Statement of Marks'!HS26)</f>
        <v>PASS</v>
      </c>
      <c r="I24" s="172" t="str">
        <f>IF('Statement of Marks'!HV26="","",'Statement of Marks'!HV26)</f>
        <v>1st</v>
      </c>
      <c r="J24" s="173">
        <f>IF('Statement of Marks'!HU26="","",'Statement of Marks'!HU26)</f>
        <v>64</v>
      </c>
      <c r="K24" s="181" t="str">
        <f>'Statement of Marks'!GN26</f>
        <v>I</v>
      </c>
      <c r="L24" s="181" t="str">
        <f>'Statement of Marks'!GQ26</f>
        <v>D</v>
      </c>
      <c r="M24" s="181" t="str">
        <f>'Statement of Marks'!GT26</f>
        <v>II</v>
      </c>
      <c r="N24" s="181" t="str">
        <f>'Statement of Marks'!HB26</f>
        <v>II</v>
      </c>
      <c r="O24" s="181" t="str">
        <f>'Statement of Marks'!HE26</f>
        <v>II</v>
      </c>
      <c r="P24" s="181" t="str">
        <f>'Statement of Marks'!HH26</f>
        <v>II</v>
      </c>
      <c r="Q24" s="181" t="str">
        <f>'Statement of Marks'!HK26</f>
        <v/>
      </c>
      <c r="R24" s="173" t="str">
        <f>IF(COUNTIF(K24:Q24,"F")&gt;0,"",CONCATENATE('Statement of Marks'!HO26,'Statement of Marks'!HQ26))</f>
        <v xml:space="preserve">            </v>
      </c>
      <c r="S24" s="174">
        <f t="shared" si="0"/>
        <v>0</v>
      </c>
      <c r="T24" s="5"/>
      <c r="U24" s="182" t="str">
        <f t="shared" si="1"/>
        <v/>
      </c>
      <c r="V24" s="182" t="str">
        <f t="shared" si="2"/>
        <v/>
      </c>
      <c r="W24" s="5"/>
      <c r="X24" s="182" t="str">
        <f t="shared" si="3"/>
        <v/>
      </c>
      <c r="Y24" s="182" t="str">
        <f t="shared" si="4"/>
        <v/>
      </c>
      <c r="Z24" s="5"/>
      <c r="AA24" s="182" t="str">
        <f t="shared" si="5"/>
        <v/>
      </c>
      <c r="AB24" s="183" t="str">
        <f t="shared" si="6"/>
        <v/>
      </c>
      <c r="AC24" s="5"/>
      <c r="AD24" s="182" t="str">
        <f t="shared" si="7"/>
        <v/>
      </c>
      <c r="AE24" s="183" t="str">
        <f t="shared" si="8"/>
        <v/>
      </c>
      <c r="AF24" s="5"/>
      <c r="AG24" s="182" t="str">
        <f t="shared" si="9"/>
        <v/>
      </c>
      <c r="AH24" s="183" t="str">
        <f t="shared" si="10"/>
        <v/>
      </c>
      <c r="AI24" s="5"/>
      <c r="AJ24" s="183" t="str">
        <f t="shared" si="11"/>
        <v/>
      </c>
      <c r="AK24" s="183" t="str">
        <f t="shared" si="12"/>
        <v/>
      </c>
      <c r="AL24" s="5"/>
      <c r="AM24" s="183" t="str">
        <f t="shared" si="13"/>
        <v/>
      </c>
      <c r="AN24" s="183" t="str">
        <f t="shared" si="14"/>
        <v/>
      </c>
      <c r="AO24" s="184">
        <f t="shared" si="15"/>
        <v>0</v>
      </c>
      <c r="AP24" s="184">
        <f t="shared" si="16"/>
        <v>0</v>
      </c>
      <c r="AQ24" s="608" t="str">
        <f t="shared" si="17"/>
        <v/>
      </c>
      <c r="AR24" s="185" t="str">
        <f>IF(COUNTIF(K24:Q24,"F")&gt;0,"",IF(AQ24="PASS",'Statement of Marks'!HZ26,""))</f>
        <v/>
      </c>
      <c r="AS24" s="185" t="str">
        <f>IF(AQ24="PASS",'Statement of Marks'!IA26,"")</f>
        <v/>
      </c>
    </row>
    <row r="25" spans="1:45">
      <c r="A25" s="169">
        <f>IF('Statement of Marks'!A27="","",'Statement of Marks'!A27)</f>
        <v>21</v>
      </c>
      <c r="B25" s="169">
        <f>IF('Statement of Marks'!B27="","",'Statement of Marks'!B27)</f>
        <v>921</v>
      </c>
      <c r="C25" s="169" t="str">
        <f>IF('Statement of Marks'!D27="","",'Statement of Marks'!D27)</f>
        <v/>
      </c>
      <c r="D25" s="170" t="str">
        <f>IF('Statement of Marks'!E27="","",'Statement of Marks'!E27)</f>
        <v/>
      </c>
      <c r="E25" s="171" t="str">
        <f>IF('Statement of Marks'!F27="","",'Statement of Marks'!F27)</f>
        <v>VILIAM</v>
      </c>
      <c r="F25" s="171" t="str">
        <f>IF('Statement of Marks'!G27="","",'Statement of Marks'!G27)</f>
        <v/>
      </c>
      <c r="G25" s="171" t="str">
        <f>IF('Statement of Marks'!H27="","",'Statement of Marks'!H27)</f>
        <v/>
      </c>
      <c r="H25" s="172" t="str">
        <f>IF('Statement of Marks'!HS27="","",'Statement of Marks'!HS27)</f>
        <v>PASS</v>
      </c>
      <c r="I25" s="172" t="str">
        <f>IF('Statement of Marks'!HV27="","",'Statement of Marks'!HV27)</f>
        <v>1st</v>
      </c>
      <c r="J25" s="173">
        <f>IF('Statement of Marks'!HU27="","",'Statement of Marks'!HU27)</f>
        <v>64</v>
      </c>
      <c r="K25" s="181" t="str">
        <f>'Statement of Marks'!GN27</f>
        <v>I</v>
      </c>
      <c r="L25" s="181" t="str">
        <f>'Statement of Marks'!GQ27</f>
        <v>D</v>
      </c>
      <c r="M25" s="181" t="str">
        <f>'Statement of Marks'!GT27</f>
        <v>II</v>
      </c>
      <c r="N25" s="181" t="str">
        <f>'Statement of Marks'!HB27</f>
        <v>II</v>
      </c>
      <c r="O25" s="181" t="str">
        <f>'Statement of Marks'!HE27</f>
        <v>II</v>
      </c>
      <c r="P25" s="181" t="str">
        <f>'Statement of Marks'!HH27</f>
        <v>II</v>
      </c>
      <c r="Q25" s="181" t="str">
        <f>'Statement of Marks'!HK27</f>
        <v/>
      </c>
      <c r="R25" s="173" t="str">
        <f>IF(COUNTIF(K25:Q25,"F")&gt;0,"",CONCATENATE('Statement of Marks'!HO27,'Statement of Marks'!HQ27))</f>
        <v xml:space="preserve">            </v>
      </c>
      <c r="S25" s="174">
        <f t="shared" si="0"/>
        <v>0</v>
      </c>
      <c r="T25" s="5"/>
      <c r="U25" s="182" t="str">
        <f t="shared" si="1"/>
        <v/>
      </c>
      <c r="V25" s="182" t="str">
        <f t="shared" si="2"/>
        <v/>
      </c>
      <c r="W25" s="5"/>
      <c r="X25" s="182" t="str">
        <f t="shared" si="3"/>
        <v/>
      </c>
      <c r="Y25" s="182" t="str">
        <f t="shared" si="4"/>
        <v/>
      </c>
      <c r="Z25" s="5"/>
      <c r="AA25" s="182" t="str">
        <f t="shared" si="5"/>
        <v/>
      </c>
      <c r="AB25" s="183" t="str">
        <f t="shared" si="6"/>
        <v/>
      </c>
      <c r="AC25" s="5"/>
      <c r="AD25" s="182" t="str">
        <f t="shared" si="7"/>
        <v/>
      </c>
      <c r="AE25" s="183" t="str">
        <f t="shared" si="8"/>
        <v/>
      </c>
      <c r="AF25" s="5"/>
      <c r="AG25" s="182" t="str">
        <f t="shared" si="9"/>
        <v/>
      </c>
      <c r="AH25" s="183" t="str">
        <f t="shared" si="10"/>
        <v/>
      </c>
      <c r="AI25" s="5"/>
      <c r="AJ25" s="183" t="str">
        <f t="shared" si="11"/>
        <v/>
      </c>
      <c r="AK25" s="183" t="str">
        <f t="shared" si="12"/>
        <v/>
      </c>
      <c r="AL25" s="5"/>
      <c r="AM25" s="183" t="str">
        <f t="shared" si="13"/>
        <v/>
      </c>
      <c r="AN25" s="183" t="str">
        <f t="shared" si="14"/>
        <v/>
      </c>
      <c r="AO25" s="184">
        <f t="shared" si="15"/>
        <v>0</v>
      </c>
      <c r="AP25" s="184">
        <f t="shared" si="16"/>
        <v>0</v>
      </c>
      <c r="AQ25" s="608" t="str">
        <f t="shared" si="17"/>
        <v/>
      </c>
      <c r="AR25" s="185" t="str">
        <f>IF(COUNTIF(K25:Q25,"F")&gt;0,"",IF(AQ25="PASS",'Statement of Marks'!HZ27,""))</f>
        <v/>
      </c>
      <c r="AS25" s="185" t="str">
        <f>IF(AQ25="PASS",'Statement of Marks'!IA27,"")</f>
        <v/>
      </c>
    </row>
    <row r="26" spans="1:45">
      <c r="A26" s="169">
        <f>IF('Statement of Marks'!A28="","",'Statement of Marks'!A28)</f>
        <v>22</v>
      </c>
      <c r="B26" s="169">
        <f>IF('Statement of Marks'!B28="","",'Statement of Marks'!B28)</f>
        <v>922</v>
      </c>
      <c r="C26" s="169" t="str">
        <f>IF('Statement of Marks'!D28="","",'Statement of Marks'!D28)</f>
        <v/>
      </c>
      <c r="D26" s="170" t="str">
        <f>IF('Statement of Marks'!E28="","",'Statement of Marks'!E28)</f>
        <v/>
      </c>
      <c r="E26" s="171" t="str">
        <f>IF('Statement of Marks'!F28="","",'Statement of Marks'!F28)</f>
        <v>ROZER</v>
      </c>
      <c r="F26" s="171" t="str">
        <f>IF('Statement of Marks'!G28="","",'Statement of Marks'!G28)</f>
        <v/>
      </c>
      <c r="G26" s="171" t="str">
        <f>IF('Statement of Marks'!H28="","",'Statement of Marks'!H28)</f>
        <v/>
      </c>
      <c r="H26" s="172" t="str">
        <f>IF('Statement of Marks'!HS28="","",'Statement of Marks'!HS28)</f>
        <v>PASS</v>
      </c>
      <c r="I26" s="172" t="str">
        <f>IF('Statement of Marks'!HV28="","",'Statement of Marks'!HV28)</f>
        <v>1st</v>
      </c>
      <c r="J26" s="173">
        <f>IF('Statement of Marks'!HU28="","",'Statement of Marks'!HU28)</f>
        <v>64.25</v>
      </c>
      <c r="K26" s="181" t="str">
        <f>'Statement of Marks'!GN28</f>
        <v>I</v>
      </c>
      <c r="L26" s="181" t="str">
        <f>'Statement of Marks'!GQ28</f>
        <v>D</v>
      </c>
      <c r="M26" s="181" t="str">
        <f>'Statement of Marks'!GT28</f>
        <v>II</v>
      </c>
      <c r="N26" s="181" t="str">
        <f>'Statement of Marks'!HB28</f>
        <v>II</v>
      </c>
      <c r="O26" s="181" t="str">
        <f>'Statement of Marks'!HE28</f>
        <v>II</v>
      </c>
      <c r="P26" s="181" t="str">
        <f>'Statement of Marks'!HH28</f>
        <v>II</v>
      </c>
      <c r="Q26" s="181" t="str">
        <f>'Statement of Marks'!HK28</f>
        <v/>
      </c>
      <c r="R26" s="173" t="str">
        <f>IF(COUNTIF(K26:Q26,"F")&gt;0,"",CONCATENATE('Statement of Marks'!HO28,'Statement of Marks'!HQ28))</f>
        <v xml:space="preserve">            </v>
      </c>
      <c r="S26" s="174">
        <f t="shared" si="0"/>
        <v>0</v>
      </c>
      <c r="T26" s="5"/>
      <c r="U26" s="182" t="str">
        <f t="shared" si="1"/>
        <v/>
      </c>
      <c r="V26" s="182" t="str">
        <f t="shared" si="2"/>
        <v/>
      </c>
      <c r="W26" s="5"/>
      <c r="X26" s="182" t="str">
        <f t="shared" si="3"/>
        <v/>
      </c>
      <c r="Y26" s="182" t="str">
        <f t="shared" si="4"/>
        <v/>
      </c>
      <c r="Z26" s="5"/>
      <c r="AA26" s="182" t="str">
        <f t="shared" si="5"/>
        <v/>
      </c>
      <c r="AB26" s="183" t="str">
        <f t="shared" si="6"/>
        <v/>
      </c>
      <c r="AC26" s="5"/>
      <c r="AD26" s="182" t="str">
        <f t="shared" si="7"/>
        <v/>
      </c>
      <c r="AE26" s="183" t="str">
        <f t="shared" si="8"/>
        <v/>
      </c>
      <c r="AF26" s="5"/>
      <c r="AG26" s="182" t="str">
        <f t="shared" si="9"/>
        <v/>
      </c>
      <c r="AH26" s="183" t="str">
        <f t="shared" si="10"/>
        <v/>
      </c>
      <c r="AI26" s="5"/>
      <c r="AJ26" s="183" t="str">
        <f t="shared" si="11"/>
        <v/>
      </c>
      <c r="AK26" s="183" t="str">
        <f t="shared" si="12"/>
        <v/>
      </c>
      <c r="AL26" s="5"/>
      <c r="AM26" s="183" t="str">
        <f t="shared" si="13"/>
        <v/>
      </c>
      <c r="AN26" s="183" t="str">
        <f t="shared" si="14"/>
        <v/>
      </c>
      <c r="AO26" s="184">
        <f t="shared" si="15"/>
        <v>0</v>
      </c>
      <c r="AP26" s="184">
        <f t="shared" si="16"/>
        <v>0</v>
      </c>
      <c r="AQ26" s="608" t="str">
        <f t="shared" si="17"/>
        <v/>
      </c>
      <c r="AR26" s="185" t="str">
        <f>IF(COUNTIF(K26:Q26,"F")&gt;0,"",IF(AQ26="PASS",'Statement of Marks'!HZ28,""))</f>
        <v/>
      </c>
      <c r="AS26" s="185" t="str">
        <f>IF(AQ26="PASS",'Statement of Marks'!IA28,"")</f>
        <v/>
      </c>
    </row>
    <row r="27" spans="1:45">
      <c r="A27" s="169">
        <f>IF('Statement of Marks'!A29="","",'Statement of Marks'!A29)</f>
        <v>23</v>
      </c>
      <c r="B27" s="169">
        <f>IF('Statement of Marks'!B29="","",'Statement of Marks'!B29)</f>
        <v>923</v>
      </c>
      <c r="C27" s="169" t="str">
        <f>IF('Statement of Marks'!D29="","",'Statement of Marks'!D29)</f>
        <v/>
      </c>
      <c r="D27" s="170" t="str">
        <f>IF('Statement of Marks'!E29="","",'Statement of Marks'!E29)</f>
        <v/>
      </c>
      <c r="E27" s="171" t="str">
        <f>IF('Statement of Marks'!F29="","",'Statement of Marks'!F29)</f>
        <v>DINESH</v>
      </c>
      <c r="F27" s="171" t="str">
        <f>IF('Statement of Marks'!G29="","",'Statement of Marks'!G29)</f>
        <v/>
      </c>
      <c r="G27" s="171" t="str">
        <f>IF('Statement of Marks'!H29="","",'Statement of Marks'!H29)</f>
        <v/>
      </c>
      <c r="H27" s="172" t="str">
        <f>IF('Statement of Marks'!HS29="","",'Statement of Marks'!HS29)</f>
        <v>PASS</v>
      </c>
      <c r="I27" s="172" t="str">
        <f>IF('Statement of Marks'!HV29="","",'Statement of Marks'!HV29)</f>
        <v>1st</v>
      </c>
      <c r="J27" s="173">
        <f>IF('Statement of Marks'!HU29="","",'Statement of Marks'!HU29)</f>
        <v>64.083333333333329</v>
      </c>
      <c r="K27" s="181" t="str">
        <f>'Statement of Marks'!GN29</f>
        <v>I</v>
      </c>
      <c r="L27" s="181" t="str">
        <f>'Statement of Marks'!GQ29</f>
        <v>D</v>
      </c>
      <c r="M27" s="181" t="str">
        <f>'Statement of Marks'!GT29</f>
        <v>II</v>
      </c>
      <c r="N27" s="181" t="str">
        <f>'Statement of Marks'!HB29</f>
        <v>II</v>
      </c>
      <c r="O27" s="181" t="str">
        <f>'Statement of Marks'!HE29</f>
        <v>II</v>
      </c>
      <c r="P27" s="181" t="str">
        <f>'Statement of Marks'!HH29</f>
        <v>II</v>
      </c>
      <c r="Q27" s="181" t="str">
        <f>'Statement of Marks'!HK29</f>
        <v/>
      </c>
      <c r="R27" s="173" t="str">
        <f>IF(COUNTIF(K27:Q27,"F")&gt;0,"",CONCATENATE('Statement of Marks'!HO29,'Statement of Marks'!HQ29))</f>
        <v xml:space="preserve">            </v>
      </c>
      <c r="S27" s="174">
        <f t="shared" si="0"/>
        <v>0</v>
      </c>
      <c r="T27" s="5"/>
      <c r="U27" s="182" t="str">
        <f t="shared" si="1"/>
        <v/>
      </c>
      <c r="V27" s="182" t="str">
        <f t="shared" si="2"/>
        <v/>
      </c>
      <c r="W27" s="5"/>
      <c r="X27" s="182" t="str">
        <f t="shared" si="3"/>
        <v/>
      </c>
      <c r="Y27" s="182" t="str">
        <f t="shared" si="4"/>
        <v/>
      </c>
      <c r="Z27" s="5"/>
      <c r="AA27" s="182" t="str">
        <f t="shared" si="5"/>
        <v/>
      </c>
      <c r="AB27" s="183" t="str">
        <f t="shared" si="6"/>
        <v/>
      </c>
      <c r="AC27" s="5"/>
      <c r="AD27" s="182" t="str">
        <f t="shared" si="7"/>
        <v/>
      </c>
      <c r="AE27" s="183" t="str">
        <f t="shared" si="8"/>
        <v/>
      </c>
      <c r="AF27" s="5"/>
      <c r="AG27" s="182" t="str">
        <f t="shared" si="9"/>
        <v/>
      </c>
      <c r="AH27" s="183" t="str">
        <f t="shared" si="10"/>
        <v/>
      </c>
      <c r="AI27" s="5"/>
      <c r="AJ27" s="183" t="str">
        <f t="shared" si="11"/>
        <v/>
      </c>
      <c r="AK27" s="183" t="str">
        <f t="shared" si="12"/>
        <v/>
      </c>
      <c r="AL27" s="5"/>
      <c r="AM27" s="183" t="str">
        <f t="shared" si="13"/>
        <v/>
      </c>
      <c r="AN27" s="183" t="str">
        <f t="shared" si="14"/>
        <v/>
      </c>
      <c r="AO27" s="184">
        <f t="shared" si="15"/>
        <v>0</v>
      </c>
      <c r="AP27" s="184">
        <f t="shared" si="16"/>
        <v>0</v>
      </c>
      <c r="AQ27" s="608" t="str">
        <f t="shared" si="17"/>
        <v/>
      </c>
      <c r="AR27" s="185" t="str">
        <f>IF(COUNTIF(K27:Q27,"F")&gt;0,"",IF(AQ27="PASS",'Statement of Marks'!HZ29,""))</f>
        <v/>
      </c>
      <c r="AS27" s="185" t="str">
        <f>IF(AQ27="PASS",'Statement of Marks'!IA29,"")</f>
        <v/>
      </c>
    </row>
    <row r="28" spans="1:45">
      <c r="A28" s="169">
        <f>IF('Statement of Marks'!A30="","",'Statement of Marks'!A30)</f>
        <v>24</v>
      </c>
      <c r="B28" s="169">
        <f>IF('Statement of Marks'!B30="","",'Statement of Marks'!B30)</f>
        <v>924</v>
      </c>
      <c r="C28" s="169" t="str">
        <f>IF('Statement of Marks'!D30="","",'Statement of Marks'!D30)</f>
        <v/>
      </c>
      <c r="D28" s="170" t="str">
        <f>IF('Statement of Marks'!E30="","",'Statement of Marks'!E30)</f>
        <v/>
      </c>
      <c r="E28" s="171" t="str">
        <f>IF('Statement of Marks'!F30="","",'Statement of Marks'!F30)</f>
        <v>MAHESH</v>
      </c>
      <c r="F28" s="171" t="str">
        <f>IF('Statement of Marks'!G30="","",'Statement of Marks'!G30)</f>
        <v/>
      </c>
      <c r="G28" s="171" t="str">
        <f>IF('Statement of Marks'!H30="","",'Statement of Marks'!H30)</f>
        <v/>
      </c>
      <c r="H28" s="172" t="str">
        <f>IF('Statement of Marks'!HS30="","",'Statement of Marks'!HS30)</f>
        <v>PASS</v>
      </c>
      <c r="I28" s="172" t="str">
        <f>IF('Statement of Marks'!HV30="","",'Statement of Marks'!HV30)</f>
        <v>1st</v>
      </c>
      <c r="J28" s="173">
        <f>IF('Statement of Marks'!HU30="","",'Statement of Marks'!HU30)</f>
        <v>64</v>
      </c>
      <c r="K28" s="181" t="str">
        <f>'Statement of Marks'!GN30</f>
        <v>I</v>
      </c>
      <c r="L28" s="181" t="str">
        <f>'Statement of Marks'!GQ30</f>
        <v>D</v>
      </c>
      <c r="M28" s="181" t="str">
        <f>'Statement of Marks'!GT30</f>
        <v>II</v>
      </c>
      <c r="N28" s="181" t="str">
        <f>'Statement of Marks'!HB30</f>
        <v>II</v>
      </c>
      <c r="O28" s="181" t="str">
        <f>'Statement of Marks'!HE30</f>
        <v>II</v>
      </c>
      <c r="P28" s="181" t="str">
        <f>'Statement of Marks'!HH30</f>
        <v>II</v>
      </c>
      <c r="Q28" s="181" t="str">
        <f>'Statement of Marks'!HK30</f>
        <v/>
      </c>
      <c r="R28" s="173" t="str">
        <f>IF(COUNTIF(K28:Q28,"F")&gt;0,"",CONCATENATE('Statement of Marks'!HO30,'Statement of Marks'!HQ30))</f>
        <v xml:space="preserve">            </v>
      </c>
      <c r="S28" s="174">
        <f t="shared" si="0"/>
        <v>0</v>
      </c>
      <c r="T28" s="5"/>
      <c r="U28" s="182" t="str">
        <f t="shared" si="1"/>
        <v/>
      </c>
      <c r="V28" s="182" t="str">
        <f t="shared" si="2"/>
        <v/>
      </c>
      <c r="W28" s="5"/>
      <c r="X28" s="182" t="str">
        <f t="shared" si="3"/>
        <v/>
      </c>
      <c r="Y28" s="182" t="str">
        <f t="shared" si="4"/>
        <v/>
      </c>
      <c r="Z28" s="5"/>
      <c r="AA28" s="182" t="str">
        <f t="shared" si="5"/>
        <v/>
      </c>
      <c r="AB28" s="183" t="str">
        <f t="shared" si="6"/>
        <v/>
      </c>
      <c r="AC28" s="5"/>
      <c r="AD28" s="182" t="str">
        <f t="shared" si="7"/>
        <v/>
      </c>
      <c r="AE28" s="183" t="str">
        <f t="shared" si="8"/>
        <v/>
      </c>
      <c r="AF28" s="5"/>
      <c r="AG28" s="182" t="str">
        <f t="shared" si="9"/>
        <v/>
      </c>
      <c r="AH28" s="183" t="str">
        <f t="shared" si="10"/>
        <v/>
      </c>
      <c r="AI28" s="5"/>
      <c r="AJ28" s="183" t="str">
        <f t="shared" si="11"/>
        <v/>
      </c>
      <c r="AK28" s="183" t="str">
        <f t="shared" si="12"/>
        <v/>
      </c>
      <c r="AL28" s="5"/>
      <c r="AM28" s="183" t="str">
        <f t="shared" si="13"/>
        <v/>
      </c>
      <c r="AN28" s="183" t="str">
        <f t="shared" si="14"/>
        <v/>
      </c>
      <c r="AO28" s="184">
        <f t="shared" si="15"/>
        <v>0</v>
      </c>
      <c r="AP28" s="184">
        <f t="shared" si="16"/>
        <v>0</v>
      </c>
      <c r="AQ28" s="608" t="str">
        <f t="shared" si="17"/>
        <v/>
      </c>
      <c r="AR28" s="185" t="str">
        <f>IF(COUNTIF(K28:Q28,"F")&gt;0,"",IF(AQ28="PASS",'Statement of Marks'!HZ30,""))</f>
        <v/>
      </c>
      <c r="AS28" s="185" t="str">
        <f>IF(AQ28="PASS",'Statement of Marks'!IA30,"")</f>
        <v/>
      </c>
    </row>
    <row r="29" spans="1:45">
      <c r="A29" s="169">
        <f>IF('Statement of Marks'!A31="","",'Statement of Marks'!A31)</f>
        <v>25</v>
      </c>
      <c r="B29" s="169">
        <f>IF('Statement of Marks'!B31="","",'Statement of Marks'!B31)</f>
        <v>925</v>
      </c>
      <c r="C29" s="169" t="str">
        <f>IF('Statement of Marks'!D31="","",'Statement of Marks'!D31)</f>
        <v/>
      </c>
      <c r="D29" s="170" t="str">
        <f>IF('Statement of Marks'!E31="","",'Statement of Marks'!E31)</f>
        <v/>
      </c>
      <c r="E29" s="171" t="str">
        <f>IF('Statement of Marks'!F31="","",'Statement of Marks'!F31)</f>
        <v>RINA</v>
      </c>
      <c r="F29" s="171" t="str">
        <f>IF('Statement of Marks'!G31="","",'Statement of Marks'!G31)</f>
        <v/>
      </c>
      <c r="G29" s="171" t="str">
        <f>IF('Statement of Marks'!H31="","",'Statement of Marks'!H31)</f>
        <v/>
      </c>
      <c r="H29" s="172" t="str">
        <f>IF('Statement of Marks'!HS31="","",'Statement of Marks'!HS31)</f>
        <v>PASS</v>
      </c>
      <c r="I29" s="172" t="str">
        <f>IF('Statement of Marks'!HV31="","",'Statement of Marks'!HV31)</f>
        <v>1st</v>
      </c>
      <c r="J29" s="173">
        <f>IF('Statement of Marks'!HU31="","",'Statement of Marks'!HU31)</f>
        <v>64</v>
      </c>
      <c r="K29" s="181" t="str">
        <f>'Statement of Marks'!GN31</f>
        <v>I</v>
      </c>
      <c r="L29" s="181" t="str">
        <f>'Statement of Marks'!GQ31</f>
        <v>D</v>
      </c>
      <c r="M29" s="181" t="str">
        <f>'Statement of Marks'!GT31</f>
        <v>II</v>
      </c>
      <c r="N29" s="181" t="str">
        <f>'Statement of Marks'!HB31</f>
        <v>II</v>
      </c>
      <c r="O29" s="181" t="str">
        <f>'Statement of Marks'!HE31</f>
        <v>II</v>
      </c>
      <c r="P29" s="181" t="str">
        <f>'Statement of Marks'!HH31</f>
        <v>II</v>
      </c>
      <c r="Q29" s="181" t="str">
        <f>'Statement of Marks'!HK31</f>
        <v/>
      </c>
      <c r="R29" s="173" t="str">
        <f>IF(COUNTIF(K29:Q29,"F")&gt;0,"",CONCATENATE('Statement of Marks'!HO31,'Statement of Marks'!HQ31))</f>
        <v xml:space="preserve">            </v>
      </c>
      <c r="S29" s="174">
        <f t="shared" si="0"/>
        <v>0</v>
      </c>
      <c r="T29" s="5"/>
      <c r="U29" s="182" t="str">
        <f t="shared" si="1"/>
        <v/>
      </c>
      <c r="V29" s="182" t="str">
        <f t="shared" si="2"/>
        <v/>
      </c>
      <c r="W29" s="5"/>
      <c r="X29" s="182" t="str">
        <f t="shared" si="3"/>
        <v/>
      </c>
      <c r="Y29" s="182" t="str">
        <f t="shared" si="4"/>
        <v/>
      </c>
      <c r="Z29" s="5"/>
      <c r="AA29" s="182" t="str">
        <f t="shared" si="5"/>
        <v/>
      </c>
      <c r="AB29" s="183" t="str">
        <f t="shared" si="6"/>
        <v/>
      </c>
      <c r="AC29" s="5"/>
      <c r="AD29" s="182" t="str">
        <f t="shared" si="7"/>
        <v/>
      </c>
      <c r="AE29" s="183" t="str">
        <f t="shared" si="8"/>
        <v/>
      </c>
      <c r="AF29" s="5"/>
      <c r="AG29" s="182" t="str">
        <f t="shared" si="9"/>
        <v/>
      </c>
      <c r="AH29" s="183" t="str">
        <f t="shared" si="10"/>
        <v/>
      </c>
      <c r="AI29" s="5"/>
      <c r="AJ29" s="183" t="str">
        <f t="shared" si="11"/>
        <v/>
      </c>
      <c r="AK29" s="183" t="str">
        <f t="shared" si="12"/>
        <v/>
      </c>
      <c r="AL29" s="5"/>
      <c r="AM29" s="183" t="str">
        <f t="shared" si="13"/>
        <v/>
      </c>
      <c r="AN29" s="183" t="str">
        <f t="shared" si="14"/>
        <v/>
      </c>
      <c r="AO29" s="184">
        <f t="shared" si="15"/>
        <v>0</v>
      </c>
      <c r="AP29" s="184">
        <f t="shared" si="16"/>
        <v>0</v>
      </c>
      <c r="AQ29" s="608" t="str">
        <f t="shared" si="17"/>
        <v/>
      </c>
      <c r="AR29" s="185" t="str">
        <f>IF(COUNTIF(K29:Q29,"F")&gt;0,"",IF(AQ29="PASS",'Statement of Marks'!HZ31,""))</f>
        <v/>
      </c>
      <c r="AS29" s="185" t="str">
        <f>IF(AQ29="PASS",'Statement of Marks'!IA31,"")</f>
        <v/>
      </c>
    </row>
    <row r="30" spans="1:45">
      <c r="A30" s="169">
        <f>IF('Statement of Marks'!A32="","",'Statement of Marks'!A32)</f>
        <v>26</v>
      </c>
      <c r="B30" s="169">
        <f>IF('Statement of Marks'!B32="","",'Statement of Marks'!B32)</f>
        <v>926</v>
      </c>
      <c r="C30" s="169" t="str">
        <f>IF('Statement of Marks'!D32="","",'Statement of Marks'!D32)</f>
        <v/>
      </c>
      <c r="D30" s="170" t="str">
        <f>IF('Statement of Marks'!E32="","",'Statement of Marks'!E32)</f>
        <v/>
      </c>
      <c r="E30" s="171" t="str">
        <f>IF('Statement of Marks'!F32="","",'Statement of Marks'!F32)</f>
        <v>DIZA</v>
      </c>
      <c r="F30" s="171" t="str">
        <f>IF('Statement of Marks'!G32="","",'Statement of Marks'!G32)</f>
        <v/>
      </c>
      <c r="G30" s="171" t="str">
        <f>IF('Statement of Marks'!H32="","",'Statement of Marks'!H32)</f>
        <v/>
      </c>
      <c r="H30" s="172" t="str">
        <f>IF('Statement of Marks'!HS32="","",'Statement of Marks'!HS32)</f>
        <v>PASS</v>
      </c>
      <c r="I30" s="172" t="str">
        <f>IF('Statement of Marks'!HV32="","",'Statement of Marks'!HV32)</f>
        <v>1st</v>
      </c>
      <c r="J30" s="173">
        <f>IF('Statement of Marks'!HU32="","",'Statement of Marks'!HU32)</f>
        <v>63.25</v>
      </c>
      <c r="K30" s="181" t="str">
        <f>'Statement of Marks'!GN32</f>
        <v>I</v>
      </c>
      <c r="L30" s="181" t="str">
        <f>'Statement of Marks'!GQ32</f>
        <v>D</v>
      </c>
      <c r="M30" s="181" t="str">
        <f>'Statement of Marks'!GT32</f>
        <v>II</v>
      </c>
      <c r="N30" s="181" t="str">
        <f>'Statement of Marks'!HB32</f>
        <v>II</v>
      </c>
      <c r="O30" s="181" t="str">
        <f>'Statement of Marks'!HE32</f>
        <v>II</v>
      </c>
      <c r="P30" s="181" t="str">
        <f>'Statement of Marks'!HH32</f>
        <v>II</v>
      </c>
      <c r="Q30" s="181" t="str">
        <f>'Statement of Marks'!HK32</f>
        <v/>
      </c>
      <c r="R30" s="173" t="str">
        <f>IF(COUNTIF(K30:Q30,"F")&gt;0,"",CONCATENATE('Statement of Marks'!HO32,'Statement of Marks'!HQ32))</f>
        <v xml:space="preserve">            </v>
      </c>
      <c r="S30" s="174">
        <f t="shared" si="0"/>
        <v>0</v>
      </c>
      <c r="T30" s="5"/>
      <c r="U30" s="182" t="str">
        <f t="shared" si="1"/>
        <v/>
      </c>
      <c r="V30" s="182" t="str">
        <f t="shared" si="2"/>
        <v/>
      </c>
      <c r="W30" s="5"/>
      <c r="X30" s="182" t="str">
        <f t="shared" si="3"/>
        <v/>
      </c>
      <c r="Y30" s="182" t="str">
        <f t="shared" si="4"/>
        <v/>
      </c>
      <c r="Z30" s="5"/>
      <c r="AA30" s="182" t="str">
        <f t="shared" si="5"/>
        <v/>
      </c>
      <c r="AB30" s="183" t="str">
        <f t="shared" si="6"/>
        <v/>
      </c>
      <c r="AC30" s="5"/>
      <c r="AD30" s="182" t="str">
        <f t="shared" si="7"/>
        <v/>
      </c>
      <c r="AE30" s="183" t="str">
        <f t="shared" si="8"/>
        <v/>
      </c>
      <c r="AF30" s="5"/>
      <c r="AG30" s="182" t="str">
        <f t="shared" si="9"/>
        <v/>
      </c>
      <c r="AH30" s="183" t="str">
        <f t="shared" si="10"/>
        <v/>
      </c>
      <c r="AI30" s="5"/>
      <c r="AJ30" s="183" t="str">
        <f t="shared" si="11"/>
        <v/>
      </c>
      <c r="AK30" s="183" t="str">
        <f t="shared" si="12"/>
        <v/>
      </c>
      <c r="AL30" s="5"/>
      <c r="AM30" s="183" t="str">
        <f t="shared" si="13"/>
        <v/>
      </c>
      <c r="AN30" s="183" t="str">
        <f t="shared" si="14"/>
        <v/>
      </c>
      <c r="AO30" s="184">
        <f t="shared" si="15"/>
        <v>0</v>
      </c>
      <c r="AP30" s="184">
        <f t="shared" si="16"/>
        <v>0</v>
      </c>
      <c r="AQ30" s="608" t="str">
        <f t="shared" si="17"/>
        <v/>
      </c>
      <c r="AR30" s="185" t="str">
        <f>IF(COUNTIF(K30:Q30,"F")&gt;0,"",IF(AQ30="PASS",'Statement of Marks'!HZ32,""))</f>
        <v/>
      </c>
      <c r="AS30" s="185" t="str">
        <f>IF(AQ30="PASS",'Statement of Marks'!IA32,"")</f>
        <v/>
      </c>
    </row>
    <row r="31" spans="1:45">
      <c r="A31" s="169">
        <f>IF('Statement of Marks'!A33="","",'Statement of Marks'!A33)</f>
        <v>27</v>
      </c>
      <c r="B31" s="169">
        <f>IF('Statement of Marks'!B33="","",'Statement of Marks'!B33)</f>
        <v>927</v>
      </c>
      <c r="C31" s="169" t="str">
        <f>IF('Statement of Marks'!D33="","",'Statement of Marks'!D33)</f>
        <v/>
      </c>
      <c r="D31" s="170" t="str">
        <f>IF('Statement of Marks'!E33="","",'Statement of Marks'!E33)</f>
        <v/>
      </c>
      <c r="E31" s="171" t="str">
        <f>IF('Statement of Marks'!F33="","",'Statement of Marks'!F33)</f>
        <v>BIPASA</v>
      </c>
      <c r="F31" s="171" t="str">
        <f>IF('Statement of Marks'!G33="","",'Statement of Marks'!G33)</f>
        <v/>
      </c>
      <c r="G31" s="171" t="str">
        <f>IF('Statement of Marks'!H33="","",'Statement of Marks'!H33)</f>
        <v/>
      </c>
      <c r="H31" s="172" t="str">
        <f>IF('Statement of Marks'!HS33="","",'Statement of Marks'!HS33)</f>
        <v>PASS</v>
      </c>
      <c r="I31" s="172" t="str">
        <f>IF('Statement of Marks'!HV33="","",'Statement of Marks'!HV33)</f>
        <v>1st</v>
      </c>
      <c r="J31" s="173">
        <f>IF('Statement of Marks'!HU33="","",'Statement of Marks'!HU33)</f>
        <v>61.583333333333336</v>
      </c>
      <c r="K31" s="181" t="str">
        <f>'Statement of Marks'!GN33</f>
        <v>II</v>
      </c>
      <c r="L31" s="181" t="str">
        <f>'Statement of Marks'!GQ33</f>
        <v>D</v>
      </c>
      <c r="M31" s="181" t="str">
        <f>'Statement of Marks'!GT33</f>
        <v>II</v>
      </c>
      <c r="N31" s="181" t="str">
        <f>'Statement of Marks'!HB33</f>
        <v>II</v>
      </c>
      <c r="O31" s="181" t="str">
        <f>'Statement of Marks'!HE33</f>
        <v>II</v>
      </c>
      <c r="P31" s="181" t="str">
        <f>'Statement of Marks'!HH33</f>
        <v>II</v>
      </c>
      <c r="Q31" s="181" t="str">
        <f>'Statement of Marks'!HK33</f>
        <v/>
      </c>
      <c r="R31" s="173" t="str">
        <f>IF(COUNTIF(K31:Q31,"F")&gt;0,"",CONCATENATE('Statement of Marks'!HO33,'Statement of Marks'!HQ33))</f>
        <v xml:space="preserve">            </v>
      </c>
      <c r="S31" s="174">
        <f t="shared" si="0"/>
        <v>0</v>
      </c>
      <c r="T31" s="5"/>
      <c r="U31" s="182" t="str">
        <f t="shared" si="1"/>
        <v/>
      </c>
      <c r="V31" s="182" t="str">
        <f t="shared" si="2"/>
        <v/>
      </c>
      <c r="W31" s="5"/>
      <c r="X31" s="182" t="str">
        <f t="shared" si="3"/>
        <v/>
      </c>
      <c r="Y31" s="182" t="str">
        <f t="shared" si="4"/>
        <v/>
      </c>
      <c r="Z31" s="5"/>
      <c r="AA31" s="182" t="str">
        <f t="shared" si="5"/>
        <v/>
      </c>
      <c r="AB31" s="183" t="str">
        <f t="shared" si="6"/>
        <v/>
      </c>
      <c r="AC31" s="5"/>
      <c r="AD31" s="182" t="str">
        <f t="shared" si="7"/>
        <v/>
      </c>
      <c r="AE31" s="183" t="str">
        <f t="shared" si="8"/>
        <v/>
      </c>
      <c r="AF31" s="5"/>
      <c r="AG31" s="182" t="str">
        <f t="shared" si="9"/>
        <v/>
      </c>
      <c r="AH31" s="183" t="str">
        <f t="shared" si="10"/>
        <v/>
      </c>
      <c r="AI31" s="5"/>
      <c r="AJ31" s="183" t="str">
        <f t="shared" si="11"/>
        <v/>
      </c>
      <c r="AK31" s="183" t="str">
        <f t="shared" si="12"/>
        <v/>
      </c>
      <c r="AL31" s="5"/>
      <c r="AM31" s="183" t="str">
        <f t="shared" si="13"/>
        <v/>
      </c>
      <c r="AN31" s="183" t="str">
        <f t="shared" si="14"/>
        <v/>
      </c>
      <c r="AO31" s="184">
        <f t="shared" si="15"/>
        <v>0</v>
      </c>
      <c r="AP31" s="184">
        <f t="shared" si="16"/>
        <v>0</v>
      </c>
      <c r="AQ31" s="608" t="str">
        <f t="shared" si="17"/>
        <v/>
      </c>
      <c r="AR31" s="185" t="str">
        <f>IF(COUNTIF(K31:Q31,"F")&gt;0,"",IF(AQ31="PASS",'Statement of Marks'!HZ33,""))</f>
        <v/>
      </c>
      <c r="AS31" s="185" t="str">
        <f>IF(AQ31="PASS",'Statement of Marks'!IA33,"")</f>
        <v/>
      </c>
    </row>
    <row r="32" spans="1:45">
      <c r="A32" s="169">
        <f>IF('Statement of Marks'!A34="","",'Statement of Marks'!A34)</f>
        <v>28</v>
      </c>
      <c r="B32" s="169">
        <f>IF('Statement of Marks'!B34="","",'Statement of Marks'!B34)</f>
        <v>928</v>
      </c>
      <c r="C32" s="169" t="str">
        <f>IF('Statement of Marks'!D34="","",'Statement of Marks'!D34)</f>
        <v/>
      </c>
      <c r="D32" s="170" t="str">
        <f>IF('Statement of Marks'!E34="","",'Statement of Marks'!E34)</f>
        <v/>
      </c>
      <c r="E32" s="171" t="str">
        <f>IF('Statement of Marks'!F34="","",'Statement of Marks'!F34)</f>
        <v>DIMPLE</v>
      </c>
      <c r="F32" s="171" t="str">
        <f>IF('Statement of Marks'!G34="","",'Statement of Marks'!G34)</f>
        <v/>
      </c>
      <c r="G32" s="171" t="str">
        <f>IF('Statement of Marks'!H34="","",'Statement of Marks'!H34)</f>
        <v/>
      </c>
      <c r="H32" s="172" t="str">
        <f>IF('Statement of Marks'!HS34="","",'Statement of Marks'!HS34)</f>
        <v>PASS</v>
      </c>
      <c r="I32" s="172" t="str">
        <f>IF('Statement of Marks'!HV34="","",'Statement of Marks'!HV34)</f>
        <v>1st</v>
      </c>
      <c r="J32" s="173">
        <f>IF('Statement of Marks'!HU34="","",'Statement of Marks'!HU34)</f>
        <v>61.5</v>
      </c>
      <c r="K32" s="181" t="str">
        <f>'Statement of Marks'!GN34</f>
        <v>II</v>
      </c>
      <c r="L32" s="181" t="str">
        <f>'Statement of Marks'!GQ34</f>
        <v>D</v>
      </c>
      <c r="M32" s="181" t="str">
        <f>'Statement of Marks'!GT34</f>
        <v>II</v>
      </c>
      <c r="N32" s="181" t="str">
        <f>'Statement of Marks'!HB34</f>
        <v>II</v>
      </c>
      <c r="O32" s="181" t="str">
        <f>'Statement of Marks'!HE34</f>
        <v>II</v>
      </c>
      <c r="P32" s="181" t="str">
        <f>'Statement of Marks'!HH34</f>
        <v>II</v>
      </c>
      <c r="Q32" s="181" t="str">
        <f>'Statement of Marks'!HK34</f>
        <v/>
      </c>
      <c r="R32" s="173" t="str">
        <f>IF(COUNTIF(K32:Q32,"F")&gt;0,"",CONCATENATE('Statement of Marks'!HO34,'Statement of Marks'!HQ34))</f>
        <v xml:space="preserve">            </v>
      </c>
      <c r="S32" s="174">
        <f t="shared" si="0"/>
        <v>0</v>
      </c>
      <c r="T32" s="5"/>
      <c r="U32" s="182" t="str">
        <f t="shared" si="1"/>
        <v/>
      </c>
      <c r="V32" s="182" t="str">
        <f t="shared" si="2"/>
        <v/>
      </c>
      <c r="W32" s="5"/>
      <c r="X32" s="182" t="str">
        <f t="shared" si="3"/>
        <v/>
      </c>
      <c r="Y32" s="182" t="str">
        <f t="shared" si="4"/>
        <v/>
      </c>
      <c r="Z32" s="5"/>
      <c r="AA32" s="182" t="str">
        <f t="shared" si="5"/>
        <v/>
      </c>
      <c r="AB32" s="183" t="str">
        <f t="shared" si="6"/>
        <v/>
      </c>
      <c r="AC32" s="5"/>
      <c r="AD32" s="182" t="str">
        <f t="shared" si="7"/>
        <v/>
      </c>
      <c r="AE32" s="183" t="str">
        <f t="shared" si="8"/>
        <v/>
      </c>
      <c r="AF32" s="5"/>
      <c r="AG32" s="182" t="str">
        <f t="shared" si="9"/>
        <v/>
      </c>
      <c r="AH32" s="183" t="str">
        <f t="shared" si="10"/>
        <v/>
      </c>
      <c r="AI32" s="5"/>
      <c r="AJ32" s="183" t="str">
        <f t="shared" si="11"/>
        <v/>
      </c>
      <c r="AK32" s="183" t="str">
        <f t="shared" si="12"/>
        <v/>
      </c>
      <c r="AL32" s="5"/>
      <c r="AM32" s="183" t="str">
        <f t="shared" si="13"/>
        <v/>
      </c>
      <c r="AN32" s="183" t="str">
        <f t="shared" si="14"/>
        <v/>
      </c>
      <c r="AO32" s="184">
        <f t="shared" si="15"/>
        <v>0</v>
      </c>
      <c r="AP32" s="184">
        <f t="shared" si="16"/>
        <v>0</v>
      </c>
      <c r="AQ32" s="608" t="str">
        <f t="shared" si="17"/>
        <v/>
      </c>
      <c r="AR32" s="185" t="str">
        <f>IF(COUNTIF(K32:Q32,"F")&gt;0,"",IF(AQ32="PASS",'Statement of Marks'!HZ34,""))</f>
        <v/>
      </c>
      <c r="AS32" s="185" t="str">
        <f>IF(AQ32="PASS",'Statement of Marks'!IA34,"")</f>
        <v/>
      </c>
    </row>
    <row r="33" spans="1:45">
      <c r="A33" s="169">
        <f>IF('Statement of Marks'!A35="","",'Statement of Marks'!A35)</f>
        <v>29</v>
      </c>
      <c r="B33" s="169">
        <f>IF('Statement of Marks'!B35="","",'Statement of Marks'!B35)</f>
        <v>929</v>
      </c>
      <c r="C33" s="169" t="str">
        <f>IF('Statement of Marks'!D35="","",'Statement of Marks'!D35)</f>
        <v/>
      </c>
      <c r="D33" s="170" t="str">
        <f>IF('Statement of Marks'!E35="","",'Statement of Marks'!E35)</f>
        <v/>
      </c>
      <c r="E33" s="171" t="str">
        <f>IF('Statement of Marks'!F35="","",'Statement of Marks'!F35)</f>
        <v>DIPIKA</v>
      </c>
      <c r="F33" s="171" t="str">
        <f>IF('Statement of Marks'!G35="","",'Statement of Marks'!G35)</f>
        <v/>
      </c>
      <c r="G33" s="171" t="str">
        <f>IF('Statement of Marks'!H35="","",'Statement of Marks'!H35)</f>
        <v/>
      </c>
      <c r="H33" s="172" t="str">
        <f>IF('Statement of Marks'!HS35="","",'Statement of Marks'!HS35)</f>
        <v>PASS</v>
      </c>
      <c r="I33" s="172" t="str">
        <f>IF('Statement of Marks'!HV35="","",'Statement of Marks'!HV35)</f>
        <v>1st</v>
      </c>
      <c r="J33" s="173">
        <f>IF('Statement of Marks'!HU35="","",'Statement of Marks'!HU35)</f>
        <v>61.5</v>
      </c>
      <c r="K33" s="181" t="str">
        <f>'Statement of Marks'!GN35</f>
        <v>II</v>
      </c>
      <c r="L33" s="181" t="str">
        <f>'Statement of Marks'!GQ35</f>
        <v>D</v>
      </c>
      <c r="M33" s="181" t="str">
        <f>'Statement of Marks'!GT35</f>
        <v>II</v>
      </c>
      <c r="N33" s="181" t="str">
        <f>'Statement of Marks'!HB35</f>
        <v>II</v>
      </c>
      <c r="O33" s="181" t="str">
        <f>'Statement of Marks'!HE35</f>
        <v>II</v>
      </c>
      <c r="P33" s="181" t="str">
        <f>'Statement of Marks'!HH35</f>
        <v>II</v>
      </c>
      <c r="Q33" s="181" t="str">
        <f>'Statement of Marks'!HK35</f>
        <v/>
      </c>
      <c r="R33" s="173" t="str">
        <f>IF(COUNTIF(K33:Q33,"F")&gt;0,"",CONCATENATE('Statement of Marks'!HO35,'Statement of Marks'!HQ35))</f>
        <v xml:space="preserve">            </v>
      </c>
      <c r="S33" s="174">
        <f t="shared" si="0"/>
        <v>0</v>
      </c>
      <c r="T33" s="5"/>
      <c r="U33" s="182" t="str">
        <f t="shared" si="1"/>
        <v/>
      </c>
      <c r="V33" s="182" t="str">
        <f t="shared" si="2"/>
        <v/>
      </c>
      <c r="W33" s="5"/>
      <c r="X33" s="182" t="str">
        <f t="shared" si="3"/>
        <v/>
      </c>
      <c r="Y33" s="182" t="str">
        <f t="shared" si="4"/>
        <v/>
      </c>
      <c r="Z33" s="5"/>
      <c r="AA33" s="182" t="str">
        <f t="shared" si="5"/>
        <v/>
      </c>
      <c r="AB33" s="183" t="str">
        <f t="shared" si="6"/>
        <v/>
      </c>
      <c r="AC33" s="5"/>
      <c r="AD33" s="182" t="str">
        <f t="shared" si="7"/>
        <v/>
      </c>
      <c r="AE33" s="183" t="str">
        <f t="shared" si="8"/>
        <v/>
      </c>
      <c r="AF33" s="5"/>
      <c r="AG33" s="182" t="str">
        <f t="shared" si="9"/>
        <v/>
      </c>
      <c r="AH33" s="183" t="str">
        <f t="shared" si="10"/>
        <v/>
      </c>
      <c r="AI33" s="5"/>
      <c r="AJ33" s="183" t="str">
        <f t="shared" si="11"/>
        <v/>
      </c>
      <c r="AK33" s="183" t="str">
        <f t="shared" si="12"/>
        <v/>
      </c>
      <c r="AL33" s="5"/>
      <c r="AM33" s="183" t="str">
        <f t="shared" si="13"/>
        <v/>
      </c>
      <c r="AN33" s="183" t="str">
        <f t="shared" si="14"/>
        <v/>
      </c>
      <c r="AO33" s="184">
        <f t="shared" si="15"/>
        <v>0</v>
      </c>
      <c r="AP33" s="184">
        <f t="shared" si="16"/>
        <v>0</v>
      </c>
      <c r="AQ33" s="608" t="str">
        <f t="shared" si="17"/>
        <v/>
      </c>
      <c r="AR33" s="185" t="str">
        <f>IF(COUNTIF(K33:Q33,"F")&gt;0,"",IF(AQ33="PASS",'Statement of Marks'!HZ35,""))</f>
        <v/>
      </c>
      <c r="AS33" s="185" t="str">
        <f>IF(AQ33="PASS",'Statement of Marks'!IA35,"")</f>
        <v/>
      </c>
    </row>
    <row r="34" spans="1:45">
      <c r="A34" s="169">
        <f>IF('Statement of Marks'!A36="","",'Statement of Marks'!A36)</f>
        <v>30</v>
      </c>
      <c r="B34" s="169">
        <f>IF('Statement of Marks'!B36="","",'Statement of Marks'!B36)</f>
        <v>930</v>
      </c>
      <c r="C34" s="169" t="str">
        <f>IF('Statement of Marks'!D36="","",'Statement of Marks'!D36)</f>
        <v/>
      </c>
      <c r="D34" s="170" t="str">
        <f>IF('Statement of Marks'!E36="","",'Statement of Marks'!E36)</f>
        <v/>
      </c>
      <c r="E34" s="171" t="str">
        <f>IF('Statement of Marks'!F36="","",'Statement of Marks'!F36)</f>
        <v>DEVENDRA</v>
      </c>
      <c r="F34" s="171" t="str">
        <f>IF('Statement of Marks'!G36="","",'Statement of Marks'!G36)</f>
        <v/>
      </c>
      <c r="G34" s="171" t="str">
        <f>IF('Statement of Marks'!H36="","",'Statement of Marks'!H36)</f>
        <v/>
      </c>
      <c r="H34" s="172" t="str">
        <f>IF('Statement of Marks'!HS36="","",'Statement of Marks'!HS36)</f>
        <v>PASS</v>
      </c>
      <c r="I34" s="172" t="str">
        <f>IF('Statement of Marks'!HV36="","",'Statement of Marks'!HV36)</f>
        <v>1st</v>
      </c>
      <c r="J34" s="173">
        <f>IF('Statement of Marks'!HU36="","",'Statement of Marks'!HU36)</f>
        <v>61.5</v>
      </c>
      <c r="K34" s="181" t="str">
        <f>'Statement of Marks'!GN36</f>
        <v>II</v>
      </c>
      <c r="L34" s="181" t="str">
        <f>'Statement of Marks'!GQ36</f>
        <v>D</v>
      </c>
      <c r="M34" s="181" t="str">
        <f>'Statement of Marks'!GT36</f>
        <v>II</v>
      </c>
      <c r="N34" s="181" t="str">
        <f>'Statement of Marks'!HB36</f>
        <v>II</v>
      </c>
      <c r="O34" s="181" t="str">
        <f>'Statement of Marks'!HE36</f>
        <v>II</v>
      </c>
      <c r="P34" s="181" t="str">
        <f>'Statement of Marks'!HH36</f>
        <v>II</v>
      </c>
      <c r="Q34" s="181" t="str">
        <f>'Statement of Marks'!HK36</f>
        <v/>
      </c>
      <c r="R34" s="173" t="str">
        <f>IF(COUNTIF(K34:Q34,"F")&gt;0,"",CONCATENATE('Statement of Marks'!HO36,'Statement of Marks'!HQ36))</f>
        <v xml:space="preserve">            </v>
      </c>
      <c r="S34" s="174">
        <f t="shared" si="0"/>
        <v>0</v>
      </c>
      <c r="T34" s="5"/>
      <c r="U34" s="182" t="str">
        <f t="shared" si="1"/>
        <v/>
      </c>
      <c r="V34" s="182" t="str">
        <f t="shared" si="2"/>
        <v/>
      </c>
      <c r="W34" s="5"/>
      <c r="X34" s="182" t="str">
        <f t="shared" si="3"/>
        <v/>
      </c>
      <c r="Y34" s="182" t="str">
        <f t="shared" si="4"/>
        <v/>
      </c>
      <c r="Z34" s="5"/>
      <c r="AA34" s="182" t="str">
        <f t="shared" si="5"/>
        <v/>
      </c>
      <c r="AB34" s="183" t="str">
        <f t="shared" si="6"/>
        <v/>
      </c>
      <c r="AC34" s="5"/>
      <c r="AD34" s="182" t="str">
        <f t="shared" si="7"/>
        <v/>
      </c>
      <c r="AE34" s="183" t="str">
        <f t="shared" si="8"/>
        <v/>
      </c>
      <c r="AF34" s="5"/>
      <c r="AG34" s="182" t="str">
        <f t="shared" si="9"/>
        <v/>
      </c>
      <c r="AH34" s="183" t="str">
        <f t="shared" si="10"/>
        <v/>
      </c>
      <c r="AI34" s="5"/>
      <c r="AJ34" s="183" t="str">
        <f t="shared" si="11"/>
        <v/>
      </c>
      <c r="AK34" s="183" t="str">
        <f t="shared" si="12"/>
        <v/>
      </c>
      <c r="AL34" s="5"/>
      <c r="AM34" s="183" t="str">
        <f t="shared" si="13"/>
        <v/>
      </c>
      <c r="AN34" s="183" t="str">
        <f t="shared" si="14"/>
        <v/>
      </c>
      <c r="AO34" s="184">
        <f t="shared" si="15"/>
        <v>0</v>
      </c>
      <c r="AP34" s="184">
        <f t="shared" si="16"/>
        <v>0</v>
      </c>
      <c r="AQ34" s="608" t="str">
        <f t="shared" si="17"/>
        <v/>
      </c>
      <c r="AR34" s="185" t="str">
        <f>IF(COUNTIF(K34:Q34,"F")&gt;0,"",IF(AQ34="PASS",'Statement of Marks'!HZ36,""))</f>
        <v/>
      </c>
      <c r="AS34" s="185" t="str">
        <f>IF(AQ34="PASS",'Statement of Marks'!IA36,"")</f>
        <v/>
      </c>
    </row>
    <row r="35" spans="1:45">
      <c r="A35" s="169">
        <f>IF('Statement of Marks'!A37="","",'Statement of Marks'!A37)</f>
        <v>31</v>
      </c>
      <c r="B35" s="169">
        <f>IF('Statement of Marks'!B37="","",'Statement of Marks'!B37)</f>
        <v>931</v>
      </c>
      <c r="C35" s="169" t="str">
        <f>IF('Statement of Marks'!D37="","",'Statement of Marks'!D37)</f>
        <v/>
      </c>
      <c r="D35" s="170" t="str">
        <f>IF('Statement of Marks'!E37="","",'Statement of Marks'!E37)</f>
        <v/>
      </c>
      <c r="E35" s="171" t="str">
        <f>IF('Statement of Marks'!F37="","",'Statement of Marks'!F37)</f>
        <v>RAVINDRA</v>
      </c>
      <c r="F35" s="171" t="str">
        <f>IF('Statement of Marks'!G37="","",'Statement of Marks'!G37)</f>
        <v/>
      </c>
      <c r="G35" s="171" t="str">
        <f>IF('Statement of Marks'!H37="","",'Statement of Marks'!H37)</f>
        <v/>
      </c>
      <c r="H35" s="172" t="str">
        <f>IF('Statement of Marks'!HS37="","",'Statement of Marks'!HS37)</f>
        <v>PASS</v>
      </c>
      <c r="I35" s="172" t="str">
        <f>IF('Statement of Marks'!HV37="","",'Statement of Marks'!HV37)</f>
        <v>1st</v>
      </c>
      <c r="J35" s="173">
        <f>IF('Statement of Marks'!HU37="","",'Statement of Marks'!HU37)</f>
        <v>61.583333333333336</v>
      </c>
      <c r="K35" s="181" t="str">
        <f>'Statement of Marks'!GN37</f>
        <v>II</v>
      </c>
      <c r="L35" s="181" t="str">
        <f>'Statement of Marks'!GQ37</f>
        <v>D</v>
      </c>
      <c r="M35" s="181" t="str">
        <f>'Statement of Marks'!GT37</f>
        <v>II</v>
      </c>
      <c r="N35" s="181" t="str">
        <f>'Statement of Marks'!HB37</f>
        <v>II</v>
      </c>
      <c r="O35" s="181" t="str">
        <f>'Statement of Marks'!HE37</f>
        <v>II</v>
      </c>
      <c r="P35" s="181" t="str">
        <f>'Statement of Marks'!HH37</f>
        <v>II</v>
      </c>
      <c r="Q35" s="181" t="str">
        <f>'Statement of Marks'!HK37</f>
        <v/>
      </c>
      <c r="R35" s="173" t="str">
        <f>IF(COUNTIF(K35:Q35,"F")&gt;0,"",CONCATENATE('Statement of Marks'!HO37,'Statement of Marks'!HQ37))</f>
        <v xml:space="preserve">            </v>
      </c>
      <c r="S35" s="174">
        <f t="shared" si="0"/>
        <v>0</v>
      </c>
      <c r="T35" s="5"/>
      <c r="U35" s="182" t="str">
        <f t="shared" si="1"/>
        <v/>
      </c>
      <c r="V35" s="182" t="str">
        <f t="shared" si="2"/>
        <v/>
      </c>
      <c r="W35" s="5"/>
      <c r="X35" s="182" t="str">
        <f t="shared" si="3"/>
        <v/>
      </c>
      <c r="Y35" s="182" t="str">
        <f t="shared" si="4"/>
        <v/>
      </c>
      <c r="Z35" s="5"/>
      <c r="AA35" s="182" t="str">
        <f t="shared" si="5"/>
        <v/>
      </c>
      <c r="AB35" s="183" t="str">
        <f t="shared" si="6"/>
        <v/>
      </c>
      <c r="AC35" s="5"/>
      <c r="AD35" s="182" t="str">
        <f t="shared" si="7"/>
        <v/>
      </c>
      <c r="AE35" s="183" t="str">
        <f t="shared" si="8"/>
        <v/>
      </c>
      <c r="AF35" s="5"/>
      <c r="AG35" s="182" t="str">
        <f t="shared" si="9"/>
        <v/>
      </c>
      <c r="AH35" s="183" t="str">
        <f t="shared" si="10"/>
        <v/>
      </c>
      <c r="AI35" s="5"/>
      <c r="AJ35" s="183" t="str">
        <f t="shared" si="11"/>
        <v/>
      </c>
      <c r="AK35" s="183" t="str">
        <f t="shared" si="12"/>
        <v/>
      </c>
      <c r="AL35" s="5"/>
      <c r="AM35" s="183" t="str">
        <f t="shared" si="13"/>
        <v/>
      </c>
      <c r="AN35" s="183" t="str">
        <f t="shared" si="14"/>
        <v/>
      </c>
      <c r="AO35" s="184">
        <f t="shared" si="15"/>
        <v>0</v>
      </c>
      <c r="AP35" s="184">
        <f t="shared" si="16"/>
        <v>0</v>
      </c>
      <c r="AQ35" s="608" t="str">
        <f t="shared" si="17"/>
        <v/>
      </c>
      <c r="AR35" s="185" t="str">
        <f>IF(COUNTIF(K35:Q35,"F")&gt;0,"",IF(AQ35="PASS",'Statement of Marks'!HZ37,""))</f>
        <v/>
      </c>
      <c r="AS35" s="185" t="str">
        <f>IF(AQ35="PASS",'Statement of Marks'!IA37,"")</f>
        <v/>
      </c>
    </row>
    <row r="36" spans="1:45">
      <c r="A36" s="169">
        <f>IF('Statement of Marks'!A38="","",'Statement of Marks'!A38)</f>
        <v>32</v>
      </c>
      <c r="B36" s="169" t="str">
        <f>IF('Statement of Marks'!B38="","",'Statement of Marks'!B38)</f>
        <v/>
      </c>
      <c r="C36" s="169" t="str">
        <f>IF('Statement of Marks'!D38="","",'Statement of Marks'!D38)</f>
        <v/>
      </c>
      <c r="D36" s="170" t="str">
        <f>IF('Statement of Marks'!E38="","",'Statement of Marks'!E38)</f>
        <v/>
      </c>
      <c r="E36" s="171" t="str">
        <f>IF('Statement of Marks'!F38="","",'Statement of Marks'!F38)</f>
        <v/>
      </c>
      <c r="F36" s="171" t="str">
        <f>IF('Statement of Marks'!G38="","",'Statement of Marks'!G38)</f>
        <v/>
      </c>
      <c r="G36" s="171" t="str">
        <f>IF('Statement of Marks'!H38="","",'Statement of Marks'!H38)</f>
        <v/>
      </c>
      <c r="H36" s="172" t="str">
        <f>IF('Statement of Marks'!HS38="","",'Statement of Marks'!HS38)</f>
        <v/>
      </c>
      <c r="I36" s="172" t="str">
        <f>IF('Statement of Marks'!HV38="","",'Statement of Marks'!HV38)</f>
        <v/>
      </c>
      <c r="J36" s="173" t="str">
        <f>IF('Statement of Marks'!HU38="","",'Statement of Marks'!HU38)</f>
        <v/>
      </c>
      <c r="K36" s="181" t="str">
        <f>'Statement of Marks'!GN38</f>
        <v/>
      </c>
      <c r="L36" s="181" t="str">
        <f>'Statement of Marks'!GQ38</f>
        <v/>
      </c>
      <c r="M36" s="181" t="str">
        <f>'Statement of Marks'!GT38</f>
        <v/>
      </c>
      <c r="N36" s="181" t="str">
        <f>'Statement of Marks'!HB38</f>
        <v/>
      </c>
      <c r="O36" s="181" t="str">
        <f>'Statement of Marks'!HE38</f>
        <v/>
      </c>
      <c r="P36" s="181" t="str">
        <f>'Statement of Marks'!HH38</f>
        <v/>
      </c>
      <c r="Q36" s="181" t="str">
        <f>'Statement of Marks'!HK38</f>
        <v/>
      </c>
      <c r="R36" s="173" t="str">
        <f>IF(COUNTIF(K36:Q36,"F")&gt;0,"",CONCATENATE('Statement of Marks'!HO38,'Statement of Marks'!HQ38))</f>
        <v xml:space="preserve">            </v>
      </c>
      <c r="S36" s="174">
        <f t="shared" si="0"/>
        <v>0</v>
      </c>
      <c r="T36" s="5"/>
      <c r="U36" s="182" t="str">
        <f t="shared" si="1"/>
        <v/>
      </c>
      <c r="V36" s="182" t="str">
        <f t="shared" si="2"/>
        <v/>
      </c>
      <c r="W36" s="5"/>
      <c r="X36" s="182" t="str">
        <f t="shared" si="3"/>
        <v/>
      </c>
      <c r="Y36" s="182" t="str">
        <f t="shared" si="4"/>
        <v/>
      </c>
      <c r="Z36" s="5"/>
      <c r="AA36" s="182" t="str">
        <f t="shared" si="5"/>
        <v/>
      </c>
      <c r="AB36" s="183" t="str">
        <f t="shared" si="6"/>
        <v/>
      </c>
      <c r="AC36" s="5"/>
      <c r="AD36" s="182" t="str">
        <f t="shared" si="7"/>
        <v/>
      </c>
      <c r="AE36" s="183" t="str">
        <f t="shared" si="8"/>
        <v/>
      </c>
      <c r="AF36" s="5"/>
      <c r="AG36" s="182" t="str">
        <f t="shared" si="9"/>
        <v/>
      </c>
      <c r="AH36" s="183" t="str">
        <f t="shared" si="10"/>
        <v/>
      </c>
      <c r="AI36" s="5"/>
      <c r="AJ36" s="183" t="str">
        <f t="shared" si="11"/>
        <v/>
      </c>
      <c r="AK36" s="183" t="str">
        <f t="shared" si="12"/>
        <v/>
      </c>
      <c r="AL36" s="5"/>
      <c r="AM36" s="183" t="str">
        <f t="shared" si="13"/>
        <v/>
      </c>
      <c r="AN36" s="183" t="str">
        <f t="shared" si="14"/>
        <v/>
      </c>
      <c r="AO36" s="184">
        <f t="shared" si="15"/>
        <v>0</v>
      </c>
      <c r="AP36" s="184">
        <f t="shared" si="16"/>
        <v>0</v>
      </c>
      <c r="AQ36" s="608" t="str">
        <f t="shared" si="17"/>
        <v/>
      </c>
      <c r="AR36" s="185" t="str">
        <f>IF(COUNTIF(K36:Q36,"F")&gt;0,"",IF(AQ36="PASS",'Statement of Marks'!HZ38,""))</f>
        <v/>
      </c>
      <c r="AS36" s="185" t="str">
        <f>IF(AQ36="PASS",'Statement of Marks'!IA38,"")</f>
        <v/>
      </c>
    </row>
    <row r="37" spans="1:45">
      <c r="A37" s="169">
        <f>IF('Statement of Marks'!A39="","",'Statement of Marks'!A39)</f>
        <v>33</v>
      </c>
      <c r="B37" s="169" t="str">
        <f>IF('Statement of Marks'!B39="","",'Statement of Marks'!B39)</f>
        <v/>
      </c>
      <c r="C37" s="169" t="str">
        <f>IF('Statement of Marks'!D39="","",'Statement of Marks'!D39)</f>
        <v/>
      </c>
      <c r="D37" s="170" t="str">
        <f>IF('Statement of Marks'!E39="","",'Statement of Marks'!E39)</f>
        <v/>
      </c>
      <c r="E37" s="171" t="str">
        <f>IF('Statement of Marks'!F39="","",'Statement of Marks'!F39)</f>
        <v/>
      </c>
      <c r="F37" s="171" t="str">
        <f>IF('Statement of Marks'!G39="","",'Statement of Marks'!G39)</f>
        <v/>
      </c>
      <c r="G37" s="171" t="str">
        <f>IF('Statement of Marks'!H39="","",'Statement of Marks'!H39)</f>
        <v/>
      </c>
      <c r="H37" s="172" t="str">
        <f>IF('Statement of Marks'!HS39="","",'Statement of Marks'!HS39)</f>
        <v/>
      </c>
      <c r="I37" s="172" t="str">
        <f>IF('Statement of Marks'!HV39="","",'Statement of Marks'!HV39)</f>
        <v/>
      </c>
      <c r="J37" s="173" t="str">
        <f>IF('Statement of Marks'!HU39="","",'Statement of Marks'!HU39)</f>
        <v/>
      </c>
      <c r="K37" s="181" t="str">
        <f>'Statement of Marks'!GN39</f>
        <v/>
      </c>
      <c r="L37" s="181" t="str">
        <f>'Statement of Marks'!GQ39</f>
        <v/>
      </c>
      <c r="M37" s="181" t="str">
        <f>'Statement of Marks'!GT39</f>
        <v/>
      </c>
      <c r="N37" s="181" t="str">
        <f>'Statement of Marks'!HB39</f>
        <v/>
      </c>
      <c r="O37" s="181" t="str">
        <f>'Statement of Marks'!HE39</f>
        <v/>
      </c>
      <c r="P37" s="181" t="str">
        <f>'Statement of Marks'!HH39</f>
        <v/>
      </c>
      <c r="Q37" s="181" t="str">
        <f>'Statement of Marks'!HK39</f>
        <v/>
      </c>
      <c r="R37" s="173" t="str">
        <f>IF(COUNTIF(K37:Q37,"F")&gt;0,"",CONCATENATE('Statement of Marks'!HO39,'Statement of Marks'!HQ39))</f>
        <v xml:space="preserve">            </v>
      </c>
      <c r="S37" s="174">
        <f t="shared" si="0"/>
        <v>0</v>
      </c>
      <c r="T37" s="5"/>
      <c r="U37" s="182" t="str">
        <f t="shared" si="1"/>
        <v/>
      </c>
      <c r="V37" s="182" t="str">
        <f t="shared" si="2"/>
        <v/>
      </c>
      <c r="W37" s="5"/>
      <c r="X37" s="182" t="str">
        <f t="shared" si="3"/>
        <v/>
      </c>
      <c r="Y37" s="182" t="str">
        <f t="shared" si="4"/>
        <v/>
      </c>
      <c r="Z37" s="5"/>
      <c r="AA37" s="182" t="str">
        <f t="shared" si="5"/>
        <v/>
      </c>
      <c r="AB37" s="183" t="str">
        <f t="shared" si="6"/>
        <v/>
      </c>
      <c r="AC37" s="5"/>
      <c r="AD37" s="182" t="str">
        <f t="shared" si="7"/>
        <v/>
      </c>
      <c r="AE37" s="183" t="str">
        <f t="shared" si="8"/>
        <v/>
      </c>
      <c r="AF37" s="5"/>
      <c r="AG37" s="182" t="str">
        <f t="shared" si="9"/>
        <v/>
      </c>
      <c r="AH37" s="183" t="str">
        <f t="shared" si="10"/>
        <v/>
      </c>
      <c r="AI37" s="5"/>
      <c r="AJ37" s="183" t="str">
        <f t="shared" si="11"/>
        <v/>
      </c>
      <c r="AK37" s="183" t="str">
        <f t="shared" si="12"/>
        <v/>
      </c>
      <c r="AL37" s="5"/>
      <c r="AM37" s="183" t="str">
        <f t="shared" si="13"/>
        <v/>
      </c>
      <c r="AN37" s="183" t="str">
        <f t="shared" si="14"/>
        <v/>
      </c>
      <c r="AO37" s="184">
        <f t="shared" si="15"/>
        <v>0</v>
      </c>
      <c r="AP37" s="184">
        <f t="shared" si="16"/>
        <v>0</v>
      </c>
      <c r="AQ37" s="608" t="str">
        <f t="shared" si="17"/>
        <v/>
      </c>
      <c r="AR37" s="185" t="str">
        <f>IF(COUNTIF(K37:Q37,"F")&gt;0,"",IF(AQ37="PASS",'Statement of Marks'!HZ39,""))</f>
        <v/>
      </c>
      <c r="AS37" s="185" t="str">
        <f>IF(AQ37="PASS",'Statement of Marks'!IA39,"")</f>
        <v/>
      </c>
    </row>
    <row r="38" spans="1:45">
      <c r="A38" s="169">
        <f>IF('Statement of Marks'!A40="","",'Statement of Marks'!A40)</f>
        <v>34</v>
      </c>
      <c r="B38" s="169" t="str">
        <f>IF('Statement of Marks'!B40="","",'Statement of Marks'!B40)</f>
        <v/>
      </c>
      <c r="C38" s="169" t="str">
        <f>IF('Statement of Marks'!D40="","",'Statement of Marks'!D40)</f>
        <v/>
      </c>
      <c r="D38" s="170" t="str">
        <f>IF('Statement of Marks'!E40="","",'Statement of Marks'!E40)</f>
        <v/>
      </c>
      <c r="E38" s="171" t="str">
        <f>IF('Statement of Marks'!F40="","",'Statement of Marks'!F40)</f>
        <v/>
      </c>
      <c r="F38" s="171" t="str">
        <f>IF('Statement of Marks'!G40="","",'Statement of Marks'!G40)</f>
        <v/>
      </c>
      <c r="G38" s="171" t="str">
        <f>IF('Statement of Marks'!H40="","",'Statement of Marks'!H40)</f>
        <v/>
      </c>
      <c r="H38" s="172" t="str">
        <f>IF('Statement of Marks'!HS40="","",'Statement of Marks'!HS40)</f>
        <v/>
      </c>
      <c r="I38" s="172" t="str">
        <f>IF('Statement of Marks'!HV40="","",'Statement of Marks'!HV40)</f>
        <v/>
      </c>
      <c r="J38" s="173" t="str">
        <f>IF('Statement of Marks'!HU40="","",'Statement of Marks'!HU40)</f>
        <v/>
      </c>
      <c r="K38" s="181" t="str">
        <f>'Statement of Marks'!GN40</f>
        <v/>
      </c>
      <c r="L38" s="181" t="str">
        <f>'Statement of Marks'!GQ40</f>
        <v/>
      </c>
      <c r="M38" s="181" t="str">
        <f>'Statement of Marks'!GT40</f>
        <v/>
      </c>
      <c r="N38" s="181" t="str">
        <f>'Statement of Marks'!HB40</f>
        <v/>
      </c>
      <c r="O38" s="181" t="str">
        <f>'Statement of Marks'!HE40</f>
        <v/>
      </c>
      <c r="P38" s="181" t="str">
        <f>'Statement of Marks'!HH40</f>
        <v/>
      </c>
      <c r="Q38" s="181" t="str">
        <f>'Statement of Marks'!HK40</f>
        <v/>
      </c>
      <c r="R38" s="173" t="str">
        <f>IF(COUNTIF(K38:Q38,"F")&gt;0,"",CONCATENATE('Statement of Marks'!HO40,'Statement of Marks'!HQ40))</f>
        <v xml:space="preserve">            </v>
      </c>
      <c r="S38" s="174">
        <f t="shared" si="0"/>
        <v>0</v>
      </c>
      <c r="T38" s="5"/>
      <c r="U38" s="182" t="str">
        <f t="shared" si="1"/>
        <v/>
      </c>
      <c r="V38" s="182" t="str">
        <f t="shared" si="2"/>
        <v/>
      </c>
      <c r="W38" s="5"/>
      <c r="X38" s="182" t="str">
        <f t="shared" si="3"/>
        <v/>
      </c>
      <c r="Y38" s="182" t="str">
        <f t="shared" si="4"/>
        <v/>
      </c>
      <c r="Z38" s="5"/>
      <c r="AA38" s="182" t="str">
        <f t="shared" si="5"/>
        <v/>
      </c>
      <c r="AB38" s="183" t="str">
        <f t="shared" si="6"/>
        <v/>
      </c>
      <c r="AC38" s="5"/>
      <c r="AD38" s="182" t="str">
        <f t="shared" si="7"/>
        <v/>
      </c>
      <c r="AE38" s="183" t="str">
        <f t="shared" si="8"/>
        <v/>
      </c>
      <c r="AF38" s="5"/>
      <c r="AG38" s="182" t="str">
        <f t="shared" si="9"/>
        <v/>
      </c>
      <c r="AH38" s="183" t="str">
        <f t="shared" si="10"/>
        <v/>
      </c>
      <c r="AI38" s="5"/>
      <c r="AJ38" s="183" t="str">
        <f t="shared" si="11"/>
        <v/>
      </c>
      <c r="AK38" s="183" t="str">
        <f t="shared" si="12"/>
        <v/>
      </c>
      <c r="AL38" s="5"/>
      <c r="AM38" s="183" t="str">
        <f t="shared" si="13"/>
        <v/>
      </c>
      <c r="AN38" s="183" t="str">
        <f t="shared" si="14"/>
        <v/>
      </c>
      <c r="AO38" s="184">
        <f t="shared" si="15"/>
        <v>0</v>
      </c>
      <c r="AP38" s="184">
        <f t="shared" si="16"/>
        <v>0</v>
      </c>
      <c r="AQ38" s="608" t="str">
        <f t="shared" si="17"/>
        <v/>
      </c>
      <c r="AR38" s="185" t="str">
        <f>IF(COUNTIF(K38:Q38,"F")&gt;0,"",IF(AQ38="PASS",'Statement of Marks'!HZ40,""))</f>
        <v/>
      </c>
      <c r="AS38" s="185" t="str">
        <f>IF(AQ38="PASS",'Statement of Marks'!IA40,"")</f>
        <v/>
      </c>
    </row>
    <row r="39" spans="1:45">
      <c r="A39" s="169">
        <f>IF('Statement of Marks'!A41="","",'Statement of Marks'!A41)</f>
        <v>35</v>
      </c>
      <c r="B39" s="169" t="str">
        <f>IF('Statement of Marks'!B41="","",'Statement of Marks'!B41)</f>
        <v/>
      </c>
      <c r="C39" s="169" t="str">
        <f>IF('Statement of Marks'!D41="","",'Statement of Marks'!D41)</f>
        <v/>
      </c>
      <c r="D39" s="170" t="str">
        <f>IF('Statement of Marks'!E41="","",'Statement of Marks'!E41)</f>
        <v/>
      </c>
      <c r="E39" s="171" t="str">
        <f>IF('Statement of Marks'!F41="","",'Statement of Marks'!F41)</f>
        <v/>
      </c>
      <c r="F39" s="171" t="str">
        <f>IF('Statement of Marks'!G41="","",'Statement of Marks'!G41)</f>
        <v/>
      </c>
      <c r="G39" s="171" t="str">
        <f>IF('Statement of Marks'!H41="","",'Statement of Marks'!H41)</f>
        <v/>
      </c>
      <c r="H39" s="172" t="str">
        <f>IF('Statement of Marks'!HS41="","",'Statement of Marks'!HS41)</f>
        <v/>
      </c>
      <c r="I39" s="172" t="str">
        <f>IF('Statement of Marks'!HV41="","",'Statement of Marks'!HV41)</f>
        <v/>
      </c>
      <c r="J39" s="173" t="str">
        <f>IF('Statement of Marks'!HU41="","",'Statement of Marks'!HU41)</f>
        <v/>
      </c>
      <c r="K39" s="181" t="str">
        <f>'Statement of Marks'!GN41</f>
        <v/>
      </c>
      <c r="L39" s="181" t="str">
        <f>'Statement of Marks'!GQ41</f>
        <v/>
      </c>
      <c r="M39" s="181" t="str">
        <f>'Statement of Marks'!GT41</f>
        <v/>
      </c>
      <c r="N39" s="181" t="str">
        <f>'Statement of Marks'!HB41</f>
        <v/>
      </c>
      <c r="O39" s="181" t="str">
        <f>'Statement of Marks'!HE41</f>
        <v/>
      </c>
      <c r="P39" s="181" t="str">
        <f>'Statement of Marks'!HH41</f>
        <v/>
      </c>
      <c r="Q39" s="181" t="str">
        <f>'Statement of Marks'!HK41</f>
        <v/>
      </c>
      <c r="R39" s="173" t="str">
        <f>IF(COUNTIF(K39:Q39,"F")&gt;0,"",CONCATENATE('Statement of Marks'!HO41,'Statement of Marks'!HQ41))</f>
        <v xml:space="preserve">            </v>
      </c>
      <c r="S39" s="174">
        <f t="shared" si="0"/>
        <v>0</v>
      </c>
      <c r="T39" s="5"/>
      <c r="U39" s="182" t="str">
        <f t="shared" si="1"/>
        <v/>
      </c>
      <c r="V39" s="182" t="str">
        <f t="shared" si="2"/>
        <v/>
      </c>
      <c r="W39" s="5"/>
      <c r="X39" s="182" t="str">
        <f t="shared" si="3"/>
        <v/>
      </c>
      <c r="Y39" s="182" t="str">
        <f t="shared" si="4"/>
        <v/>
      </c>
      <c r="Z39" s="5"/>
      <c r="AA39" s="182" t="str">
        <f t="shared" si="5"/>
        <v/>
      </c>
      <c r="AB39" s="183" t="str">
        <f t="shared" si="6"/>
        <v/>
      </c>
      <c r="AC39" s="5"/>
      <c r="AD39" s="182" t="str">
        <f t="shared" si="7"/>
        <v/>
      </c>
      <c r="AE39" s="183" t="str">
        <f t="shared" si="8"/>
        <v/>
      </c>
      <c r="AF39" s="5"/>
      <c r="AG39" s="182" t="str">
        <f t="shared" si="9"/>
        <v/>
      </c>
      <c r="AH39" s="183" t="str">
        <f t="shared" si="10"/>
        <v/>
      </c>
      <c r="AI39" s="5"/>
      <c r="AJ39" s="183" t="str">
        <f t="shared" si="11"/>
        <v/>
      </c>
      <c r="AK39" s="183" t="str">
        <f t="shared" si="12"/>
        <v/>
      </c>
      <c r="AL39" s="5"/>
      <c r="AM39" s="183" t="str">
        <f t="shared" si="13"/>
        <v/>
      </c>
      <c r="AN39" s="183" t="str">
        <f t="shared" si="14"/>
        <v/>
      </c>
      <c r="AO39" s="184">
        <f t="shared" si="15"/>
        <v>0</v>
      </c>
      <c r="AP39" s="184">
        <f t="shared" si="16"/>
        <v>0</v>
      </c>
      <c r="AQ39" s="608" t="str">
        <f t="shared" si="17"/>
        <v/>
      </c>
      <c r="AR39" s="185" t="str">
        <f>IF(COUNTIF(K39:Q39,"F")&gt;0,"",IF(AQ39="PASS",'Statement of Marks'!HZ41,""))</f>
        <v/>
      </c>
      <c r="AS39" s="185" t="str">
        <f>IF(AQ39="PASS",'Statement of Marks'!IA41,"")</f>
        <v/>
      </c>
    </row>
    <row r="40" spans="1:45">
      <c r="A40" s="169">
        <f>IF('Statement of Marks'!A42="","",'Statement of Marks'!A42)</f>
        <v>36</v>
      </c>
      <c r="B40" s="169" t="str">
        <f>IF('Statement of Marks'!B42="","",'Statement of Marks'!B42)</f>
        <v/>
      </c>
      <c r="C40" s="169" t="str">
        <f>IF('Statement of Marks'!D42="","",'Statement of Marks'!D42)</f>
        <v/>
      </c>
      <c r="D40" s="170" t="str">
        <f>IF('Statement of Marks'!E42="","",'Statement of Marks'!E42)</f>
        <v/>
      </c>
      <c r="E40" s="171" t="str">
        <f>IF('Statement of Marks'!F42="","",'Statement of Marks'!F42)</f>
        <v/>
      </c>
      <c r="F40" s="171" t="str">
        <f>IF('Statement of Marks'!G42="","",'Statement of Marks'!G42)</f>
        <v/>
      </c>
      <c r="G40" s="171" t="str">
        <f>IF('Statement of Marks'!H42="","",'Statement of Marks'!H42)</f>
        <v/>
      </c>
      <c r="H40" s="172" t="str">
        <f>IF('Statement of Marks'!HS42="","",'Statement of Marks'!HS42)</f>
        <v/>
      </c>
      <c r="I40" s="172" t="str">
        <f>IF('Statement of Marks'!HV42="","",'Statement of Marks'!HV42)</f>
        <v/>
      </c>
      <c r="J40" s="173" t="str">
        <f>IF('Statement of Marks'!HU42="","",'Statement of Marks'!HU42)</f>
        <v/>
      </c>
      <c r="K40" s="181" t="str">
        <f>'Statement of Marks'!GN42</f>
        <v/>
      </c>
      <c r="L40" s="181" t="str">
        <f>'Statement of Marks'!GQ42</f>
        <v/>
      </c>
      <c r="M40" s="181" t="str">
        <f>'Statement of Marks'!GT42</f>
        <v/>
      </c>
      <c r="N40" s="181" t="str">
        <f>'Statement of Marks'!HB42</f>
        <v/>
      </c>
      <c r="O40" s="181" t="str">
        <f>'Statement of Marks'!HE42</f>
        <v/>
      </c>
      <c r="P40" s="181" t="str">
        <f>'Statement of Marks'!HH42</f>
        <v/>
      </c>
      <c r="Q40" s="181" t="str">
        <f>'Statement of Marks'!HK42</f>
        <v/>
      </c>
      <c r="R40" s="173" t="str">
        <f>IF(COUNTIF(K40:Q40,"F")&gt;0,"",CONCATENATE('Statement of Marks'!HO42,'Statement of Marks'!HQ42))</f>
        <v xml:space="preserve">            </v>
      </c>
      <c r="S40" s="174">
        <f t="shared" si="0"/>
        <v>0</v>
      </c>
      <c r="T40" s="5"/>
      <c r="U40" s="182" t="str">
        <f t="shared" si="1"/>
        <v/>
      </c>
      <c r="V40" s="182" t="str">
        <f t="shared" si="2"/>
        <v/>
      </c>
      <c r="W40" s="5"/>
      <c r="X40" s="182" t="str">
        <f t="shared" si="3"/>
        <v/>
      </c>
      <c r="Y40" s="182" t="str">
        <f t="shared" si="4"/>
        <v/>
      </c>
      <c r="Z40" s="5"/>
      <c r="AA40" s="182" t="str">
        <f t="shared" si="5"/>
        <v/>
      </c>
      <c r="AB40" s="183" t="str">
        <f t="shared" si="6"/>
        <v/>
      </c>
      <c r="AC40" s="5"/>
      <c r="AD40" s="182" t="str">
        <f t="shared" si="7"/>
        <v/>
      </c>
      <c r="AE40" s="183" t="str">
        <f t="shared" si="8"/>
        <v/>
      </c>
      <c r="AF40" s="5"/>
      <c r="AG40" s="182" t="str">
        <f t="shared" si="9"/>
        <v/>
      </c>
      <c r="AH40" s="183" t="str">
        <f t="shared" si="10"/>
        <v/>
      </c>
      <c r="AI40" s="5"/>
      <c r="AJ40" s="183" t="str">
        <f t="shared" si="11"/>
        <v/>
      </c>
      <c r="AK40" s="183" t="str">
        <f t="shared" si="12"/>
        <v/>
      </c>
      <c r="AL40" s="5"/>
      <c r="AM40" s="183" t="str">
        <f t="shared" si="13"/>
        <v/>
      </c>
      <c r="AN40" s="183" t="str">
        <f t="shared" si="14"/>
        <v/>
      </c>
      <c r="AO40" s="184">
        <f t="shared" si="15"/>
        <v>0</v>
      </c>
      <c r="AP40" s="184">
        <f t="shared" si="16"/>
        <v>0</v>
      </c>
      <c r="AQ40" s="608" t="str">
        <f t="shared" si="17"/>
        <v/>
      </c>
      <c r="AR40" s="185" t="str">
        <f>IF(COUNTIF(K40:Q40,"F")&gt;0,"",IF(AQ40="PASS",'Statement of Marks'!HZ42,""))</f>
        <v/>
      </c>
      <c r="AS40" s="185" t="str">
        <f>IF(AQ40="PASS",'Statement of Marks'!IA42,"")</f>
        <v/>
      </c>
    </row>
    <row r="41" spans="1:45">
      <c r="A41" s="169">
        <f>IF('Statement of Marks'!A43="","",'Statement of Marks'!A43)</f>
        <v>37</v>
      </c>
      <c r="B41" s="169" t="str">
        <f>IF('Statement of Marks'!B43="","",'Statement of Marks'!B43)</f>
        <v/>
      </c>
      <c r="C41" s="169" t="str">
        <f>IF('Statement of Marks'!D43="","",'Statement of Marks'!D43)</f>
        <v/>
      </c>
      <c r="D41" s="170" t="str">
        <f>IF('Statement of Marks'!E43="","",'Statement of Marks'!E43)</f>
        <v/>
      </c>
      <c r="E41" s="171" t="str">
        <f>IF('Statement of Marks'!F43="","",'Statement of Marks'!F43)</f>
        <v/>
      </c>
      <c r="F41" s="171" t="str">
        <f>IF('Statement of Marks'!G43="","",'Statement of Marks'!G43)</f>
        <v/>
      </c>
      <c r="G41" s="171" t="str">
        <f>IF('Statement of Marks'!H43="","",'Statement of Marks'!H43)</f>
        <v/>
      </c>
      <c r="H41" s="172" t="str">
        <f>IF('Statement of Marks'!HS43="","",'Statement of Marks'!HS43)</f>
        <v/>
      </c>
      <c r="I41" s="172" t="str">
        <f>IF('Statement of Marks'!HV43="","",'Statement of Marks'!HV43)</f>
        <v/>
      </c>
      <c r="J41" s="173" t="str">
        <f>IF('Statement of Marks'!HU43="","",'Statement of Marks'!HU43)</f>
        <v/>
      </c>
      <c r="K41" s="181" t="str">
        <f>'Statement of Marks'!GN43</f>
        <v/>
      </c>
      <c r="L41" s="181" t="str">
        <f>'Statement of Marks'!GQ43</f>
        <v/>
      </c>
      <c r="M41" s="181" t="str">
        <f>'Statement of Marks'!GT43</f>
        <v/>
      </c>
      <c r="N41" s="181" t="str">
        <f>'Statement of Marks'!HB43</f>
        <v/>
      </c>
      <c r="O41" s="181" t="str">
        <f>'Statement of Marks'!HE43</f>
        <v/>
      </c>
      <c r="P41" s="181" t="str">
        <f>'Statement of Marks'!HH43</f>
        <v/>
      </c>
      <c r="Q41" s="181" t="str">
        <f>'Statement of Marks'!HK43</f>
        <v/>
      </c>
      <c r="R41" s="173" t="str">
        <f>IF(COUNTIF(K41:Q41,"F")&gt;0,"",CONCATENATE('Statement of Marks'!HO43,'Statement of Marks'!HQ43))</f>
        <v xml:space="preserve">            </v>
      </c>
      <c r="S41" s="174">
        <f t="shared" si="0"/>
        <v>0</v>
      </c>
      <c r="T41" s="5"/>
      <c r="U41" s="182" t="str">
        <f t="shared" si="1"/>
        <v/>
      </c>
      <c r="V41" s="182" t="str">
        <f t="shared" si="2"/>
        <v/>
      </c>
      <c r="W41" s="5"/>
      <c r="X41" s="182" t="str">
        <f t="shared" si="3"/>
        <v/>
      </c>
      <c r="Y41" s="182" t="str">
        <f t="shared" si="4"/>
        <v/>
      </c>
      <c r="Z41" s="5"/>
      <c r="AA41" s="182" t="str">
        <f t="shared" si="5"/>
        <v/>
      </c>
      <c r="AB41" s="183" t="str">
        <f t="shared" si="6"/>
        <v/>
      </c>
      <c r="AC41" s="5"/>
      <c r="AD41" s="182" t="str">
        <f t="shared" si="7"/>
        <v/>
      </c>
      <c r="AE41" s="183" t="str">
        <f t="shared" si="8"/>
        <v/>
      </c>
      <c r="AF41" s="5"/>
      <c r="AG41" s="182" t="str">
        <f t="shared" si="9"/>
        <v/>
      </c>
      <c r="AH41" s="183" t="str">
        <f t="shared" si="10"/>
        <v/>
      </c>
      <c r="AI41" s="5"/>
      <c r="AJ41" s="183" t="str">
        <f t="shared" si="11"/>
        <v/>
      </c>
      <c r="AK41" s="183" t="str">
        <f t="shared" si="12"/>
        <v/>
      </c>
      <c r="AL41" s="5"/>
      <c r="AM41" s="183" t="str">
        <f t="shared" si="13"/>
        <v/>
      </c>
      <c r="AN41" s="183" t="str">
        <f t="shared" si="14"/>
        <v/>
      </c>
      <c r="AO41" s="184">
        <f t="shared" si="15"/>
        <v>0</v>
      </c>
      <c r="AP41" s="184">
        <f t="shared" si="16"/>
        <v>0</v>
      </c>
      <c r="AQ41" s="608" t="str">
        <f t="shared" si="17"/>
        <v/>
      </c>
      <c r="AR41" s="185" t="str">
        <f>IF(COUNTIF(K41:Q41,"F")&gt;0,"",IF(AQ41="PASS",'Statement of Marks'!HZ43,""))</f>
        <v/>
      </c>
      <c r="AS41" s="185" t="str">
        <f>IF(AQ41="PASS",'Statement of Marks'!IA43,"")</f>
        <v/>
      </c>
    </row>
    <row r="42" spans="1:45">
      <c r="A42" s="169">
        <f>IF('Statement of Marks'!A44="","",'Statement of Marks'!A44)</f>
        <v>38</v>
      </c>
      <c r="B42" s="169" t="str">
        <f>IF('Statement of Marks'!B44="","",'Statement of Marks'!B44)</f>
        <v/>
      </c>
      <c r="C42" s="169" t="str">
        <f>IF('Statement of Marks'!D44="","",'Statement of Marks'!D44)</f>
        <v/>
      </c>
      <c r="D42" s="170" t="str">
        <f>IF('Statement of Marks'!E44="","",'Statement of Marks'!E44)</f>
        <v/>
      </c>
      <c r="E42" s="171" t="str">
        <f>IF('Statement of Marks'!F44="","",'Statement of Marks'!F44)</f>
        <v/>
      </c>
      <c r="F42" s="171" t="str">
        <f>IF('Statement of Marks'!G44="","",'Statement of Marks'!G44)</f>
        <v/>
      </c>
      <c r="G42" s="171" t="str">
        <f>IF('Statement of Marks'!H44="","",'Statement of Marks'!H44)</f>
        <v/>
      </c>
      <c r="H42" s="172" t="str">
        <f>IF('Statement of Marks'!HS44="","",'Statement of Marks'!HS44)</f>
        <v/>
      </c>
      <c r="I42" s="172" t="str">
        <f>IF('Statement of Marks'!HV44="","",'Statement of Marks'!HV44)</f>
        <v/>
      </c>
      <c r="J42" s="173" t="str">
        <f>IF('Statement of Marks'!HU44="","",'Statement of Marks'!HU44)</f>
        <v/>
      </c>
      <c r="K42" s="181" t="str">
        <f>'Statement of Marks'!GN44</f>
        <v/>
      </c>
      <c r="L42" s="181" t="str">
        <f>'Statement of Marks'!GQ44</f>
        <v/>
      </c>
      <c r="M42" s="181" t="str">
        <f>'Statement of Marks'!GT44</f>
        <v/>
      </c>
      <c r="N42" s="181" t="str">
        <f>'Statement of Marks'!HB44</f>
        <v/>
      </c>
      <c r="O42" s="181" t="str">
        <f>'Statement of Marks'!HE44</f>
        <v/>
      </c>
      <c r="P42" s="181" t="str">
        <f>'Statement of Marks'!HH44</f>
        <v/>
      </c>
      <c r="Q42" s="181" t="str">
        <f>'Statement of Marks'!HK44</f>
        <v/>
      </c>
      <c r="R42" s="173" t="str">
        <f>IF(COUNTIF(K42:Q42,"F")&gt;0,"",CONCATENATE('Statement of Marks'!HO44,'Statement of Marks'!HQ44))</f>
        <v xml:space="preserve">            </v>
      </c>
      <c r="S42" s="174">
        <f t="shared" si="0"/>
        <v>0</v>
      </c>
      <c r="T42" s="5"/>
      <c r="U42" s="182" t="str">
        <f t="shared" si="1"/>
        <v/>
      </c>
      <c r="V42" s="182" t="str">
        <f t="shared" si="2"/>
        <v/>
      </c>
      <c r="W42" s="5"/>
      <c r="X42" s="182" t="str">
        <f t="shared" si="3"/>
        <v/>
      </c>
      <c r="Y42" s="182" t="str">
        <f t="shared" si="4"/>
        <v/>
      </c>
      <c r="Z42" s="5"/>
      <c r="AA42" s="182" t="str">
        <f t="shared" si="5"/>
        <v/>
      </c>
      <c r="AB42" s="183" t="str">
        <f t="shared" si="6"/>
        <v/>
      </c>
      <c r="AC42" s="5"/>
      <c r="AD42" s="182" t="str">
        <f t="shared" si="7"/>
        <v/>
      </c>
      <c r="AE42" s="183" t="str">
        <f t="shared" si="8"/>
        <v/>
      </c>
      <c r="AF42" s="5"/>
      <c r="AG42" s="182" t="str">
        <f t="shared" si="9"/>
        <v/>
      </c>
      <c r="AH42" s="183" t="str">
        <f t="shared" si="10"/>
        <v/>
      </c>
      <c r="AI42" s="5"/>
      <c r="AJ42" s="183" t="str">
        <f t="shared" si="11"/>
        <v/>
      </c>
      <c r="AK42" s="183" t="str">
        <f t="shared" si="12"/>
        <v/>
      </c>
      <c r="AL42" s="5"/>
      <c r="AM42" s="183" t="str">
        <f t="shared" si="13"/>
        <v/>
      </c>
      <c r="AN42" s="183" t="str">
        <f t="shared" si="14"/>
        <v/>
      </c>
      <c r="AO42" s="184">
        <f t="shared" si="15"/>
        <v>0</v>
      </c>
      <c r="AP42" s="184">
        <f t="shared" si="16"/>
        <v>0</v>
      </c>
      <c r="AQ42" s="608" t="str">
        <f t="shared" si="17"/>
        <v/>
      </c>
      <c r="AR42" s="185" t="str">
        <f>IF(COUNTIF(K42:Q42,"F")&gt;0,"",IF(AQ42="PASS",'Statement of Marks'!HZ44,""))</f>
        <v/>
      </c>
      <c r="AS42" s="185" t="str">
        <f>IF(AQ42="PASS",'Statement of Marks'!IA44,"")</f>
        <v/>
      </c>
    </row>
    <row r="43" spans="1:45">
      <c r="A43" s="169">
        <f>IF('Statement of Marks'!A45="","",'Statement of Marks'!A45)</f>
        <v>39</v>
      </c>
      <c r="B43" s="169" t="str">
        <f>IF('Statement of Marks'!B45="","",'Statement of Marks'!B45)</f>
        <v/>
      </c>
      <c r="C43" s="169" t="str">
        <f>IF('Statement of Marks'!D45="","",'Statement of Marks'!D45)</f>
        <v/>
      </c>
      <c r="D43" s="170" t="str">
        <f>IF('Statement of Marks'!E45="","",'Statement of Marks'!E45)</f>
        <v/>
      </c>
      <c r="E43" s="171" t="str">
        <f>IF('Statement of Marks'!F45="","",'Statement of Marks'!F45)</f>
        <v/>
      </c>
      <c r="F43" s="171" t="str">
        <f>IF('Statement of Marks'!G45="","",'Statement of Marks'!G45)</f>
        <v/>
      </c>
      <c r="G43" s="171" t="str">
        <f>IF('Statement of Marks'!H45="","",'Statement of Marks'!H45)</f>
        <v/>
      </c>
      <c r="H43" s="172" t="str">
        <f>IF('Statement of Marks'!HS45="","",'Statement of Marks'!HS45)</f>
        <v/>
      </c>
      <c r="I43" s="172" t="str">
        <f>IF('Statement of Marks'!HV45="","",'Statement of Marks'!HV45)</f>
        <v/>
      </c>
      <c r="J43" s="173" t="str">
        <f>IF('Statement of Marks'!HU45="","",'Statement of Marks'!HU45)</f>
        <v/>
      </c>
      <c r="K43" s="181" t="str">
        <f>'Statement of Marks'!GN45</f>
        <v/>
      </c>
      <c r="L43" s="181" t="str">
        <f>'Statement of Marks'!GQ45</f>
        <v/>
      </c>
      <c r="M43" s="181" t="str">
        <f>'Statement of Marks'!GT45</f>
        <v/>
      </c>
      <c r="N43" s="181" t="str">
        <f>'Statement of Marks'!HB45</f>
        <v/>
      </c>
      <c r="O43" s="181" t="str">
        <f>'Statement of Marks'!HE45</f>
        <v/>
      </c>
      <c r="P43" s="181" t="str">
        <f>'Statement of Marks'!HH45</f>
        <v/>
      </c>
      <c r="Q43" s="181" t="str">
        <f>'Statement of Marks'!HK45</f>
        <v/>
      </c>
      <c r="R43" s="173" t="str">
        <f>IF(COUNTIF(K43:Q43,"F")&gt;0,"",CONCATENATE('Statement of Marks'!HO45,'Statement of Marks'!HQ45))</f>
        <v xml:space="preserve">            </v>
      </c>
      <c r="S43" s="174">
        <f t="shared" si="0"/>
        <v>0</v>
      </c>
      <c r="T43" s="5"/>
      <c r="U43" s="182" t="str">
        <f t="shared" si="1"/>
        <v/>
      </c>
      <c r="V43" s="182" t="str">
        <f t="shared" si="2"/>
        <v/>
      </c>
      <c r="W43" s="5"/>
      <c r="X43" s="182" t="str">
        <f t="shared" si="3"/>
        <v/>
      </c>
      <c r="Y43" s="182" t="str">
        <f t="shared" si="4"/>
        <v/>
      </c>
      <c r="Z43" s="5"/>
      <c r="AA43" s="182" t="str">
        <f t="shared" si="5"/>
        <v/>
      </c>
      <c r="AB43" s="183" t="str">
        <f t="shared" si="6"/>
        <v/>
      </c>
      <c r="AC43" s="5"/>
      <c r="AD43" s="182" t="str">
        <f t="shared" si="7"/>
        <v/>
      </c>
      <c r="AE43" s="183" t="str">
        <f t="shared" si="8"/>
        <v/>
      </c>
      <c r="AF43" s="5"/>
      <c r="AG43" s="182" t="str">
        <f t="shared" si="9"/>
        <v/>
      </c>
      <c r="AH43" s="183" t="str">
        <f t="shared" si="10"/>
        <v/>
      </c>
      <c r="AI43" s="5"/>
      <c r="AJ43" s="183" t="str">
        <f t="shared" si="11"/>
        <v/>
      </c>
      <c r="AK43" s="183" t="str">
        <f t="shared" si="12"/>
        <v/>
      </c>
      <c r="AL43" s="5"/>
      <c r="AM43" s="183" t="str">
        <f t="shared" si="13"/>
        <v/>
      </c>
      <c r="AN43" s="183" t="str">
        <f t="shared" si="14"/>
        <v/>
      </c>
      <c r="AO43" s="184">
        <f t="shared" si="15"/>
        <v>0</v>
      </c>
      <c r="AP43" s="184">
        <f t="shared" si="16"/>
        <v>0</v>
      </c>
      <c r="AQ43" s="608" t="str">
        <f t="shared" si="17"/>
        <v/>
      </c>
      <c r="AR43" s="185" t="str">
        <f>IF(COUNTIF(K43:Q43,"F")&gt;0,"",IF(AQ43="PASS",'Statement of Marks'!HZ45,""))</f>
        <v/>
      </c>
      <c r="AS43" s="185" t="str">
        <f>IF(AQ43="PASS",'Statement of Marks'!IA45,"")</f>
        <v/>
      </c>
    </row>
    <row r="44" spans="1:45">
      <c r="A44" s="169">
        <f>IF('Statement of Marks'!A46="","",'Statement of Marks'!A46)</f>
        <v>40</v>
      </c>
      <c r="B44" s="169" t="str">
        <f>IF('Statement of Marks'!B46="","",'Statement of Marks'!B46)</f>
        <v/>
      </c>
      <c r="C44" s="169" t="str">
        <f>IF('Statement of Marks'!D46="","",'Statement of Marks'!D46)</f>
        <v/>
      </c>
      <c r="D44" s="170" t="str">
        <f>IF('Statement of Marks'!E46="","",'Statement of Marks'!E46)</f>
        <v/>
      </c>
      <c r="E44" s="171" t="str">
        <f>IF('Statement of Marks'!F46="","",'Statement of Marks'!F46)</f>
        <v/>
      </c>
      <c r="F44" s="171" t="str">
        <f>IF('Statement of Marks'!G46="","",'Statement of Marks'!G46)</f>
        <v/>
      </c>
      <c r="G44" s="171" t="str">
        <f>IF('Statement of Marks'!H46="","",'Statement of Marks'!H46)</f>
        <v/>
      </c>
      <c r="H44" s="172" t="str">
        <f>IF('Statement of Marks'!HS46="","",'Statement of Marks'!HS46)</f>
        <v/>
      </c>
      <c r="I44" s="172" t="str">
        <f>IF('Statement of Marks'!HV46="","",'Statement of Marks'!HV46)</f>
        <v/>
      </c>
      <c r="J44" s="173" t="str">
        <f>IF('Statement of Marks'!HU46="","",'Statement of Marks'!HU46)</f>
        <v/>
      </c>
      <c r="K44" s="181" t="str">
        <f>'Statement of Marks'!GN46</f>
        <v/>
      </c>
      <c r="L44" s="181" t="str">
        <f>'Statement of Marks'!GQ46</f>
        <v/>
      </c>
      <c r="M44" s="181" t="str">
        <f>'Statement of Marks'!GT46</f>
        <v/>
      </c>
      <c r="N44" s="181" t="str">
        <f>'Statement of Marks'!HB46</f>
        <v/>
      </c>
      <c r="O44" s="181" t="str">
        <f>'Statement of Marks'!HE46</f>
        <v/>
      </c>
      <c r="P44" s="181" t="str">
        <f>'Statement of Marks'!HH46</f>
        <v/>
      </c>
      <c r="Q44" s="181" t="str">
        <f>'Statement of Marks'!HK46</f>
        <v/>
      </c>
      <c r="R44" s="173" t="str">
        <f>IF(COUNTIF(K44:Q44,"F")&gt;0,"",CONCATENATE('Statement of Marks'!HO46,'Statement of Marks'!HQ46))</f>
        <v xml:space="preserve">            </v>
      </c>
      <c r="S44" s="174">
        <f t="shared" si="0"/>
        <v>0</v>
      </c>
      <c r="T44" s="5"/>
      <c r="U44" s="182" t="str">
        <f t="shared" si="1"/>
        <v/>
      </c>
      <c r="V44" s="182" t="str">
        <f t="shared" si="2"/>
        <v/>
      </c>
      <c r="W44" s="5"/>
      <c r="X44" s="182" t="str">
        <f t="shared" si="3"/>
        <v/>
      </c>
      <c r="Y44" s="182" t="str">
        <f t="shared" si="4"/>
        <v/>
      </c>
      <c r="Z44" s="5"/>
      <c r="AA44" s="182" t="str">
        <f t="shared" si="5"/>
        <v/>
      </c>
      <c r="AB44" s="183" t="str">
        <f t="shared" si="6"/>
        <v/>
      </c>
      <c r="AC44" s="5"/>
      <c r="AD44" s="182" t="str">
        <f t="shared" si="7"/>
        <v/>
      </c>
      <c r="AE44" s="183" t="str">
        <f t="shared" si="8"/>
        <v/>
      </c>
      <c r="AF44" s="5"/>
      <c r="AG44" s="182" t="str">
        <f t="shared" si="9"/>
        <v/>
      </c>
      <c r="AH44" s="183" t="str">
        <f t="shared" si="10"/>
        <v/>
      </c>
      <c r="AI44" s="5"/>
      <c r="AJ44" s="183" t="str">
        <f t="shared" si="11"/>
        <v/>
      </c>
      <c r="AK44" s="183" t="str">
        <f t="shared" si="12"/>
        <v/>
      </c>
      <c r="AL44" s="5"/>
      <c r="AM44" s="183" t="str">
        <f t="shared" si="13"/>
        <v/>
      </c>
      <c r="AN44" s="183" t="str">
        <f t="shared" si="14"/>
        <v/>
      </c>
      <c r="AO44" s="184">
        <f t="shared" si="15"/>
        <v>0</v>
      </c>
      <c r="AP44" s="184">
        <f t="shared" si="16"/>
        <v>0</v>
      </c>
      <c r="AQ44" s="608" t="str">
        <f t="shared" si="17"/>
        <v/>
      </c>
      <c r="AR44" s="185" t="str">
        <f>IF(COUNTIF(K44:Q44,"F")&gt;0,"",IF(AQ44="PASS",'Statement of Marks'!HZ46,""))</f>
        <v/>
      </c>
      <c r="AS44" s="185" t="str">
        <f>IF(AQ44="PASS",'Statement of Marks'!IA46,"")</f>
        <v/>
      </c>
    </row>
    <row r="45" spans="1:45">
      <c r="A45" s="169">
        <f>IF('Statement of Marks'!A47="","",'Statement of Marks'!A47)</f>
        <v>41</v>
      </c>
      <c r="B45" s="169" t="str">
        <f>IF('Statement of Marks'!B47="","",'Statement of Marks'!B47)</f>
        <v/>
      </c>
      <c r="C45" s="169" t="str">
        <f>IF('Statement of Marks'!D47="","",'Statement of Marks'!D47)</f>
        <v/>
      </c>
      <c r="D45" s="170" t="str">
        <f>IF('Statement of Marks'!E47="","",'Statement of Marks'!E47)</f>
        <v/>
      </c>
      <c r="E45" s="171" t="str">
        <f>IF('Statement of Marks'!F47="","",'Statement of Marks'!F47)</f>
        <v/>
      </c>
      <c r="F45" s="171" t="str">
        <f>IF('Statement of Marks'!G47="","",'Statement of Marks'!G47)</f>
        <v/>
      </c>
      <c r="G45" s="171" t="str">
        <f>IF('Statement of Marks'!H47="","",'Statement of Marks'!H47)</f>
        <v/>
      </c>
      <c r="H45" s="172" t="str">
        <f>IF('Statement of Marks'!HS47="","",'Statement of Marks'!HS47)</f>
        <v/>
      </c>
      <c r="I45" s="172" t="str">
        <f>IF('Statement of Marks'!HV47="","",'Statement of Marks'!HV47)</f>
        <v/>
      </c>
      <c r="J45" s="173" t="str">
        <f>IF('Statement of Marks'!HU47="","",'Statement of Marks'!HU47)</f>
        <v/>
      </c>
      <c r="K45" s="181" t="str">
        <f>'Statement of Marks'!GN47</f>
        <v/>
      </c>
      <c r="L45" s="181" t="str">
        <f>'Statement of Marks'!GQ47</f>
        <v/>
      </c>
      <c r="M45" s="181" t="str">
        <f>'Statement of Marks'!GT47</f>
        <v/>
      </c>
      <c r="N45" s="181" t="str">
        <f>'Statement of Marks'!HB47</f>
        <v/>
      </c>
      <c r="O45" s="181" t="str">
        <f>'Statement of Marks'!HE47</f>
        <v/>
      </c>
      <c r="P45" s="181" t="str">
        <f>'Statement of Marks'!HH47</f>
        <v/>
      </c>
      <c r="Q45" s="181" t="str">
        <f>'Statement of Marks'!HK47</f>
        <v/>
      </c>
      <c r="R45" s="173" t="str">
        <f>IF(COUNTIF(K45:Q45,"F")&gt;0,"",CONCATENATE('Statement of Marks'!HO47,'Statement of Marks'!HQ47))</f>
        <v xml:space="preserve">            </v>
      </c>
      <c r="S45" s="174">
        <f t="shared" si="0"/>
        <v>0</v>
      </c>
      <c r="T45" s="5"/>
      <c r="U45" s="182" t="str">
        <f t="shared" si="1"/>
        <v/>
      </c>
      <c r="V45" s="182" t="str">
        <f t="shared" si="2"/>
        <v/>
      </c>
      <c r="W45" s="5"/>
      <c r="X45" s="182" t="str">
        <f t="shared" si="3"/>
        <v/>
      </c>
      <c r="Y45" s="182" t="str">
        <f t="shared" si="4"/>
        <v/>
      </c>
      <c r="Z45" s="5"/>
      <c r="AA45" s="182" t="str">
        <f t="shared" si="5"/>
        <v/>
      </c>
      <c r="AB45" s="183" t="str">
        <f t="shared" si="6"/>
        <v/>
      </c>
      <c r="AC45" s="5"/>
      <c r="AD45" s="182" t="str">
        <f t="shared" si="7"/>
        <v/>
      </c>
      <c r="AE45" s="183" t="str">
        <f t="shared" si="8"/>
        <v/>
      </c>
      <c r="AF45" s="5"/>
      <c r="AG45" s="182" t="str">
        <f t="shared" si="9"/>
        <v/>
      </c>
      <c r="AH45" s="183" t="str">
        <f t="shared" si="10"/>
        <v/>
      </c>
      <c r="AI45" s="5"/>
      <c r="AJ45" s="183" t="str">
        <f t="shared" si="11"/>
        <v/>
      </c>
      <c r="AK45" s="183" t="str">
        <f t="shared" si="12"/>
        <v/>
      </c>
      <c r="AL45" s="5"/>
      <c r="AM45" s="183" t="str">
        <f t="shared" si="13"/>
        <v/>
      </c>
      <c r="AN45" s="183" t="str">
        <f t="shared" si="14"/>
        <v/>
      </c>
      <c r="AO45" s="184">
        <f t="shared" si="15"/>
        <v>0</v>
      </c>
      <c r="AP45" s="184">
        <f t="shared" si="16"/>
        <v>0</v>
      </c>
      <c r="AQ45" s="608" t="str">
        <f t="shared" si="17"/>
        <v/>
      </c>
      <c r="AR45" s="185" t="str">
        <f>IF(COUNTIF(K45:Q45,"F")&gt;0,"",IF(AQ45="PASS",'Statement of Marks'!HZ47,""))</f>
        <v/>
      </c>
      <c r="AS45" s="185" t="str">
        <f>IF(AQ45="PASS",'Statement of Marks'!IA47,"")</f>
        <v/>
      </c>
    </row>
    <row r="46" spans="1:45">
      <c r="A46" s="169">
        <f>IF('Statement of Marks'!A48="","",'Statement of Marks'!A48)</f>
        <v>42</v>
      </c>
      <c r="B46" s="169" t="str">
        <f>IF('Statement of Marks'!B48="","",'Statement of Marks'!B48)</f>
        <v/>
      </c>
      <c r="C46" s="169" t="str">
        <f>IF('Statement of Marks'!D48="","",'Statement of Marks'!D48)</f>
        <v/>
      </c>
      <c r="D46" s="170" t="str">
        <f>IF('Statement of Marks'!E48="","",'Statement of Marks'!E48)</f>
        <v/>
      </c>
      <c r="E46" s="171" t="str">
        <f>IF('Statement of Marks'!F48="","",'Statement of Marks'!F48)</f>
        <v/>
      </c>
      <c r="F46" s="171" t="str">
        <f>IF('Statement of Marks'!G48="","",'Statement of Marks'!G48)</f>
        <v/>
      </c>
      <c r="G46" s="171" t="str">
        <f>IF('Statement of Marks'!H48="","",'Statement of Marks'!H48)</f>
        <v/>
      </c>
      <c r="H46" s="172" t="str">
        <f>IF('Statement of Marks'!HS48="","",'Statement of Marks'!HS48)</f>
        <v/>
      </c>
      <c r="I46" s="172" t="str">
        <f>IF('Statement of Marks'!HV48="","",'Statement of Marks'!HV48)</f>
        <v/>
      </c>
      <c r="J46" s="173" t="str">
        <f>IF('Statement of Marks'!HU48="","",'Statement of Marks'!HU48)</f>
        <v/>
      </c>
      <c r="K46" s="181" t="str">
        <f>'Statement of Marks'!GN48</f>
        <v/>
      </c>
      <c r="L46" s="181" t="str">
        <f>'Statement of Marks'!GQ48</f>
        <v/>
      </c>
      <c r="M46" s="181" t="str">
        <f>'Statement of Marks'!GT48</f>
        <v/>
      </c>
      <c r="N46" s="181" t="str">
        <f>'Statement of Marks'!HB48</f>
        <v/>
      </c>
      <c r="O46" s="181" t="str">
        <f>'Statement of Marks'!HE48</f>
        <v/>
      </c>
      <c r="P46" s="181" t="str">
        <f>'Statement of Marks'!HH48</f>
        <v/>
      </c>
      <c r="Q46" s="181" t="str">
        <f>'Statement of Marks'!HK48</f>
        <v/>
      </c>
      <c r="R46" s="173" t="str">
        <f>IF(COUNTIF(K46:Q46,"F")&gt;0,"",CONCATENATE('Statement of Marks'!HO48,'Statement of Marks'!HQ48))</f>
        <v xml:space="preserve">            </v>
      </c>
      <c r="S46" s="174">
        <f t="shared" si="0"/>
        <v>0</v>
      </c>
      <c r="T46" s="5"/>
      <c r="U46" s="182" t="str">
        <f t="shared" si="1"/>
        <v/>
      </c>
      <c r="V46" s="182" t="str">
        <f t="shared" si="2"/>
        <v/>
      </c>
      <c r="W46" s="5"/>
      <c r="X46" s="182" t="str">
        <f t="shared" si="3"/>
        <v/>
      </c>
      <c r="Y46" s="182" t="str">
        <f t="shared" si="4"/>
        <v/>
      </c>
      <c r="Z46" s="5"/>
      <c r="AA46" s="182" t="str">
        <f t="shared" si="5"/>
        <v/>
      </c>
      <c r="AB46" s="183" t="str">
        <f t="shared" si="6"/>
        <v/>
      </c>
      <c r="AC46" s="5"/>
      <c r="AD46" s="182" t="str">
        <f t="shared" si="7"/>
        <v/>
      </c>
      <c r="AE46" s="183" t="str">
        <f t="shared" si="8"/>
        <v/>
      </c>
      <c r="AF46" s="5"/>
      <c r="AG46" s="182" t="str">
        <f t="shared" si="9"/>
        <v/>
      </c>
      <c r="AH46" s="183" t="str">
        <f t="shared" si="10"/>
        <v/>
      </c>
      <c r="AI46" s="5"/>
      <c r="AJ46" s="183" t="str">
        <f t="shared" si="11"/>
        <v/>
      </c>
      <c r="AK46" s="183" t="str">
        <f t="shared" si="12"/>
        <v/>
      </c>
      <c r="AL46" s="5"/>
      <c r="AM46" s="183" t="str">
        <f t="shared" si="13"/>
        <v/>
      </c>
      <c r="AN46" s="183" t="str">
        <f t="shared" si="14"/>
        <v/>
      </c>
      <c r="AO46" s="184">
        <f t="shared" si="15"/>
        <v>0</v>
      </c>
      <c r="AP46" s="184">
        <f t="shared" si="16"/>
        <v>0</v>
      </c>
      <c r="AQ46" s="608" t="str">
        <f t="shared" si="17"/>
        <v/>
      </c>
      <c r="AR46" s="185" t="str">
        <f>IF(COUNTIF(K46:Q46,"F")&gt;0,"",IF(AQ46="PASS",'Statement of Marks'!HZ48,""))</f>
        <v/>
      </c>
      <c r="AS46" s="185" t="str">
        <f>IF(AQ46="PASS",'Statement of Marks'!IA48,"")</f>
        <v/>
      </c>
    </row>
    <row r="47" spans="1:45">
      <c r="A47" s="169">
        <f>IF('Statement of Marks'!A49="","",'Statement of Marks'!A49)</f>
        <v>43</v>
      </c>
      <c r="B47" s="169" t="str">
        <f>IF('Statement of Marks'!B49="","",'Statement of Marks'!B49)</f>
        <v/>
      </c>
      <c r="C47" s="169" t="str">
        <f>IF('Statement of Marks'!D49="","",'Statement of Marks'!D49)</f>
        <v/>
      </c>
      <c r="D47" s="170" t="str">
        <f>IF('Statement of Marks'!E49="","",'Statement of Marks'!E49)</f>
        <v/>
      </c>
      <c r="E47" s="171" t="str">
        <f>IF('Statement of Marks'!F49="","",'Statement of Marks'!F49)</f>
        <v/>
      </c>
      <c r="F47" s="171" t="str">
        <f>IF('Statement of Marks'!G49="","",'Statement of Marks'!G49)</f>
        <v/>
      </c>
      <c r="G47" s="171" t="str">
        <f>IF('Statement of Marks'!H49="","",'Statement of Marks'!H49)</f>
        <v/>
      </c>
      <c r="H47" s="172" t="str">
        <f>IF('Statement of Marks'!HS49="","",'Statement of Marks'!HS49)</f>
        <v/>
      </c>
      <c r="I47" s="172" t="str">
        <f>IF('Statement of Marks'!HV49="","",'Statement of Marks'!HV49)</f>
        <v/>
      </c>
      <c r="J47" s="173" t="str">
        <f>IF('Statement of Marks'!HU49="","",'Statement of Marks'!HU49)</f>
        <v/>
      </c>
      <c r="K47" s="181" t="str">
        <f>'Statement of Marks'!GN49</f>
        <v/>
      </c>
      <c r="L47" s="181" t="str">
        <f>'Statement of Marks'!GQ49</f>
        <v/>
      </c>
      <c r="M47" s="181" t="str">
        <f>'Statement of Marks'!GT49</f>
        <v/>
      </c>
      <c r="N47" s="181" t="str">
        <f>'Statement of Marks'!HB49</f>
        <v/>
      </c>
      <c r="O47" s="181" t="str">
        <f>'Statement of Marks'!HE49</f>
        <v/>
      </c>
      <c r="P47" s="181" t="str">
        <f>'Statement of Marks'!HH49</f>
        <v/>
      </c>
      <c r="Q47" s="181" t="str">
        <f>'Statement of Marks'!HK49</f>
        <v/>
      </c>
      <c r="R47" s="173" t="str">
        <f>IF(COUNTIF(K47:Q47,"F")&gt;0,"",CONCATENATE('Statement of Marks'!HO49,'Statement of Marks'!HQ49))</f>
        <v xml:space="preserve">            </v>
      </c>
      <c r="S47" s="174">
        <f t="shared" si="0"/>
        <v>0</v>
      </c>
      <c r="T47" s="5"/>
      <c r="U47" s="182" t="str">
        <f t="shared" si="1"/>
        <v/>
      </c>
      <c r="V47" s="182" t="str">
        <f t="shared" si="2"/>
        <v/>
      </c>
      <c r="W47" s="5"/>
      <c r="X47" s="182" t="str">
        <f t="shared" si="3"/>
        <v/>
      </c>
      <c r="Y47" s="182" t="str">
        <f t="shared" si="4"/>
        <v/>
      </c>
      <c r="Z47" s="5"/>
      <c r="AA47" s="182" t="str">
        <f t="shared" si="5"/>
        <v/>
      </c>
      <c r="AB47" s="183" t="str">
        <f t="shared" si="6"/>
        <v/>
      </c>
      <c r="AC47" s="5"/>
      <c r="AD47" s="182" t="str">
        <f t="shared" si="7"/>
        <v/>
      </c>
      <c r="AE47" s="183" t="str">
        <f t="shared" si="8"/>
        <v/>
      </c>
      <c r="AF47" s="5"/>
      <c r="AG47" s="182" t="str">
        <f t="shared" si="9"/>
        <v/>
      </c>
      <c r="AH47" s="183" t="str">
        <f t="shared" si="10"/>
        <v/>
      </c>
      <c r="AI47" s="5"/>
      <c r="AJ47" s="183" t="str">
        <f t="shared" si="11"/>
        <v/>
      </c>
      <c r="AK47" s="183" t="str">
        <f t="shared" si="12"/>
        <v/>
      </c>
      <c r="AL47" s="5"/>
      <c r="AM47" s="183" t="str">
        <f t="shared" si="13"/>
        <v/>
      </c>
      <c r="AN47" s="183" t="str">
        <f t="shared" si="14"/>
        <v/>
      </c>
      <c r="AO47" s="184">
        <f t="shared" si="15"/>
        <v>0</v>
      </c>
      <c r="AP47" s="184">
        <f t="shared" si="16"/>
        <v>0</v>
      </c>
      <c r="AQ47" s="608" t="str">
        <f t="shared" si="17"/>
        <v/>
      </c>
      <c r="AR47" s="185" t="str">
        <f>IF(COUNTIF(K47:Q47,"F")&gt;0,"",IF(AQ47="PASS",'Statement of Marks'!HZ49,""))</f>
        <v/>
      </c>
      <c r="AS47" s="185" t="str">
        <f>IF(AQ47="PASS",'Statement of Marks'!IA49,"")</f>
        <v/>
      </c>
    </row>
    <row r="48" spans="1:45">
      <c r="A48" s="169">
        <f>IF('Statement of Marks'!A50="","",'Statement of Marks'!A50)</f>
        <v>44</v>
      </c>
      <c r="B48" s="169" t="str">
        <f>IF('Statement of Marks'!B50="","",'Statement of Marks'!B50)</f>
        <v/>
      </c>
      <c r="C48" s="169" t="str">
        <f>IF('Statement of Marks'!D50="","",'Statement of Marks'!D50)</f>
        <v/>
      </c>
      <c r="D48" s="170" t="str">
        <f>IF('Statement of Marks'!E50="","",'Statement of Marks'!E50)</f>
        <v/>
      </c>
      <c r="E48" s="171" t="str">
        <f>IF('Statement of Marks'!F50="","",'Statement of Marks'!F50)</f>
        <v/>
      </c>
      <c r="F48" s="171" t="str">
        <f>IF('Statement of Marks'!G50="","",'Statement of Marks'!G50)</f>
        <v/>
      </c>
      <c r="G48" s="171" t="str">
        <f>IF('Statement of Marks'!H50="","",'Statement of Marks'!H50)</f>
        <v/>
      </c>
      <c r="H48" s="172" t="str">
        <f>IF('Statement of Marks'!HS50="","",'Statement of Marks'!HS50)</f>
        <v/>
      </c>
      <c r="I48" s="172" t="str">
        <f>IF('Statement of Marks'!HV50="","",'Statement of Marks'!HV50)</f>
        <v/>
      </c>
      <c r="J48" s="173" t="str">
        <f>IF('Statement of Marks'!HU50="","",'Statement of Marks'!HU50)</f>
        <v/>
      </c>
      <c r="K48" s="181" t="str">
        <f>'Statement of Marks'!GN50</f>
        <v/>
      </c>
      <c r="L48" s="181" t="str">
        <f>'Statement of Marks'!GQ50</f>
        <v/>
      </c>
      <c r="M48" s="181" t="str">
        <f>'Statement of Marks'!GT50</f>
        <v/>
      </c>
      <c r="N48" s="181" t="str">
        <f>'Statement of Marks'!HB50</f>
        <v/>
      </c>
      <c r="O48" s="181" t="str">
        <f>'Statement of Marks'!HE50</f>
        <v/>
      </c>
      <c r="P48" s="181" t="str">
        <f>'Statement of Marks'!HH50</f>
        <v/>
      </c>
      <c r="Q48" s="181" t="str">
        <f>'Statement of Marks'!HK50</f>
        <v/>
      </c>
      <c r="R48" s="173" t="str">
        <f>IF(COUNTIF(K48:Q48,"F")&gt;0,"",CONCATENATE('Statement of Marks'!HO50,'Statement of Marks'!HQ50))</f>
        <v xml:space="preserve">            </v>
      </c>
      <c r="S48" s="174">
        <f t="shared" si="0"/>
        <v>0</v>
      </c>
      <c r="T48" s="5"/>
      <c r="U48" s="182" t="str">
        <f t="shared" si="1"/>
        <v/>
      </c>
      <c r="V48" s="182" t="str">
        <f t="shared" si="2"/>
        <v/>
      </c>
      <c r="W48" s="5"/>
      <c r="X48" s="182" t="str">
        <f t="shared" si="3"/>
        <v/>
      </c>
      <c r="Y48" s="182" t="str">
        <f t="shared" si="4"/>
        <v/>
      </c>
      <c r="Z48" s="5"/>
      <c r="AA48" s="182" t="str">
        <f t="shared" si="5"/>
        <v/>
      </c>
      <c r="AB48" s="183" t="str">
        <f t="shared" si="6"/>
        <v/>
      </c>
      <c r="AC48" s="5"/>
      <c r="AD48" s="182" t="str">
        <f t="shared" si="7"/>
        <v/>
      </c>
      <c r="AE48" s="183" t="str">
        <f t="shared" si="8"/>
        <v/>
      </c>
      <c r="AF48" s="5"/>
      <c r="AG48" s="182" t="str">
        <f t="shared" si="9"/>
        <v/>
      </c>
      <c r="AH48" s="183" t="str">
        <f t="shared" si="10"/>
        <v/>
      </c>
      <c r="AI48" s="5"/>
      <c r="AJ48" s="183" t="str">
        <f t="shared" si="11"/>
        <v/>
      </c>
      <c r="AK48" s="183" t="str">
        <f t="shared" si="12"/>
        <v/>
      </c>
      <c r="AL48" s="5"/>
      <c r="AM48" s="183" t="str">
        <f t="shared" si="13"/>
        <v/>
      </c>
      <c r="AN48" s="183" t="str">
        <f t="shared" si="14"/>
        <v/>
      </c>
      <c r="AO48" s="184">
        <f t="shared" si="15"/>
        <v>0</v>
      </c>
      <c r="AP48" s="184">
        <f t="shared" si="16"/>
        <v>0</v>
      </c>
      <c r="AQ48" s="608" t="str">
        <f t="shared" si="17"/>
        <v/>
      </c>
      <c r="AR48" s="185" t="str">
        <f>IF(COUNTIF(K48:Q48,"F")&gt;0,"",IF(AQ48="PASS",'Statement of Marks'!HZ50,""))</f>
        <v/>
      </c>
      <c r="AS48" s="185" t="str">
        <f>IF(AQ48="PASS",'Statement of Marks'!IA50,"")</f>
        <v/>
      </c>
    </row>
    <row r="49" spans="1:45">
      <c r="A49" s="169">
        <f>IF('Statement of Marks'!A51="","",'Statement of Marks'!A51)</f>
        <v>45</v>
      </c>
      <c r="B49" s="169" t="str">
        <f>IF('Statement of Marks'!B51="","",'Statement of Marks'!B51)</f>
        <v/>
      </c>
      <c r="C49" s="169" t="str">
        <f>IF('Statement of Marks'!D51="","",'Statement of Marks'!D51)</f>
        <v/>
      </c>
      <c r="D49" s="170" t="str">
        <f>IF('Statement of Marks'!E51="","",'Statement of Marks'!E51)</f>
        <v/>
      </c>
      <c r="E49" s="171" t="str">
        <f>IF('Statement of Marks'!F51="","",'Statement of Marks'!F51)</f>
        <v/>
      </c>
      <c r="F49" s="171" t="str">
        <f>IF('Statement of Marks'!G51="","",'Statement of Marks'!G51)</f>
        <v/>
      </c>
      <c r="G49" s="171" t="str">
        <f>IF('Statement of Marks'!H51="","",'Statement of Marks'!H51)</f>
        <v/>
      </c>
      <c r="H49" s="172" t="str">
        <f>IF('Statement of Marks'!HS51="","",'Statement of Marks'!HS51)</f>
        <v/>
      </c>
      <c r="I49" s="172" t="str">
        <f>IF('Statement of Marks'!HV51="","",'Statement of Marks'!HV51)</f>
        <v/>
      </c>
      <c r="J49" s="173" t="str">
        <f>IF('Statement of Marks'!HU51="","",'Statement of Marks'!HU51)</f>
        <v/>
      </c>
      <c r="K49" s="181" t="str">
        <f>'Statement of Marks'!GN51</f>
        <v/>
      </c>
      <c r="L49" s="181" t="str">
        <f>'Statement of Marks'!GQ51</f>
        <v/>
      </c>
      <c r="M49" s="181" t="str">
        <f>'Statement of Marks'!GT51</f>
        <v/>
      </c>
      <c r="N49" s="181" t="str">
        <f>'Statement of Marks'!HB51</f>
        <v/>
      </c>
      <c r="O49" s="181" t="str">
        <f>'Statement of Marks'!HE51</f>
        <v/>
      </c>
      <c r="P49" s="181" t="str">
        <f>'Statement of Marks'!HH51</f>
        <v/>
      </c>
      <c r="Q49" s="181" t="str">
        <f>'Statement of Marks'!HK51</f>
        <v/>
      </c>
      <c r="R49" s="173" t="str">
        <f>IF(COUNTIF(K49:Q49,"F")&gt;0,"",CONCATENATE('Statement of Marks'!HO51,'Statement of Marks'!HQ51))</f>
        <v xml:space="preserve">            </v>
      </c>
      <c r="S49" s="174">
        <f t="shared" si="0"/>
        <v>0</v>
      </c>
      <c r="T49" s="5"/>
      <c r="U49" s="182" t="str">
        <f t="shared" si="1"/>
        <v/>
      </c>
      <c r="V49" s="182" t="str">
        <f t="shared" si="2"/>
        <v/>
      </c>
      <c r="W49" s="5"/>
      <c r="X49" s="182" t="str">
        <f t="shared" si="3"/>
        <v/>
      </c>
      <c r="Y49" s="182" t="str">
        <f t="shared" si="4"/>
        <v/>
      </c>
      <c r="Z49" s="5"/>
      <c r="AA49" s="182" t="str">
        <f t="shared" si="5"/>
        <v/>
      </c>
      <c r="AB49" s="183" t="str">
        <f t="shared" si="6"/>
        <v/>
      </c>
      <c r="AC49" s="5"/>
      <c r="AD49" s="182" t="str">
        <f t="shared" si="7"/>
        <v/>
      </c>
      <c r="AE49" s="183" t="str">
        <f t="shared" si="8"/>
        <v/>
      </c>
      <c r="AF49" s="5"/>
      <c r="AG49" s="182" t="str">
        <f t="shared" si="9"/>
        <v/>
      </c>
      <c r="AH49" s="183" t="str">
        <f t="shared" si="10"/>
        <v/>
      </c>
      <c r="AI49" s="5"/>
      <c r="AJ49" s="183" t="str">
        <f t="shared" si="11"/>
        <v/>
      </c>
      <c r="AK49" s="183" t="str">
        <f t="shared" si="12"/>
        <v/>
      </c>
      <c r="AL49" s="5"/>
      <c r="AM49" s="183" t="str">
        <f t="shared" si="13"/>
        <v/>
      </c>
      <c r="AN49" s="183" t="str">
        <f t="shared" si="14"/>
        <v/>
      </c>
      <c r="AO49" s="184">
        <f t="shared" si="15"/>
        <v>0</v>
      </c>
      <c r="AP49" s="184">
        <f t="shared" si="16"/>
        <v>0</v>
      </c>
      <c r="AQ49" s="608" t="str">
        <f t="shared" si="17"/>
        <v/>
      </c>
      <c r="AR49" s="185" t="str">
        <f>IF(COUNTIF(K49:Q49,"F")&gt;0,"",IF(AQ49="PASS",'Statement of Marks'!HZ51,""))</f>
        <v/>
      </c>
      <c r="AS49" s="185" t="str">
        <f>IF(AQ49="PASS",'Statement of Marks'!IA51,"")</f>
        <v/>
      </c>
    </row>
    <row r="50" spans="1:45">
      <c r="A50" s="169">
        <f>IF('Statement of Marks'!A52="","",'Statement of Marks'!A52)</f>
        <v>46</v>
      </c>
      <c r="B50" s="169" t="str">
        <f>IF('Statement of Marks'!B52="","",'Statement of Marks'!B52)</f>
        <v/>
      </c>
      <c r="C50" s="169" t="str">
        <f>IF('Statement of Marks'!D52="","",'Statement of Marks'!D52)</f>
        <v/>
      </c>
      <c r="D50" s="170" t="str">
        <f>IF('Statement of Marks'!E52="","",'Statement of Marks'!E52)</f>
        <v/>
      </c>
      <c r="E50" s="171" t="str">
        <f>IF('Statement of Marks'!F52="","",'Statement of Marks'!F52)</f>
        <v/>
      </c>
      <c r="F50" s="171" t="str">
        <f>IF('Statement of Marks'!G52="","",'Statement of Marks'!G52)</f>
        <v/>
      </c>
      <c r="G50" s="171" t="str">
        <f>IF('Statement of Marks'!H52="","",'Statement of Marks'!H52)</f>
        <v/>
      </c>
      <c r="H50" s="172" t="str">
        <f>IF('Statement of Marks'!HS52="","",'Statement of Marks'!HS52)</f>
        <v/>
      </c>
      <c r="I50" s="172" t="str">
        <f>IF('Statement of Marks'!HV52="","",'Statement of Marks'!HV52)</f>
        <v/>
      </c>
      <c r="J50" s="173" t="str">
        <f>IF('Statement of Marks'!HU52="","",'Statement of Marks'!HU52)</f>
        <v/>
      </c>
      <c r="K50" s="181" t="str">
        <f>'Statement of Marks'!GN52</f>
        <v/>
      </c>
      <c r="L50" s="181" t="str">
        <f>'Statement of Marks'!GQ52</f>
        <v/>
      </c>
      <c r="M50" s="181" t="str">
        <f>'Statement of Marks'!GT52</f>
        <v/>
      </c>
      <c r="N50" s="181" t="str">
        <f>'Statement of Marks'!HB52</f>
        <v/>
      </c>
      <c r="O50" s="181" t="str">
        <f>'Statement of Marks'!HE52</f>
        <v/>
      </c>
      <c r="P50" s="181" t="str">
        <f>'Statement of Marks'!HH52</f>
        <v/>
      </c>
      <c r="Q50" s="181" t="str">
        <f>'Statement of Marks'!HK52</f>
        <v/>
      </c>
      <c r="R50" s="173" t="str">
        <f>IF(COUNTIF(K50:Q50,"F")&gt;0,"",CONCATENATE('Statement of Marks'!HO52,'Statement of Marks'!HQ52))</f>
        <v xml:space="preserve">            </v>
      </c>
      <c r="S50" s="174">
        <f t="shared" si="0"/>
        <v>0</v>
      </c>
      <c r="T50" s="5"/>
      <c r="U50" s="182" t="str">
        <f t="shared" si="1"/>
        <v/>
      </c>
      <c r="V50" s="182" t="str">
        <f t="shared" si="2"/>
        <v/>
      </c>
      <c r="W50" s="5"/>
      <c r="X50" s="182" t="str">
        <f t="shared" si="3"/>
        <v/>
      </c>
      <c r="Y50" s="182" t="str">
        <f t="shared" si="4"/>
        <v/>
      </c>
      <c r="Z50" s="5"/>
      <c r="AA50" s="182" t="str">
        <f t="shared" si="5"/>
        <v/>
      </c>
      <c r="AB50" s="183" t="str">
        <f t="shared" si="6"/>
        <v/>
      </c>
      <c r="AC50" s="5"/>
      <c r="AD50" s="182" t="str">
        <f t="shared" si="7"/>
        <v/>
      </c>
      <c r="AE50" s="183" t="str">
        <f t="shared" si="8"/>
        <v/>
      </c>
      <c r="AF50" s="5"/>
      <c r="AG50" s="182" t="str">
        <f t="shared" si="9"/>
        <v/>
      </c>
      <c r="AH50" s="183" t="str">
        <f t="shared" si="10"/>
        <v/>
      </c>
      <c r="AI50" s="5"/>
      <c r="AJ50" s="183" t="str">
        <f t="shared" si="11"/>
        <v/>
      </c>
      <c r="AK50" s="183" t="str">
        <f t="shared" si="12"/>
        <v/>
      </c>
      <c r="AL50" s="5"/>
      <c r="AM50" s="183" t="str">
        <f t="shared" si="13"/>
        <v/>
      </c>
      <c r="AN50" s="183" t="str">
        <f t="shared" si="14"/>
        <v/>
      </c>
      <c r="AO50" s="184">
        <f t="shared" si="15"/>
        <v>0</v>
      </c>
      <c r="AP50" s="184">
        <f t="shared" si="16"/>
        <v>0</v>
      </c>
      <c r="AQ50" s="608" t="str">
        <f t="shared" si="17"/>
        <v/>
      </c>
      <c r="AR50" s="185" t="str">
        <f>IF(COUNTIF(K50:Q50,"F")&gt;0,"",IF(AQ50="PASS",'Statement of Marks'!HZ52,""))</f>
        <v/>
      </c>
      <c r="AS50" s="185" t="str">
        <f>IF(AQ50="PASS",'Statement of Marks'!IA52,"")</f>
        <v/>
      </c>
    </row>
    <row r="51" spans="1:45">
      <c r="A51" s="169">
        <f>IF('Statement of Marks'!A53="","",'Statement of Marks'!A53)</f>
        <v>47</v>
      </c>
      <c r="B51" s="169" t="str">
        <f>IF('Statement of Marks'!B53="","",'Statement of Marks'!B53)</f>
        <v/>
      </c>
      <c r="C51" s="169" t="str">
        <f>IF('Statement of Marks'!D53="","",'Statement of Marks'!D53)</f>
        <v/>
      </c>
      <c r="D51" s="170" t="str">
        <f>IF('Statement of Marks'!E53="","",'Statement of Marks'!E53)</f>
        <v/>
      </c>
      <c r="E51" s="171" t="str">
        <f>IF('Statement of Marks'!F53="","",'Statement of Marks'!F53)</f>
        <v/>
      </c>
      <c r="F51" s="171" t="str">
        <f>IF('Statement of Marks'!G53="","",'Statement of Marks'!G53)</f>
        <v/>
      </c>
      <c r="G51" s="171" t="str">
        <f>IF('Statement of Marks'!H53="","",'Statement of Marks'!H53)</f>
        <v/>
      </c>
      <c r="H51" s="172" t="str">
        <f>IF('Statement of Marks'!HS53="","",'Statement of Marks'!HS53)</f>
        <v/>
      </c>
      <c r="I51" s="172" t="str">
        <f>IF('Statement of Marks'!HV53="","",'Statement of Marks'!HV53)</f>
        <v/>
      </c>
      <c r="J51" s="173" t="str">
        <f>IF('Statement of Marks'!HU53="","",'Statement of Marks'!HU53)</f>
        <v/>
      </c>
      <c r="K51" s="181" t="str">
        <f>'Statement of Marks'!GN53</f>
        <v/>
      </c>
      <c r="L51" s="181" t="str">
        <f>'Statement of Marks'!GQ53</f>
        <v/>
      </c>
      <c r="M51" s="181" t="str">
        <f>'Statement of Marks'!GT53</f>
        <v/>
      </c>
      <c r="N51" s="181" t="str">
        <f>'Statement of Marks'!HB53</f>
        <v/>
      </c>
      <c r="O51" s="181" t="str">
        <f>'Statement of Marks'!HE53</f>
        <v/>
      </c>
      <c r="P51" s="181" t="str">
        <f>'Statement of Marks'!HH53</f>
        <v/>
      </c>
      <c r="Q51" s="181" t="str">
        <f>'Statement of Marks'!HK53</f>
        <v/>
      </c>
      <c r="R51" s="173" t="str">
        <f>IF(COUNTIF(K51:Q51,"F")&gt;0,"",CONCATENATE('Statement of Marks'!HO53,'Statement of Marks'!HQ53))</f>
        <v xml:space="preserve">            </v>
      </c>
      <c r="S51" s="174">
        <f t="shared" si="0"/>
        <v>0</v>
      </c>
      <c r="T51" s="5"/>
      <c r="U51" s="182" t="str">
        <f t="shared" si="1"/>
        <v/>
      </c>
      <c r="V51" s="182" t="str">
        <f t="shared" si="2"/>
        <v/>
      </c>
      <c r="W51" s="5"/>
      <c r="X51" s="182" t="str">
        <f t="shared" si="3"/>
        <v/>
      </c>
      <c r="Y51" s="182" t="str">
        <f t="shared" si="4"/>
        <v/>
      </c>
      <c r="Z51" s="5"/>
      <c r="AA51" s="182" t="str">
        <f t="shared" si="5"/>
        <v/>
      </c>
      <c r="AB51" s="183" t="str">
        <f t="shared" si="6"/>
        <v/>
      </c>
      <c r="AC51" s="5"/>
      <c r="AD51" s="182" t="str">
        <f t="shared" si="7"/>
        <v/>
      </c>
      <c r="AE51" s="183" t="str">
        <f t="shared" si="8"/>
        <v/>
      </c>
      <c r="AF51" s="5"/>
      <c r="AG51" s="182" t="str">
        <f t="shared" si="9"/>
        <v/>
      </c>
      <c r="AH51" s="183" t="str">
        <f t="shared" si="10"/>
        <v/>
      </c>
      <c r="AI51" s="5"/>
      <c r="AJ51" s="183" t="str">
        <f t="shared" si="11"/>
        <v/>
      </c>
      <c r="AK51" s="183" t="str">
        <f t="shared" si="12"/>
        <v/>
      </c>
      <c r="AL51" s="5"/>
      <c r="AM51" s="183" t="str">
        <f t="shared" si="13"/>
        <v/>
      </c>
      <c r="AN51" s="183" t="str">
        <f t="shared" si="14"/>
        <v/>
      </c>
      <c r="AO51" s="184">
        <f t="shared" si="15"/>
        <v>0</v>
      </c>
      <c r="AP51" s="184">
        <f t="shared" si="16"/>
        <v>0</v>
      </c>
      <c r="AQ51" s="608" t="str">
        <f t="shared" si="17"/>
        <v/>
      </c>
      <c r="AR51" s="185" t="str">
        <f>IF(COUNTIF(K51:Q51,"F")&gt;0,"",IF(AQ51="PASS",'Statement of Marks'!HZ53,""))</f>
        <v/>
      </c>
      <c r="AS51" s="185" t="str">
        <f>IF(AQ51="PASS",'Statement of Marks'!IA53,"")</f>
        <v/>
      </c>
    </row>
    <row r="52" spans="1:45">
      <c r="A52" s="169">
        <f>IF('Statement of Marks'!A54="","",'Statement of Marks'!A54)</f>
        <v>48</v>
      </c>
      <c r="B52" s="169" t="str">
        <f>IF('Statement of Marks'!B54="","",'Statement of Marks'!B54)</f>
        <v/>
      </c>
      <c r="C52" s="169" t="str">
        <f>IF('Statement of Marks'!D54="","",'Statement of Marks'!D54)</f>
        <v/>
      </c>
      <c r="D52" s="170" t="str">
        <f>IF('Statement of Marks'!E54="","",'Statement of Marks'!E54)</f>
        <v/>
      </c>
      <c r="E52" s="171" t="str">
        <f>IF('Statement of Marks'!F54="","",'Statement of Marks'!F54)</f>
        <v/>
      </c>
      <c r="F52" s="171" t="str">
        <f>IF('Statement of Marks'!G54="","",'Statement of Marks'!G54)</f>
        <v/>
      </c>
      <c r="G52" s="171" t="str">
        <f>IF('Statement of Marks'!H54="","",'Statement of Marks'!H54)</f>
        <v/>
      </c>
      <c r="H52" s="172" t="str">
        <f>IF('Statement of Marks'!HS54="","",'Statement of Marks'!HS54)</f>
        <v/>
      </c>
      <c r="I52" s="172" t="str">
        <f>IF('Statement of Marks'!HV54="","",'Statement of Marks'!HV54)</f>
        <v/>
      </c>
      <c r="J52" s="173" t="str">
        <f>IF('Statement of Marks'!HU54="","",'Statement of Marks'!HU54)</f>
        <v/>
      </c>
      <c r="K52" s="181" t="str">
        <f>'Statement of Marks'!GN54</f>
        <v/>
      </c>
      <c r="L52" s="181" t="str">
        <f>'Statement of Marks'!GQ54</f>
        <v/>
      </c>
      <c r="M52" s="181" t="str">
        <f>'Statement of Marks'!GT54</f>
        <v/>
      </c>
      <c r="N52" s="181" t="str">
        <f>'Statement of Marks'!HB54</f>
        <v/>
      </c>
      <c r="O52" s="181" t="str">
        <f>'Statement of Marks'!HE54</f>
        <v/>
      </c>
      <c r="P52" s="181" t="str">
        <f>'Statement of Marks'!HH54</f>
        <v/>
      </c>
      <c r="Q52" s="181" t="str">
        <f>'Statement of Marks'!HK54</f>
        <v/>
      </c>
      <c r="R52" s="173" t="str">
        <f>IF(COUNTIF(K52:Q52,"F")&gt;0,"",CONCATENATE('Statement of Marks'!HO54,'Statement of Marks'!HQ54))</f>
        <v xml:space="preserve">            </v>
      </c>
      <c r="S52" s="174">
        <f t="shared" si="0"/>
        <v>0</v>
      </c>
      <c r="T52" s="5"/>
      <c r="U52" s="182" t="str">
        <f t="shared" si="1"/>
        <v/>
      </c>
      <c r="V52" s="182" t="str">
        <f t="shared" si="2"/>
        <v/>
      </c>
      <c r="W52" s="5"/>
      <c r="X52" s="182" t="str">
        <f t="shared" si="3"/>
        <v/>
      </c>
      <c r="Y52" s="182" t="str">
        <f t="shared" si="4"/>
        <v/>
      </c>
      <c r="Z52" s="5"/>
      <c r="AA52" s="182" t="str">
        <f t="shared" si="5"/>
        <v/>
      </c>
      <c r="AB52" s="183" t="str">
        <f t="shared" si="6"/>
        <v/>
      </c>
      <c r="AC52" s="5"/>
      <c r="AD52" s="182" t="str">
        <f t="shared" si="7"/>
        <v/>
      </c>
      <c r="AE52" s="183" t="str">
        <f t="shared" si="8"/>
        <v/>
      </c>
      <c r="AF52" s="5"/>
      <c r="AG52" s="182" t="str">
        <f t="shared" si="9"/>
        <v/>
      </c>
      <c r="AH52" s="183" t="str">
        <f t="shared" si="10"/>
        <v/>
      </c>
      <c r="AI52" s="5"/>
      <c r="AJ52" s="183" t="str">
        <f t="shared" si="11"/>
        <v/>
      </c>
      <c r="AK52" s="183" t="str">
        <f t="shared" si="12"/>
        <v/>
      </c>
      <c r="AL52" s="5"/>
      <c r="AM52" s="183" t="str">
        <f t="shared" si="13"/>
        <v/>
      </c>
      <c r="AN52" s="183" t="str">
        <f t="shared" si="14"/>
        <v/>
      </c>
      <c r="AO52" s="184">
        <f t="shared" si="15"/>
        <v>0</v>
      </c>
      <c r="AP52" s="184">
        <f t="shared" si="16"/>
        <v>0</v>
      </c>
      <c r="AQ52" s="608" t="str">
        <f t="shared" si="17"/>
        <v/>
      </c>
      <c r="AR52" s="185" t="str">
        <f>IF(COUNTIF(K52:Q52,"F")&gt;0,"",IF(AQ52="PASS",'Statement of Marks'!HZ54,""))</f>
        <v/>
      </c>
      <c r="AS52" s="185" t="str">
        <f>IF(AQ52="PASS",'Statement of Marks'!IA54,"")</f>
        <v/>
      </c>
    </row>
    <row r="53" spans="1:45">
      <c r="A53" s="169">
        <f>IF('Statement of Marks'!A55="","",'Statement of Marks'!A55)</f>
        <v>49</v>
      </c>
      <c r="B53" s="169" t="str">
        <f>IF('Statement of Marks'!B55="","",'Statement of Marks'!B55)</f>
        <v/>
      </c>
      <c r="C53" s="169" t="str">
        <f>IF('Statement of Marks'!D55="","",'Statement of Marks'!D55)</f>
        <v/>
      </c>
      <c r="D53" s="170" t="str">
        <f>IF('Statement of Marks'!E55="","",'Statement of Marks'!E55)</f>
        <v/>
      </c>
      <c r="E53" s="171" t="str">
        <f>IF('Statement of Marks'!F55="","",'Statement of Marks'!F55)</f>
        <v/>
      </c>
      <c r="F53" s="171" t="str">
        <f>IF('Statement of Marks'!G55="","",'Statement of Marks'!G55)</f>
        <v/>
      </c>
      <c r="G53" s="171" t="str">
        <f>IF('Statement of Marks'!H55="","",'Statement of Marks'!H55)</f>
        <v/>
      </c>
      <c r="H53" s="172" t="str">
        <f>IF('Statement of Marks'!HS55="","",'Statement of Marks'!HS55)</f>
        <v/>
      </c>
      <c r="I53" s="172" t="str">
        <f>IF('Statement of Marks'!HV55="","",'Statement of Marks'!HV55)</f>
        <v/>
      </c>
      <c r="J53" s="173" t="str">
        <f>IF('Statement of Marks'!HU55="","",'Statement of Marks'!HU55)</f>
        <v/>
      </c>
      <c r="K53" s="181" t="str">
        <f>'Statement of Marks'!GN55</f>
        <v/>
      </c>
      <c r="L53" s="181" t="str">
        <f>'Statement of Marks'!GQ55</f>
        <v/>
      </c>
      <c r="M53" s="181" t="str">
        <f>'Statement of Marks'!GT55</f>
        <v/>
      </c>
      <c r="N53" s="181" t="str">
        <f>'Statement of Marks'!HB55</f>
        <v/>
      </c>
      <c r="O53" s="181" t="str">
        <f>'Statement of Marks'!HE55</f>
        <v/>
      </c>
      <c r="P53" s="181" t="str">
        <f>'Statement of Marks'!HH55</f>
        <v/>
      </c>
      <c r="Q53" s="181" t="str">
        <f>'Statement of Marks'!HK55</f>
        <v/>
      </c>
      <c r="R53" s="173" t="str">
        <f>IF(COUNTIF(K53:Q53,"F")&gt;0,"",CONCATENATE('Statement of Marks'!HO55,'Statement of Marks'!HQ55))</f>
        <v xml:space="preserve">            </v>
      </c>
      <c r="S53" s="174">
        <f t="shared" si="0"/>
        <v>0</v>
      </c>
      <c r="T53" s="5"/>
      <c r="U53" s="182" t="str">
        <f t="shared" si="1"/>
        <v/>
      </c>
      <c r="V53" s="182" t="str">
        <f t="shared" si="2"/>
        <v/>
      </c>
      <c r="W53" s="5"/>
      <c r="X53" s="182" t="str">
        <f t="shared" si="3"/>
        <v/>
      </c>
      <c r="Y53" s="182" t="str">
        <f t="shared" si="4"/>
        <v/>
      </c>
      <c r="Z53" s="5"/>
      <c r="AA53" s="182" t="str">
        <f t="shared" si="5"/>
        <v/>
      </c>
      <c r="AB53" s="183" t="str">
        <f t="shared" si="6"/>
        <v/>
      </c>
      <c r="AC53" s="5"/>
      <c r="AD53" s="182" t="str">
        <f t="shared" si="7"/>
        <v/>
      </c>
      <c r="AE53" s="183" t="str">
        <f t="shared" si="8"/>
        <v/>
      </c>
      <c r="AF53" s="5"/>
      <c r="AG53" s="182" t="str">
        <f t="shared" si="9"/>
        <v/>
      </c>
      <c r="AH53" s="183" t="str">
        <f t="shared" si="10"/>
        <v/>
      </c>
      <c r="AI53" s="5"/>
      <c r="AJ53" s="183" t="str">
        <f t="shared" si="11"/>
        <v/>
      </c>
      <c r="AK53" s="183" t="str">
        <f t="shared" si="12"/>
        <v/>
      </c>
      <c r="AL53" s="5"/>
      <c r="AM53" s="183" t="str">
        <f t="shared" si="13"/>
        <v/>
      </c>
      <c r="AN53" s="183" t="str">
        <f t="shared" si="14"/>
        <v/>
      </c>
      <c r="AO53" s="184">
        <f t="shared" si="15"/>
        <v>0</v>
      </c>
      <c r="AP53" s="184">
        <f t="shared" si="16"/>
        <v>0</v>
      </c>
      <c r="AQ53" s="608" t="str">
        <f t="shared" si="17"/>
        <v/>
      </c>
      <c r="AR53" s="185" t="str">
        <f>IF(COUNTIF(K53:Q53,"F")&gt;0,"",IF(AQ53="PASS",'Statement of Marks'!HZ55,""))</f>
        <v/>
      </c>
      <c r="AS53" s="185" t="str">
        <f>IF(AQ53="PASS",'Statement of Marks'!IA55,"")</f>
        <v/>
      </c>
    </row>
    <row r="54" spans="1:45">
      <c r="A54" s="169">
        <f>IF('Statement of Marks'!A56="","",'Statement of Marks'!A56)</f>
        <v>50</v>
      </c>
      <c r="B54" s="169" t="str">
        <f>IF('Statement of Marks'!B56="","",'Statement of Marks'!B56)</f>
        <v/>
      </c>
      <c r="C54" s="169" t="str">
        <f>IF('Statement of Marks'!D56="","",'Statement of Marks'!D56)</f>
        <v/>
      </c>
      <c r="D54" s="170" t="str">
        <f>IF('Statement of Marks'!E56="","",'Statement of Marks'!E56)</f>
        <v/>
      </c>
      <c r="E54" s="171" t="str">
        <f>IF('Statement of Marks'!F56="","",'Statement of Marks'!F56)</f>
        <v/>
      </c>
      <c r="F54" s="171" t="str">
        <f>IF('Statement of Marks'!G56="","",'Statement of Marks'!G56)</f>
        <v/>
      </c>
      <c r="G54" s="171" t="str">
        <f>IF('Statement of Marks'!H56="","",'Statement of Marks'!H56)</f>
        <v/>
      </c>
      <c r="H54" s="172" t="str">
        <f>IF('Statement of Marks'!HS56="","",'Statement of Marks'!HS56)</f>
        <v/>
      </c>
      <c r="I54" s="172" t="str">
        <f>IF('Statement of Marks'!HV56="","",'Statement of Marks'!HV56)</f>
        <v/>
      </c>
      <c r="J54" s="173" t="str">
        <f>IF('Statement of Marks'!HU56="","",'Statement of Marks'!HU56)</f>
        <v/>
      </c>
      <c r="K54" s="181" t="str">
        <f>'Statement of Marks'!GN56</f>
        <v/>
      </c>
      <c r="L54" s="181" t="str">
        <f>'Statement of Marks'!GQ56</f>
        <v/>
      </c>
      <c r="M54" s="181" t="str">
        <f>'Statement of Marks'!GT56</f>
        <v/>
      </c>
      <c r="N54" s="181" t="str">
        <f>'Statement of Marks'!HB56</f>
        <v/>
      </c>
      <c r="O54" s="181" t="str">
        <f>'Statement of Marks'!HE56</f>
        <v/>
      </c>
      <c r="P54" s="181" t="str">
        <f>'Statement of Marks'!HH56</f>
        <v/>
      </c>
      <c r="Q54" s="181" t="str">
        <f>'Statement of Marks'!HK56</f>
        <v/>
      </c>
      <c r="R54" s="173" t="str">
        <f>IF(COUNTIF(K54:Q54,"F")&gt;0,"",CONCATENATE('Statement of Marks'!HO56,'Statement of Marks'!HQ56))</f>
        <v xml:space="preserve">            </v>
      </c>
      <c r="S54" s="174">
        <f t="shared" si="0"/>
        <v>0</v>
      </c>
      <c r="T54" s="5"/>
      <c r="U54" s="182" t="str">
        <f t="shared" si="1"/>
        <v/>
      </c>
      <c r="V54" s="182" t="str">
        <f t="shared" si="2"/>
        <v/>
      </c>
      <c r="W54" s="5"/>
      <c r="X54" s="182" t="str">
        <f t="shared" si="3"/>
        <v/>
      </c>
      <c r="Y54" s="182" t="str">
        <f t="shared" si="4"/>
        <v/>
      </c>
      <c r="Z54" s="5"/>
      <c r="AA54" s="182" t="str">
        <f t="shared" si="5"/>
        <v/>
      </c>
      <c r="AB54" s="183" t="str">
        <f t="shared" si="6"/>
        <v/>
      </c>
      <c r="AC54" s="5"/>
      <c r="AD54" s="182" t="str">
        <f t="shared" si="7"/>
        <v/>
      </c>
      <c r="AE54" s="183" t="str">
        <f t="shared" si="8"/>
        <v/>
      </c>
      <c r="AF54" s="5"/>
      <c r="AG54" s="182" t="str">
        <f t="shared" si="9"/>
        <v/>
      </c>
      <c r="AH54" s="183" t="str">
        <f t="shared" si="10"/>
        <v/>
      </c>
      <c r="AI54" s="5"/>
      <c r="AJ54" s="183" t="str">
        <f t="shared" si="11"/>
        <v/>
      </c>
      <c r="AK54" s="183" t="str">
        <f t="shared" si="12"/>
        <v/>
      </c>
      <c r="AL54" s="5"/>
      <c r="AM54" s="183" t="str">
        <f t="shared" si="13"/>
        <v/>
      </c>
      <c r="AN54" s="183" t="str">
        <f t="shared" si="14"/>
        <v/>
      </c>
      <c r="AO54" s="184">
        <f t="shared" si="15"/>
        <v>0</v>
      </c>
      <c r="AP54" s="184">
        <f t="shared" si="16"/>
        <v>0</v>
      </c>
      <c r="AQ54" s="608" t="str">
        <f t="shared" si="17"/>
        <v/>
      </c>
      <c r="AR54" s="185" t="str">
        <f>IF(COUNTIF(K54:Q54,"F")&gt;0,"",IF(AQ54="PASS",'Statement of Marks'!HZ56,""))</f>
        <v/>
      </c>
      <c r="AS54" s="185" t="str">
        <f>IF(AQ54="PASS",'Statement of Marks'!IA56,"")</f>
        <v/>
      </c>
    </row>
    <row r="55" spans="1:45">
      <c r="A55" s="169">
        <f>IF('Statement of Marks'!A57="","",'Statement of Marks'!A57)</f>
        <v>51</v>
      </c>
      <c r="B55" s="169" t="str">
        <f>IF('Statement of Marks'!B57="","",'Statement of Marks'!B57)</f>
        <v/>
      </c>
      <c r="C55" s="169" t="str">
        <f>IF('Statement of Marks'!D57="","",'Statement of Marks'!D57)</f>
        <v/>
      </c>
      <c r="D55" s="170" t="str">
        <f>IF('Statement of Marks'!E57="","",'Statement of Marks'!E57)</f>
        <v/>
      </c>
      <c r="E55" s="171" t="str">
        <f>IF('Statement of Marks'!F57="","",'Statement of Marks'!F57)</f>
        <v/>
      </c>
      <c r="F55" s="171" t="str">
        <f>IF('Statement of Marks'!G57="","",'Statement of Marks'!G57)</f>
        <v/>
      </c>
      <c r="G55" s="171" t="str">
        <f>IF('Statement of Marks'!H57="","",'Statement of Marks'!H57)</f>
        <v/>
      </c>
      <c r="H55" s="172" t="str">
        <f>IF('Statement of Marks'!HS57="","",'Statement of Marks'!HS57)</f>
        <v/>
      </c>
      <c r="I55" s="172" t="str">
        <f>IF('Statement of Marks'!HV57="","",'Statement of Marks'!HV57)</f>
        <v/>
      </c>
      <c r="J55" s="173" t="str">
        <f>IF('Statement of Marks'!HU57="","",'Statement of Marks'!HU57)</f>
        <v/>
      </c>
      <c r="K55" s="181" t="str">
        <f>'Statement of Marks'!GN57</f>
        <v/>
      </c>
      <c r="L55" s="181" t="str">
        <f>'Statement of Marks'!GQ57</f>
        <v/>
      </c>
      <c r="M55" s="181" t="str">
        <f>'Statement of Marks'!GT57</f>
        <v/>
      </c>
      <c r="N55" s="181" t="str">
        <f>'Statement of Marks'!HB57</f>
        <v/>
      </c>
      <c r="O55" s="181" t="str">
        <f>'Statement of Marks'!HE57</f>
        <v/>
      </c>
      <c r="P55" s="181" t="str">
        <f>'Statement of Marks'!HH57</f>
        <v/>
      </c>
      <c r="Q55" s="181" t="str">
        <f>'Statement of Marks'!HK57</f>
        <v/>
      </c>
      <c r="R55" s="173" t="str">
        <f>IF(COUNTIF(K55:Q55,"F")&gt;0,"",CONCATENATE('Statement of Marks'!HO57,'Statement of Marks'!HQ57))</f>
        <v xml:space="preserve">            </v>
      </c>
      <c r="S55" s="174">
        <f t="shared" si="0"/>
        <v>0</v>
      </c>
      <c r="T55" s="5"/>
      <c r="U55" s="182" t="str">
        <f t="shared" si="1"/>
        <v/>
      </c>
      <c r="V55" s="182" t="str">
        <f t="shared" si="2"/>
        <v/>
      </c>
      <c r="W55" s="5"/>
      <c r="X55" s="182" t="str">
        <f t="shared" si="3"/>
        <v/>
      </c>
      <c r="Y55" s="182" t="str">
        <f t="shared" si="4"/>
        <v/>
      </c>
      <c r="Z55" s="5"/>
      <c r="AA55" s="182" t="str">
        <f t="shared" si="5"/>
        <v/>
      </c>
      <c r="AB55" s="183" t="str">
        <f t="shared" si="6"/>
        <v/>
      </c>
      <c r="AC55" s="5"/>
      <c r="AD55" s="182" t="str">
        <f t="shared" si="7"/>
        <v/>
      </c>
      <c r="AE55" s="183" t="str">
        <f t="shared" si="8"/>
        <v/>
      </c>
      <c r="AF55" s="5"/>
      <c r="AG55" s="182" t="str">
        <f t="shared" si="9"/>
        <v/>
      </c>
      <c r="AH55" s="183" t="str">
        <f t="shared" si="10"/>
        <v/>
      </c>
      <c r="AI55" s="5"/>
      <c r="AJ55" s="183" t="str">
        <f t="shared" si="11"/>
        <v/>
      </c>
      <c r="AK55" s="183" t="str">
        <f t="shared" si="12"/>
        <v/>
      </c>
      <c r="AL55" s="5"/>
      <c r="AM55" s="183" t="str">
        <f t="shared" si="13"/>
        <v/>
      </c>
      <c r="AN55" s="183" t="str">
        <f t="shared" si="14"/>
        <v/>
      </c>
      <c r="AO55" s="184">
        <f t="shared" si="15"/>
        <v>0</v>
      </c>
      <c r="AP55" s="184">
        <f t="shared" si="16"/>
        <v>0</v>
      </c>
      <c r="AQ55" s="608" t="str">
        <f t="shared" si="17"/>
        <v/>
      </c>
      <c r="AR55" s="185" t="str">
        <f>IF(COUNTIF(K55:Q55,"F")&gt;0,"",IF(AQ55="PASS",'Statement of Marks'!HZ57,""))</f>
        <v/>
      </c>
      <c r="AS55" s="185" t="str">
        <f>IF(AQ55="PASS",'Statement of Marks'!IA57,"")</f>
        <v/>
      </c>
    </row>
    <row r="56" spans="1:45">
      <c r="A56" s="169">
        <f>IF('Statement of Marks'!A58="","",'Statement of Marks'!A58)</f>
        <v>52</v>
      </c>
      <c r="B56" s="169" t="str">
        <f>IF('Statement of Marks'!B58="","",'Statement of Marks'!B58)</f>
        <v/>
      </c>
      <c r="C56" s="169" t="str">
        <f>IF('Statement of Marks'!D58="","",'Statement of Marks'!D58)</f>
        <v/>
      </c>
      <c r="D56" s="170" t="str">
        <f>IF('Statement of Marks'!E58="","",'Statement of Marks'!E58)</f>
        <v/>
      </c>
      <c r="E56" s="171" t="str">
        <f>IF('Statement of Marks'!F58="","",'Statement of Marks'!F58)</f>
        <v/>
      </c>
      <c r="F56" s="171" t="str">
        <f>IF('Statement of Marks'!G58="","",'Statement of Marks'!G58)</f>
        <v/>
      </c>
      <c r="G56" s="171" t="str">
        <f>IF('Statement of Marks'!H58="","",'Statement of Marks'!H58)</f>
        <v/>
      </c>
      <c r="H56" s="172" t="str">
        <f>IF('Statement of Marks'!HS58="","",'Statement of Marks'!HS58)</f>
        <v/>
      </c>
      <c r="I56" s="172" t="str">
        <f>IF('Statement of Marks'!HV58="","",'Statement of Marks'!HV58)</f>
        <v/>
      </c>
      <c r="J56" s="173" t="str">
        <f>IF('Statement of Marks'!HU58="","",'Statement of Marks'!HU58)</f>
        <v/>
      </c>
      <c r="K56" s="181" t="str">
        <f>'Statement of Marks'!GN58</f>
        <v/>
      </c>
      <c r="L56" s="181" t="str">
        <f>'Statement of Marks'!GQ58</f>
        <v/>
      </c>
      <c r="M56" s="181" t="str">
        <f>'Statement of Marks'!GT58</f>
        <v/>
      </c>
      <c r="N56" s="181" t="str">
        <f>'Statement of Marks'!HB58</f>
        <v/>
      </c>
      <c r="O56" s="181" t="str">
        <f>'Statement of Marks'!HE58</f>
        <v/>
      </c>
      <c r="P56" s="181" t="str">
        <f>'Statement of Marks'!HH58</f>
        <v/>
      </c>
      <c r="Q56" s="181" t="str">
        <f>'Statement of Marks'!HK58</f>
        <v/>
      </c>
      <c r="R56" s="173" t="str">
        <f>IF(COUNTIF(K56:Q56,"F")&gt;0,"",CONCATENATE('Statement of Marks'!HO58,'Statement of Marks'!HQ58))</f>
        <v xml:space="preserve">            </v>
      </c>
      <c r="S56" s="174">
        <f t="shared" si="0"/>
        <v>0</v>
      </c>
      <c r="T56" s="5"/>
      <c r="U56" s="182" t="str">
        <f t="shared" si="1"/>
        <v/>
      </c>
      <c r="V56" s="182" t="str">
        <f t="shared" si="2"/>
        <v/>
      </c>
      <c r="W56" s="5"/>
      <c r="X56" s="182" t="str">
        <f t="shared" si="3"/>
        <v/>
      </c>
      <c r="Y56" s="182" t="str">
        <f t="shared" si="4"/>
        <v/>
      </c>
      <c r="Z56" s="5"/>
      <c r="AA56" s="182" t="str">
        <f t="shared" si="5"/>
        <v/>
      </c>
      <c r="AB56" s="183" t="str">
        <f t="shared" si="6"/>
        <v/>
      </c>
      <c r="AC56" s="5"/>
      <c r="AD56" s="182" t="str">
        <f t="shared" si="7"/>
        <v/>
      </c>
      <c r="AE56" s="183" t="str">
        <f t="shared" si="8"/>
        <v/>
      </c>
      <c r="AF56" s="5"/>
      <c r="AG56" s="182" t="str">
        <f t="shared" si="9"/>
        <v/>
      </c>
      <c r="AH56" s="183" t="str">
        <f t="shared" si="10"/>
        <v/>
      </c>
      <c r="AI56" s="5"/>
      <c r="AJ56" s="183" t="str">
        <f t="shared" si="11"/>
        <v/>
      </c>
      <c r="AK56" s="183" t="str">
        <f t="shared" si="12"/>
        <v/>
      </c>
      <c r="AL56" s="5"/>
      <c r="AM56" s="183" t="str">
        <f t="shared" si="13"/>
        <v/>
      </c>
      <c r="AN56" s="183" t="str">
        <f t="shared" si="14"/>
        <v/>
      </c>
      <c r="AO56" s="184">
        <f t="shared" si="15"/>
        <v>0</v>
      </c>
      <c r="AP56" s="184">
        <f t="shared" si="16"/>
        <v>0</v>
      </c>
      <c r="AQ56" s="608" t="str">
        <f t="shared" si="17"/>
        <v/>
      </c>
      <c r="AR56" s="185" t="str">
        <f>IF(COUNTIF(K56:Q56,"F")&gt;0,"",IF(AQ56="PASS",'Statement of Marks'!HZ58,""))</f>
        <v/>
      </c>
      <c r="AS56" s="185" t="str">
        <f>IF(AQ56="PASS",'Statement of Marks'!IA58,"")</f>
        <v/>
      </c>
    </row>
    <row r="57" spans="1:45">
      <c r="A57" s="169">
        <f>IF('Statement of Marks'!A59="","",'Statement of Marks'!A59)</f>
        <v>53</v>
      </c>
      <c r="B57" s="169" t="str">
        <f>IF('Statement of Marks'!B59="","",'Statement of Marks'!B59)</f>
        <v/>
      </c>
      <c r="C57" s="169" t="str">
        <f>IF('Statement of Marks'!D59="","",'Statement of Marks'!D59)</f>
        <v/>
      </c>
      <c r="D57" s="170" t="str">
        <f>IF('Statement of Marks'!E59="","",'Statement of Marks'!E59)</f>
        <v/>
      </c>
      <c r="E57" s="171" t="str">
        <f>IF('Statement of Marks'!F59="","",'Statement of Marks'!F59)</f>
        <v/>
      </c>
      <c r="F57" s="171" t="str">
        <f>IF('Statement of Marks'!G59="","",'Statement of Marks'!G59)</f>
        <v/>
      </c>
      <c r="G57" s="171" t="str">
        <f>IF('Statement of Marks'!H59="","",'Statement of Marks'!H59)</f>
        <v/>
      </c>
      <c r="H57" s="172" t="str">
        <f>IF('Statement of Marks'!HS59="","",'Statement of Marks'!HS59)</f>
        <v/>
      </c>
      <c r="I57" s="172" t="str">
        <f>IF('Statement of Marks'!HV59="","",'Statement of Marks'!HV59)</f>
        <v/>
      </c>
      <c r="J57" s="173" t="str">
        <f>IF('Statement of Marks'!HU59="","",'Statement of Marks'!HU59)</f>
        <v/>
      </c>
      <c r="K57" s="181" t="str">
        <f>'Statement of Marks'!GN59</f>
        <v/>
      </c>
      <c r="L57" s="181" t="str">
        <f>'Statement of Marks'!GQ59</f>
        <v/>
      </c>
      <c r="M57" s="181" t="str">
        <f>'Statement of Marks'!GT59</f>
        <v/>
      </c>
      <c r="N57" s="181" t="str">
        <f>'Statement of Marks'!HB59</f>
        <v/>
      </c>
      <c r="O57" s="181" t="str">
        <f>'Statement of Marks'!HE59</f>
        <v/>
      </c>
      <c r="P57" s="181" t="str">
        <f>'Statement of Marks'!HH59</f>
        <v/>
      </c>
      <c r="Q57" s="181" t="str">
        <f>'Statement of Marks'!HK59</f>
        <v/>
      </c>
      <c r="R57" s="173" t="str">
        <f>IF(COUNTIF(K57:Q57,"F")&gt;0,"",CONCATENATE('Statement of Marks'!HO59,'Statement of Marks'!HQ59))</f>
        <v xml:space="preserve">            </v>
      </c>
      <c r="S57" s="174">
        <f t="shared" si="0"/>
        <v>0</v>
      </c>
      <c r="T57" s="5"/>
      <c r="U57" s="182" t="str">
        <f t="shared" si="1"/>
        <v/>
      </c>
      <c r="V57" s="182" t="str">
        <f t="shared" si="2"/>
        <v/>
      </c>
      <c r="W57" s="5"/>
      <c r="X57" s="182" t="str">
        <f t="shared" si="3"/>
        <v/>
      </c>
      <c r="Y57" s="182" t="str">
        <f t="shared" si="4"/>
        <v/>
      </c>
      <c r="Z57" s="5"/>
      <c r="AA57" s="182" t="str">
        <f t="shared" si="5"/>
        <v/>
      </c>
      <c r="AB57" s="183" t="str">
        <f t="shared" si="6"/>
        <v/>
      </c>
      <c r="AC57" s="5"/>
      <c r="AD57" s="182" t="str">
        <f t="shared" si="7"/>
        <v/>
      </c>
      <c r="AE57" s="183" t="str">
        <f t="shared" si="8"/>
        <v/>
      </c>
      <c r="AF57" s="5"/>
      <c r="AG57" s="182" t="str">
        <f t="shared" si="9"/>
        <v/>
      </c>
      <c r="AH57" s="183" t="str">
        <f t="shared" si="10"/>
        <v/>
      </c>
      <c r="AI57" s="5"/>
      <c r="AJ57" s="183" t="str">
        <f t="shared" si="11"/>
        <v/>
      </c>
      <c r="AK57" s="183" t="str">
        <f t="shared" si="12"/>
        <v/>
      </c>
      <c r="AL57" s="5"/>
      <c r="AM57" s="183" t="str">
        <f t="shared" si="13"/>
        <v/>
      </c>
      <c r="AN57" s="183" t="str">
        <f t="shared" si="14"/>
        <v/>
      </c>
      <c r="AO57" s="184">
        <f t="shared" si="15"/>
        <v>0</v>
      </c>
      <c r="AP57" s="184">
        <f t="shared" si="16"/>
        <v>0</v>
      </c>
      <c r="AQ57" s="608" t="str">
        <f t="shared" si="17"/>
        <v/>
      </c>
      <c r="AR57" s="185" t="str">
        <f>IF(COUNTIF(K57:Q57,"F")&gt;0,"",IF(AQ57="PASS",'Statement of Marks'!HZ59,""))</f>
        <v/>
      </c>
      <c r="AS57" s="185" t="str">
        <f>IF(AQ57="PASS",'Statement of Marks'!IA59,"")</f>
        <v/>
      </c>
    </row>
    <row r="58" spans="1:45">
      <c r="A58" s="169">
        <f>IF('Statement of Marks'!A60="","",'Statement of Marks'!A60)</f>
        <v>54</v>
      </c>
      <c r="B58" s="169" t="str">
        <f>IF('Statement of Marks'!B60="","",'Statement of Marks'!B60)</f>
        <v/>
      </c>
      <c r="C58" s="169" t="str">
        <f>IF('Statement of Marks'!D60="","",'Statement of Marks'!D60)</f>
        <v/>
      </c>
      <c r="D58" s="170" t="str">
        <f>IF('Statement of Marks'!E60="","",'Statement of Marks'!E60)</f>
        <v/>
      </c>
      <c r="E58" s="171" t="str">
        <f>IF('Statement of Marks'!F60="","",'Statement of Marks'!F60)</f>
        <v/>
      </c>
      <c r="F58" s="171" t="str">
        <f>IF('Statement of Marks'!G60="","",'Statement of Marks'!G60)</f>
        <v/>
      </c>
      <c r="G58" s="171" t="str">
        <f>IF('Statement of Marks'!H60="","",'Statement of Marks'!H60)</f>
        <v/>
      </c>
      <c r="H58" s="172" t="str">
        <f>IF('Statement of Marks'!HS60="","",'Statement of Marks'!HS60)</f>
        <v/>
      </c>
      <c r="I58" s="172" t="str">
        <f>IF('Statement of Marks'!HV60="","",'Statement of Marks'!HV60)</f>
        <v/>
      </c>
      <c r="J58" s="173" t="str">
        <f>IF('Statement of Marks'!HU60="","",'Statement of Marks'!HU60)</f>
        <v/>
      </c>
      <c r="K58" s="181" t="str">
        <f>'Statement of Marks'!GN60</f>
        <v/>
      </c>
      <c r="L58" s="181" t="str">
        <f>'Statement of Marks'!GQ60</f>
        <v/>
      </c>
      <c r="M58" s="181" t="str">
        <f>'Statement of Marks'!GT60</f>
        <v/>
      </c>
      <c r="N58" s="181" t="str">
        <f>'Statement of Marks'!HB60</f>
        <v/>
      </c>
      <c r="O58" s="181" t="str">
        <f>'Statement of Marks'!HE60</f>
        <v/>
      </c>
      <c r="P58" s="181" t="str">
        <f>'Statement of Marks'!HH60</f>
        <v/>
      </c>
      <c r="Q58" s="181" t="str">
        <f>'Statement of Marks'!HK60</f>
        <v/>
      </c>
      <c r="R58" s="173" t="str">
        <f>IF(COUNTIF(K58:Q58,"F")&gt;0,"",CONCATENATE('Statement of Marks'!HO60,'Statement of Marks'!HQ60))</f>
        <v xml:space="preserve">            </v>
      </c>
      <c r="S58" s="174">
        <f t="shared" si="0"/>
        <v>0</v>
      </c>
      <c r="T58" s="5"/>
      <c r="U58" s="182" t="str">
        <f t="shared" si="1"/>
        <v/>
      </c>
      <c r="V58" s="182" t="str">
        <f t="shared" si="2"/>
        <v/>
      </c>
      <c r="W58" s="5"/>
      <c r="X58" s="182" t="str">
        <f t="shared" si="3"/>
        <v/>
      </c>
      <c r="Y58" s="182" t="str">
        <f t="shared" si="4"/>
        <v/>
      </c>
      <c r="Z58" s="5"/>
      <c r="AA58" s="182" t="str">
        <f t="shared" si="5"/>
        <v/>
      </c>
      <c r="AB58" s="183" t="str">
        <f t="shared" si="6"/>
        <v/>
      </c>
      <c r="AC58" s="5"/>
      <c r="AD58" s="182" t="str">
        <f t="shared" si="7"/>
        <v/>
      </c>
      <c r="AE58" s="183" t="str">
        <f t="shared" si="8"/>
        <v/>
      </c>
      <c r="AF58" s="5"/>
      <c r="AG58" s="182" t="str">
        <f t="shared" si="9"/>
        <v/>
      </c>
      <c r="AH58" s="183" t="str">
        <f t="shared" si="10"/>
        <v/>
      </c>
      <c r="AI58" s="5"/>
      <c r="AJ58" s="183" t="str">
        <f t="shared" si="11"/>
        <v/>
      </c>
      <c r="AK58" s="183" t="str">
        <f t="shared" si="12"/>
        <v/>
      </c>
      <c r="AL58" s="5"/>
      <c r="AM58" s="183" t="str">
        <f t="shared" si="13"/>
        <v/>
      </c>
      <c r="AN58" s="183" t="str">
        <f t="shared" si="14"/>
        <v/>
      </c>
      <c r="AO58" s="184">
        <f t="shared" si="15"/>
        <v>0</v>
      </c>
      <c r="AP58" s="184">
        <f t="shared" si="16"/>
        <v>0</v>
      </c>
      <c r="AQ58" s="608" t="str">
        <f t="shared" si="17"/>
        <v/>
      </c>
      <c r="AR58" s="185" t="str">
        <f>IF(COUNTIF(K58:Q58,"F")&gt;0,"",IF(AQ58="PASS",'Statement of Marks'!HZ60,""))</f>
        <v/>
      </c>
      <c r="AS58" s="185" t="str">
        <f>IF(AQ58="PASS",'Statement of Marks'!IA60,"")</f>
        <v/>
      </c>
    </row>
    <row r="59" spans="1:45">
      <c r="A59" s="169">
        <f>IF('Statement of Marks'!A61="","",'Statement of Marks'!A61)</f>
        <v>55</v>
      </c>
      <c r="B59" s="169" t="str">
        <f>IF('Statement of Marks'!B61="","",'Statement of Marks'!B61)</f>
        <v/>
      </c>
      <c r="C59" s="169" t="str">
        <f>IF('Statement of Marks'!D61="","",'Statement of Marks'!D61)</f>
        <v/>
      </c>
      <c r="D59" s="170" t="str">
        <f>IF('Statement of Marks'!E61="","",'Statement of Marks'!E61)</f>
        <v/>
      </c>
      <c r="E59" s="171" t="str">
        <f>IF('Statement of Marks'!F61="","",'Statement of Marks'!F61)</f>
        <v/>
      </c>
      <c r="F59" s="171" t="str">
        <f>IF('Statement of Marks'!G61="","",'Statement of Marks'!G61)</f>
        <v/>
      </c>
      <c r="G59" s="171" t="str">
        <f>IF('Statement of Marks'!H61="","",'Statement of Marks'!H61)</f>
        <v/>
      </c>
      <c r="H59" s="172" t="str">
        <f>IF('Statement of Marks'!HS61="","",'Statement of Marks'!HS61)</f>
        <v/>
      </c>
      <c r="I59" s="172" t="str">
        <f>IF('Statement of Marks'!HV61="","",'Statement of Marks'!HV61)</f>
        <v/>
      </c>
      <c r="J59" s="173" t="str">
        <f>IF('Statement of Marks'!HU61="","",'Statement of Marks'!HU61)</f>
        <v/>
      </c>
      <c r="K59" s="181" t="str">
        <f>'Statement of Marks'!GN61</f>
        <v/>
      </c>
      <c r="L59" s="181" t="str">
        <f>'Statement of Marks'!GQ61</f>
        <v/>
      </c>
      <c r="M59" s="181" t="str">
        <f>'Statement of Marks'!GT61</f>
        <v/>
      </c>
      <c r="N59" s="181" t="str">
        <f>'Statement of Marks'!HB61</f>
        <v/>
      </c>
      <c r="O59" s="181" t="str">
        <f>'Statement of Marks'!HE61</f>
        <v/>
      </c>
      <c r="P59" s="181" t="str">
        <f>'Statement of Marks'!HH61</f>
        <v/>
      </c>
      <c r="Q59" s="181" t="str">
        <f>'Statement of Marks'!HK61</f>
        <v/>
      </c>
      <c r="R59" s="173" t="str">
        <f>IF(COUNTIF(K59:Q59,"F")&gt;0,"",CONCATENATE('Statement of Marks'!HO61,'Statement of Marks'!HQ61))</f>
        <v xml:space="preserve">            </v>
      </c>
      <c r="S59" s="174">
        <f t="shared" si="0"/>
        <v>0</v>
      </c>
      <c r="T59" s="5"/>
      <c r="U59" s="182" t="str">
        <f t="shared" si="1"/>
        <v/>
      </c>
      <c r="V59" s="182" t="str">
        <f t="shared" si="2"/>
        <v/>
      </c>
      <c r="W59" s="5"/>
      <c r="X59" s="182" t="str">
        <f t="shared" si="3"/>
        <v/>
      </c>
      <c r="Y59" s="182" t="str">
        <f t="shared" si="4"/>
        <v/>
      </c>
      <c r="Z59" s="5"/>
      <c r="AA59" s="182" t="str">
        <f t="shared" si="5"/>
        <v/>
      </c>
      <c r="AB59" s="183" t="str">
        <f t="shared" si="6"/>
        <v/>
      </c>
      <c r="AC59" s="5"/>
      <c r="AD59" s="182" t="str">
        <f t="shared" si="7"/>
        <v/>
      </c>
      <c r="AE59" s="183" t="str">
        <f t="shared" si="8"/>
        <v/>
      </c>
      <c r="AF59" s="5"/>
      <c r="AG59" s="182" t="str">
        <f t="shared" si="9"/>
        <v/>
      </c>
      <c r="AH59" s="183" t="str">
        <f t="shared" si="10"/>
        <v/>
      </c>
      <c r="AI59" s="5"/>
      <c r="AJ59" s="183" t="str">
        <f t="shared" si="11"/>
        <v/>
      </c>
      <c r="AK59" s="183" t="str">
        <f t="shared" si="12"/>
        <v/>
      </c>
      <c r="AL59" s="5"/>
      <c r="AM59" s="183" t="str">
        <f t="shared" si="13"/>
        <v/>
      </c>
      <c r="AN59" s="183" t="str">
        <f t="shared" si="14"/>
        <v/>
      </c>
      <c r="AO59" s="184">
        <f t="shared" si="15"/>
        <v>0</v>
      </c>
      <c r="AP59" s="184">
        <f t="shared" si="16"/>
        <v>0</v>
      </c>
      <c r="AQ59" s="608" t="str">
        <f t="shared" si="17"/>
        <v/>
      </c>
      <c r="AR59" s="185" t="str">
        <f>IF(COUNTIF(K59:Q59,"F")&gt;0,"",IF(AQ59="PASS",'Statement of Marks'!HZ61,""))</f>
        <v/>
      </c>
      <c r="AS59" s="185" t="str">
        <f>IF(AQ59="PASS",'Statement of Marks'!IA61,"")</f>
        <v/>
      </c>
    </row>
    <row r="60" spans="1:45">
      <c r="A60" s="169">
        <f>IF('Statement of Marks'!A62="","",'Statement of Marks'!A62)</f>
        <v>56</v>
      </c>
      <c r="B60" s="169" t="str">
        <f>IF('Statement of Marks'!B62="","",'Statement of Marks'!B62)</f>
        <v/>
      </c>
      <c r="C60" s="169" t="str">
        <f>IF('Statement of Marks'!D62="","",'Statement of Marks'!D62)</f>
        <v/>
      </c>
      <c r="D60" s="170" t="str">
        <f>IF('Statement of Marks'!E62="","",'Statement of Marks'!E62)</f>
        <v/>
      </c>
      <c r="E60" s="171" t="str">
        <f>IF('Statement of Marks'!F62="","",'Statement of Marks'!F62)</f>
        <v/>
      </c>
      <c r="F60" s="171" t="str">
        <f>IF('Statement of Marks'!G62="","",'Statement of Marks'!G62)</f>
        <v/>
      </c>
      <c r="G60" s="171" t="str">
        <f>IF('Statement of Marks'!H62="","",'Statement of Marks'!H62)</f>
        <v/>
      </c>
      <c r="H60" s="172" t="str">
        <f>IF('Statement of Marks'!HS62="","",'Statement of Marks'!HS62)</f>
        <v/>
      </c>
      <c r="I60" s="172" t="str">
        <f>IF('Statement of Marks'!HV62="","",'Statement of Marks'!HV62)</f>
        <v/>
      </c>
      <c r="J60" s="173" t="str">
        <f>IF('Statement of Marks'!HU62="","",'Statement of Marks'!HU62)</f>
        <v/>
      </c>
      <c r="K60" s="181" t="str">
        <f>'Statement of Marks'!GN62</f>
        <v/>
      </c>
      <c r="L60" s="181" t="str">
        <f>'Statement of Marks'!GQ62</f>
        <v/>
      </c>
      <c r="M60" s="181" t="str">
        <f>'Statement of Marks'!GT62</f>
        <v/>
      </c>
      <c r="N60" s="181" t="str">
        <f>'Statement of Marks'!HB62</f>
        <v/>
      </c>
      <c r="O60" s="181" t="str">
        <f>'Statement of Marks'!HE62</f>
        <v/>
      </c>
      <c r="P60" s="181" t="str">
        <f>'Statement of Marks'!HH62</f>
        <v/>
      </c>
      <c r="Q60" s="181" t="str">
        <f>'Statement of Marks'!HK62</f>
        <v/>
      </c>
      <c r="R60" s="173" t="str">
        <f>IF(COUNTIF(K60:Q60,"F")&gt;0,"",CONCATENATE('Statement of Marks'!HO62,'Statement of Marks'!HQ62))</f>
        <v xml:space="preserve">            </v>
      </c>
      <c r="S60" s="174">
        <f t="shared" si="0"/>
        <v>0</v>
      </c>
      <c r="T60" s="5"/>
      <c r="U60" s="182" t="str">
        <f t="shared" si="1"/>
        <v/>
      </c>
      <c r="V60" s="182" t="str">
        <f t="shared" si="2"/>
        <v/>
      </c>
      <c r="W60" s="5"/>
      <c r="X60" s="182" t="str">
        <f t="shared" si="3"/>
        <v/>
      </c>
      <c r="Y60" s="182" t="str">
        <f t="shared" si="4"/>
        <v/>
      </c>
      <c r="Z60" s="5"/>
      <c r="AA60" s="182" t="str">
        <f t="shared" si="5"/>
        <v/>
      </c>
      <c r="AB60" s="183" t="str">
        <f t="shared" si="6"/>
        <v/>
      </c>
      <c r="AC60" s="5"/>
      <c r="AD60" s="182" t="str">
        <f t="shared" si="7"/>
        <v/>
      </c>
      <c r="AE60" s="183" t="str">
        <f t="shared" si="8"/>
        <v/>
      </c>
      <c r="AF60" s="5"/>
      <c r="AG60" s="182" t="str">
        <f t="shared" si="9"/>
        <v/>
      </c>
      <c r="AH60" s="183" t="str">
        <f t="shared" si="10"/>
        <v/>
      </c>
      <c r="AI60" s="5"/>
      <c r="AJ60" s="183" t="str">
        <f t="shared" si="11"/>
        <v/>
      </c>
      <c r="AK60" s="183" t="str">
        <f t="shared" si="12"/>
        <v/>
      </c>
      <c r="AL60" s="5"/>
      <c r="AM60" s="183" t="str">
        <f t="shared" si="13"/>
        <v/>
      </c>
      <c r="AN60" s="183" t="str">
        <f t="shared" si="14"/>
        <v/>
      </c>
      <c r="AO60" s="184">
        <f t="shared" si="15"/>
        <v>0</v>
      </c>
      <c r="AP60" s="184">
        <f t="shared" si="16"/>
        <v>0</v>
      </c>
      <c r="AQ60" s="608" t="str">
        <f t="shared" si="17"/>
        <v/>
      </c>
      <c r="AR60" s="185" t="str">
        <f>IF(COUNTIF(K60:Q60,"F")&gt;0,"",IF(AQ60="PASS",'Statement of Marks'!HZ62,""))</f>
        <v/>
      </c>
      <c r="AS60" s="185" t="str">
        <f>IF(AQ60="PASS",'Statement of Marks'!IA62,"")</f>
        <v/>
      </c>
    </row>
    <row r="61" spans="1:45">
      <c r="A61" s="169">
        <f>IF('Statement of Marks'!A63="","",'Statement of Marks'!A63)</f>
        <v>57</v>
      </c>
      <c r="B61" s="169" t="str">
        <f>IF('Statement of Marks'!B63="","",'Statement of Marks'!B63)</f>
        <v/>
      </c>
      <c r="C61" s="169" t="str">
        <f>IF('Statement of Marks'!D63="","",'Statement of Marks'!D63)</f>
        <v/>
      </c>
      <c r="D61" s="170" t="str">
        <f>IF('Statement of Marks'!E63="","",'Statement of Marks'!E63)</f>
        <v/>
      </c>
      <c r="E61" s="171" t="str">
        <f>IF('Statement of Marks'!F63="","",'Statement of Marks'!F63)</f>
        <v/>
      </c>
      <c r="F61" s="171" t="str">
        <f>IF('Statement of Marks'!G63="","",'Statement of Marks'!G63)</f>
        <v/>
      </c>
      <c r="G61" s="171" t="str">
        <f>IF('Statement of Marks'!H63="","",'Statement of Marks'!H63)</f>
        <v/>
      </c>
      <c r="H61" s="172" t="str">
        <f>IF('Statement of Marks'!HS63="","",'Statement of Marks'!HS63)</f>
        <v/>
      </c>
      <c r="I61" s="172" t="str">
        <f>IF('Statement of Marks'!HV63="","",'Statement of Marks'!HV63)</f>
        <v/>
      </c>
      <c r="J61" s="173" t="str">
        <f>IF('Statement of Marks'!HU63="","",'Statement of Marks'!HU63)</f>
        <v/>
      </c>
      <c r="K61" s="181" t="str">
        <f>'Statement of Marks'!GN63</f>
        <v/>
      </c>
      <c r="L61" s="181" t="str">
        <f>'Statement of Marks'!GQ63</f>
        <v/>
      </c>
      <c r="M61" s="181" t="str">
        <f>'Statement of Marks'!GT63</f>
        <v/>
      </c>
      <c r="N61" s="181" t="str">
        <f>'Statement of Marks'!HB63</f>
        <v/>
      </c>
      <c r="O61" s="181" t="str">
        <f>'Statement of Marks'!HE63</f>
        <v/>
      </c>
      <c r="P61" s="181" t="str">
        <f>'Statement of Marks'!HH63</f>
        <v/>
      </c>
      <c r="Q61" s="181" t="str">
        <f>'Statement of Marks'!HK63</f>
        <v/>
      </c>
      <c r="R61" s="173" t="str">
        <f>IF(COUNTIF(K61:Q61,"F")&gt;0,"",CONCATENATE('Statement of Marks'!HO63,'Statement of Marks'!HQ63))</f>
        <v xml:space="preserve">            </v>
      </c>
      <c r="S61" s="174">
        <f t="shared" si="0"/>
        <v>0</v>
      </c>
      <c r="T61" s="5"/>
      <c r="U61" s="182" t="str">
        <f t="shared" si="1"/>
        <v/>
      </c>
      <c r="V61" s="182" t="str">
        <f t="shared" si="2"/>
        <v/>
      </c>
      <c r="W61" s="5"/>
      <c r="X61" s="182" t="str">
        <f t="shared" si="3"/>
        <v/>
      </c>
      <c r="Y61" s="182" t="str">
        <f t="shared" si="4"/>
        <v/>
      </c>
      <c r="Z61" s="5"/>
      <c r="AA61" s="182" t="str">
        <f t="shared" si="5"/>
        <v/>
      </c>
      <c r="AB61" s="183" t="str">
        <f t="shared" si="6"/>
        <v/>
      </c>
      <c r="AC61" s="5"/>
      <c r="AD61" s="182" t="str">
        <f t="shared" si="7"/>
        <v/>
      </c>
      <c r="AE61" s="183" t="str">
        <f t="shared" si="8"/>
        <v/>
      </c>
      <c r="AF61" s="5"/>
      <c r="AG61" s="182" t="str">
        <f t="shared" si="9"/>
        <v/>
      </c>
      <c r="AH61" s="183" t="str">
        <f t="shared" si="10"/>
        <v/>
      </c>
      <c r="AI61" s="5"/>
      <c r="AJ61" s="183" t="str">
        <f t="shared" si="11"/>
        <v/>
      </c>
      <c r="AK61" s="183" t="str">
        <f t="shared" si="12"/>
        <v/>
      </c>
      <c r="AL61" s="5"/>
      <c r="AM61" s="183" t="str">
        <f t="shared" si="13"/>
        <v/>
      </c>
      <c r="AN61" s="183" t="str">
        <f t="shared" si="14"/>
        <v/>
      </c>
      <c r="AO61" s="184">
        <f t="shared" si="15"/>
        <v>0</v>
      </c>
      <c r="AP61" s="184">
        <f t="shared" si="16"/>
        <v>0</v>
      </c>
      <c r="AQ61" s="608" t="str">
        <f t="shared" si="17"/>
        <v/>
      </c>
      <c r="AR61" s="185" t="str">
        <f>IF(COUNTIF(K61:Q61,"F")&gt;0,"",IF(AQ61="PASS",'Statement of Marks'!HZ63,""))</f>
        <v/>
      </c>
      <c r="AS61" s="185" t="str">
        <f>IF(AQ61="PASS",'Statement of Marks'!IA63,"")</f>
        <v/>
      </c>
    </row>
    <row r="62" spans="1:45">
      <c r="A62" s="169">
        <f>IF('Statement of Marks'!A64="","",'Statement of Marks'!A64)</f>
        <v>58</v>
      </c>
      <c r="B62" s="169" t="str">
        <f>IF('Statement of Marks'!B64="","",'Statement of Marks'!B64)</f>
        <v/>
      </c>
      <c r="C62" s="169" t="str">
        <f>IF('Statement of Marks'!D64="","",'Statement of Marks'!D64)</f>
        <v/>
      </c>
      <c r="D62" s="170" t="str">
        <f>IF('Statement of Marks'!E64="","",'Statement of Marks'!E64)</f>
        <v/>
      </c>
      <c r="E62" s="171" t="str">
        <f>IF('Statement of Marks'!F64="","",'Statement of Marks'!F64)</f>
        <v/>
      </c>
      <c r="F62" s="171" t="str">
        <f>IF('Statement of Marks'!G64="","",'Statement of Marks'!G64)</f>
        <v/>
      </c>
      <c r="G62" s="171" t="str">
        <f>IF('Statement of Marks'!H64="","",'Statement of Marks'!H64)</f>
        <v/>
      </c>
      <c r="H62" s="172" t="str">
        <f>IF('Statement of Marks'!HS64="","",'Statement of Marks'!HS64)</f>
        <v/>
      </c>
      <c r="I62" s="172" t="str">
        <f>IF('Statement of Marks'!HV64="","",'Statement of Marks'!HV64)</f>
        <v/>
      </c>
      <c r="J62" s="173" t="str">
        <f>IF('Statement of Marks'!HU64="","",'Statement of Marks'!HU64)</f>
        <v/>
      </c>
      <c r="K62" s="181" t="str">
        <f>'Statement of Marks'!GN64</f>
        <v/>
      </c>
      <c r="L62" s="181" t="str">
        <f>'Statement of Marks'!GQ64</f>
        <v/>
      </c>
      <c r="M62" s="181" t="str">
        <f>'Statement of Marks'!GT64</f>
        <v/>
      </c>
      <c r="N62" s="181" t="str">
        <f>'Statement of Marks'!HB64</f>
        <v/>
      </c>
      <c r="O62" s="181" t="str">
        <f>'Statement of Marks'!HE64</f>
        <v/>
      </c>
      <c r="P62" s="181" t="str">
        <f>'Statement of Marks'!HH64</f>
        <v/>
      </c>
      <c r="Q62" s="181" t="str">
        <f>'Statement of Marks'!HK64</f>
        <v/>
      </c>
      <c r="R62" s="173" t="str">
        <f>IF(COUNTIF(K62:Q62,"F")&gt;0,"",CONCATENATE('Statement of Marks'!HO64,'Statement of Marks'!HQ64))</f>
        <v xml:space="preserve">            </v>
      </c>
      <c r="S62" s="174">
        <f t="shared" si="0"/>
        <v>0</v>
      </c>
      <c r="T62" s="5"/>
      <c r="U62" s="182" t="str">
        <f t="shared" si="1"/>
        <v/>
      </c>
      <c r="V62" s="182" t="str">
        <f t="shared" si="2"/>
        <v/>
      </c>
      <c r="W62" s="5"/>
      <c r="X62" s="182" t="str">
        <f t="shared" si="3"/>
        <v/>
      </c>
      <c r="Y62" s="182" t="str">
        <f t="shared" si="4"/>
        <v/>
      </c>
      <c r="Z62" s="5"/>
      <c r="AA62" s="182" t="str">
        <f t="shared" si="5"/>
        <v/>
      </c>
      <c r="AB62" s="183" t="str">
        <f t="shared" si="6"/>
        <v/>
      </c>
      <c r="AC62" s="5"/>
      <c r="AD62" s="182" t="str">
        <f t="shared" si="7"/>
        <v/>
      </c>
      <c r="AE62" s="183" t="str">
        <f t="shared" si="8"/>
        <v/>
      </c>
      <c r="AF62" s="5"/>
      <c r="AG62" s="182" t="str">
        <f t="shared" si="9"/>
        <v/>
      </c>
      <c r="AH62" s="183" t="str">
        <f t="shared" si="10"/>
        <v/>
      </c>
      <c r="AI62" s="5"/>
      <c r="AJ62" s="183" t="str">
        <f t="shared" si="11"/>
        <v/>
      </c>
      <c r="AK62" s="183" t="str">
        <f t="shared" si="12"/>
        <v/>
      </c>
      <c r="AL62" s="5"/>
      <c r="AM62" s="183" t="str">
        <f t="shared" si="13"/>
        <v/>
      </c>
      <c r="AN62" s="183" t="str">
        <f t="shared" si="14"/>
        <v/>
      </c>
      <c r="AO62" s="184">
        <f t="shared" si="15"/>
        <v>0</v>
      </c>
      <c r="AP62" s="184">
        <f t="shared" si="16"/>
        <v>0</v>
      </c>
      <c r="AQ62" s="608" t="str">
        <f t="shared" si="17"/>
        <v/>
      </c>
      <c r="AR62" s="185" t="str">
        <f>IF(COUNTIF(K62:Q62,"F")&gt;0,"",IF(AQ62="PASS",'Statement of Marks'!HZ64,""))</f>
        <v/>
      </c>
      <c r="AS62" s="185" t="str">
        <f>IF(AQ62="PASS",'Statement of Marks'!IA64,"")</f>
        <v/>
      </c>
    </row>
    <row r="63" spans="1:45">
      <c r="A63" s="169">
        <f>IF('Statement of Marks'!A65="","",'Statement of Marks'!A65)</f>
        <v>59</v>
      </c>
      <c r="B63" s="169" t="str">
        <f>IF('Statement of Marks'!B65="","",'Statement of Marks'!B65)</f>
        <v/>
      </c>
      <c r="C63" s="169" t="str">
        <f>IF('Statement of Marks'!D65="","",'Statement of Marks'!D65)</f>
        <v/>
      </c>
      <c r="D63" s="170" t="str">
        <f>IF('Statement of Marks'!E65="","",'Statement of Marks'!E65)</f>
        <v/>
      </c>
      <c r="E63" s="171" t="str">
        <f>IF('Statement of Marks'!F65="","",'Statement of Marks'!F65)</f>
        <v/>
      </c>
      <c r="F63" s="171" t="str">
        <f>IF('Statement of Marks'!G65="","",'Statement of Marks'!G65)</f>
        <v/>
      </c>
      <c r="G63" s="171" t="str">
        <f>IF('Statement of Marks'!H65="","",'Statement of Marks'!H65)</f>
        <v/>
      </c>
      <c r="H63" s="172" t="str">
        <f>IF('Statement of Marks'!HS65="","",'Statement of Marks'!HS65)</f>
        <v/>
      </c>
      <c r="I63" s="172" t="str">
        <f>IF('Statement of Marks'!HV65="","",'Statement of Marks'!HV65)</f>
        <v/>
      </c>
      <c r="J63" s="173" t="str">
        <f>IF('Statement of Marks'!HU65="","",'Statement of Marks'!HU65)</f>
        <v/>
      </c>
      <c r="K63" s="181" t="str">
        <f>'Statement of Marks'!GN65</f>
        <v/>
      </c>
      <c r="L63" s="181" t="str">
        <f>'Statement of Marks'!GQ65</f>
        <v/>
      </c>
      <c r="M63" s="181" t="str">
        <f>'Statement of Marks'!GT65</f>
        <v/>
      </c>
      <c r="N63" s="181" t="str">
        <f>'Statement of Marks'!HB65</f>
        <v/>
      </c>
      <c r="O63" s="181" t="str">
        <f>'Statement of Marks'!HE65</f>
        <v/>
      </c>
      <c r="P63" s="181" t="str">
        <f>'Statement of Marks'!HH65</f>
        <v/>
      </c>
      <c r="Q63" s="181" t="str">
        <f>'Statement of Marks'!HK65</f>
        <v/>
      </c>
      <c r="R63" s="173" t="str">
        <f>IF(COUNTIF(K63:Q63,"F")&gt;0,"",CONCATENATE('Statement of Marks'!HO65,'Statement of Marks'!HQ65))</f>
        <v xml:space="preserve">            </v>
      </c>
      <c r="S63" s="174">
        <f t="shared" si="0"/>
        <v>0</v>
      </c>
      <c r="T63" s="5"/>
      <c r="U63" s="182" t="str">
        <f t="shared" si="1"/>
        <v/>
      </c>
      <c r="V63" s="182" t="str">
        <f t="shared" si="2"/>
        <v/>
      </c>
      <c r="W63" s="5"/>
      <c r="X63" s="182" t="str">
        <f t="shared" si="3"/>
        <v/>
      </c>
      <c r="Y63" s="182" t="str">
        <f t="shared" si="4"/>
        <v/>
      </c>
      <c r="Z63" s="5"/>
      <c r="AA63" s="182" t="str">
        <f t="shared" si="5"/>
        <v/>
      </c>
      <c r="AB63" s="183" t="str">
        <f t="shared" si="6"/>
        <v/>
      </c>
      <c r="AC63" s="5"/>
      <c r="AD63" s="182" t="str">
        <f t="shared" si="7"/>
        <v/>
      </c>
      <c r="AE63" s="183" t="str">
        <f t="shared" si="8"/>
        <v/>
      </c>
      <c r="AF63" s="5"/>
      <c r="AG63" s="182" t="str">
        <f t="shared" si="9"/>
        <v/>
      </c>
      <c r="AH63" s="183" t="str">
        <f t="shared" si="10"/>
        <v/>
      </c>
      <c r="AI63" s="5"/>
      <c r="AJ63" s="183" t="str">
        <f t="shared" si="11"/>
        <v/>
      </c>
      <c r="AK63" s="183" t="str">
        <f t="shared" si="12"/>
        <v/>
      </c>
      <c r="AL63" s="5"/>
      <c r="AM63" s="183" t="str">
        <f t="shared" si="13"/>
        <v/>
      </c>
      <c r="AN63" s="183" t="str">
        <f t="shared" si="14"/>
        <v/>
      </c>
      <c r="AO63" s="184">
        <f t="shared" si="15"/>
        <v>0</v>
      </c>
      <c r="AP63" s="184">
        <f t="shared" si="16"/>
        <v>0</v>
      </c>
      <c r="AQ63" s="608" t="str">
        <f t="shared" si="17"/>
        <v/>
      </c>
      <c r="AR63" s="185" t="str">
        <f>IF(COUNTIF(K63:Q63,"F")&gt;0,"",IF(AQ63="PASS",'Statement of Marks'!HZ65,""))</f>
        <v/>
      </c>
      <c r="AS63" s="185" t="str">
        <f>IF(AQ63="PASS",'Statement of Marks'!IA65,"")</f>
        <v/>
      </c>
    </row>
    <row r="64" spans="1:45">
      <c r="A64" s="169">
        <f>IF('Statement of Marks'!A66="","",'Statement of Marks'!A66)</f>
        <v>60</v>
      </c>
      <c r="B64" s="169" t="str">
        <f>IF('Statement of Marks'!B66="","",'Statement of Marks'!B66)</f>
        <v/>
      </c>
      <c r="C64" s="169" t="str">
        <f>IF('Statement of Marks'!D66="","",'Statement of Marks'!D66)</f>
        <v/>
      </c>
      <c r="D64" s="170" t="str">
        <f>IF('Statement of Marks'!E66="","",'Statement of Marks'!E66)</f>
        <v/>
      </c>
      <c r="E64" s="171" t="str">
        <f>IF('Statement of Marks'!F66="","",'Statement of Marks'!F66)</f>
        <v/>
      </c>
      <c r="F64" s="171" t="str">
        <f>IF('Statement of Marks'!G66="","",'Statement of Marks'!G66)</f>
        <v/>
      </c>
      <c r="G64" s="171" t="str">
        <f>IF('Statement of Marks'!H66="","",'Statement of Marks'!H66)</f>
        <v/>
      </c>
      <c r="H64" s="172" t="str">
        <f>IF('Statement of Marks'!HS66="","",'Statement of Marks'!HS66)</f>
        <v/>
      </c>
      <c r="I64" s="172" t="str">
        <f>IF('Statement of Marks'!HV66="","",'Statement of Marks'!HV66)</f>
        <v/>
      </c>
      <c r="J64" s="173" t="str">
        <f>IF('Statement of Marks'!HU66="","",'Statement of Marks'!HU66)</f>
        <v/>
      </c>
      <c r="K64" s="181" t="str">
        <f>'Statement of Marks'!GN66</f>
        <v/>
      </c>
      <c r="L64" s="181" t="str">
        <f>'Statement of Marks'!GQ66</f>
        <v/>
      </c>
      <c r="M64" s="181" t="str">
        <f>'Statement of Marks'!GT66</f>
        <v/>
      </c>
      <c r="N64" s="181" t="str">
        <f>'Statement of Marks'!HB66</f>
        <v/>
      </c>
      <c r="O64" s="181" t="str">
        <f>'Statement of Marks'!HE66</f>
        <v/>
      </c>
      <c r="P64" s="181" t="str">
        <f>'Statement of Marks'!HH66</f>
        <v/>
      </c>
      <c r="Q64" s="181" t="str">
        <f>'Statement of Marks'!HK66</f>
        <v/>
      </c>
      <c r="R64" s="173" t="str">
        <f>IF(COUNTIF(K64:Q64,"F")&gt;0,"",CONCATENATE('Statement of Marks'!HO66,'Statement of Marks'!HQ66))</f>
        <v xml:space="preserve">            </v>
      </c>
      <c r="S64" s="174">
        <f t="shared" si="0"/>
        <v>0</v>
      </c>
      <c r="T64" s="5"/>
      <c r="U64" s="182" t="str">
        <f t="shared" si="1"/>
        <v/>
      </c>
      <c r="V64" s="182" t="str">
        <f t="shared" si="2"/>
        <v/>
      </c>
      <c r="W64" s="5"/>
      <c r="X64" s="182" t="str">
        <f t="shared" si="3"/>
        <v/>
      </c>
      <c r="Y64" s="182" t="str">
        <f t="shared" si="4"/>
        <v/>
      </c>
      <c r="Z64" s="5"/>
      <c r="AA64" s="182" t="str">
        <f t="shared" si="5"/>
        <v/>
      </c>
      <c r="AB64" s="183" t="str">
        <f t="shared" si="6"/>
        <v/>
      </c>
      <c r="AC64" s="5"/>
      <c r="AD64" s="182" t="str">
        <f t="shared" si="7"/>
        <v/>
      </c>
      <c r="AE64" s="183" t="str">
        <f t="shared" si="8"/>
        <v/>
      </c>
      <c r="AF64" s="5"/>
      <c r="AG64" s="182" t="str">
        <f t="shared" si="9"/>
        <v/>
      </c>
      <c r="AH64" s="183" t="str">
        <f t="shared" si="10"/>
        <v/>
      </c>
      <c r="AI64" s="5"/>
      <c r="AJ64" s="183" t="str">
        <f t="shared" si="11"/>
        <v/>
      </c>
      <c r="AK64" s="183" t="str">
        <f t="shared" si="12"/>
        <v/>
      </c>
      <c r="AL64" s="5"/>
      <c r="AM64" s="183" t="str">
        <f t="shared" si="13"/>
        <v/>
      </c>
      <c r="AN64" s="183" t="str">
        <f t="shared" si="14"/>
        <v/>
      </c>
      <c r="AO64" s="184">
        <f t="shared" si="15"/>
        <v>0</v>
      </c>
      <c r="AP64" s="184">
        <f t="shared" si="16"/>
        <v>0</v>
      </c>
      <c r="AQ64" s="608" t="str">
        <f t="shared" si="17"/>
        <v/>
      </c>
      <c r="AR64" s="185" t="str">
        <f>IF(COUNTIF(K64:Q64,"F")&gt;0,"",IF(AQ64="PASS",'Statement of Marks'!HZ66,""))</f>
        <v/>
      </c>
      <c r="AS64" s="185" t="str">
        <f>IF(AQ64="PASS",'Statement of Marks'!IA66,"")</f>
        <v/>
      </c>
    </row>
    <row r="65" spans="1:45">
      <c r="A65" s="169">
        <f>IF('Statement of Marks'!A67="","",'Statement of Marks'!A67)</f>
        <v>61</v>
      </c>
      <c r="B65" s="169" t="str">
        <f>IF('Statement of Marks'!B67="","",'Statement of Marks'!B67)</f>
        <v/>
      </c>
      <c r="C65" s="169" t="str">
        <f>IF('Statement of Marks'!D67="","",'Statement of Marks'!D67)</f>
        <v/>
      </c>
      <c r="D65" s="170" t="str">
        <f>IF('Statement of Marks'!E67="","",'Statement of Marks'!E67)</f>
        <v/>
      </c>
      <c r="E65" s="171" t="str">
        <f>IF('Statement of Marks'!F67="","",'Statement of Marks'!F67)</f>
        <v/>
      </c>
      <c r="F65" s="171" t="str">
        <f>IF('Statement of Marks'!G67="","",'Statement of Marks'!G67)</f>
        <v/>
      </c>
      <c r="G65" s="171" t="str">
        <f>IF('Statement of Marks'!H67="","",'Statement of Marks'!H67)</f>
        <v/>
      </c>
      <c r="H65" s="172" t="str">
        <f>IF('Statement of Marks'!HS67="","",'Statement of Marks'!HS67)</f>
        <v/>
      </c>
      <c r="I65" s="172" t="str">
        <f>IF('Statement of Marks'!HV67="","",'Statement of Marks'!HV67)</f>
        <v/>
      </c>
      <c r="J65" s="173" t="str">
        <f>IF('Statement of Marks'!HU67="","",'Statement of Marks'!HU67)</f>
        <v/>
      </c>
      <c r="K65" s="181" t="str">
        <f>'Statement of Marks'!GN67</f>
        <v/>
      </c>
      <c r="L65" s="181" t="str">
        <f>'Statement of Marks'!GQ67</f>
        <v/>
      </c>
      <c r="M65" s="181" t="str">
        <f>'Statement of Marks'!GT67</f>
        <v/>
      </c>
      <c r="N65" s="181" t="str">
        <f>'Statement of Marks'!HB67</f>
        <v/>
      </c>
      <c r="O65" s="181" t="str">
        <f>'Statement of Marks'!HE67</f>
        <v/>
      </c>
      <c r="P65" s="181" t="str">
        <f>'Statement of Marks'!HH67</f>
        <v/>
      </c>
      <c r="Q65" s="181" t="str">
        <f>'Statement of Marks'!HK67</f>
        <v/>
      </c>
      <c r="R65" s="173" t="str">
        <f>IF(COUNTIF(K65:Q65,"F")&gt;0,"",CONCATENATE('Statement of Marks'!HO67,'Statement of Marks'!HQ67))</f>
        <v xml:space="preserve">            </v>
      </c>
      <c r="S65" s="174">
        <f t="shared" si="0"/>
        <v>0</v>
      </c>
      <c r="T65" s="5"/>
      <c r="U65" s="182" t="str">
        <f t="shared" si="1"/>
        <v/>
      </c>
      <c r="V65" s="182" t="str">
        <f t="shared" si="2"/>
        <v/>
      </c>
      <c r="W65" s="5"/>
      <c r="X65" s="182" t="str">
        <f t="shared" si="3"/>
        <v/>
      </c>
      <c r="Y65" s="182" t="str">
        <f t="shared" si="4"/>
        <v/>
      </c>
      <c r="Z65" s="5"/>
      <c r="AA65" s="182" t="str">
        <f t="shared" si="5"/>
        <v/>
      </c>
      <c r="AB65" s="183" t="str">
        <f t="shared" si="6"/>
        <v/>
      </c>
      <c r="AC65" s="5"/>
      <c r="AD65" s="182" t="str">
        <f t="shared" si="7"/>
        <v/>
      </c>
      <c r="AE65" s="183" t="str">
        <f t="shared" si="8"/>
        <v/>
      </c>
      <c r="AF65" s="5"/>
      <c r="AG65" s="182" t="str">
        <f t="shared" si="9"/>
        <v/>
      </c>
      <c r="AH65" s="183" t="str">
        <f t="shared" si="10"/>
        <v/>
      </c>
      <c r="AI65" s="5"/>
      <c r="AJ65" s="183" t="str">
        <f t="shared" si="11"/>
        <v/>
      </c>
      <c r="AK65" s="183" t="str">
        <f t="shared" si="12"/>
        <v/>
      </c>
      <c r="AL65" s="5"/>
      <c r="AM65" s="183" t="str">
        <f t="shared" si="13"/>
        <v/>
      </c>
      <c r="AN65" s="183" t="str">
        <f t="shared" si="14"/>
        <v/>
      </c>
      <c r="AO65" s="184">
        <f t="shared" si="15"/>
        <v>0</v>
      </c>
      <c r="AP65" s="184">
        <f t="shared" si="16"/>
        <v>0</v>
      </c>
      <c r="AQ65" s="608" t="str">
        <f t="shared" si="17"/>
        <v/>
      </c>
      <c r="AR65" s="185" t="str">
        <f>IF(COUNTIF(K65:Q65,"F")&gt;0,"",IF(AQ65="PASS",'Statement of Marks'!HZ67,""))</f>
        <v/>
      </c>
      <c r="AS65" s="185" t="str">
        <f>IF(AQ65="PASS",'Statement of Marks'!IA67,"")</f>
        <v/>
      </c>
    </row>
    <row r="66" spans="1:45">
      <c r="A66" s="169">
        <f>IF('Statement of Marks'!A68="","",'Statement of Marks'!A68)</f>
        <v>62</v>
      </c>
      <c r="B66" s="169" t="str">
        <f>IF('Statement of Marks'!B68="","",'Statement of Marks'!B68)</f>
        <v/>
      </c>
      <c r="C66" s="169" t="str">
        <f>IF('Statement of Marks'!D68="","",'Statement of Marks'!D68)</f>
        <v/>
      </c>
      <c r="D66" s="170" t="str">
        <f>IF('Statement of Marks'!E68="","",'Statement of Marks'!E68)</f>
        <v/>
      </c>
      <c r="E66" s="171" t="str">
        <f>IF('Statement of Marks'!F68="","",'Statement of Marks'!F68)</f>
        <v/>
      </c>
      <c r="F66" s="171" t="str">
        <f>IF('Statement of Marks'!G68="","",'Statement of Marks'!G68)</f>
        <v/>
      </c>
      <c r="G66" s="171" t="str">
        <f>IF('Statement of Marks'!H68="","",'Statement of Marks'!H68)</f>
        <v/>
      </c>
      <c r="H66" s="172" t="str">
        <f>IF('Statement of Marks'!HS68="","",'Statement of Marks'!HS68)</f>
        <v/>
      </c>
      <c r="I66" s="172" t="str">
        <f>IF('Statement of Marks'!HV68="","",'Statement of Marks'!HV68)</f>
        <v/>
      </c>
      <c r="J66" s="173" t="str">
        <f>IF('Statement of Marks'!HU68="","",'Statement of Marks'!HU68)</f>
        <v/>
      </c>
      <c r="K66" s="181" t="str">
        <f>'Statement of Marks'!GN68</f>
        <v/>
      </c>
      <c r="L66" s="181" t="str">
        <f>'Statement of Marks'!GQ68</f>
        <v/>
      </c>
      <c r="M66" s="181" t="str">
        <f>'Statement of Marks'!GT68</f>
        <v/>
      </c>
      <c r="N66" s="181" t="str">
        <f>'Statement of Marks'!HB68</f>
        <v/>
      </c>
      <c r="O66" s="181" t="str">
        <f>'Statement of Marks'!HE68</f>
        <v/>
      </c>
      <c r="P66" s="181" t="str">
        <f>'Statement of Marks'!HH68</f>
        <v/>
      </c>
      <c r="Q66" s="181" t="str">
        <f>'Statement of Marks'!HK68</f>
        <v/>
      </c>
      <c r="R66" s="173" t="str">
        <f>IF(COUNTIF(K66:Q66,"F")&gt;0,"",CONCATENATE('Statement of Marks'!HO68,'Statement of Marks'!HQ68))</f>
        <v xml:space="preserve">            </v>
      </c>
      <c r="S66" s="174">
        <f t="shared" si="0"/>
        <v>0</v>
      </c>
      <c r="T66" s="5"/>
      <c r="U66" s="182" t="str">
        <f t="shared" si="1"/>
        <v/>
      </c>
      <c r="V66" s="182" t="str">
        <f t="shared" si="2"/>
        <v/>
      </c>
      <c r="W66" s="5"/>
      <c r="X66" s="182" t="str">
        <f t="shared" si="3"/>
        <v/>
      </c>
      <c r="Y66" s="182" t="str">
        <f t="shared" si="4"/>
        <v/>
      </c>
      <c r="Z66" s="5"/>
      <c r="AA66" s="182" t="str">
        <f t="shared" si="5"/>
        <v/>
      </c>
      <c r="AB66" s="183" t="str">
        <f t="shared" si="6"/>
        <v/>
      </c>
      <c r="AC66" s="5"/>
      <c r="AD66" s="182" t="str">
        <f t="shared" si="7"/>
        <v/>
      </c>
      <c r="AE66" s="183" t="str">
        <f t="shared" si="8"/>
        <v/>
      </c>
      <c r="AF66" s="5"/>
      <c r="AG66" s="182" t="str">
        <f t="shared" si="9"/>
        <v/>
      </c>
      <c r="AH66" s="183" t="str">
        <f t="shared" si="10"/>
        <v/>
      </c>
      <c r="AI66" s="5"/>
      <c r="AJ66" s="183" t="str">
        <f t="shared" si="11"/>
        <v/>
      </c>
      <c r="AK66" s="183" t="str">
        <f t="shared" si="12"/>
        <v/>
      </c>
      <c r="AL66" s="5"/>
      <c r="AM66" s="183" t="str">
        <f t="shared" si="13"/>
        <v/>
      </c>
      <c r="AN66" s="183" t="str">
        <f t="shared" si="14"/>
        <v/>
      </c>
      <c r="AO66" s="184">
        <f t="shared" si="15"/>
        <v>0</v>
      </c>
      <c r="AP66" s="184">
        <f t="shared" si="16"/>
        <v>0</v>
      </c>
      <c r="AQ66" s="608" t="str">
        <f t="shared" si="17"/>
        <v/>
      </c>
      <c r="AR66" s="185" t="str">
        <f>IF(COUNTIF(K66:Q66,"F")&gt;0,"",IF(AQ66="PASS",'Statement of Marks'!HZ68,""))</f>
        <v/>
      </c>
      <c r="AS66" s="185" t="str">
        <f>IF(AQ66="PASS",'Statement of Marks'!IA68,"")</f>
        <v/>
      </c>
    </row>
    <row r="67" spans="1:45">
      <c r="A67" s="169">
        <f>IF('Statement of Marks'!A69="","",'Statement of Marks'!A69)</f>
        <v>63</v>
      </c>
      <c r="B67" s="169" t="str">
        <f>IF('Statement of Marks'!B69="","",'Statement of Marks'!B69)</f>
        <v/>
      </c>
      <c r="C67" s="169" t="str">
        <f>IF('Statement of Marks'!D69="","",'Statement of Marks'!D69)</f>
        <v/>
      </c>
      <c r="D67" s="170" t="str">
        <f>IF('Statement of Marks'!E69="","",'Statement of Marks'!E69)</f>
        <v/>
      </c>
      <c r="E67" s="171" t="str">
        <f>IF('Statement of Marks'!F69="","",'Statement of Marks'!F69)</f>
        <v/>
      </c>
      <c r="F67" s="171" t="str">
        <f>IF('Statement of Marks'!G69="","",'Statement of Marks'!G69)</f>
        <v/>
      </c>
      <c r="G67" s="171" t="str">
        <f>IF('Statement of Marks'!H69="","",'Statement of Marks'!H69)</f>
        <v/>
      </c>
      <c r="H67" s="172" t="str">
        <f>IF('Statement of Marks'!HS69="","",'Statement of Marks'!HS69)</f>
        <v/>
      </c>
      <c r="I67" s="172" t="str">
        <f>IF('Statement of Marks'!HV69="","",'Statement of Marks'!HV69)</f>
        <v/>
      </c>
      <c r="J67" s="173" t="str">
        <f>IF('Statement of Marks'!HU69="","",'Statement of Marks'!HU69)</f>
        <v/>
      </c>
      <c r="K67" s="181" t="str">
        <f>'Statement of Marks'!GN69</f>
        <v/>
      </c>
      <c r="L67" s="181" t="str">
        <f>'Statement of Marks'!GQ69</f>
        <v/>
      </c>
      <c r="M67" s="181" t="str">
        <f>'Statement of Marks'!GT69</f>
        <v/>
      </c>
      <c r="N67" s="181" t="str">
        <f>'Statement of Marks'!HB69</f>
        <v/>
      </c>
      <c r="O67" s="181" t="str">
        <f>'Statement of Marks'!HE69</f>
        <v/>
      </c>
      <c r="P67" s="181" t="str">
        <f>'Statement of Marks'!HH69</f>
        <v/>
      </c>
      <c r="Q67" s="181" t="str">
        <f>'Statement of Marks'!HK69</f>
        <v/>
      </c>
      <c r="R67" s="173" t="str">
        <f>IF(COUNTIF(K67:Q67,"F")&gt;0,"",CONCATENATE('Statement of Marks'!HO69,'Statement of Marks'!HQ69))</f>
        <v xml:space="preserve">            </v>
      </c>
      <c r="S67" s="174">
        <f t="shared" si="0"/>
        <v>0</v>
      </c>
      <c r="T67" s="5"/>
      <c r="U67" s="182" t="str">
        <f t="shared" si="1"/>
        <v/>
      </c>
      <c r="V67" s="182" t="str">
        <f t="shared" si="2"/>
        <v/>
      </c>
      <c r="W67" s="5"/>
      <c r="X67" s="182" t="str">
        <f t="shared" si="3"/>
        <v/>
      </c>
      <c r="Y67" s="182" t="str">
        <f t="shared" si="4"/>
        <v/>
      </c>
      <c r="Z67" s="5"/>
      <c r="AA67" s="182" t="str">
        <f t="shared" si="5"/>
        <v/>
      </c>
      <c r="AB67" s="183" t="str">
        <f t="shared" si="6"/>
        <v/>
      </c>
      <c r="AC67" s="5"/>
      <c r="AD67" s="182" t="str">
        <f t="shared" si="7"/>
        <v/>
      </c>
      <c r="AE67" s="183" t="str">
        <f t="shared" si="8"/>
        <v/>
      </c>
      <c r="AF67" s="5"/>
      <c r="AG67" s="182" t="str">
        <f t="shared" si="9"/>
        <v/>
      </c>
      <c r="AH67" s="183" t="str">
        <f t="shared" si="10"/>
        <v/>
      </c>
      <c r="AI67" s="5"/>
      <c r="AJ67" s="183" t="str">
        <f t="shared" si="11"/>
        <v/>
      </c>
      <c r="AK67" s="183" t="str">
        <f t="shared" si="12"/>
        <v/>
      </c>
      <c r="AL67" s="5"/>
      <c r="AM67" s="183" t="str">
        <f t="shared" si="13"/>
        <v/>
      </c>
      <c r="AN67" s="183" t="str">
        <f t="shared" si="14"/>
        <v/>
      </c>
      <c r="AO67" s="184">
        <f t="shared" si="15"/>
        <v>0</v>
      </c>
      <c r="AP67" s="184">
        <f t="shared" si="16"/>
        <v>0</v>
      </c>
      <c r="AQ67" s="608" t="str">
        <f t="shared" si="17"/>
        <v/>
      </c>
      <c r="AR67" s="185" t="str">
        <f>IF(COUNTIF(K67:Q67,"F")&gt;0,"",IF(AQ67="PASS",'Statement of Marks'!HZ69,""))</f>
        <v/>
      </c>
      <c r="AS67" s="185" t="str">
        <f>IF(AQ67="PASS",'Statement of Marks'!IA69,"")</f>
        <v/>
      </c>
    </row>
    <row r="68" spans="1:45">
      <c r="A68" s="169">
        <f>IF('Statement of Marks'!A70="","",'Statement of Marks'!A70)</f>
        <v>64</v>
      </c>
      <c r="B68" s="169" t="str">
        <f>IF('Statement of Marks'!B70="","",'Statement of Marks'!B70)</f>
        <v/>
      </c>
      <c r="C68" s="169" t="str">
        <f>IF('Statement of Marks'!D70="","",'Statement of Marks'!D70)</f>
        <v/>
      </c>
      <c r="D68" s="170" t="str">
        <f>IF('Statement of Marks'!E70="","",'Statement of Marks'!E70)</f>
        <v/>
      </c>
      <c r="E68" s="171" t="str">
        <f>IF('Statement of Marks'!F70="","",'Statement of Marks'!F70)</f>
        <v/>
      </c>
      <c r="F68" s="171" t="str">
        <f>IF('Statement of Marks'!G70="","",'Statement of Marks'!G70)</f>
        <v/>
      </c>
      <c r="G68" s="171" t="str">
        <f>IF('Statement of Marks'!H70="","",'Statement of Marks'!H70)</f>
        <v/>
      </c>
      <c r="H68" s="172" t="str">
        <f>IF('Statement of Marks'!HS70="","",'Statement of Marks'!HS70)</f>
        <v/>
      </c>
      <c r="I68" s="172" t="str">
        <f>IF('Statement of Marks'!HV70="","",'Statement of Marks'!HV70)</f>
        <v/>
      </c>
      <c r="J68" s="173" t="str">
        <f>IF('Statement of Marks'!HU70="","",'Statement of Marks'!HU70)</f>
        <v/>
      </c>
      <c r="K68" s="181" t="str">
        <f>'Statement of Marks'!GN70</f>
        <v/>
      </c>
      <c r="L68" s="181" t="str">
        <f>'Statement of Marks'!GQ70</f>
        <v/>
      </c>
      <c r="M68" s="181" t="str">
        <f>'Statement of Marks'!GT70</f>
        <v/>
      </c>
      <c r="N68" s="181" t="str">
        <f>'Statement of Marks'!HB70</f>
        <v/>
      </c>
      <c r="O68" s="181" t="str">
        <f>'Statement of Marks'!HE70</f>
        <v/>
      </c>
      <c r="P68" s="181" t="str">
        <f>'Statement of Marks'!HH70</f>
        <v/>
      </c>
      <c r="Q68" s="181" t="str">
        <f>'Statement of Marks'!HK70</f>
        <v/>
      </c>
      <c r="R68" s="173" t="str">
        <f>IF(COUNTIF(K68:Q68,"F")&gt;0,"",CONCATENATE('Statement of Marks'!HO70,'Statement of Marks'!HQ70))</f>
        <v xml:space="preserve">            </v>
      </c>
      <c r="S68" s="174">
        <f t="shared" si="0"/>
        <v>0</v>
      </c>
      <c r="T68" s="5"/>
      <c r="U68" s="182" t="str">
        <f t="shared" si="1"/>
        <v/>
      </c>
      <c r="V68" s="182" t="str">
        <f t="shared" si="2"/>
        <v/>
      </c>
      <c r="W68" s="5"/>
      <c r="X68" s="182" t="str">
        <f t="shared" si="3"/>
        <v/>
      </c>
      <c r="Y68" s="182" t="str">
        <f t="shared" si="4"/>
        <v/>
      </c>
      <c r="Z68" s="5"/>
      <c r="AA68" s="182" t="str">
        <f t="shared" si="5"/>
        <v/>
      </c>
      <c r="AB68" s="183" t="str">
        <f t="shared" si="6"/>
        <v/>
      </c>
      <c r="AC68" s="5"/>
      <c r="AD68" s="182" t="str">
        <f t="shared" si="7"/>
        <v/>
      </c>
      <c r="AE68" s="183" t="str">
        <f t="shared" si="8"/>
        <v/>
      </c>
      <c r="AF68" s="5"/>
      <c r="AG68" s="182" t="str">
        <f t="shared" si="9"/>
        <v/>
      </c>
      <c r="AH68" s="183" t="str">
        <f t="shared" si="10"/>
        <v/>
      </c>
      <c r="AI68" s="5"/>
      <c r="AJ68" s="183" t="str">
        <f t="shared" si="11"/>
        <v/>
      </c>
      <c r="AK68" s="183" t="str">
        <f t="shared" si="12"/>
        <v/>
      </c>
      <c r="AL68" s="5"/>
      <c r="AM68" s="183" t="str">
        <f t="shared" si="13"/>
        <v/>
      </c>
      <c r="AN68" s="183" t="str">
        <f t="shared" si="14"/>
        <v/>
      </c>
      <c r="AO68" s="184">
        <f t="shared" si="15"/>
        <v>0</v>
      </c>
      <c r="AP68" s="184">
        <f t="shared" si="16"/>
        <v>0</v>
      </c>
      <c r="AQ68" s="608" t="str">
        <f t="shared" si="17"/>
        <v/>
      </c>
      <c r="AR68" s="185" t="str">
        <f>IF(COUNTIF(K68:Q68,"F")&gt;0,"",IF(AQ68="PASS",'Statement of Marks'!HZ70,""))</f>
        <v/>
      </c>
      <c r="AS68" s="185" t="str">
        <f>IF(AQ68="PASS",'Statement of Marks'!IA70,"")</f>
        <v/>
      </c>
    </row>
    <row r="69" spans="1:45">
      <c r="A69" s="169">
        <f>IF('Statement of Marks'!A71="","",'Statement of Marks'!A71)</f>
        <v>65</v>
      </c>
      <c r="B69" s="169" t="str">
        <f>IF('Statement of Marks'!B71="","",'Statement of Marks'!B71)</f>
        <v/>
      </c>
      <c r="C69" s="169" t="str">
        <f>IF('Statement of Marks'!D71="","",'Statement of Marks'!D71)</f>
        <v/>
      </c>
      <c r="D69" s="170" t="str">
        <f>IF('Statement of Marks'!E71="","",'Statement of Marks'!E71)</f>
        <v/>
      </c>
      <c r="E69" s="171" t="str">
        <f>IF('Statement of Marks'!F71="","",'Statement of Marks'!F71)</f>
        <v/>
      </c>
      <c r="F69" s="171" t="str">
        <f>IF('Statement of Marks'!G71="","",'Statement of Marks'!G71)</f>
        <v/>
      </c>
      <c r="G69" s="171" t="str">
        <f>IF('Statement of Marks'!H71="","",'Statement of Marks'!H71)</f>
        <v/>
      </c>
      <c r="H69" s="172" t="str">
        <f>IF('Statement of Marks'!HS71="","",'Statement of Marks'!HS71)</f>
        <v/>
      </c>
      <c r="I69" s="172" t="str">
        <f>IF('Statement of Marks'!HV71="","",'Statement of Marks'!HV71)</f>
        <v/>
      </c>
      <c r="J69" s="173" t="str">
        <f>IF('Statement of Marks'!HU71="","",'Statement of Marks'!HU71)</f>
        <v/>
      </c>
      <c r="K69" s="181" t="str">
        <f>'Statement of Marks'!GN71</f>
        <v/>
      </c>
      <c r="L69" s="181" t="str">
        <f>'Statement of Marks'!GQ71</f>
        <v/>
      </c>
      <c r="M69" s="181" t="str">
        <f>'Statement of Marks'!GT71</f>
        <v/>
      </c>
      <c r="N69" s="181" t="str">
        <f>'Statement of Marks'!HB71</f>
        <v/>
      </c>
      <c r="O69" s="181" t="str">
        <f>'Statement of Marks'!HE71</f>
        <v/>
      </c>
      <c r="P69" s="181" t="str">
        <f>'Statement of Marks'!HH71</f>
        <v/>
      </c>
      <c r="Q69" s="181" t="str">
        <f>'Statement of Marks'!HK71</f>
        <v/>
      </c>
      <c r="R69" s="173" t="str">
        <f>IF(COUNTIF(K69:Q69,"F")&gt;0,"",CONCATENATE('Statement of Marks'!HO71,'Statement of Marks'!HQ71))</f>
        <v xml:space="preserve">            </v>
      </c>
      <c r="S69" s="174">
        <f t="shared" si="0"/>
        <v>0</v>
      </c>
      <c r="T69" s="5"/>
      <c r="U69" s="182" t="str">
        <f t="shared" si="1"/>
        <v/>
      </c>
      <c r="V69" s="182" t="str">
        <f t="shared" si="2"/>
        <v/>
      </c>
      <c r="W69" s="5"/>
      <c r="X69" s="182" t="str">
        <f t="shared" si="3"/>
        <v/>
      </c>
      <c r="Y69" s="182" t="str">
        <f t="shared" si="4"/>
        <v/>
      </c>
      <c r="Z69" s="5"/>
      <c r="AA69" s="182" t="str">
        <f t="shared" si="5"/>
        <v/>
      </c>
      <c r="AB69" s="183" t="str">
        <f t="shared" si="6"/>
        <v/>
      </c>
      <c r="AC69" s="5"/>
      <c r="AD69" s="182" t="str">
        <f t="shared" si="7"/>
        <v/>
      </c>
      <c r="AE69" s="183" t="str">
        <f t="shared" si="8"/>
        <v/>
      </c>
      <c r="AF69" s="5"/>
      <c r="AG69" s="182" t="str">
        <f t="shared" si="9"/>
        <v/>
      </c>
      <c r="AH69" s="183" t="str">
        <f t="shared" si="10"/>
        <v/>
      </c>
      <c r="AI69" s="5"/>
      <c r="AJ69" s="183" t="str">
        <f t="shared" si="11"/>
        <v/>
      </c>
      <c r="AK69" s="183" t="str">
        <f t="shared" si="12"/>
        <v/>
      </c>
      <c r="AL69" s="5"/>
      <c r="AM69" s="183" t="str">
        <f t="shared" si="13"/>
        <v/>
      </c>
      <c r="AN69" s="183" t="str">
        <f t="shared" si="14"/>
        <v/>
      </c>
      <c r="AO69" s="184">
        <f t="shared" si="15"/>
        <v>0</v>
      </c>
      <c r="AP69" s="184">
        <f t="shared" si="16"/>
        <v>0</v>
      </c>
      <c r="AQ69" s="608" t="str">
        <f t="shared" si="17"/>
        <v/>
      </c>
      <c r="AR69" s="185" t="str">
        <f>IF(COUNTIF(K69:Q69,"F")&gt;0,"",IF(AQ69="PASS",'Statement of Marks'!HZ71,""))</f>
        <v/>
      </c>
      <c r="AS69" s="185" t="str">
        <f>IF(AQ69="PASS",'Statement of Marks'!IA71,"")</f>
        <v/>
      </c>
    </row>
    <row r="70" spans="1:45">
      <c r="A70" s="169">
        <f>IF('Statement of Marks'!A72="","",'Statement of Marks'!A72)</f>
        <v>66</v>
      </c>
      <c r="B70" s="169" t="str">
        <f>IF('Statement of Marks'!B72="","",'Statement of Marks'!B72)</f>
        <v/>
      </c>
      <c r="C70" s="169" t="str">
        <f>IF('Statement of Marks'!D72="","",'Statement of Marks'!D72)</f>
        <v/>
      </c>
      <c r="D70" s="170" t="str">
        <f>IF('Statement of Marks'!E72="","",'Statement of Marks'!E72)</f>
        <v/>
      </c>
      <c r="E70" s="171" t="str">
        <f>IF('Statement of Marks'!F72="","",'Statement of Marks'!F72)</f>
        <v/>
      </c>
      <c r="F70" s="171" t="str">
        <f>IF('Statement of Marks'!G72="","",'Statement of Marks'!G72)</f>
        <v/>
      </c>
      <c r="G70" s="171" t="str">
        <f>IF('Statement of Marks'!H72="","",'Statement of Marks'!H72)</f>
        <v/>
      </c>
      <c r="H70" s="172" t="str">
        <f>IF('Statement of Marks'!HS72="","",'Statement of Marks'!HS72)</f>
        <v/>
      </c>
      <c r="I70" s="172" t="str">
        <f>IF('Statement of Marks'!HV72="","",'Statement of Marks'!HV72)</f>
        <v/>
      </c>
      <c r="J70" s="173" t="str">
        <f>IF('Statement of Marks'!HU72="","",'Statement of Marks'!HU72)</f>
        <v/>
      </c>
      <c r="K70" s="181" t="str">
        <f>'Statement of Marks'!GN72</f>
        <v/>
      </c>
      <c r="L70" s="181" t="str">
        <f>'Statement of Marks'!GQ72</f>
        <v/>
      </c>
      <c r="M70" s="181" t="str">
        <f>'Statement of Marks'!GT72</f>
        <v/>
      </c>
      <c r="N70" s="181" t="str">
        <f>'Statement of Marks'!HB72</f>
        <v/>
      </c>
      <c r="O70" s="181" t="str">
        <f>'Statement of Marks'!HE72</f>
        <v/>
      </c>
      <c r="P70" s="181" t="str">
        <f>'Statement of Marks'!HH72</f>
        <v/>
      </c>
      <c r="Q70" s="181" t="str">
        <f>'Statement of Marks'!HK72</f>
        <v/>
      </c>
      <c r="R70" s="173" t="str">
        <f>IF(COUNTIF(K70:Q70,"F")&gt;0,"",CONCATENATE('Statement of Marks'!HO72,'Statement of Marks'!HQ72))</f>
        <v xml:space="preserve">            </v>
      </c>
      <c r="S70" s="174">
        <f t="shared" ref="S70:S133" si="18">IF(COUNTIF(K70:Q70,"F")&gt;0,"",COUNTIF(K70:Q70,"S")+COUNTIF(K70:Q70,"RE")+COUNTIF(K70:Q70,"REP"))</f>
        <v>0</v>
      </c>
      <c r="T70" s="5"/>
      <c r="U70" s="182" t="str">
        <f t="shared" ref="U70:U133" si="19">IF(T70="","",IF(OR(T70="AB",K70="RE"),T70,IF(AND(K70="S"),ROUNDUP(T70,0),)))</f>
        <v/>
      </c>
      <c r="V70" s="182" t="str">
        <f t="shared" ref="V70:V133" si="20">IF(T70="","",IF(OR(T70="AB",T70&lt;36%*$T$4),"F","P"))</f>
        <v/>
      </c>
      <c r="W70" s="5"/>
      <c r="X70" s="182" t="str">
        <f t="shared" ref="X70:X133" si="21">IF(W70="","",IF(OR(W70="AB",L70="RE"),W70,IF(AND(L70="S"),ROUNDUP(W70,0),)))</f>
        <v/>
      </c>
      <c r="Y70" s="182" t="str">
        <f t="shared" ref="Y70:Y133" si="22">IF(W70="","",IF(OR(W70="AB",W70&lt;36%*$W$4),"F","P"))</f>
        <v/>
      </c>
      <c r="Z70" s="5"/>
      <c r="AA70" s="182" t="str">
        <f t="shared" ref="AA70:AA133" si="23">IF(Z70="","",IF(OR(Z70="AB",M70="RE"),Z70,IF(AND(M70="S"),ROUNDUP(Z70,0),)))</f>
        <v/>
      </c>
      <c r="AB70" s="183" t="str">
        <f t="shared" ref="AB70:AB133" si="24">IF(Z70="","",IF(OR(Z70="AB",Z70&lt;36%*$Z$4),"F","P"))</f>
        <v/>
      </c>
      <c r="AC70" s="5"/>
      <c r="AD70" s="182" t="str">
        <f t="shared" ref="AD70:AD133" si="25">IF(AC70="","",IF(OR(AC70="AB",N70="RE"),AC70,IF(AND(N70="S"),ROUNDUP(AC70,0),)))</f>
        <v/>
      </c>
      <c r="AE70" s="183" t="str">
        <f t="shared" ref="AE70:AE133" si="26">IF(AC70="","",IF(OR(AC70="AB",AC70&lt;36%*$AC$4),"F","P"))</f>
        <v/>
      </c>
      <c r="AF70" s="5"/>
      <c r="AG70" s="182" t="str">
        <f t="shared" ref="AG70:AG133" si="27">IF(AF70="","",IF(OR(AF70="AB",O70="RE"),AF70,IF(AND(O70="S"),ROUNDUP(AF70,0),)))</f>
        <v/>
      </c>
      <c r="AH70" s="183" t="str">
        <f t="shared" ref="AH70:AH133" si="28">IF(AF70="","",IF(OR(AF70="AB",AF70&lt;36%*$AF$4),"F","P"))</f>
        <v/>
      </c>
      <c r="AI70" s="5"/>
      <c r="AJ70" s="183" t="str">
        <f t="shared" ref="AJ70:AJ133" si="29">IF(AI70="","",IF(OR(AI70="AB",P70="RE"),AI70,IF(AND(P70="S"),ROUNDUP(AI70,0),)))</f>
        <v/>
      </c>
      <c r="AK70" s="183" t="str">
        <f t="shared" ref="AK70:AK133" si="30">IF(AI70="","",IF(OR(AI70="AB",AI70&lt;36%*$AI$4),"F","P"))</f>
        <v/>
      </c>
      <c r="AL70" s="5"/>
      <c r="AM70" s="183" t="str">
        <f t="shared" ref="AM70:AM133" si="31">IF(AL70="","",IF(OR(AL70="AB",Q70="RE"),AL70,IF(AND(Q70="S"),ROUNDUP(AL70,0),)))</f>
        <v/>
      </c>
      <c r="AN70" s="183" t="str">
        <f t="shared" ref="AN70:AN133" si="32">IF(AL70="","",IF(OR(AL70="AB",AL70&lt;36%*$AL$4),"F","P"))</f>
        <v/>
      </c>
      <c r="AO70" s="184">
        <f t="shared" ref="AO70:AO133" si="33">IF(COUNTIF(K70:Q70,"F")&gt;0,"",COUNTA(T70,W70,Z70,AC70,AF70,AI70,AL70))</f>
        <v>0</v>
      </c>
      <c r="AP70" s="184">
        <f t="shared" ref="AP70:AP133" si="34">IF(COUNTIF(K70:Q70,"F")&gt;0,"",COUNTIF(T70:AN70,"P"))</f>
        <v>0</v>
      </c>
      <c r="AQ70" s="608" t="str">
        <f t="shared" ref="AQ70:AQ133" si="35">IF(AND(T70="",W70="",Z70="",AC70="",AF70="",AI70="",AL70=""),"",IF(COUNTIF(K70:Q70,"F")&gt;0,"",IF(S70=0,"",IF(S70&gt;AO70,H70,IF(S70&gt;AP70,"FAIL","PASS")))))</f>
        <v/>
      </c>
      <c r="AR70" s="185" t="str">
        <f>IF(COUNTIF(K70:Q70,"F")&gt;0,"",IF(AQ70="PASS",'Statement of Marks'!HZ72,""))</f>
        <v/>
      </c>
      <c r="AS70" s="185" t="str">
        <f>IF(AQ70="PASS",'Statement of Marks'!IA72,"")</f>
        <v/>
      </c>
    </row>
    <row r="71" spans="1:45">
      <c r="A71" s="169">
        <f>IF('Statement of Marks'!A73="","",'Statement of Marks'!A73)</f>
        <v>67</v>
      </c>
      <c r="B71" s="169" t="str">
        <f>IF('Statement of Marks'!B73="","",'Statement of Marks'!B73)</f>
        <v/>
      </c>
      <c r="C71" s="169" t="str">
        <f>IF('Statement of Marks'!D73="","",'Statement of Marks'!D73)</f>
        <v/>
      </c>
      <c r="D71" s="170" t="str">
        <f>IF('Statement of Marks'!E73="","",'Statement of Marks'!E73)</f>
        <v/>
      </c>
      <c r="E71" s="171" t="str">
        <f>IF('Statement of Marks'!F73="","",'Statement of Marks'!F73)</f>
        <v/>
      </c>
      <c r="F71" s="171" t="str">
        <f>IF('Statement of Marks'!G73="","",'Statement of Marks'!G73)</f>
        <v/>
      </c>
      <c r="G71" s="171" t="str">
        <f>IF('Statement of Marks'!H73="","",'Statement of Marks'!H73)</f>
        <v/>
      </c>
      <c r="H71" s="172" t="str">
        <f>IF('Statement of Marks'!HS73="","",'Statement of Marks'!HS73)</f>
        <v/>
      </c>
      <c r="I71" s="172" t="str">
        <f>IF('Statement of Marks'!HV73="","",'Statement of Marks'!HV73)</f>
        <v/>
      </c>
      <c r="J71" s="173" t="str">
        <f>IF('Statement of Marks'!HU73="","",'Statement of Marks'!HU73)</f>
        <v/>
      </c>
      <c r="K71" s="181" t="str">
        <f>'Statement of Marks'!GN73</f>
        <v/>
      </c>
      <c r="L71" s="181" t="str">
        <f>'Statement of Marks'!GQ73</f>
        <v/>
      </c>
      <c r="M71" s="181" t="str">
        <f>'Statement of Marks'!GT73</f>
        <v/>
      </c>
      <c r="N71" s="181" t="str">
        <f>'Statement of Marks'!HB73</f>
        <v/>
      </c>
      <c r="O71" s="181" t="str">
        <f>'Statement of Marks'!HE73</f>
        <v/>
      </c>
      <c r="P71" s="181" t="str">
        <f>'Statement of Marks'!HH73</f>
        <v/>
      </c>
      <c r="Q71" s="181" t="str">
        <f>'Statement of Marks'!HK73</f>
        <v/>
      </c>
      <c r="R71" s="173" t="str">
        <f>IF(COUNTIF(K71:Q71,"F")&gt;0,"",CONCATENATE('Statement of Marks'!HO73,'Statement of Marks'!HQ73))</f>
        <v xml:space="preserve">            </v>
      </c>
      <c r="S71" s="174">
        <f t="shared" si="18"/>
        <v>0</v>
      </c>
      <c r="T71" s="5"/>
      <c r="U71" s="182" t="str">
        <f t="shared" si="19"/>
        <v/>
      </c>
      <c r="V71" s="182" t="str">
        <f t="shared" si="20"/>
        <v/>
      </c>
      <c r="W71" s="5"/>
      <c r="X71" s="182" t="str">
        <f t="shared" si="21"/>
        <v/>
      </c>
      <c r="Y71" s="182" t="str">
        <f t="shared" si="22"/>
        <v/>
      </c>
      <c r="Z71" s="5"/>
      <c r="AA71" s="182" t="str">
        <f t="shared" si="23"/>
        <v/>
      </c>
      <c r="AB71" s="183" t="str">
        <f t="shared" si="24"/>
        <v/>
      </c>
      <c r="AC71" s="5"/>
      <c r="AD71" s="182" t="str">
        <f t="shared" si="25"/>
        <v/>
      </c>
      <c r="AE71" s="183" t="str">
        <f t="shared" si="26"/>
        <v/>
      </c>
      <c r="AF71" s="5"/>
      <c r="AG71" s="182" t="str">
        <f t="shared" si="27"/>
        <v/>
      </c>
      <c r="AH71" s="183" t="str">
        <f t="shared" si="28"/>
        <v/>
      </c>
      <c r="AI71" s="5"/>
      <c r="AJ71" s="183" t="str">
        <f t="shared" si="29"/>
        <v/>
      </c>
      <c r="AK71" s="183" t="str">
        <f t="shared" si="30"/>
        <v/>
      </c>
      <c r="AL71" s="5"/>
      <c r="AM71" s="183" t="str">
        <f t="shared" si="31"/>
        <v/>
      </c>
      <c r="AN71" s="183" t="str">
        <f t="shared" si="32"/>
        <v/>
      </c>
      <c r="AO71" s="184">
        <f t="shared" si="33"/>
        <v>0</v>
      </c>
      <c r="AP71" s="184">
        <f t="shared" si="34"/>
        <v>0</v>
      </c>
      <c r="AQ71" s="608" t="str">
        <f t="shared" si="35"/>
        <v/>
      </c>
      <c r="AR71" s="185" t="str">
        <f>IF(COUNTIF(K71:Q71,"F")&gt;0,"",IF(AQ71="PASS",'Statement of Marks'!HZ73,""))</f>
        <v/>
      </c>
      <c r="AS71" s="185" t="str">
        <f>IF(AQ71="PASS",'Statement of Marks'!IA73,"")</f>
        <v/>
      </c>
    </row>
    <row r="72" spans="1:45">
      <c r="A72" s="169">
        <f>IF('Statement of Marks'!A74="","",'Statement of Marks'!A74)</f>
        <v>68</v>
      </c>
      <c r="B72" s="169" t="str">
        <f>IF('Statement of Marks'!B74="","",'Statement of Marks'!B74)</f>
        <v/>
      </c>
      <c r="C72" s="169" t="str">
        <f>IF('Statement of Marks'!D74="","",'Statement of Marks'!D74)</f>
        <v/>
      </c>
      <c r="D72" s="170" t="str">
        <f>IF('Statement of Marks'!E74="","",'Statement of Marks'!E74)</f>
        <v/>
      </c>
      <c r="E72" s="171" t="str">
        <f>IF('Statement of Marks'!F74="","",'Statement of Marks'!F74)</f>
        <v/>
      </c>
      <c r="F72" s="171" t="str">
        <f>IF('Statement of Marks'!G74="","",'Statement of Marks'!G74)</f>
        <v/>
      </c>
      <c r="G72" s="171" t="str">
        <f>IF('Statement of Marks'!H74="","",'Statement of Marks'!H74)</f>
        <v/>
      </c>
      <c r="H72" s="172" t="str">
        <f>IF('Statement of Marks'!HS74="","",'Statement of Marks'!HS74)</f>
        <v/>
      </c>
      <c r="I72" s="172" t="str">
        <f>IF('Statement of Marks'!HV74="","",'Statement of Marks'!HV74)</f>
        <v/>
      </c>
      <c r="J72" s="173" t="str">
        <f>IF('Statement of Marks'!HU74="","",'Statement of Marks'!HU74)</f>
        <v/>
      </c>
      <c r="K72" s="181" t="str">
        <f>'Statement of Marks'!GN74</f>
        <v/>
      </c>
      <c r="L72" s="181" t="str">
        <f>'Statement of Marks'!GQ74</f>
        <v/>
      </c>
      <c r="M72" s="181" t="str">
        <f>'Statement of Marks'!GT74</f>
        <v/>
      </c>
      <c r="N72" s="181" t="str">
        <f>'Statement of Marks'!HB74</f>
        <v/>
      </c>
      <c r="O72" s="181" t="str">
        <f>'Statement of Marks'!HE74</f>
        <v/>
      </c>
      <c r="P72" s="181" t="str">
        <f>'Statement of Marks'!HH74</f>
        <v/>
      </c>
      <c r="Q72" s="181" t="str">
        <f>'Statement of Marks'!HK74</f>
        <v/>
      </c>
      <c r="R72" s="173" t="str">
        <f>IF(COUNTIF(K72:Q72,"F")&gt;0,"",CONCATENATE('Statement of Marks'!HO74,'Statement of Marks'!HQ74))</f>
        <v xml:space="preserve">            </v>
      </c>
      <c r="S72" s="174">
        <f t="shared" si="18"/>
        <v>0</v>
      </c>
      <c r="T72" s="5"/>
      <c r="U72" s="182" t="str">
        <f t="shared" si="19"/>
        <v/>
      </c>
      <c r="V72" s="182" t="str">
        <f t="shared" si="20"/>
        <v/>
      </c>
      <c r="W72" s="5"/>
      <c r="X72" s="182" t="str">
        <f t="shared" si="21"/>
        <v/>
      </c>
      <c r="Y72" s="182" t="str">
        <f t="shared" si="22"/>
        <v/>
      </c>
      <c r="Z72" s="5"/>
      <c r="AA72" s="182" t="str">
        <f t="shared" si="23"/>
        <v/>
      </c>
      <c r="AB72" s="183" t="str">
        <f t="shared" si="24"/>
        <v/>
      </c>
      <c r="AC72" s="5"/>
      <c r="AD72" s="182" t="str">
        <f t="shared" si="25"/>
        <v/>
      </c>
      <c r="AE72" s="183" t="str">
        <f t="shared" si="26"/>
        <v/>
      </c>
      <c r="AF72" s="5"/>
      <c r="AG72" s="182" t="str">
        <f t="shared" si="27"/>
        <v/>
      </c>
      <c r="AH72" s="183" t="str">
        <f t="shared" si="28"/>
        <v/>
      </c>
      <c r="AI72" s="5"/>
      <c r="AJ72" s="183" t="str">
        <f t="shared" si="29"/>
        <v/>
      </c>
      <c r="AK72" s="183" t="str">
        <f t="shared" si="30"/>
        <v/>
      </c>
      <c r="AL72" s="5"/>
      <c r="AM72" s="183" t="str">
        <f t="shared" si="31"/>
        <v/>
      </c>
      <c r="AN72" s="183" t="str">
        <f t="shared" si="32"/>
        <v/>
      </c>
      <c r="AO72" s="184">
        <f t="shared" si="33"/>
        <v>0</v>
      </c>
      <c r="AP72" s="184">
        <f t="shared" si="34"/>
        <v>0</v>
      </c>
      <c r="AQ72" s="608" t="str">
        <f t="shared" si="35"/>
        <v/>
      </c>
      <c r="AR72" s="185" t="str">
        <f>IF(COUNTIF(K72:Q72,"F")&gt;0,"",IF(AQ72="PASS",'Statement of Marks'!HZ74,""))</f>
        <v/>
      </c>
      <c r="AS72" s="185" t="str">
        <f>IF(AQ72="PASS",'Statement of Marks'!IA74,"")</f>
        <v/>
      </c>
    </row>
    <row r="73" spans="1:45">
      <c r="A73" s="169">
        <f>IF('Statement of Marks'!A75="","",'Statement of Marks'!A75)</f>
        <v>69</v>
      </c>
      <c r="B73" s="169" t="str">
        <f>IF('Statement of Marks'!B75="","",'Statement of Marks'!B75)</f>
        <v/>
      </c>
      <c r="C73" s="169" t="str">
        <f>IF('Statement of Marks'!D75="","",'Statement of Marks'!D75)</f>
        <v/>
      </c>
      <c r="D73" s="170" t="str">
        <f>IF('Statement of Marks'!E75="","",'Statement of Marks'!E75)</f>
        <v/>
      </c>
      <c r="E73" s="171" t="str">
        <f>IF('Statement of Marks'!F75="","",'Statement of Marks'!F75)</f>
        <v/>
      </c>
      <c r="F73" s="171" t="str">
        <f>IF('Statement of Marks'!G75="","",'Statement of Marks'!G75)</f>
        <v/>
      </c>
      <c r="G73" s="171" t="str">
        <f>IF('Statement of Marks'!H75="","",'Statement of Marks'!H75)</f>
        <v/>
      </c>
      <c r="H73" s="172" t="str">
        <f>IF('Statement of Marks'!HS75="","",'Statement of Marks'!HS75)</f>
        <v/>
      </c>
      <c r="I73" s="172" t="str">
        <f>IF('Statement of Marks'!HV75="","",'Statement of Marks'!HV75)</f>
        <v/>
      </c>
      <c r="J73" s="173" t="str">
        <f>IF('Statement of Marks'!HU75="","",'Statement of Marks'!HU75)</f>
        <v/>
      </c>
      <c r="K73" s="181" t="str">
        <f>'Statement of Marks'!GN75</f>
        <v/>
      </c>
      <c r="L73" s="181" t="str">
        <f>'Statement of Marks'!GQ75</f>
        <v/>
      </c>
      <c r="M73" s="181" t="str">
        <f>'Statement of Marks'!GT75</f>
        <v/>
      </c>
      <c r="N73" s="181" t="str">
        <f>'Statement of Marks'!HB75</f>
        <v/>
      </c>
      <c r="O73" s="181" t="str">
        <f>'Statement of Marks'!HE75</f>
        <v/>
      </c>
      <c r="P73" s="181" t="str">
        <f>'Statement of Marks'!HH75</f>
        <v/>
      </c>
      <c r="Q73" s="181" t="str">
        <f>'Statement of Marks'!HK75</f>
        <v/>
      </c>
      <c r="R73" s="173" t="str">
        <f>IF(COUNTIF(K73:Q73,"F")&gt;0,"",CONCATENATE('Statement of Marks'!HO75,'Statement of Marks'!HQ75))</f>
        <v xml:space="preserve">            </v>
      </c>
      <c r="S73" s="174">
        <f t="shared" si="18"/>
        <v>0</v>
      </c>
      <c r="T73" s="5"/>
      <c r="U73" s="182" t="str">
        <f t="shared" si="19"/>
        <v/>
      </c>
      <c r="V73" s="182" t="str">
        <f t="shared" si="20"/>
        <v/>
      </c>
      <c r="W73" s="5"/>
      <c r="X73" s="182" t="str">
        <f t="shared" si="21"/>
        <v/>
      </c>
      <c r="Y73" s="182" t="str">
        <f t="shared" si="22"/>
        <v/>
      </c>
      <c r="Z73" s="5"/>
      <c r="AA73" s="182" t="str">
        <f t="shared" si="23"/>
        <v/>
      </c>
      <c r="AB73" s="183" t="str">
        <f t="shared" si="24"/>
        <v/>
      </c>
      <c r="AC73" s="5"/>
      <c r="AD73" s="182" t="str">
        <f t="shared" si="25"/>
        <v/>
      </c>
      <c r="AE73" s="183" t="str">
        <f t="shared" si="26"/>
        <v/>
      </c>
      <c r="AF73" s="5"/>
      <c r="AG73" s="182" t="str">
        <f t="shared" si="27"/>
        <v/>
      </c>
      <c r="AH73" s="183" t="str">
        <f t="shared" si="28"/>
        <v/>
      </c>
      <c r="AI73" s="5"/>
      <c r="AJ73" s="183" t="str">
        <f t="shared" si="29"/>
        <v/>
      </c>
      <c r="AK73" s="183" t="str">
        <f t="shared" si="30"/>
        <v/>
      </c>
      <c r="AL73" s="5"/>
      <c r="AM73" s="183" t="str">
        <f t="shared" si="31"/>
        <v/>
      </c>
      <c r="AN73" s="183" t="str">
        <f t="shared" si="32"/>
        <v/>
      </c>
      <c r="AO73" s="184">
        <f t="shared" si="33"/>
        <v>0</v>
      </c>
      <c r="AP73" s="184">
        <f t="shared" si="34"/>
        <v>0</v>
      </c>
      <c r="AQ73" s="608" t="str">
        <f t="shared" si="35"/>
        <v/>
      </c>
      <c r="AR73" s="185" t="str">
        <f>IF(COUNTIF(K73:Q73,"F")&gt;0,"",IF(AQ73="PASS",'Statement of Marks'!HZ75,""))</f>
        <v/>
      </c>
      <c r="AS73" s="185" t="str">
        <f>IF(AQ73="PASS",'Statement of Marks'!IA75,"")</f>
        <v/>
      </c>
    </row>
    <row r="74" spans="1:45">
      <c r="A74" s="169">
        <f>IF('Statement of Marks'!A76="","",'Statement of Marks'!A76)</f>
        <v>70</v>
      </c>
      <c r="B74" s="169" t="str">
        <f>IF('Statement of Marks'!B76="","",'Statement of Marks'!B76)</f>
        <v/>
      </c>
      <c r="C74" s="169" t="str">
        <f>IF('Statement of Marks'!D76="","",'Statement of Marks'!D76)</f>
        <v/>
      </c>
      <c r="D74" s="170" t="str">
        <f>IF('Statement of Marks'!E76="","",'Statement of Marks'!E76)</f>
        <v/>
      </c>
      <c r="E74" s="171" t="str">
        <f>IF('Statement of Marks'!F76="","",'Statement of Marks'!F76)</f>
        <v/>
      </c>
      <c r="F74" s="171" t="str">
        <f>IF('Statement of Marks'!G76="","",'Statement of Marks'!G76)</f>
        <v/>
      </c>
      <c r="G74" s="171" t="str">
        <f>IF('Statement of Marks'!H76="","",'Statement of Marks'!H76)</f>
        <v/>
      </c>
      <c r="H74" s="172" t="str">
        <f>IF('Statement of Marks'!HS76="","",'Statement of Marks'!HS76)</f>
        <v/>
      </c>
      <c r="I74" s="172" t="str">
        <f>IF('Statement of Marks'!HV76="","",'Statement of Marks'!HV76)</f>
        <v/>
      </c>
      <c r="J74" s="173" t="str">
        <f>IF('Statement of Marks'!HU76="","",'Statement of Marks'!HU76)</f>
        <v/>
      </c>
      <c r="K74" s="181" t="str">
        <f>'Statement of Marks'!GN76</f>
        <v/>
      </c>
      <c r="L74" s="181" t="str">
        <f>'Statement of Marks'!GQ76</f>
        <v/>
      </c>
      <c r="M74" s="181" t="str">
        <f>'Statement of Marks'!GT76</f>
        <v/>
      </c>
      <c r="N74" s="181" t="str">
        <f>'Statement of Marks'!HB76</f>
        <v/>
      </c>
      <c r="O74" s="181" t="str">
        <f>'Statement of Marks'!HE76</f>
        <v/>
      </c>
      <c r="P74" s="181" t="str">
        <f>'Statement of Marks'!HH76</f>
        <v/>
      </c>
      <c r="Q74" s="181" t="str">
        <f>'Statement of Marks'!HK76</f>
        <v/>
      </c>
      <c r="R74" s="173" t="str">
        <f>IF(COUNTIF(K74:Q74,"F")&gt;0,"",CONCATENATE('Statement of Marks'!HO76,'Statement of Marks'!HQ76))</f>
        <v xml:space="preserve">            </v>
      </c>
      <c r="S74" s="174">
        <f t="shared" si="18"/>
        <v>0</v>
      </c>
      <c r="T74" s="5"/>
      <c r="U74" s="182" t="str">
        <f t="shared" si="19"/>
        <v/>
      </c>
      <c r="V74" s="182" t="str">
        <f t="shared" si="20"/>
        <v/>
      </c>
      <c r="W74" s="5"/>
      <c r="X74" s="182" t="str">
        <f t="shared" si="21"/>
        <v/>
      </c>
      <c r="Y74" s="182" t="str">
        <f t="shared" si="22"/>
        <v/>
      </c>
      <c r="Z74" s="5"/>
      <c r="AA74" s="182" t="str">
        <f t="shared" si="23"/>
        <v/>
      </c>
      <c r="AB74" s="183" t="str">
        <f t="shared" si="24"/>
        <v/>
      </c>
      <c r="AC74" s="5"/>
      <c r="AD74" s="182" t="str">
        <f t="shared" si="25"/>
        <v/>
      </c>
      <c r="AE74" s="183" t="str">
        <f t="shared" si="26"/>
        <v/>
      </c>
      <c r="AF74" s="5"/>
      <c r="AG74" s="182" t="str">
        <f t="shared" si="27"/>
        <v/>
      </c>
      <c r="AH74" s="183" t="str">
        <f t="shared" si="28"/>
        <v/>
      </c>
      <c r="AI74" s="5"/>
      <c r="AJ74" s="183" t="str">
        <f t="shared" si="29"/>
        <v/>
      </c>
      <c r="AK74" s="183" t="str">
        <f t="shared" si="30"/>
        <v/>
      </c>
      <c r="AL74" s="5"/>
      <c r="AM74" s="183" t="str">
        <f t="shared" si="31"/>
        <v/>
      </c>
      <c r="AN74" s="183" t="str">
        <f t="shared" si="32"/>
        <v/>
      </c>
      <c r="AO74" s="184">
        <f t="shared" si="33"/>
        <v>0</v>
      </c>
      <c r="AP74" s="184">
        <f t="shared" si="34"/>
        <v>0</v>
      </c>
      <c r="AQ74" s="608" t="str">
        <f t="shared" si="35"/>
        <v/>
      </c>
      <c r="AR74" s="185" t="str">
        <f>IF(COUNTIF(K74:Q74,"F")&gt;0,"",IF(AQ74="PASS",'Statement of Marks'!HZ76,""))</f>
        <v/>
      </c>
      <c r="AS74" s="185" t="str">
        <f>IF(AQ74="PASS",'Statement of Marks'!IA76,"")</f>
        <v/>
      </c>
    </row>
    <row r="75" spans="1:45">
      <c r="A75" s="169">
        <f>IF('Statement of Marks'!A77="","",'Statement of Marks'!A77)</f>
        <v>71</v>
      </c>
      <c r="B75" s="169" t="str">
        <f>IF('Statement of Marks'!B77="","",'Statement of Marks'!B77)</f>
        <v/>
      </c>
      <c r="C75" s="169" t="str">
        <f>IF('Statement of Marks'!D77="","",'Statement of Marks'!D77)</f>
        <v/>
      </c>
      <c r="D75" s="170" t="str">
        <f>IF('Statement of Marks'!E77="","",'Statement of Marks'!E77)</f>
        <v/>
      </c>
      <c r="E75" s="171" t="str">
        <f>IF('Statement of Marks'!F77="","",'Statement of Marks'!F77)</f>
        <v/>
      </c>
      <c r="F75" s="171" t="str">
        <f>IF('Statement of Marks'!G77="","",'Statement of Marks'!G77)</f>
        <v/>
      </c>
      <c r="G75" s="171" t="str">
        <f>IF('Statement of Marks'!H77="","",'Statement of Marks'!H77)</f>
        <v/>
      </c>
      <c r="H75" s="172" t="str">
        <f>IF('Statement of Marks'!HS77="","",'Statement of Marks'!HS77)</f>
        <v/>
      </c>
      <c r="I75" s="172" t="str">
        <f>IF('Statement of Marks'!HV77="","",'Statement of Marks'!HV77)</f>
        <v/>
      </c>
      <c r="J75" s="173" t="str">
        <f>IF('Statement of Marks'!HU77="","",'Statement of Marks'!HU77)</f>
        <v/>
      </c>
      <c r="K75" s="181" t="str">
        <f>'Statement of Marks'!GN77</f>
        <v/>
      </c>
      <c r="L75" s="181" t="str">
        <f>'Statement of Marks'!GQ77</f>
        <v/>
      </c>
      <c r="M75" s="181" t="str">
        <f>'Statement of Marks'!GT77</f>
        <v/>
      </c>
      <c r="N75" s="181" t="str">
        <f>'Statement of Marks'!HB77</f>
        <v/>
      </c>
      <c r="O75" s="181" t="str">
        <f>'Statement of Marks'!HE77</f>
        <v/>
      </c>
      <c r="P75" s="181" t="str">
        <f>'Statement of Marks'!HH77</f>
        <v/>
      </c>
      <c r="Q75" s="181" t="str">
        <f>'Statement of Marks'!HK77</f>
        <v/>
      </c>
      <c r="R75" s="173" t="str">
        <f>IF(COUNTIF(K75:Q75,"F")&gt;0,"",CONCATENATE('Statement of Marks'!HO77,'Statement of Marks'!HQ77))</f>
        <v xml:space="preserve">            </v>
      </c>
      <c r="S75" s="174">
        <f t="shared" si="18"/>
        <v>0</v>
      </c>
      <c r="T75" s="5"/>
      <c r="U75" s="182" t="str">
        <f t="shared" si="19"/>
        <v/>
      </c>
      <c r="V75" s="182" t="str">
        <f t="shared" si="20"/>
        <v/>
      </c>
      <c r="W75" s="5"/>
      <c r="X75" s="182" t="str">
        <f t="shared" si="21"/>
        <v/>
      </c>
      <c r="Y75" s="182" t="str">
        <f t="shared" si="22"/>
        <v/>
      </c>
      <c r="Z75" s="5"/>
      <c r="AA75" s="182" t="str">
        <f t="shared" si="23"/>
        <v/>
      </c>
      <c r="AB75" s="183" t="str">
        <f t="shared" si="24"/>
        <v/>
      </c>
      <c r="AC75" s="5"/>
      <c r="AD75" s="182" t="str">
        <f t="shared" si="25"/>
        <v/>
      </c>
      <c r="AE75" s="183" t="str">
        <f t="shared" si="26"/>
        <v/>
      </c>
      <c r="AF75" s="5"/>
      <c r="AG75" s="182" t="str">
        <f t="shared" si="27"/>
        <v/>
      </c>
      <c r="AH75" s="183" t="str">
        <f t="shared" si="28"/>
        <v/>
      </c>
      <c r="AI75" s="5"/>
      <c r="AJ75" s="183" t="str">
        <f t="shared" si="29"/>
        <v/>
      </c>
      <c r="AK75" s="183" t="str">
        <f t="shared" si="30"/>
        <v/>
      </c>
      <c r="AL75" s="5"/>
      <c r="AM75" s="183" t="str">
        <f t="shared" si="31"/>
        <v/>
      </c>
      <c r="AN75" s="183" t="str">
        <f t="shared" si="32"/>
        <v/>
      </c>
      <c r="AO75" s="184">
        <f t="shared" si="33"/>
        <v>0</v>
      </c>
      <c r="AP75" s="184">
        <f t="shared" si="34"/>
        <v>0</v>
      </c>
      <c r="AQ75" s="608" t="str">
        <f t="shared" si="35"/>
        <v/>
      </c>
      <c r="AR75" s="185" t="str">
        <f>IF(COUNTIF(K75:Q75,"F")&gt;0,"",IF(AQ75="PASS",'Statement of Marks'!HZ77,""))</f>
        <v/>
      </c>
      <c r="AS75" s="185" t="str">
        <f>IF(AQ75="PASS",'Statement of Marks'!IA77,"")</f>
        <v/>
      </c>
    </row>
    <row r="76" spans="1:45">
      <c r="A76" s="169">
        <f>IF('Statement of Marks'!A78="","",'Statement of Marks'!A78)</f>
        <v>72</v>
      </c>
      <c r="B76" s="169" t="str">
        <f>IF('Statement of Marks'!B78="","",'Statement of Marks'!B78)</f>
        <v/>
      </c>
      <c r="C76" s="169" t="str">
        <f>IF('Statement of Marks'!D78="","",'Statement of Marks'!D78)</f>
        <v/>
      </c>
      <c r="D76" s="170" t="str">
        <f>IF('Statement of Marks'!E78="","",'Statement of Marks'!E78)</f>
        <v/>
      </c>
      <c r="E76" s="171" t="str">
        <f>IF('Statement of Marks'!F78="","",'Statement of Marks'!F78)</f>
        <v/>
      </c>
      <c r="F76" s="171" t="str">
        <f>IF('Statement of Marks'!G78="","",'Statement of Marks'!G78)</f>
        <v/>
      </c>
      <c r="G76" s="171" t="str">
        <f>IF('Statement of Marks'!H78="","",'Statement of Marks'!H78)</f>
        <v/>
      </c>
      <c r="H76" s="172" t="str">
        <f>IF('Statement of Marks'!HS78="","",'Statement of Marks'!HS78)</f>
        <v/>
      </c>
      <c r="I76" s="172" t="str">
        <f>IF('Statement of Marks'!HV78="","",'Statement of Marks'!HV78)</f>
        <v/>
      </c>
      <c r="J76" s="173" t="str">
        <f>IF('Statement of Marks'!HU78="","",'Statement of Marks'!HU78)</f>
        <v/>
      </c>
      <c r="K76" s="181" t="str">
        <f>'Statement of Marks'!GN78</f>
        <v/>
      </c>
      <c r="L76" s="181" t="str">
        <f>'Statement of Marks'!GQ78</f>
        <v/>
      </c>
      <c r="M76" s="181" t="str">
        <f>'Statement of Marks'!GT78</f>
        <v/>
      </c>
      <c r="N76" s="181" t="str">
        <f>'Statement of Marks'!HB78</f>
        <v/>
      </c>
      <c r="O76" s="181" t="str">
        <f>'Statement of Marks'!HE78</f>
        <v/>
      </c>
      <c r="P76" s="181" t="str">
        <f>'Statement of Marks'!HH78</f>
        <v/>
      </c>
      <c r="Q76" s="181" t="str">
        <f>'Statement of Marks'!HK78</f>
        <v/>
      </c>
      <c r="R76" s="173" t="str">
        <f>IF(COUNTIF(K76:Q76,"F")&gt;0,"",CONCATENATE('Statement of Marks'!HO78,'Statement of Marks'!HQ78))</f>
        <v xml:space="preserve">            </v>
      </c>
      <c r="S76" s="174">
        <f t="shared" si="18"/>
        <v>0</v>
      </c>
      <c r="T76" s="5"/>
      <c r="U76" s="182" t="str">
        <f t="shared" si="19"/>
        <v/>
      </c>
      <c r="V76" s="182" t="str">
        <f t="shared" si="20"/>
        <v/>
      </c>
      <c r="W76" s="5"/>
      <c r="X76" s="182" t="str">
        <f t="shared" si="21"/>
        <v/>
      </c>
      <c r="Y76" s="182" t="str">
        <f t="shared" si="22"/>
        <v/>
      </c>
      <c r="Z76" s="5"/>
      <c r="AA76" s="182" t="str">
        <f t="shared" si="23"/>
        <v/>
      </c>
      <c r="AB76" s="183" t="str">
        <f t="shared" si="24"/>
        <v/>
      </c>
      <c r="AC76" s="5"/>
      <c r="AD76" s="182" t="str">
        <f t="shared" si="25"/>
        <v/>
      </c>
      <c r="AE76" s="183" t="str">
        <f t="shared" si="26"/>
        <v/>
      </c>
      <c r="AF76" s="5"/>
      <c r="AG76" s="182" t="str">
        <f t="shared" si="27"/>
        <v/>
      </c>
      <c r="AH76" s="183" t="str">
        <f t="shared" si="28"/>
        <v/>
      </c>
      <c r="AI76" s="5"/>
      <c r="AJ76" s="183" t="str">
        <f t="shared" si="29"/>
        <v/>
      </c>
      <c r="AK76" s="183" t="str">
        <f t="shared" si="30"/>
        <v/>
      </c>
      <c r="AL76" s="5"/>
      <c r="AM76" s="183" t="str">
        <f t="shared" si="31"/>
        <v/>
      </c>
      <c r="AN76" s="183" t="str">
        <f t="shared" si="32"/>
        <v/>
      </c>
      <c r="AO76" s="184">
        <f t="shared" si="33"/>
        <v>0</v>
      </c>
      <c r="AP76" s="184">
        <f t="shared" si="34"/>
        <v>0</v>
      </c>
      <c r="AQ76" s="608" t="str">
        <f t="shared" si="35"/>
        <v/>
      </c>
      <c r="AR76" s="185" t="str">
        <f>IF(COUNTIF(K76:Q76,"F")&gt;0,"",IF(AQ76="PASS",'Statement of Marks'!HZ78,""))</f>
        <v/>
      </c>
      <c r="AS76" s="185" t="str">
        <f>IF(AQ76="PASS",'Statement of Marks'!IA78,"")</f>
        <v/>
      </c>
    </row>
    <row r="77" spans="1:45">
      <c r="A77" s="169">
        <f>IF('Statement of Marks'!A79="","",'Statement of Marks'!A79)</f>
        <v>73</v>
      </c>
      <c r="B77" s="169" t="str">
        <f>IF('Statement of Marks'!B79="","",'Statement of Marks'!B79)</f>
        <v/>
      </c>
      <c r="C77" s="169" t="str">
        <f>IF('Statement of Marks'!D79="","",'Statement of Marks'!D79)</f>
        <v/>
      </c>
      <c r="D77" s="170" t="str">
        <f>IF('Statement of Marks'!E79="","",'Statement of Marks'!E79)</f>
        <v/>
      </c>
      <c r="E77" s="171" t="str">
        <f>IF('Statement of Marks'!F79="","",'Statement of Marks'!F79)</f>
        <v/>
      </c>
      <c r="F77" s="171" t="str">
        <f>IF('Statement of Marks'!G79="","",'Statement of Marks'!G79)</f>
        <v/>
      </c>
      <c r="G77" s="171" t="str">
        <f>IF('Statement of Marks'!H79="","",'Statement of Marks'!H79)</f>
        <v/>
      </c>
      <c r="H77" s="172" t="str">
        <f>IF('Statement of Marks'!HS79="","",'Statement of Marks'!HS79)</f>
        <v/>
      </c>
      <c r="I77" s="172" t="str">
        <f>IF('Statement of Marks'!HV79="","",'Statement of Marks'!HV79)</f>
        <v/>
      </c>
      <c r="J77" s="173" t="str">
        <f>IF('Statement of Marks'!HU79="","",'Statement of Marks'!HU79)</f>
        <v/>
      </c>
      <c r="K77" s="181" t="str">
        <f>'Statement of Marks'!GN79</f>
        <v/>
      </c>
      <c r="L77" s="181" t="str">
        <f>'Statement of Marks'!GQ79</f>
        <v/>
      </c>
      <c r="M77" s="181" t="str">
        <f>'Statement of Marks'!GT79</f>
        <v/>
      </c>
      <c r="N77" s="181" t="str">
        <f>'Statement of Marks'!HB79</f>
        <v/>
      </c>
      <c r="O77" s="181" t="str">
        <f>'Statement of Marks'!HE79</f>
        <v/>
      </c>
      <c r="P77" s="181" t="str">
        <f>'Statement of Marks'!HH79</f>
        <v/>
      </c>
      <c r="Q77" s="181" t="str">
        <f>'Statement of Marks'!HK79</f>
        <v/>
      </c>
      <c r="R77" s="173" t="str">
        <f>IF(COUNTIF(K77:Q77,"F")&gt;0,"",CONCATENATE('Statement of Marks'!HO79,'Statement of Marks'!HQ79))</f>
        <v xml:space="preserve">            </v>
      </c>
      <c r="S77" s="174">
        <f t="shared" si="18"/>
        <v>0</v>
      </c>
      <c r="T77" s="5"/>
      <c r="U77" s="182" t="str">
        <f t="shared" si="19"/>
        <v/>
      </c>
      <c r="V77" s="182" t="str">
        <f t="shared" si="20"/>
        <v/>
      </c>
      <c r="W77" s="5"/>
      <c r="X77" s="182" t="str">
        <f t="shared" si="21"/>
        <v/>
      </c>
      <c r="Y77" s="182" t="str">
        <f t="shared" si="22"/>
        <v/>
      </c>
      <c r="Z77" s="5"/>
      <c r="AA77" s="182" t="str">
        <f t="shared" si="23"/>
        <v/>
      </c>
      <c r="AB77" s="183" t="str">
        <f t="shared" si="24"/>
        <v/>
      </c>
      <c r="AC77" s="5"/>
      <c r="AD77" s="182" t="str">
        <f t="shared" si="25"/>
        <v/>
      </c>
      <c r="AE77" s="183" t="str">
        <f t="shared" si="26"/>
        <v/>
      </c>
      <c r="AF77" s="5"/>
      <c r="AG77" s="182" t="str">
        <f t="shared" si="27"/>
        <v/>
      </c>
      <c r="AH77" s="183" t="str">
        <f t="shared" si="28"/>
        <v/>
      </c>
      <c r="AI77" s="5"/>
      <c r="AJ77" s="183" t="str">
        <f t="shared" si="29"/>
        <v/>
      </c>
      <c r="AK77" s="183" t="str">
        <f t="shared" si="30"/>
        <v/>
      </c>
      <c r="AL77" s="5"/>
      <c r="AM77" s="183" t="str">
        <f t="shared" si="31"/>
        <v/>
      </c>
      <c r="AN77" s="183" t="str">
        <f t="shared" si="32"/>
        <v/>
      </c>
      <c r="AO77" s="184">
        <f t="shared" si="33"/>
        <v>0</v>
      </c>
      <c r="AP77" s="184">
        <f t="shared" si="34"/>
        <v>0</v>
      </c>
      <c r="AQ77" s="608" t="str">
        <f t="shared" si="35"/>
        <v/>
      </c>
      <c r="AR77" s="185" t="str">
        <f>IF(COUNTIF(K77:Q77,"F")&gt;0,"",IF(AQ77="PASS",'Statement of Marks'!HZ79,""))</f>
        <v/>
      </c>
      <c r="AS77" s="185" t="str">
        <f>IF(AQ77="PASS",'Statement of Marks'!IA79,"")</f>
        <v/>
      </c>
    </row>
    <row r="78" spans="1:45">
      <c r="A78" s="169">
        <f>IF('Statement of Marks'!A80="","",'Statement of Marks'!A80)</f>
        <v>74</v>
      </c>
      <c r="B78" s="169" t="str">
        <f>IF('Statement of Marks'!B80="","",'Statement of Marks'!B80)</f>
        <v/>
      </c>
      <c r="C78" s="169" t="str">
        <f>IF('Statement of Marks'!D80="","",'Statement of Marks'!D80)</f>
        <v/>
      </c>
      <c r="D78" s="170" t="str">
        <f>IF('Statement of Marks'!E80="","",'Statement of Marks'!E80)</f>
        <v/>
      </c>
      <c r="E78" s="171" t="str">
        <f>IF('Statement of Marks'!F80="","",'Statement of Marks'!F80)</f>
        <v/>
      </c>
      <c r="F78" s="171" t="str">
        <f>IF('Statement of Marks'!G80="","",'Statement of Marks'!G80)</f>
        <v/>
      </c>
      <c r="G78" s="171" t="str">
        <f>IF('Statement of Marks'!H80="","",'Statement of Marks'!H80)</f>
        <v/>
      </c>
      <c r="H78" s="172" t="str">
        <f>IF('Statement of Marks'!HS80="","",'Statement of Marks'!HS80)</f>
        <v/>
      </c>
      <c r="I78" s="172" t="str">
        <f>IF('Statement of Marks'!HV80="","",'Statement of Marks'!HV80)</f>
        <v/>
      </c>
      <c r="J78" s="173" t="str">
        <f>IF('Statement of Marks'!HU80="","",'Statement of Marks'!HU80)</f>
        <v/>
      </c>
      <c r="K78" s="181" t="str">
        <f>'Statement of Marks'!GN80</f>
        <v/>
      </c>
      <c r="L78" s="181" t="str">
        <f>'Statement of Marks'!GQ80</f>
        <v/>
      </c>
      <c r="M78" s="181" t="str">
        <f>'Statement of Marks'!GT80</f>
        <v/>
      </c>
      <c r="N78" s="181" t="str">
        <f>'Statement of Marks'!HB80</f>
        <v/>
      </c>
      <c r="O78" s="181" t="str">
        <f>'Statement of Marks'!HE80</f>
        <v/>
      </c>
      <c r="P78" s="181" t="str">
        <f>'Statement of Marks'!HH80</f>
        <v/>
      </c>
      <c r="Q78" s="181" t="str">
        <f>'Statement of Marks'!HK80</f>
        <v/>
      </c>
      <c r="R78" s="173" t="str">
        <f>IF(COUNTIF(K78:Q78,"F")&gt;0,"",CONCATENATE('Statement of Marks'!HO80,'Statement of Marks'!HQ80))</f>
        <v xml:space="preserve">            </v>
      </c>
      <c r="S78" s="174">
        <f t="shared" si="18"/>
        <v>0</v>
      </c>
      <c r="T78" s="5"/>
      <c r="U78" s="182" t="str">
        <f t="shared" si="19"/>
        <v/>
      </c>
      <c r="V78" s="182" t="str">
        <f t="shared" si="20"/>
        <v/>
      </c>
      <c r="W78" s="5"/>
      <c r="X78" s="182" t="str">
        <f t="shared" si="21"/>
        <v/>
      </c>
      <c r="Y78" s="182" t="str">
        <f t="shared" si="22"/>
        <v/>
      </c>
      <c r="Z78" s="5"/>
      <c r="AA78" s="182" t="str">
        <f t="shared" si="23"/>
        <v/>
      </c>
      <c r="AB78" s="183" t="str">
        <f t="shared" si="24"/>
        <v/>
      </c>
      <c r="AC78" s="5"/>
      <c r="AD78" s="182" t="str">
        <f t="shared" si="25"/>
        <v/>
      </c>
      <c r="AE78" s="183" t="str">
        <f t="shared" si="26"/>
        <v/>
      </c>
      <c r="AF78" s="5"/>
      <c r="AG78" s="182" t="str">
        <f t="shared" si="27"/>
        <v/>
      </c>
      <c r="AH78" s="183" t="str">
        <f t="shared" si="28"/>
        <v/>
      </c>
      <c r="AI78" s="5"/>
      <c r="AJ78" s="183" t="str">
        <f t="shared" si="29"/>
        <v/>
      </c>
      <c r="AK78" s="183" t="str">
        <f t="shared" si="30"/>
        <v/>
      </c>
      <c r="AL78" s="5"/>
      <c r="AM78" s="183" t="str">
        <f t="shared" si="31"/>
        <v/>
      </c>
      <c r="AN78" s="183" t="str">
        <f t="shared" si="32"/>
        <v/>
      </c>
      <c r="AO78" s="184">
        <f t="shared" si="33"/>
        <v>0</v>
      </c>
      <c r="AP78" s="184">
        <f t="shared" si="34"/>
        <v>0</v>
      </c>
      <c r="AQ78" s="608" t="str">
        <f t="shared" si="35"/>
        <v/>
      </c>
      <c r="AR78" s="185" t="str">
        <f>IF(COUNTIF(K78:Q78,"F")&gt;0,"",IF(AQ78="PASS",'Statement of Marks'!HZ80,""))</f>
        <v/>
      </c>
      <c r="AS78" s="185" t="str">
        <f>IF(AQ78="PASS",'Statement of Marks'!IA80,"")</f>
        <v/>
      </c>
    </row>
    <row r="79" spans="1:45">
      <c r="A79" s="169">
        <f>IF('Statement of Marks'!A81="","",'Statement of Marks'!A81)</f>
        <v>75</v>
      </c>
      <c r="B79" s="169" t="str">
        <f>IF('Statement of Marks'!B81="","",'Statement of Marks'!B81)</f>
        <v/>
      </c>
      <c r="C79" s="169" t="str">
        <f>IF('Statement of Marks'!D81="","",'Statement of Marks'!D81)</f>
        <v/>
      </c>
      <c r="D79" s="170" t="str">
        <f>IF('Statement of Marks'!E81="","",'Statement of Marks'!E81)</f>
        <v/>
      </c>
      <c r="E79" s="171" t="str">
        <f>IF('Statement of Marks'!F81="","",'Statement of Marks'!F81)</f>
        <v/>
      </c>
      <c r="F79" s="171" t="str">
        <f>IF('Statement of Marks'!G81="","",'Statement of Marks'!G81)</f>
        <v/>
      </c>
      <c r="G79" s="171" t="str">
        <f>IF('Statement of Marks'!H81="","",'Statement of Marks'!H81)</f>
        <v/>
      </c>
      <c r="H79" s="172" t="str">
        <f>IF('Statement of Marks'!HS81="","",'Statement of Marks'!HS81)</f>
        <v/>
      </c>
      <c r="I79" s="172" t="str">
        <f>IF('Statement of Marks'!HV81="","",'Statement of Marks'!HV81)</f>
        <v/>
      </c>
      <c r="J79" s="173" t="str">
        <f>IF('Statement of Marks'!HU81="","",'Statement of Marks'!HU81)</f>
        <v/>
      </c>
      <c r="K79" s="181" t="str">
        <f>'Statement of Marks'!GN81</f>
        <v/>
      </c>
      <c r="L79" s="181" t="str">
        <f>'Statement of Marks'!GQ81</f>
        <v/>
      </c>
      <c r="M79" s="181" t="str">
        <f>'Statement of Marks'!GT81</f>
        <v/>
      </c>
      <c r="N79" s="181" t="str">
        <f>'Statement of Marks'!HB81</f>
        <v/>
      </c>
      <c r="O79" s="181" t="str">
        <f>'Statement of Marks'!HE81</f>
        <v/>
      </c>
      <c r="P79" s="181" t="str">
        <f>'Statement of Marks'!HH81</f>
        <v/>
      </c>
      <c r="Q79" s="181" t="str">
        <f>'Statement of Marks'!HK81</f>
        <v/>
      </c>
      <c r="R79" s="173" t="str">
        <f>IF(COUNTIF(K79:Q79,"F")&gt;0,"",CONCATENATE('Statement of Marks'!HO81,'Statement of Marks'!HQ81))</f>
        <v xml:space="preserve">            </v>
      </c>
      <c r="S79" s="174">
        <f t="shared" si="18"/>
        <v>0</v>
      </c>
      <c r="T79" s="5"/>
      <c r="U79" s="182" t="str">
        <f t="shared" si="19"/>
        <v/>
      </c>
      <c r="V79" s="182" t="str">
        <f t="shared" si="20"/>
        <v/>
      </c>
      <c r="W79" s="5"/>
      <c r="X79" s="182" t="str">
        <f t="shared" si="21"/>
        <v/>
      </c>
      <c r="Y79" s="182" t="str">
        <f t="shared" si="22"/>
        <v/>
      </c>
      <c r="Z79" s="5"/>
      <c r="AA79" s="182" t="str">
        <f t="shared" si="23"/>
        <v/>
      </c>
      <c r="AB79" s="183" t="str">
        <f t="shared" si="24"/>
        <v/>
      </c>
      <c r="AC79" s="5"/>
      <c r="AD79" s="182" t="str">
        <f t="shared" si="25"/>
        <v/>
      </c>
      <c r="AE79" s="183" t="str">
        <f t="shared" si="26"/>
        <v/>
      </c>
      <c r="AF79" s="5"/>
      <c r="AG79" s="182" t="str">
        <f t="shared" si="27"/>
        <v/>
      </c>
      <c r="AH79" s="183" t="str">
        <f t="shared" si="28"/>
        <v/>
      </c>
      <c r="AI79" s="5"/>
      <c r="AJ79" s="183" t="str">
        <f t="shared" si="29"/>
        <v/>
      </c>
      <c r="AK79" s="183" t="str">
        <f t="shared" si="30"/>
        <v/>
      </c>
      <c r="AL79" s="5"/>
      <c r="AM79" s="183" t="str">
        <f t="shared" si="31"/>
        <v/>
      </c>
      <c r="AN79" s="183" t="str">
        <f t="shared" si="32"/>
        <v/>
      </c>
      <c r="AO79" s="184">
        <f t="shared" si="33"/>
        <v>0</v>
      </c>
      <c r="AP79" s="184">
        <f t="shared" si="34"/>
        <v>0</v>
      </c>
      <c r="AQ79" s="608" t="str">
        <f t="shared" si="35"/>
        <v/>
      </c>
      <c r="AR79" s="185" t="str">
        <f>IF(COUNTIF(K79:Q79,"F")&gt;0,"",IF(AQ79="PASS",'Statement of Marks'!HZ81,""))</f>
        <v/>
      </c>
      <c r="AS79" s="185" t="str">
        <f>IF(AQ79="PASS",'Statement of Marks'!IA81,"")</f>
        <v/>
      </c>
    </row>
    <row r="80" spans="1:45">
      <c r="A80" s="169">
        <f>IF('Statement of Marks'!A82="","",'Statement of Marks'!A82)</f>
        <v>76</v>
      </c>
      <c r="B80" s="169" t="str">
        <f>IF('Statement of Marks'!B82="","",'Statement of Marks'!B82)</f>
        <v/>
      </c>
      <c r="C80" s="169" t="str">
        <f>IF('Statement of Marks'!D82="","",'Statement of Marks'!D82)</f>
        <v/>
      </c>
      <c r="D80" s="170" t="str">
        <f>IF('Statement of Marks'!E82="","",'Statement of Marks'!E82)</f>
        <v/>
      </c>
      <c r="E80" s="171" t="str">
        <f>IF('Statement of Marks'!F82="","",'Statement of Marks'!F82)</f>
        <v/>
      </c>
      <c r="F80" s="171" t="str">
        <f>IF('Statement of Marks'!G82="","",'Statement of Marks'!G82)</f>
        <v/>
      </c>
      <c r="G80" s="171" t="str">
        <f>IF('Statement of Marks'!H82="","",'Statement of Marks'!H82)</f>
        <v/>
      </c>
      <c r="H80" s="172" t="str">
        <f>IF('Statement of Marks'!HS82="","",'Statement of Marks'!HS82)</f>
        <v/>
      </c>
      <c r="I80" s="172" t="str">
        <f>IF('Statement of Marks'!HV82="","",'Statement of Marks'!HV82)</f>
        <v/>
      </c>
      <c r="J80" s="173" t="str">
        <f>IF('Statement of Marks'!HU82="","",'Statement of Marks'!HU82)</f>
        <v/>
      </c>
      <c r="K80" s="181" t="str">
        <f>'Statement of Marks'!GN82</f>
        <v/>
      </c>
      <c r="L80" s="181" t="str">
        <f>'Statement of Marks'!GQ82</f>
        <v/>
      </c>
      <c r="M80" s="181" t="str">
        <f>'Statement of Marks'!GT82</f>
        <v/>
      </c>
      <c r="N80" s="181" t="str">
        <f>'Statement of Marks'!HB82</f>
        <v/>
      </c>
      <c r="O80" s="181" t="str">
        <f>'Statement of Marks'!HE82</f>
        <v/>
      </c>
      <c r="P80" s="181" t="str">
        <f>'Statement of Marks'!HH82</f>
        <v/>
      </c>
      <c r="Q80" s="181" t="str">
        <f>'Statement of Marks'!HK82</f>
        <v/>
      </c>
      <c r="R80" s="173" t="str">
        <f>IF(COUNTIF(K80:Q80,"F")&gt;0,"",CONCATENATE('Statement of Marks'!HO82,'Statement of Marks'!HQ82))</f>
        <v xml:space="preserve">            </v>
      </c>
      <c r="S80" s="174">
        <f t="shared" si="18"/>
        <v>0</v>
      </c>
      <c r="T80" s="5"/>
      <c r="U80" s="182" t="str">
        <f t="shared" si="19"/>
        <v/>
      </c>
      <c r="V80" s="182" t="str">
        <f t="shared" si="20"/>
        <v/>
      </c>
      <c r="W80" s="5"/>
      <c r="X80" s="182" t="str">
        <f t="shared" si="21"/>
        <v/>
      </c>
      <c r="Y80" s="182" t="str">
        <f t="shared" si="22"/>
        <v/>
      </c>
      <c r="Z80" s="5"/>
      <c r="AA80" s="182" t="str">
        <f t="shared" si="23"/>
        <v/>
      </c>
      <c r="AB80" s="183" t="str">
        <f t="shared" si="24"/>
        <v/>
      </c>
      <c r="AC80" s="5"/>
      <c r="AD80" s="182" t="str">
        <f t="shared" si="25"/>
        <v/>
      </c>
      <c r="AE80" s="183" t="str">
        <f t="shared" si="26"/>
        <v/>
      </c>
      <c r="AF80" s="5"/>
      <c r="AG80" s="182" t="str">
        <f t="shared" si="27"/>
        <v/>
      </c>
      <c r="AH80" s="183" t="str">
        <f t="shared" si="28"/>
        <v/>
      </c>
      <c r="AI80" s="5"/>
      <c r="AJ80" s="183" t="str">
        <f t="shared" si="29"/>
        <v/>
      </c>
      <c r="AK80" s="183" t="str">
        <f t="shared" si="30"/>
        <v/>
      </c>
      <c r="AL80" s="5"/>
      <c r="AM80" s="183" t="str">
        <f t="shared" si="31"/>
        <v/>
      </c>
      <c r="AN80" s="183" t="str">
        <f t="shared" si="32"/>
        <v/>
      </c>
      <c r="AO80" s="184">
        <f t="shared" si="33"/>
        <v>0</v>
      </c>
      <c r="AP80" s="184">
        <f t="shared" si="34"/>
        <v>0</v>
      </c>
      <c r="AQ80" s="608" t="str">
        <f t="shared" si="35"/>
        <v/>
      </c>
      <c r="AR80" s="185" t="str">
        <f>IF(COUNTIF(K80:Q80,"F")&gt;0,"",IF(AQ80="PASS",'Statement of Marks'!HZ82,""))</f>
        <v/>
      </c>
      <c r="AS80" s="185" t="str">
        <f>IF(AQ80="PASS",'Statement of Marks'!IA82,"")</f>
        <v/>
      </c>
    </row>
    <row r="81" spans="1:45">
      <c r="A81" s="169">
        <f>IF('Statement of Marks'!A83="","",'Statement of Marks'!A83)</f>
        <v>77</v>
      </c>
      <c r="B81" s="169" t="str">
        <f>IF('Statement of Marks'!B83="","",'Statement of Marks'!B83)</f>
        <v/>
      </c>
      <c r="C81" s="169" t="str">
        <f>IF('Statement of Marks'!D83="","",'Statement of Marks'!D83)</f>
        <v/>
      </c>
      <c r="D81" s="170" t="str">
        <f>IF('Statement of Marks'!E83="","",'Statement of Marks'!E83)</f>
        <v/>
      </c>
      <c r="E81" s="171" t="str">
        <f>IF('Statement of Marks'!F83="","",'Statement of Marks'!F83)</f>
        <v/>
      </c>
      <c r="F81" s="171" t="str">
        <f>IF('Statement of Marks'!G83="","",'Statement of Marks'!G83)</f>
        <v/>
      </c>
      <c r="G81" s="171" t="str">
        <f>IF('Statement of Marks'!H83="","",'Statement of Marks'!H83)</f>
        <v/>
      </c>
      <c r="H81" s="172" t="str">
        <f>IF('Statement of Marks'!HS83="","",'Statement of Marks'!HS83)</f>
        <v/>
      </c>
      <c r="I81" s="172" t="str">
        <f>IF('Statement of Marks'!HV83="","",'Statement of Marks'!HV83)</f>
        <v/>
      </c>
      <c r="J81" s="173" t="str">
        <f>IF('Statement of Marks'!HU83="","",'Statement of Marks'!HU83)</f>
        <v/>
      </c>
      <c r="K81" s="181" t="str">
        <f>'Statement of Marks'!GN83</f>
        <v/>
      </c>
      <c r="L81" s="181" t="str">
        <f>'Statement of Marks'!GQ83</f>
        <v/>
      </c>
      <c r="M81" s="181" t="str">
        <f>'Statement of Marks'!GT83</f>
        <v/>
      </c>
      <c r="N81" s="181" t="str">
        <f>'Statement of Marks'!HB83</f>
        <v/>
      </c>
      <c r="O81" s="181" t="str">
        <f>'Statement of Marks'!HE83</f>
        <v/>
      </c>
      <c r="P81" s="181" t="str">
        <f>'Statement of Marks'!HH83</f>
        <v/>
      </c>
      <c r="Q81" s="181" t="str">
        <f>'Statement of Marks'!HK83</f>
        <v/>
      </c>
      <c r="R81" s="173" t="str">
        <f>IF(COUNTIF(K81:Q81,"F")&gt;0,"",CONCATENATE('Statement of Marks'!HO83,'Statement of Marks'!HQ83))</f>
        <v xml:space="preserve">            </v>
      </c>
      <c r="S81" s="174">
        <f t="shared" si="18"/>
        <v>0</v>
      </c>
      <c r="T81" s="5"/>
      <c r="U81" s="182" t="str">
        <f t="shared" si="19"/>
        <v/>
      </c>
      <c r="V81" s="182" t="str">
        <f t="shared" si="20"/>
        <v/>
      </c>
      <c r="W81" s="5"/>
      <c r="X81" s="182" t="str">
        <f t="shared" si="21"/>
        <v/>
      </c>
      <c r="Y81" s="182" t="str">
        <f t="shared" si="22"/>
        <v/>
      </c>
      <c r="Z81" s="5"/>
      <c r="AA81" s="182" t="str">
        <f t="shared" si="23"/>
        <v/>
      </c>
      <c r="AB81" s="183" t="str">
        <f t="shared" si="24"/>
        <v/>
      </c>
      <c r="AC81" s="5"/>
      <c r="AD81" s="182" t="str">
        <f t="shared" si="25"/>
        <v/>
      </c>
      <c r="AE81" s="183" t="str">
        <f t="shared" si="26"/>
        <v/>
      </c>
      <c r="AF81" s="5"/>
      <c r="AG81" s="182" t="str">
        <f t="shared" si="27"/>
        <v/>
      </c>
      <c r="AH81" s="183" t="str">
        <f t="shared" si="28"/>
        <v/>
      </c>
      <c r="AI81" s="5"/>
      <c r="AJ81" s="183" t="str">
        <f t="shared" si="29"/>
        <v/>
      </c>
      <c r="AK81" s="183" t="str">
        <f t="shared" si="30"/>
        <v/>
      </c>
      <c r="AL81" s="5"/>
      <c r="AM81" s="183" t="str">
        <f t="shared" si="31"/>
        <v/>
      </c>
      <c r="AN81" s="183" t="str">
        <f t="shared" si="32"/>
        <v/>
      </c>
      <c r="AO81" s="184">
        <f t="shared" si="33"/>
        <v>0</v>
      </c>
      <c r="AP81" s="184">
        <f t="shared" si="34"/>
        <v>0</v>
      </c>
      <c r="AQ81" s="608" t="str">
        <f t="shared" si="35"/>
        <v/>
      </c>
      <c r="AR81" s="185" t="str">
        <f>IF(COUNTIF(K81:Q81,"F")&gt;0,"",IF(AQ81="PASS",'Statement of Marks'!HZ83,""))</f>
        <v/>
      </c>
      <c r="AS81" s="185" t="str">
        <f>IF(AQ81="PASS",'Statement of Marks'!IA83,"")</f>
        <v/>
      </c>
    </row>
    <row r="82" spans="1:45">
      <c r="A82" s="169">
        <f>IF('Statement of Marks'!A84="","",'Statement of Marks'!A84)</f>
        <v>78</v>
      </c>
      <c r="B82" s="169" t="str">
        <f>IF('Statement of Marks'!B84="","",'Statement of Marks'!B84)</f>
        <v/>
      </c>
      <c r="C82" s="169" t="str">
        <f>IF('Statement of Marks'!D84="","",'Statement of Marks'!D84)</f>
        <v/>
      </c>
      <c r="D82" s="170" t="str">
        <f>IF('Statement of Marks'!E84="","",'Statement of Marks'!E84)</f>
        <v/>
      </c>
      <c r="E82" s="171" t="str">
        <f>IF('Statement of Marks'!F84="","",'Statement of Marks'!F84)</f>
        <v/>
      </c>
      <c r="F82" s="171" t="str">
        <f>IF('Statement of Marks'!G84="","",'Statement of Marks'!G84)</f>
        <v/>
      </c>
      <c r="G82" s="171" t="str">
        <f>IF('Statement of Marks'!H84="","",'Statement of Marks'!H84)</f>
        <v/>
      </c>
      <c r="H82" s="172" t="str">
        <f>IF('Statement of Marks'!HS84="","",'Statement of Marks'!HS84)</f>
        <v/>
      </c>
      <c r="I82" s="172" t="str">
        <f>IF('Statement of Marks'!HV84="","",'Statement of Marks'!HV84)</f>
        <v/>
      </c>
      <c r="J82" s="173" t="str">
        <f>IF('Statement of Marks'!HU84="","",'Statement of Marks'!HU84)</f>
        <v/>
      </c>
      <c r="K82" s="181" t="str">
        <f>'Statement of Marks'!GN84</f>
        <v/>
      </c>
      <c r="L82" s="181" t="str">
        <f>'Statement of Marks'!GQ84</f>
        <v/>
      </c>
      <c r="M82" s="181" t="str">
        <f>'Statement of Marks'!GT84</f>
        <v/>
      </c>
      <c r="N82" s="181" t="str">
        <f>'Statement of Marks'!HB84</f>
        <v/>
      </c>
      <c r="O82" s="181" t="str">
        <f>'Statement of Marks'!HE84</f>
        <v/>
      </c>
      <c r="P82" s="181" t="str">
        <f>'Statement of Marks'!HH84</f>
        <v/>
      </c>
      <c r="Q82" s="181" t="str">
        <f>'Statement of Marks'!HK84</f>
        <v/>
      </c>
      <c r="R82" s="173" t="str">
        <f>IF(COUNTIF(K82:Q82,"F")&gt;0,"",CONCATENATE('Statement of Marks'!HO84,'Statement of Marks'!HQ84))</f>
        <v xml:space="preserve">            </v>
      </c>
      <c r="S82" s="174">
        <f t="shared" si="18"/>
        <v>0</v>
      </c>
      <c r="T82" s="5"/>
      <c r="U82" s="182" t="str">
        <f t="shared" si="19"/>
        <v/>
      </c>
      <c r="V82" s="182" t="str">
        <f t="shared" si="20"/>
        <v/>
      </c>
      <c r="W82" s="5"/>
      <c r="X82" s="182" t="str">
        <f t="shared" si="21"/>
        <v/>
      </c>
      <c r="Y82" s="182" t="str">
        <f t="shared" si="22"/>
        <v/>
      </c>
      <c r="Z82" s="5"/>
      <c r="AA82" s="182" t="str">
        <f t="shared" si="23"/>
        <v/>
      </c>
      <c r="AB82" s="183" t="str">
        <f t="shared" si="24"/>
        <v/>
      </c>
      <c r="AC82" s="5"/>
      <c r="AD82" s="182" t="str">
        <f t="shared" si="25"/>
        <v/>
      </c>
      <c r="AE82" s="183" t="str">
        <f t="shared" si="26"/>
        <v/>
      </c>
      <c r="AF82" s="5"/>
      <c r="AG82" s="182" t="str">
        <f t="shared" si="27"/>
        <v/>
      </c>
      <c r="AH82" s="183" t="str">
        <f t="shared" si="28"/>
        <v/>
      </c>
      <c r="AI82" s="5"/>
      <c r="AJ82" s="183" t="str">
        <f t="shared" si="29"/>
        <v/>
      </c>
      <c r="AK82" s="183" t="str">
        <f t="shared" si="30"/>
        <v/>
      </c>
      <c r="AL82" s="5"/>
      <c r="AM82" s="183" t="str">
        <f t="shared" si="31"/>
        <v/>
      </c>
      <c r="AN82" s="183" t="str">
        <f t="shared" si="32"/>
        <v/>
      </c>
      <c r="AO82" s="184">
        <f t="shared" si="33"/>
        <v>0</v>
      </c>
      <c r="AP82" s="184">
        <f t="shared" si="34"/>
        <v>0</v>
      </c>
      <c r="AQ82" s="608" t="str">
        <f t="shared" si="35"/>
        <v/>
      </c>
      <c r="AR82" s="185" t="str">
        <f>IF(COUNTIF(K82:Q82,"F")&gt;0,"",IF(AQ82="PASS",'Statement of Marks'!HZ84,""))</f>
        <v/>
      </c>
      <c r="AS82" s="185" t="str">
        <f>IF(AQ82="PASS",'Statement of Marks'!IA84,"")</f>
        <v/>
      </c>
    </row>
    <row r="83" spans="1:45">
      <c r="A83" s="169">
        <f>IF('Statement of Marks'!A85="","",'Statement of Marks'!A85)</f>
        <v>79</v>
      </c>
      <c r="B83" s="169" t="str">
        <f>IF('Statement of Marks'!B85="","",'Statement of Marks'!B85)</f>
        <v/>
      </c>
      <c r="C83" s="169" t="str">
        <f>IF('Statement of Marks'!D85="","",'Statement of Marks'!D85)</f>
        <v/>
      </c>
      <c r="D83" s="170" t="str">
        <f>IF('Statement of Marks'!E85="","",'Statement of Marks'!E85)</f>
        <v/>
      </c>
      <c r="E83" s="171" t="str">
        <f>IF('Statement of Marks'!F85="","",'Statement of Marks'!F85)</f>
        <v/>
      </c>
      <c r="F83" s="171" t="str">
        <f>IF('Statement of Marks'!G85="","",'Statement of Marks'!G85)</f>
        <v/>
      </c>
      <c r="G83" s="171" t="str">
        <f>IF('Statement of Marks'!H85="","",'Statement of Marks'!H85)</f>
        <v/>
      </c>
      <c r="H83" s="172" t="str">
        <f>IF('Statement of Marks'!HS85="","",'Statement of Marks'!HS85)</f>
        <v/>
      </c>
      <c r="I83" s="172" t="str">
        <f>IF('Statement of Marks'!HV85="","",'Statement of Marks'!HV85)</f>
        <v/>
      </c>
      <c r="J83" s="173" t="str">
        <f>IF('Statement of Marks'!HU85="","",'Statement of Marks'!HU85)</f>
        <v/>
      </c>
      <c r="K83" s="181" t="str">
        <f>'Statement of Marks'!GN85</f>
        <v/>
      </c>
      <c r="L83" s="181" t="str">
        <f>'Statement of Marks'!GQ85</f>
        <v/>
      </c>
      <c r="M83" s="181" t="str">
        <f>'Statement of Marks'!GT85</f>
        <v/>
      </c>
      <c r="N83" s="181" t="str">
        <f>'Statement of Marks'!HB85</f>
        <v/>
      </c>
      <c r="O83" s="181" t="str">
        <f>'Statement of Marks'!HE85</f>
        <v/>
      </c>
      <c r="P83" s="181" t="str">
        <f>'Statement of Marks'!HH85</f>
        <v/>
      </c>
      <c r="Q83" s="181" t="str">
        <f>'Statement of Marks'!HK85</f>
        <v/>
      </c>
      <c r="R83" s="173" t="str">
        <f>IF(COUNTIF(K83:Q83,"F")&gt;0,"",CONCATENATE('Statement of Marks'!HO85,'Statement of Marks'!HQ85))</f>
        <v xml:space="preserve">            </v>
      </c>
      <c r="S83" s="174">
        <f t="shared" si="18"/>
        <v>0</v>
      </c>
      <c r="T83" s="5"/>
      <c r="U83" s="182" t="str">
        <f t="shared" si="19"/>
        <v/>
      </c>
      <c r="V83" s="182" t="str">
        <f t="shared" si="20"/>
        <v/>
      </c>
      <c r="W83" s="5"/>
      <c r="X83" s="182" t="str">
        <f t="shared" si="21"/>
        <v/>
      </c>
      <c r="Y83" s="182" t="str">
        <f t="shared" si="22"/>
        <v/>
      </c>
      <c r="Z83" s="5"/>
      <c r="AA83" s="182" t="str">
        <f t="shared" si="23"/>
        <v/>
      </c>
      <c r="AB83" s="183" t="str">
        <f t="shared" si="24"/>
        <v/>
      </c>
      <c r="AC83" s="5"/>
      <c r="AD83" s="182" t="str">
        <f t="shared" si="25"/>
        <v/>
      </c>
      <c r="AE83" s="183" t="str">
        <f t="shared" si="26"/>
        <v/>
      </c>
      <c r="AF83" s="5"/>
      <c r="AG83" s="182" t="str">
        <f t="shared" si="27"/>
        <v/>
      </c>
      <c r="AH83" s="183" t="str">
        <f t="shared" si="28"/>
        <v/>
      </c>
      <c r="AI83" s="5"/>
      <c r="AJ83" s="183" t="str">
        <f t="shared" si="29"/>
        <v/>
      </c>
      <c r="AK83" s="183" t="str">
        <f t="shared" si="30"/>
        <v/>
      </c>
      <c r="AL83" s="5"/>
      <c r="AM83" s="183" t="str">
        <f t="shared" si="31"/>
        <v/>
      </c>
      <c r="AN83" s="183" t="str">
        <f t="shared" si="32"/>
        <v/>
      </c>
      <c r="AO83" s="184">
        <f t="shared" si="33"/>
        <v>0</v>
      </c>
      <c r="AP83" s="184">
        <f t="shared" si="34"/>
        <v>0</v>
      </c>
      <c r="AQ83" s="608" t="str">
        <f t="shared" si="35"/>
        <v/>
      </c>
      <c r="AR83" s="185" t="str">
        <f>IF(COUNTIF(K83:Q83,"F")&gt;0,"",IF(AQ83="PASS",'Statement of Marks'!HZ85,""))</f>
        <v/>
      </c>
      <c r="AS83" s="185" t="str">
        <f>IF(AQ83="PASS",'Statement of Marks'!IA85,"")</f>
        <v/>
      </c>
    </row>
    <row r="84" spans="1:45">
      <c r="A84" s="169">
        <f>IF('Statement of Marks'!A86="","",'Statement of Marks'!A86)</f>
        <v>80</v>
      </c>
      <c r="B84" s="169" t="str">
        <f>IF('Statement of Marks'!B86="","",'Statement of Marks'!B86)</f>
        <v/>
      </c>
      <c r="C84" s="169" t="str">
        <f>IF('Statement of Marks'!D86="","",'Statement of Marks'!D86)</f>
        <v/>
      </c>
      <c r="D84" s="170" t="str">
        <f>IF('Statement of Marks'!E86="","",'Statement of Marks'!E86)</f>
        <v/>
      </c>
      <c r="E84" s="171" t="str">
        <f>IF('Statement of Marks'!F86="","",'Statement of Marks'!F86)</f>
        <v/>
      </c>
      <c r="F84" s="171" t="str">
        <f>IF('Statement of Marks'!G86="","",'Statement of Marks'!G86)</f>
        <v/>
      </c>
      <c r="G84" s="171" t="str">
        <f>IF('Statement of Marks'!H86="","",'Statement of Marks'!H86)</f>
        <v/>
      </c>
      <c r="H84" s="172" t="str">
        <f>IF('Statement of Marks'!HS86="","",'Statement of Marks'!HS86)</f>
        <v/>
      </c>
      <c r="I84" s="172" t="str">
        <f>IF('Statement of Marks'!HV86="","",'Statement of Marks'!HV86)</f>
        <v/>
      </c>
      <c r="J84" s="173" t="str">
        <f>IF('Statement of Marks'!HU86="","",'Statement of Marks'!HU86)</f>
        <v/>
      </c>
      <c r="K84" s="181" t="str">
        <f>'Statement of Marks'!GN86</f>
        <v/>
      </c>
      <c r="L84" s="181" t="str">
        <f>'Statement of Marks'!GQ86</f>
        <v/>
      </c>
      <c r="M84" s="181" t="str">
        <f>'Statement of Marks'!GT86</f>
        <v/>
      </c>
      <c r="N84" s="181" t="str">
        <f>'Statement of Marks'!HB86</f>
        <v/>
      </c>
      <c r="O84" s="181" t="str">
        <f>'Statement of Marks'!HE86</f>
        <v/>
      </c>
      <c r="P84" s="181" t="str">
        <f>'Statement of Marks'!HH86</f>
        <v/>
      </c>
      <c r="Q84" s="181" t="str">
        <f>'Statement of Marks'!HK86</f>
        <v/>
      </c>
      <c r="R84" s="173" t="str">
        <f>IF(COUNTIF(K84:Q84,"F")&gt;0,"",CONCATENATE('Statement of Marks'!HO86,'Statement of Marks'!HQ86))</f>
        <v xml:space="preserve">            </v>
      </c>
      <c r="S84" s="174">
        <f t="shared" si="18"/>
        <v>0</v>
      </c>
      <c r="T84" s="5"/>
      <c r="U84" s="182" t="str">
        <f t="shared" si="19"/>
        <v/>
      </c>
      <c r="V84" s="182" t="str">
        <f t="shared" si="20"/>
        <v/>
      </c>
      <c r="W84" s="5"/>
      <c r="X84" s="182" t="str">
        <f t="shared" si="21"/>
        <v/>
      </c>
      <c r="Y84" s="182" t="str">
        <f t="shared" si="22"/>
        <v/>
      </c>
      <c r="Z84" s="5"/>
      <c r="AA84" s="182" t="str">
        <f t="shared" si="23"/>
        <v/>
      </c>
      <c r="AB84" s="183" t="str">
        <f t="shared" si="24"/>
        <v/>
      </c>
      <c r="AC84" s="5"/>
      <c r="AD84" s="182" t="str">
        <f t="shared" si="25"/>
        <v/>
      </c>
      <c r="AE84" s="183" t="str">
        <f t="shared" si="26"/>
        <v/>
      </c>
      <c r="AF84" s="5"/>
      <c r="AG84" s="182" t="str">
        <f t="shared" si="27"/>
        <v/>
      </c>
      <c r="AH84" s="183" t="str">
        <f t="shared" si="28"/>
        <v/>
      </c>
      <c r="AI84" s="5"/>
      <c r="AJ84" s="183" t="str">
        <f t="shared" si="29"/>
        <v/>
      </c>
      <c r="AK84" s="183" t="str">
        <f t="shared" si="30"/>
        <v/>
      </c>
      <c r="AL84" s="5"/>
      <c r="AM84" s="183" t="str">
        <f t="shared" si="31"/>
        <v/>
      </c>
      <c r="AN84" s="183" t="str">
        <f t="shared" si="32"/>
        <v/>
      </c>
      <c r="AO84" s="184">
        <f t="shared" si="33"/>
        <v>0</v>
      </c>
      <c r="AP84" s="184">
        <f t="shared" si="34"/>
        <v>0</v>
      </c>
      <c r="AQ84" s="608" t="str">
        <f t="shared" si="35"/>
        <v/>
      </c>
      <c r="AR84" s="185" t="str">
        <f>IF(COUNTIF(K84:Q84,"F")&gt;0,"",IF(AQ84="PASS",'Statement of Marks'!HZ86,""))</f>
        <v/>
      </c>
      <c r="AS84" s="185" t="str">
        <f>IF(AQ84="PASS",'Statement of Marks'!IA86,"")</f>
        <v/>
      </c>
    </row>
    <row r="85" spans="1:45">
      <c r="A85" s="169">
        <f>IF('Statement of Marks'!A87="","",'Statement of Marks'!A87)</f>
        <v>81</v>
      </c>
      <c r="B85" s="169" t="str">
        <f>IF('Statement of Marks'!B87="","",'Statement of Marks'!B87)</f>
        <v/>
      </c>
      <c r="C85" s="169" t="str">
        <f>IF('Statement of Marks'!D87="","",'Statement of Marks'!D87)</f>
        <v/>
      </c>
      <c r="D85" s="170" t="str">
        <f>IF('Statement of Marks'!E87="","",'Statement of Marks'!E87)</f>
        <v/>
      </c>
      <c r="E85" s="171" t="str">
        <f>IF('Statement of Marks'!F87="","",'Statement of Marks'!F87)</f>
        <v/>
      </c>
      <c r="F85" s="171" t="str">
        <f>IF('Statement of Marks'!G87="","",'Statement of Marks'!G87)</f>
        <v/>
      </c>
      <c r="G85" s="171" t="str">
        <f>IF('Statement of Marks'!H87="","",'Statement of Marks'!H87)</f>
        <v/>
      </c>
      <c r="H85" s="172" t="str">
        <f>IF('Statement of Marks'!HS87="","",'Statement of Marks'!HS87)</f>
        <v/>
      </c>
      <c r="I85" s="172" t="str">
        <f>IF('Statement of Marks'!HV87="","",'Statement of Marks'!HV87)</f>
        <v/>
      </c>
      <c r="J85" s="173" t="str">
        <f>IF('Statement of Marks'!HU87="","",'Statement of Marks'!HU87)</f>
        <v/>
      </c>
      <c r="K85" s="181" t="str">
        <f>'Statement of Marks'!GN87</f>
        <v/>
      </c>
      <c r="L85" s="181" t="str">
        <f>'Statement of Marks'!GQ87</f>
        <v/>
      </c>
      <c r="M85" s="181" t="str">
        <f>'Statement of Marks'!GT87</f>
        <v/>
      </c>
      <c r="N85" s="181" t="str">
        <f>'Statement of Marks'!HB87</f>
        <v/>
      </c>
      <c r="O85" s="181" t="str">
        <f>'Statement of Marks'!HE87</f>
        <v/>
      </c>
      <c r="P85" s="181" t="str">
        <f>'Statement of Marks'!HH87</f>
        <v/>
      </c>
      <c r="Q85" s="181" t="str">
        <f>'Statement of Marks'!HK87</f>
        <v/>
      </c>
      <c r="R85" s="173" t="str">
        <f>IF(COUNTIF(K85:Q85,"F")&gt;0,"",CONCATENATE('Statement of Marks'!HO87,'Statement of Marks'!HQ87))</f>
        <v xml:space="preserve">            </v>
      </c>
      <c r="S85" s="174">
        <f t="shared" si="18"/>
        <v>0</v>
      </c>
      <c r="T85" s="5"/>
      <c r="U85" s="182" t="str">
        <f t="shared" si="19"/>
        <v/>
      </c>
      <c r="V85" s="182" t="str">
        <f t="shared" si="20"/>
        <v/>
      </c>
      <c r="W85" s="5"/>
      <c r="X85" s="182" t="str">
        <f t="shared" si="21"/>
        <v/>
      </c>
      <c r="Y85" s="182" t="str">
        <f t="shared" si="22"/>
        <v/>
      </c>
      <c r="Z85" s="5"/>
      <c r="AA85" s="182" t="str">
        <f t="shared" si="23"/>
        <v/>
      </c>
      <c r="AB85" s="183" t="str">
        <f t="shared" si="24"/>
        <v/>
      </c>
      <c r="AC85" s="5"/>
      <c r="AD85" s="182" t="str">
        <f t="shared" si="25"/>
        <v/>
      </c>
      <c r="AE85" s="183" t="str">
        <f t="shared" si="26"/>
        <v/>
      </c>
      <c r="AF85" s="5"/>
      <c r="AG85" s="182" t="str">
        <f t="shared" si="27"/>
        <v/>
      </c>
      <c r="AH85" s="183" t="str">
        <f t="shared" si="28"/>
        <v/>
      </c>
      <c r="AI85" s="5"/>
      <c r="AJ85" s="183" t="str">
        <f t="shared" si="29"/>
        <v/>
      </c>
      <c r="AK85" s="183" t="str">
        <f t="shared" si="30"/>
        <v/>
      </c>
      <c r="AL85" s="5"/>
      <c r="AM85" s="183" t="str">
        <f t="shared" si="31"/>
        <v/>
      </c>
      <c r="AN85" s="183" t="str">
        <f t="shared" si="32"/>
        <v/>
      </c>
      <c r="AO85" s="184">
        <f t="shared" si="33"/>
        <v>0</v>
      </c>
      <c r="AP85" s="184">
        <f t="shared" si="34"/>
        <v>0</v>
      </c>
      <c r="AQ85" s="608" t="str">
        <f t="shared" si="35"/>
        <v/>
      </c>
      <c r="AR85" s="185" t="str">
        <f>IF(COUNTIF(K85:Q85,"F")&gt;0,"",IF(AQ85="PASS",'Statement of Marks'!HZ87,""))</f>
        <v/>
      </c>
      <c r="AS85" s="185" t="str">
        <f>IF(AQ85="PASS",'Statement of Marks'!IA87,"")</f>
        <v/>
      </c>
    </row>
    <row r="86" spans="1:45">
      <c r="A86" s="169">
        <f>IF('Statement of Marks'!A88="","",'Statement of Marks'!A88)</f>
        <v>82</v>
      </c>
      <c r="B86" s="169" t="str">
        <f>IF('Statement of Marks'!B88="","",'Statement of Marks'!B88)</f>
        <v/>
      </c>
      <c r="C86" s="169" t="str">
        <f>IF('Statement of Marks'!D88="","",'Statement of Marks'!D88)</f>
        <v/>
      </c>
      <c r="D86" s="170" t="str">
        <f>IF('Statement of Marks'!E88="","",'Statement of Marks'!E88)</f>
        <v/>
      </c>
      <c r="E86" s="171" t="str">
        <f>IF('Statement of Marks'!F88="","",'Statement of Marks'!F88)</f>
        <v/>
      </c>
      <c r="F86" s="171" t="str">
        <f>IF('Statement of Marks'!G88="","",'Statement of Marks'!G88)</f>
        <v/>
      </c>
      <c r="G86" s="171" t="str">
        <f>IF('Statement of Marks'!H88="","",'Statement of Marks'!H88)</f>
        <v/>
      </c>
      <c r="H86" s="172" t="str">
        <f>IF('Statement of Marks'!HS88="","",'Statement of Marks'!HS88)</f>
        <v/>
      </c>
      <c r="I86" s="172" t="str">
        <f>IF('Statement of Marks'!HV88="","",'Statement of Marks'!HV88)</f>
        <v/>
      </c>
      <c r="J86" s="173" t="str">
        <f>IF('Statement of Marks'!HU88="","",'Statement of Marks'!HU88)</f>
        <v/>
      </c>
      <c r="K86" s="181" t="str">
        <f>'Statement of Marks'!GN88</f>
        <v/>
      </c>
      <c r="L86" s="181" t="str">
        <f>'Statement of Marks'!GQ88</f>
        <v/>
      </c>
      <c r="M86" s="181" t="str">
        <f>'Statement of Marks'!GT88</f>
        <v/>
      </c>
      <c r="N86" s="181" t="str">
        <f>'Statement of Marks'!HB88</f>
        <v/>
      </c>
      <c r="O86" s="181" t="str">
        <f>'Statement of Marks'!HE88</f>
        <v/>
      </c>
      <c r="P86" s="181" t="str">
        <f>'Statement of Marks'!HH88</f>
        <v/>
      </c>
      <c r="Q86" s="181" t="str">
        <f>'Statement of Marks'!HK88</f>
        <v/>
      </c>
      <c r="R86" s="173" t="str">
        <f>IF(COUNTIF(K86:Q86,"F")&gt;0,"",CONCATENATE('Statement of Marks'!HO88,'Statement of Marks'!HQ88))</f>
        <v xml:space="preserve">            </v>
      </c>
      <c r="S86" s="174">
        <f t="shared" si="18"/>
        <v>0</v>
      </c>
      <c r="T86" s="5"/>
      <c r="U86" s="182" t="str">
        <f t="shared" si="19"/>
        <v/>
      </c>
      <c r="V86" s="182" t="str">
        <f t="shared" si="20"/>
        <v/>
      </c>
      <c r="W86" s="5"/>
      <c r="X86" s="182" t="str">
        <f t="shared" si="21"/>
        <v/>
      </c>
      <c r="Y86" s="182" t="str">
        <f t="shared" si="22"/>
        <v/>
      </c>
      <c r="Z86" s="5"/>
      <c r="AA86" s="182" t="str">
        <f t="shared" si="23"/>
        <v/>
      </c>
      <c r="AB86" s="183" t="str">
        <f t="shared" si="24"/>
        <v/>
      </c>
      <c r="AC86" s="5"/>
      <c r="AD86" s="182" t="str">
        <f t="shared" si="25"/>
        <v/>
      </c>
      <c r="AE86" s="183" t="str">
        <f t="shared" si="26"/>
        <v/>
      </c>
      <c r="AF86" s="5"/>
      <c r="AG86" s="182" t="str">
        <f t="shared" si="27"/>
        <v/>
      </c>
      <c r="AH86" s="183" t="str">
        <f t="shared" si="28"/>
        <v/>
      </c>
      <c r="AI86" s="5"/>
      <c r="AJ86" s="183" t="str">
        <f t="shared" si="29"/>
        <v/>
      </c>
      <c r="AK86" s="183" t="str">
        <f t="shared" si="30"/>
        <v/>
      </c>
      <c r="AL86" s="5"/>
      <c r="AM86" s="183" t="str">
        <f t="shared" si="31"/>
        <v/>
      </c>
      <c r="AN86" s="183" t="str">
        <f t="shared" si="32"/>
        <v/>
      </c>
      <c r="AO86" s="184">
        <f t="shared" si="33"/>
        <v>0</v>
      </c>
      <c r="AP86" s="184">
        <f t="shared" si="34"/>
        <v>0</v>
      </c>
      <c r="AQ86" s="608" t="str">
        <f t="shared" si="35"/>
        <v/>
      </c>
      <c r="AR86" s="185" t="str">
        <f>IF(COUNTIF(K86:Q86,"F")&gt;0,"",IF(AQ86="PASS",'Statement of Marks'!HZ88,""))</f>
        <v/>
      </c>
      <c r="AS86" s="185" t="str">
        <f>IF(AQ86="PASS",'Statement of Marks'!IA88,"")</f>
        <v/>
      </c>
    </row>
    <row r="87" spans="1:45">
      <c r="A87" s="169">
        <f>IF('Statement of Marks'!A89="","",'Statement of Marks'!A89)</f>
        <v>83</v>
      </c>
      <c r="B87" s="169" t="str">
        <f>IF('Statement of Marks'!B89="","",'Statement of Marks'!B89)</f>
        <v/>
      </c>
      <c r="C87" s="169" t="str">
        <f>IF('Statement of Marks'!D89="","",'Statement of Marks'!D89)</f>
        <v/>
      </c>
      <c r="D87" s="170" t="str">
        <f>IF('Statement of Marks'!E89="","",'Statement of Marks'!E89)</f>
        <v/>
      </c>
      <c r="E87" s="171" t="str">
        <f>IF('Statement of Marks'!F89="","",'Statement of Marks'!F89)</f>
        <v/>
      </c>
      <c r="F87" s="171" t="str">
        <f>IF('Statement of Marks'!G89="","",'Statement of Marks'!G89)</f>
        <v/>
      </c>
      <c r="G87" s="171" t="str">
        <f>IF('Statement of Marks'!H89="","",'Statement of Marks'!H89)</f>
        <v/>
      </c>
      <c r="H87" s="172" t="str">
        <f>IF('Statement of Marks'!HS89="","",'Statement of Marks'!HS89)</f>
        <v/>
      </c>
      <c r="I87" s="172" t="str">
        <f>IF('Statement of Marks'!HV89="","",'Statement of Marks'!HV89)</f>
        <v/>
      </c>
      <c r="J87" s="173" t="str">
        <f>IF('Statement of Marks'!HU89="","",'Statement of Marks'!HU89)</f>
        <v/>
      </c>
      <c r="K87" s="181" t="str">
        <f>'Statement of Marks'!GN89</f>
        <v/>
      </c>
      <c r="L87" s="181" t="str">
        <f>'Statement of Marks'!GQ89</f>
        <v/>
      </c>
      <c r="M87" s="181" t="str">
        <f>'Statement of Marks'!GT89</f>
        <v/>
      </c>
      <c r="N87" s="181" t="str">
        <f>'Statement of Marks'!HB89</f>
        <v/>
      </c>
      <c r="O87" s="181" t="str">
        <f>'Statement of Marks'!HE89</f>
        <v/>
      </c>
      <c r="P87" s="181" t="str">
        <f>'Statement of Marks'!HH89</f>
        <v/>
      </c>
      <c r="Q87" s="181" t="str">
        <f>'Statement of Marks'!HK89</f>
        <v/>
      </c>
      <c r="R87" s="173" t="str">
        <f>IF(COUNTIF(K87:Q87,"F")&gt;0,"",CONCATENATE('Statement of Marks'!HO89,'Statement of Marks'!HQ89))</f>
        <v xml:space="preserve">            </v>
      </c>
      <c r="S87" s="174">
        <f t="shared" si="18"/>
        <v>0</v>
      </c>
      <c r="T87" s="5"/>
      <c r="U87" s="182" t="str">
        <f t="shared" si="19"/>
        <v/>
      </c>
      <c r="V87" s="182" t="str">
        <f t="shared" si="20"/>
        <v/>
      </c>
      <c r="W87" s="5"/>
      <c r="X87" s="182" t="str">
        <f t="shared" si="21"/>
        <v/>
      </c>
      <c r="Y87" s="182" t="str">
        <f t="shared" si="22"/>
        <v/>
      </c>
      <c r="Z87" s="5"/>
      <c r="AA87" s="182" t="str">
        <f t="shared" si="23"/>
        <v/>
      </c>
      <c r="AB87" s="183" t="str">
        <f t="shared" si="24"/>
        <v/>
      </c>
      <c r="AC87" s="5"/>
      <c r="AD87" s="182" t="str">
        <f t="shared" si="25"/>
        <v/>
      </c>
      <c r="AE87" s="183" t="str">
        <f t="shared" si="26"/>
        <v/>
      </c>
      <c r="AF87" s="5"/>
      <c r="AG87" s="182" t="str">
        <f t="shared" si="27"/>
        <v/>
      </c>
      <c r="AH87" s="183" t="str">
        <f t="shared" si="28"/>
        <v/>
      </c>
      <c r="AI87" s="5"/>
      <c r="AJ87" s="183" t="str">
        <f t="shared" si="29"/>
        <v/>
      </c>
      <c r="AK87" s="183" t="str">
        <f t="shared" si="30"/>
        <v/>
      </c>
      <c r="AL87" s="5"/>
      <c r="AM87" s="183" t="str">
        <f t="shared" si="31"/>
        <v/>
      </c>
      <c r="AN87" s="183" t="str">
        <f t="shared" si="32"/>
        <v/>
      </c>
      <c r="AO87" s="184">
        <f t="shared" si="33"/>
        <v>0</v>
      </c>
      <c r="AP87" s="184">
        <f t="shared" si="34"/>
        <v>0</v>
      </c>
      <c r="AQ87" s="608" t="str">
        <f t="shared" si="35"/>
        <v/>
      </c>
      <c r="AR87" s="185" t="str">
        <f>IF(COUNTIF(K87:Q87,"F")&gt;0,"",IF(AQ87="PASS",'Statement of Marks'!HZ89,""))</f>
        <v/>
      </c>
      <c r="AS87" s="185" t="str">
        <f>IF(AQ87="PASS",'Statement of Marks'!IA89,"")</f>
        <v/>
      </c>
    </row>
    <row r="88" spans="1:45">
      <c r="A88" s="169">
        <f>IF('Statement of Marks'!A90="","",'Statement of Marks'!A90)</f>
        <v>84</v>
      </c>
      <c r="B88" s="169" t="str">
        <f>IF('Statement of Marks'!B90="","",'Statement of Marks'!B90)</f>
        <v/>
      </c>
      <c r="C88" s="169" t="str">
        <f>IF('Statement of Marks'!D90="","",'Statement of Marks'!D90)</f>
        <v/>
      </c>
      <c r="D88" s="170" t="str">
        <f>IF('Statement of Marks'!E90="","",'Statement of Marks'!E90)</f>
        <v/>
      </c>
      <c r="E88" s="171" t="str">
        <f>IF('Statement of Marks'!F90="","",'Statement of Marks'!F90)</f>
        <v/>
      </c>
      <c r="F88" s="171" t="str">
        <f>IF('Statement of Marks'!G90="","",'Statement of Marks'!G90)</f>
        <v/>
      </c>
      <c r="G88" s="171" t="str">
        <f>IF('Statement of Marks'!H90="","",'Statement of Marks'!H90)</f>
        <v/>
      </c>
      <c r="H88" s="172" t="str">
        <f>IF('Statement of Marks'!HS90="","",'Statement of Marks'!HS90)</f>
        <v/>
      </c>
      <c r="I88" s="172" t="str">
        <f>IF('Statement of Marks'!HV90="","",'Statement of Marks'!HV90)</f>
        <v/>
      </c>
      <c r="J88" s="173" t="str">
        <f>IF('Statement of Marks'!HU90="","",'Statement of Marks'!HU90)</f>
        <v/>
      </c>
      <c r="K88" s="181" t="str">
        <f>'Statement of Marks'!GN90</f>
        <v/>
      </c>
      <c r="L88" s="181" t="str">
        <f>'Statement of Marks'!GQ90</f>
        <v/>
      </c>
      <c r="M88" s="181" t="str">
        <f>'Statement of Marks'!GT90</f>
        <v/>
      </c>
      <c r="N88" s="181" t="str">
        <f>'Statement of Marks'!HB90</f>
        <v/>
      </c>
      <c r="O88" s="181" t="str">
        <f>'Statement of Marks'!HE90</f>
        <v/>
      </c>
      <c r="P88" s="181" t="str">
        <f>'Statement of Marks'!HH90</f>
        <v/>
      </c>
      <c r="Q88" s="181" t="str">
        <f>'Statement of Marks'!HK90</f>
        <v/>
      </c>
      <c r="R88" s="173" t="str">
        <f>IF(COUNTIF(K88:Q88,"F")&gt;0,"",CONCATENATE('Statement of Marks'!HO90,'Statement of Marks'!HQ90))</f>
        <v xml:space="preserve">            </v>
      </c>
      <c r="S88" s="174">
        <f t="shared" si="18"/>
        <v>0</v>
      </c>
      <c r="T88" s="5"/>
      <c r="U88" s="182" t="str">
        <f t="shared" si="19"/>
        <v/>
      </c>
      <c r="V88" s="182" t="str">
        <f t="shared" si="20"/>
        <v/>
      </c>
      <c r="W88" s="5"/>
      <c r="X88" s="182" t="str">
        <f t="shared" si="21"/>
        <v/>
      </c>
      <c r="Y88" s="182" t="str">
        <f t="shared" si="22"/>
        <v/>
      </c>
      <c r="Z88" s="5"/>
      <c r="AA88" s="182" t="str">
        <f t="shared" si="23"/>
        <v/>
      </c>
      <c r="AB88" s="183" t="str">
        <f t="shared" si="24"/>
        <v/>
      </c>
      <c r="AC88" s="5"/>
      <c r="AD88" s="182" t="str">
        <f t="shared" si="25"/>
        <v/>
      </c>
      <c r="AE88" s="183" t="str">
        <f t="shared" si="26"/>
        <v/>
      </c>
      <c r="AF88" s="5"/>
      <c r="AG88" s="182" t="str">
        <f t="shared" si="27"/>
        <v/>
      </c>
      <c r="AH88" s="183" t="str">
        <f t="shared" si="28"/>
        <v/>
      </c>
      <c r="AI88" s="5"/>
      <c r="AJ88" s="183" t="str">
        <f t="shared" si="29"/>
        <v/>
      </c>
      <c r="AK88" s="183" t="str">
        <f t="shared" si="30"/>
        <v/>
      </c>
      <c r="AL88" s="5"/>
      <c r="AM88" s="183" t="str">
        <f t="shared" si="31"/>
        <v/>
      </c>
      <c r="AN88" s="183" t="str">
        <f t="shared" si="32"/>
        <v/>
      </c>
      <c r="AO88" s="184">
        <f t="shared" si="33"/>
        <v>0</v>
      </c>
      <c r="AP88" s="184">
        <f t="shared" si="34"/>
        <v>0</v>
      </c>
      <c r="AQ88" s="608" t="str">
        <f t="shared" si="35"/>
        <v/>
      </c>
      <c r="AR88" s="185" t="str">
        <f>IF(COUNTIF(K88:Q88,"F")&gt;0,"",IF(AQ88="PASS",'Statement of Marks'!HZ90,""))</f>
        <v/>
      </c>
      <c r="AS88" s="185" t="str">
        <f>IF(AQ88="PASS",'Statement of Marks'!IA90,"")</f>
        <v/>
      </c>
    </row>
    <row r="89" spans="1:45">
      <c r="A89" s="169">
        <f>IF('Statement of Marks'!A91="","",'Statement of Marks'!A91)</f>
        <v>85</v>
      </c>
      <c r="B89" s="169" t="str">
        <f>IF('Statement of Marks'!B91="","",'Statement of Marks'!B91)</f>
        <v/>
      </c>
      <c r="C89" s="169" t="str">
        <f>IF('Statement of Marks'!D91="","",'Statement of Marks'!D91)</f>
        <v/>
      </c>
      <c r="D89" s="170" t="str">
        <f>IF('Statement of Marks'!E91="","",'Statement of Marks'!E91)</f>
        <v/>
      </c>
      <c r="E89" s="171" t="str">
        <f>IF('Statement of Marks'!F91="","",'Statement of Marks'!F91)</f>
        <v/>
      </c>
      <c r="F89" s="171" t="str">
        <f>IF('Statement of Marks'!G91="","",'Statement of Marks'!G91)</f>
        <v/>
      </c>
      <c r="G89" s="171" t="str">
        <f>IF('Statement of Marks'!H91="","",'Statement of Marks'!H91)</f>
        <v/>
      </c>
      <c r="H89" s="172" t="str">
        <f>IF('Statement of Marks'!HS91="","",'Statement of Marks'!HS91)</f>
        <v/>
      </c>
      <c r="I89" s="172" t="str">
        <f>IF('Statement of Marks'!HV91="","",'Statement of Marks'!HV91)</f>
        <v/>
      </c>
      <c r="J89" s="173" t="str">
        <f>IF('Statement of Marks'!HU91="","",'Statement of Marks'!HU91)</f>
        <v/>
      </c>
      <c r="K89" s="181" t="str">
        <f>'Statement of Marks'!GN91</f>
        <v/>
      </c>
      <c r="L89" s="181" t="str">
        <f>'Statement of Marks'!GQ91</f>
        <v/>
      </c>
      <c r="M89" s="181" t="str">
        <f>'Statement of Marks'!GT91</f>
        <v/>
      </c>
      <c r="N89" s="181" t="str">
        <f>'Statement of Marks'!HB91</f>
        <v/>
      </c>
      <c r="O89" s="181" t="str">
        <f>'Statement of Marks'!HE91</f>
        <v/>
      </c>
      <c r="P89" s="181" t="str">
        <f>'Statement of Marks'!HH91</f>
        <v/>
      </c>
      <c r="Q89" s="181" t="str">
        <f>'Statement of Marks'!HK91</f>
        <v/>
      </c>
      <c r="R89" s="173" t="str">
        <f>IF(COUNTIF(K89:Q89,"F")&gt;0,"",CONCATENATE('Statement of Marks'!HO91,'Statement of Marks'!HQ91))</f>
        <v xml:space="preserve">            </v>
      </c>
      <c r="S89" s="174">
        <f t="shared" si="18"/>
        <v>0</v>
      </c>
      <c r="T89" s="5"/>
      <c r="U89" s="182" t="str">
        <f t="shared" si="19"/>
        <v/>
      </c>
      <c r="V89" s="182" t="str">
        <f t="shared" si="20"/>
        <v/>
      </c>
      <c r="W89" s="5"/>
      <c r="X89" s="182" t="str">
        <f t="shared" si="21"/>
        <v/>
      </c>
      <c r="Y89" s="182" t="str">
        <f t="shared" si="22"/>
        <v/>
      </c>
      <c r="Z89" s="5"/>
      <c r="AA89" s="182" t="str">
        <f t="shared" si="23"/>
        <v/>
      </c>
      <c r="AB89" s="183" t="str">
        <f t="shared" si="24"/>
        <v/>
      </c>
      <c r="AC89" s="5"/>
      <c r="AD89" s="182" t="str">
        <f t="shared" si="25"/>
        <v/>
      </c>
      <c r="AE89" s="183" t="str">
        <f t="shared" si="26"/>
        <v/>
      </c>
      <c r="AF89" s="5"/>
      <c r="AG89" s="182" t="str">
        <f t="shared" si="27"/>
        <v/>
      </c>
      <c r="AH89" s="183" t="str">
        <f t="shared" si="28"/>
        <v/>
      </c>
      <c r="AI89" s="5"/>
      <c r="AJ89" s="183" t="str">
        <f t="shared" si="29"/>
        <v/>
      </c>
      <c r="AK89" s="183" t="str">
        <f t="shared" si="30"/>
        <v/>
      </c>
      <c r="AL89" s="5"/>
      <c r="AM89" s="183" t="str">
        <f t="shared" si="31"/>
        <v/>
      </c>
      <c r="AN89" s="183" t="str">
        <f t="shared" si="32"/>
        <v/>
      </c>
      <c r="AO89" s="184">
        <f t="shared" si="33"/>
        <v>0</v>
      </c>
      <c r="AP89" s="184">
        <f t="shared" si="34"/>
        <v>0</v>
      </c>
      <c r="AQ89" s="608" t="str">
        <f t="shared" si="35"/>
        <v/>
      </c>
      <c r="AR89" s="185" t="str">
        <f>IF(COUNTIF(K89:Q89,"F")&gt;0,"",IF(AQ89="PASS",'Statement of Marks'!HZ91,""))</f>
        <v/>
      </c>
      <c r="AS89" s="185" t="str">
        <f>IF(AQ89="PASS",'Statement of Marks'!IA91,"")</f>
        <v/>
      </c>
    </row>
    <row r="90" spans="1:45">
      <c r="A90" s="169">
        <f>IF('Statement of Marks'!A92="","",'Statement of Marks'!A92)</f>
        <v>86</v>
      </c>
      <c r="B90" s="169" t="str">
        <f>IF('Statement of Marks'!B92="","",'Statement of Marks'!B92)</f>
        <v/>
      </c>
      <c r="C90" s="169" t="str">
        <f>IF('Statement of Marks'!D92="","",'Statement of Marks'!D92)</f>
        <v/>
      </c>
      <c r="D90" s="170" t="str">
        <f>IF('Statement of Marks'!E92="","",'Statement of Marks'!E92)</f>
        <v/>
      </c>
      <c r="E90" s="171" t="str">
        <f>IF('Statement of Marks'!F92="","",'Statement of Marks'!F92)</f>
        <v/>
      </c>
      <c r="F90" s="171" t="str">
        <f>IF('Statement of Marks'!G92="","",'Statement of Marks'!G92)</f>
        <v/>
      </c>
      <c r="G90" s="171" t="str">
        <f>IF('Statement of Marks'!H92="","",'Statement of Marks'!H92)</f>
        <v/>
      </c>
      <c r="H90" s="172" t="str">
        <f>IF('Statement of Marks'!HS92="","",'Statement of Marks'!HS92)</f>
        <v/>
      </c>
      <c r="I90" s="172" t="str">
        <f>IF('Statement of Marks'!HV92="","",'Statement of Marks'!HV92)</f>
        <v/>
      </c>
      <c r="J90" s="173" t="str">
        <f>IF('Statement of Marks'!HU92="","",'Statement of Marks'!HU92)</f>
        <v/>
      </c>
      <c r="K90" s="181" t="str">
        <f>'Statement of Marks'!GN92</f>
        <v/>
      </c>
      <c r="L90" s="181" t="str">
        <f>'Statement of Marks'!GQ92</f>
        <v/>
      </c>
      <c r="M90" s="181" t="str">
        <f>'Statement of Marks'!GT92</f>
        <v/>
      </c>
      <c r="N90" s="181" t="str">
        <f>'Statement of Marks'!HB92</f>
        <v/>
      </c>
      <c r="O90" s="181" t="str">
        <f>'Statement of Marks'!HE92</f>
        <v/>
      </c>
      <c r="P90" s="181" t="str">
        <f>'Statement of Marks'!HH92</f>
        <v/>
      </c>
      <c r="Q90" s="181" t="str">
        <f>'Statement of Marks'!HK92</f>
        <v/>
      </c>
      <c r="R90" s="173" t="str">
        <f>IF(COUNTIF(K90:Q90,"F")&gt;0,"",CONCATENATE('Statement of Marks'!HO92,'Statement of Marks'!HQ92))</f>
        <v xml:space="preserve">            </v>
      </c>
      <c r="S90" s="174">
        <f t="shared" si="18"/>
        <v>0</v>
      </c>
      <c r="T90" s="5"/>
      <c r="U90" s="182" t="str">
        <f t="shared" si="19"/>
        <v/>
      </c>
      <c r="V90" s="182" t="str">
        <f t="shared" si="20"/>
        <v/>
      </c>
      <c r="W90" s="5"/>
      <c r="X90" s="182" t="str">
        <f t="shared" si="21"/>
        <v/>
      </c>
      <c r="Y90" s="182" t="str">
        <f t="shared" si="22"/>
        <v/>
      </c>
      <c r="Z90" s="5"/>
      <c r="AA90" s="182" t="str">
        <f t="shared" si="23"/>
        <v/>
      </c>
      <c r="AB90" s="183" t="str">
        <f t="shared" si="24"/>
        <v/>
      </c>
      <c r="AC90" s="5"/>
      <c r="AD90" s="182" t="str">
        <f t="shared" si="25"/>
        <v/>
      </c>
      <c r="AE90" s="183" t="str">
        <f t="shared" si="26"/>
        <v/>
      </c>
      <c r="AF90" s="5"/>
      <c r="AG90" s="182" t="str">
        <f t="shared" si="27"/>
        <v/>
      </c>
      <c r="AH90" s="183" t="str">
        <f t="shared" si="28"/>
        <v/>
      </c>
      <c r="AI90" s="5"/>
      <c r="AJ90" s="183" t="str">
        <f t="shared" si="29"/>
        <v/>
      </c>
      <c r="AK90" s="183" t="str">
        <f t="shared" si="30"/>
        <v/>
      </c>
      <c r="AL90" s="5"/>
      <c r="AM90" s="183" t="str">
        <f t="shared" si="31"/>
        <v/>
      </c>
      <c r="AN90" s="183" t="str">
        <f t="shared" si="32"/>
        <v/>
      </c>
      <c r="AO90" s="184">
        <f t="shared" si="33"/>
        <v>0</v>
      </c>
      <c r="AP90" s="184">
        <f t="shared" si="34"/>
        <v>0</v>
      </c>
      <c r="AQ90" s="608" t="str">
        <f t="shared" si="35"/>
        <v/>
      </c>
      <c r="AR90" s="185" t="str">
        <f>IF(COUNTIF(K90:Q90,"F")&gt;0,"",IF(AQ90="PASS",'Statement of Marks'!HZ92,""))</f>
        <v/>
      </c>
      <c r="AS90" s="185" t="str">
        <f>IF(AQ90="PASS",'Statement of Marks'!IA92,"")</f>
        <v/>
      </c>
    </row>
    <row r="91" spans="1:45">
      <c r="A91" s="169">
        <f>IF('Statement of Marks'!A93="","",'Statement of Marks'!A93)</f>
        <v>87</v>
      </c>
      <c r="B91" s="169" t="str">
        <f>IF('Statement of Marks'!B93="","",'Statement of Marks'!B93)</f>
        <v/>
      </c>
      <c r="C91" s="169" t="str">
        <f>IF('Statement of Marks'!D93="","",'Statement of Marks'!D93)</f>
        <v/>
      </c>
      <c r="D91" s="170" t="str">
        <f>IF('Statement of Marks'!E93="","",'Statement of Marks'!E93)</f>
        <v/>
      </c>
      <c r="E91" s="171" t="str">
        <f>IF('Statement of Marks'!F93="","",'Statement of Marks'!F93)</f>
        <v/>
      </c>
      <c r="F91" s="171" t="str">
        <f>IF('Statement of Marks'!G93="","",'Statement of Marks'!G93)</f>
        <v/>
      </c>
      <c r="G91" s="171" t="str">
        <f>IF('Statement of Marks'!H93="","",'Statement of Marks'!H93)</f>
        <v/>
      </c>
      <c r="H91" s="172" t="str">
        <f>IF('Statement of Marks'!HS93="","",'Statement of Marks'!HS93)</f>
        <v/>
      </c>
      <c r="I91" s="172" t="str">
        <f>IF('Statement of Marks'!HV93="","",'Statement of Marks'!HV93)</f>
        <v/>
      </c>
      <c r="J91" s="173" t="str">
        <f>IF('Statement of Marks'!HU93="","",'Statement of Marks'!HU93)</f>
        <v/>
      </c>
      <c r="K91" s="181" t="str">
        <f>'Statement of Marks'!GN93</f>
        <v/>
      </c>
      <c r="L91" s="181" t="str">
        <f>'Statement of Marks'!GQ93</f>
        <v/>
      </c>
      <c r="M91" s="181" t="str">
        <f>'Statement of Marks'!GT93</f>
        <v/>
      </c>
      <c r="N91" s="181" t="str">
        <f>'Statement of Marks'!HB93</f>
        <v/>
      </c>
      <c r="O91" s="181" t="str">
        <f>'Statement of Marks'!HE93</f>
        <v/>
      </c>
      <c r="P91" s="181" t="str">
        <f>'Statement of Marks'!HH93</f>
        <v/>
      </c>
      <c r="Q91" s="181" t="str">
        <f>'Statement of Marks'!HK93</f>
        <v/>
      </c>
      <c r="R91" s="173" t="str">
        <f>IF(COUNTIF(K91:Q91,"F")&gt;0,"",CONCATENATE('Statement of Marks'!HO93,'Statement of Marks'!HQ93))</f>
        <v xml:space="preserve">            </v>
      </c>
      <c r="S91" s="174">
        <f t="shared" si="18"/>
        <v>0</v>
      </c>
      <c r="T91" s="5"/>
      <c r="U91" s="182" t="str">
        <f t="shared" si="19"/>
        <v/>
      </c>
      <c r="V91" s="182" t="str">
        <f t="shared" si="20"/>
        <v/>
      </c>
      <c r="W91" s="5"/>
      <c r="X91" s="182" t="str">
        <f t="shared" si="21"/>
        <v/>
      </c>
      <c r="Y91" s="182" t="str">
        <f t="shared" si="22"/>
        <v/>
      </c>
      <c r="Z91" s="5"/>
      <c r="AA91" s="182" t="str">
        <f t="shared" si="23"/>
        <v/>
      </c>
      <c r="AB91" s="183" t="str">
        <f t="shared" si="24"/>
        <v/>
      </c>
      <c r="AC91" s="5"/>
      <c r="AD91" s="182" t="str">
        <f t="shared" si="25"/>
        <v/>
      </c>
      <c r="AE91" s="183" t="str">
        <f t="shared" si="26"/>
        <v/>
      </c>
      <c r="AF91" s="5"/>
      <c r="AG91" s="182" t="str">
        <f t="shared" si="27"/>
        <v/>
      </c>
      <c r="AH91" s="183" t="str">
        <f t="shared" si="28"/>
        <v/>
      </c>
      <c r="AI91" s="5"/>
      <c r="AJ91" s="183" t="str">
        <f t="shared" si="29"/>
        <v/>
      </c>
      <c r="AK91" s="183" t="str">
        <f t="shared" si="30"/>
        <v/>
      </c>
      <c r="AL91" s="5"/>
      <c r="AM91" s="183" t="str">
        <f t="shared" si="31"/>
        <v/>
      </c>
      <c r="AN91" s="183" t="str">
        <f t="shared" si="32"/>
        <v/>
      </c>
      <c r="AO91" s="184">
        <f t="shared" si="33"/>
        <v>0</v>
      </c>
      <c r="AP91" s="184">
        <f t="shared" si="34"/>
        <v>0</v>
      </c>
      <c r="AQ91" s="608" t="str">
        <f t="shared" si="35"/>
        <v/>
      </c>
      <c r="AR91" s="185" t="str">
        <f>IF(COUNTIF(K91:Q91,"F")&gt;0,"",IF(AQ91="PASS",'Statement of Marks'!HZ93,""))</f>
        <v/>
      </c>
      <c r="AS91" s="185" t="str">
        <f>IF(AQ91="PASS",'Statement of Marks'!IA93,"")</f>
        <v/>
      </c>
    </row>
    <row r="92" spans="1:45">
      <c r="A92" s="169">
        <f>IF('Statement of Marks'!A94="","",'Statement of Marks'!A94)</f>
        <v>88</v>
      </c>
      <c r="B92" s="169" t="str">
        <f>IF('Statement of Marks'!B94="","",'Statement of Marks'!B94)</f>
        <v/>
      </c>
      <c r="C92" s="169" t="str">
        <f>IF('Statement of Marks'!D94="","",'Statement of Marks'!D94)</f>
        <v/>
      </c>
      <c r="D92" s="170" t="str">
        <f>IF('Statement of Marks'!E94="","",'Statement of Marks'!E94)</f>
        <v/>
      </c>
      <c r="E92" s="171" t="str">
        <f>IF('Statement of Marks'!F94="","",'Statement of Marks'!F94)</f>
        <v/>
      </c>
      <c r="F92" s="171" t="str">
        <f>IF('Statement of Marks'!G94="","",'Statement of Marks'!G94)</f>
        <v/>
      </c>
      <c r="G92" s="171" t="str">
        <f>IF('Statement of Marks'!H94="","",'Statement of Marks'!H94)</f>
        <v/>
      </c>
      <c r="H92" s="172" t="str">
        <f>IF('Statement of Marks'!HS94="","",'Statement of Marks'!HS94)</f>
        <v/>
      </c>
      <c r="I92" s="172" t="str">
        <f>IF('Statement of Marks'!HV94="","",'Statement of Marks'!HV94)</f>
        <v/>
      </c>
      <c r="J92" s="173" t="str">
        <f>IF('Statement of Marks'!HU94="","",'Statement of Marks'!HU94)</f>
        <v/>
      </c>
      <c r="K92" s="181" t="str">
        <f>'Statement of Marks'!GN94</f>
        <v/>
      </c>
      <c r="L92" s="181" t="str">
        <f>'Statement of Marks'!GQ94</f>
        <v/>
      </c>
      <c r="M92" s="181" t="str">
        <f>'Statement of Marks'!GT94</f>
        <v/>
      </c>
      <c r="N92" s="181" t="str">
        <f>'Statement of Marks'!HB94</f>
        <v/>
      </c>
      <c r="O92" s="181" t="str">
        <f>'Statement of Marks'!HE94</f>
        <v/>
      </c>
      <c r="P92" s="181" t="str">
        <f>'Statement of Marks'!HH94</f>
        <v/>
      </c>
      <c r="Q92" s="181" t="str">
        <f>'Statement of Marks'!HK94</f>
        <v/>
      </c>
      <c r="R92" s="173" t="str">
        <f>IF(COUNTIF(K92:Q92,"F")&gt;0,"",CONCATENATE('Statement of Marks'!HO94,'Statement of Marks'!HQ94))</f>
        <v xml:space="preserve">            </v>
      </c>
      <c r="S92" s="174">
        <f t="shared" si="18"/>
        <v>0</v>
      </c>
      <c r="T92" s="5"/>
      <c r="U92" s="182" t="str">
        <f t="shared" si="19"/>
        <v/>
      </c>
      <c r="V92" s="182" t="str">
        <f t="shared" si="20"/>
        <v/>
      </c>
      <c r="W92" s="5"/>
      <c r="X92" s="182" t="str">
        <f t="shared" si="21"/>
        <v/>
      </c>
      <c r="Y92" s="182" t="str">
        <f t="shared" si="22"/>
        <v/>
      </c>
      <c r="Z92" s="5"/>
      <c r="AA92" s="182" t="str">
        <f t="shared" si="23"/>
        <v/>
      </c>
      <c r="AB92" s="183" t="str">
        <f t="shared" si="24"/>
        <v/>
      </c>
      <c r="AC92" s="5"/>
      <c r="AD92" s="182" t="str">
        <f t="shared" si="25"/>
        <v/>
      </c>
      <c r="AE92" s="183" t="str">
        <f t="shared" si="26"/>
        <v/>
      </c>
      <c r="AF92" s="5"/>
      <c r="AG92" s="182" t="str">
        <f t="shared" si="27"/>
        <v/>
      </c>
      <c r="AH92" s="183" t="str">
        <f t="shared" si="28"/>
        <v/>
      </c>
      <c r="AI92" s="5"/>
      <c r="AJ92" s="183" t="str">
        <f t="shared" si="29"/>
        <v/>
      </c>
      <c r="AK92" s="183" t="str">
        <f t="shared" si="30"/>
        <v/>
      </c>
      <c r="AL92" s="5"/>
      <c r="AM92" s="183" t="str">
        <f t="shared" si="31"/>
        <v/>
      </c>
      <c r="AN92" s="183" t="str">
        <f t="shared" si="32"/>
        <v/>
      </c>
      <c r="AO92" s="184">
        <f t="shared" si="33"/>
        <v>0</v>
      </c>
      <c r="AP92" s="184">
        <f t="shared" si="34"/>
        <v>0</v>
      </c>
      <c r="AQ92" s="608" t="str">
        <f t="shared" si="35"/>
        <v/>
      </c>
      <c r="AR92" s="185" t="str">
        <f>IF(COUNTIF(K92:Q92,"F")&gt;0,"",IF(AQ92="PASS",'Statement of Marks'!HZ94,""))</f>
        <v/>
      </c>
      <c r="AS92" s="185" t="str">
        <f>IF(AQ92="PASS",'Statement of Marks'!IA94,"")</f>
        <v/>
      </c>
    </row>
    <row r="93" spans="1:45">
      <c r="A93" s="169">
        <f>IF('Statement of Marks'!A95="","",'Statement of Marks'!A95)</f>
        <v>89</v>
      </c>
      <c r="B93" s="169" t="str">
        <f>IF('Statement of Marks'!B95="","",'Statement of Marks'!B95)</f>
        <v/>
      </c>
      <c r="C93" s="169" t="str">
        <f>IF('Statement of Marks'!D95="","",'Statement of Marks'!D95)</f>
        <v/>
      </c>
      <c r="D93" s="170" t="str">
        <f>IF('Statement of Marks'!E95="","",'Statement of Marks'!E95)</f>
        <v/>
      </c>
      <c r="E93" s="171" t="str">
        <f>IF('Statement of Marks'!F95="","",'Statement of Marks'!F95)</f>
        <v/>
      </c>
      <c r="F93" s="171" t="str">
        <f>IF('Statement of Marks'!G95="","",'Statement of Marks'!G95)</f>
        <v/>
      </c>
      <c r="G93" s="171" t="str">
        <f>IF('Statement of Marks'!H95="","",'Statement of Marks'!H95)</f>
        <v/>
      </c>
      <c r="H93" s="172" t="str">
        <f>IF('Statement of Marks'!HS95="","",'Statement of Marks'!HS95)</f>
        <v/>
      </c>
      <c r="I93" s="172" t="str">
        <f>IF('Statement of Marks'!HV95="","",'Statement of Marks'!HV95)</f>
        <v/>
      </c>
      <c r="J93" s="173" t="str">
        <f>IF('Statement of Marks'!HU95="","",'Statement of Marks'!HU95)</f>
        <v/>
      </c>
      <c r="K93" s="181" t="str">
        <f>'Statement of Marks'!GN95</f>
        <v/>
      </c>
      <c r="L93" s="181" t="str">
        <f>'Statement of Marks'!GQ95</f>
        <v/>
      </c>
      <c r="M93" s="181" t="str">
        <f>'Statement of Marks'!GT95</f>
        <v/>
      </c>
      <c r="N93" s="181" t="str">
        <f>'Statement of Marks'!HB95</f>
        <v/>
      </c>
      <c r="O93" s="181" t="str">
        <f>'Statement of Marks'!HE95</f>
        <v/>
      </c>
      <c r="P93" s="181" t="str">
        <f>'Statement of Marks'!HH95</f>
        <v/>
      </c>
      <c r="Q93" s="181" t="str">
        <f>'Statement of Marks'!HK95</f>
        <v/>
      </c>
      <c r="R93" s="173" t="str">
        <f>IF(COUNTIF(K93:Q93,"F")&gt;0,"",CONCATENATE('Statement of Marks'!HO95,'Statement of Marks'!HQ95))</f>
        <v xml:space="preserve">            </v>
      </c>
      <c r="S93" s="174">
        <f t="shared" si="18"/>
        <v>0</v>
      </c>
      <c r="T93" s="5"/>
      <c r="U93" s="182" t="str">
        <f t="shared" si="19"/>
        <v/>
      </c>
      <c r="V93" s="182" t="str">
        <f t="shared" si="20"/>
        <v/>
      </c>
      <c r="W93" s="5"/>
      <c r="X93" s="182" t="str">
        <f t="shared" si="21"/>
        <v/>
      </c>
      <c r="Y93" s="182" t="str">
        <f t="shared" si="22"/>
        <v/>
      </c>
      <c r="Z93" s="5"/>
      <c r="AA93" s="182" t="str">
        <f t="shared" si="23"/>
        <v/>
      </c>
      <c r="AB93" s="183" t="str">
        <f t="shared" si="24"/>
        <v/>
      </c>
      <c r="AC93" s="5"/>
      <c r="AD93" s="182" t="str">
        <f t="shared" si="25"/>
        <v/>
      </c>
      <c r="AE93" s="183" t="str">
        <f t="shared" si="26"/>
        <v/>
      </c>
      <c r="AF93" s="5"/>
      <c r="AG93" s="182" t="str">
        <f t="shared" si="27"/>
        <v/>
      </c>
      <c r="AH93" s="183" t="str">
        <f t="shared" si="28"/>
        <v/>
      </c>
      <c r="AI93" s="5"/>
      <c r="AJ93" s="183" t="str">
        <f t="shared" si="29"/>
        <v/>
      </c>
      <c r="AK93" s="183" t="str">
        <f t="shared" si="30"/>
        <v/>
      </c>
      <c r="AL93" s="5"/>
      <c r="AM93" s="183" t="str">
        <f t="shared" si="31"/>
        <v/>
      </c>
      <c r="AN93" s="183" t="str">
        <f t="shared" si="32"/>
        <v/>
      </c>
      <c r="AO93" s="184">
        <f t="shared" si="33"/>
        <v>0</v>
      </c>
      <c r="AP93" s="184">
        <f t="shared" si="34"/>
        <v>0</v>
      </c>
      <c r="AQ93" s="608" t="str">
        <f t="shared" si="35"/>
        <v/>
      </c>
      <c r="AR93" s="185" t="str">
        <f>IF(COUNTIF(K93:Q93,"F")&gt;0,"",IF(AQ93="PASS",'Statement of Marks'!HZ95,""))</f>
        <v/>
      </c>
      <c r="AS93" s="185" t="str">
        <f>IF(AQ93="PASS",'Statement of Marks'!IA95,"")</f>
        <v/>
      </c>
    </row>
    <row r="94" spans="1:45">
      <c r="A94" s="169">
        <f>IF('Statement of Marks'!A96="","",'Statement of Marks'!A96)</f>
        <v>90</v>
      </c>
      <c r="B94" s="169" t="str">
        <f>IF('Statement of Marks'!B96="","",'Statement of Marks'!B96)</f>
        <v/>
      </c>
      <c r="C94" s="169" t="str">
        <f>IF('Statement of Marks'!D96="","",'Statement of Marks'!D96)</f>
        <v/>
      </c>
      <c r="D94" s="170" t="str">
        <f>IF('Statement of Marks'!E96="","",'Statement of Marks'!E96)</f>
        <v/>
      </c>
      <c r="E94" s="171" t="str">
        <f>IF('Statement of Marks'!F96="","",'Statement of Marks'!F96)</f>
        <v/>
      </c>
      <c r="F94" s="171" t="str">
        <f>IF('Statement of Marks'!G96="","",'Statement of Marks'!G96)</f>
        <v/>
      </c>
      <c r="G94" s="171" t="str">
        <f>IF('Statement of Marks'!H96="","",'Statement of Marks'!H96)</f>
        <v/>
      </c>
      <c r="H94" s="172" t="str">
        <f>IF('Statement of Marks'!HS96="","",'Statement of Marks'!HS96)</f>
        <v/>
      </c>
      <c r="I94" s="172" t="str">
        <f>IF('Statement of Marks'!HV96="","",'Statement of Marks'!HV96)</f>
        <v/>
      </c>
      <c r="J94" s="173" t="str">
        <f>IF('Statement of Marks'!HU96="","",'Statement of Marks'!HU96)</f>
        <v/>
      </c>
      <c r="K94" s="181" t="str">
        <f>'Statement of Marks'!GN96</f>
        <v/>
      </c>
      <c r="L94" s="181" t="str">
        <f>'Statement of Marks'!GQ96</f>
        <v/>
      </c>
      <c r="M94" s="181" t="str">
        <f>'Statement of Marks'!GT96</f>
        <v/>
      </c>
      <c r="N94" s="181" t="str">
        <f>'Statement of Marks'!HB96</f>
        <v/>
      </c>
      <c r="O94" s="181" t="str">
        <f>'Statement of Marks'!HE96</f>
        <v/>
      </c>
      <c r="P94" s="181" t="str">
        <f>'Statement of Marks'!HH96</f>
        <v/>
      </c>
      <c r="Q94" s="181" t="str">
        <f>'Statement of Marks'!HK96</f>
        <v/>
      </c>
      <c r="R94" s="173" t="str">
        <f>IF(COUNTIF(K94:Q94,"F")&gt;0,"",CONCATENATE('Statement of Marks'!HO96,'Statement of Marks'!HQ96))</f>
        <v xml:space="preserve">            </v>
      </c>
      <c r="S94" s="174">
        <f t="shared" si="18"/>
        <v>0</v>
      </c>
      <c r="T94" s="5"/>
      <c r="U94" s="182" t="str">
        <f t="shared" si="19"/>
        <v/>
      </c>
      <c r="V94" s="182" t="str">
        <f t="shared" si="20"/>
        <v/>
      </c>
      <c r="W94" s="5"/>
      <c r="X94" s="182" t="str">
        <f t="shared" si="21"/>
        <v/>
      </c>
      <c r="Y94" s="182" t="str">
        <f t="shared" si="22"/>
        <v/>
      </c>
      <c r="Z94" s="5"/>
      <c r="AA94" s="182" t="str">
        <f t="shared" si="23"/>
        <v/>
      </c>
      <c r="AB94" s="183" t="str">
        <f t="shared" si="24"/>
        <v/>
      </c>
      <c r="AC94" s="5"/>
      <c r="AD94" s="182" t="str">
        <f t="shared" si="25"/>
        <v/>
      </c>
      <c r="AE94" s="183" t="str">
        <f t="shared" si="26"/>
        <v/>
      </c>
      <c r="AF94" s="5"/>
      <c r="AG94" s="182" t="str">
        <f t="shared" si="27"/>
        <v/>
      </c>
      <c r="AH94" s="183" t="str">
        <f t="shared" si="28"/>
        <v/>
      </c>
      <c r="AI94" s="5"/>
      <c r="AJ94" s="183" t="str">
        <f t="shared" si="29"/>
        <v/>
      </c>
      <c r="AK94" s="183" t="str">
        <f t="shared" si="30"/>
        <v/>
      </c>
      <c r="AL94" s="5"/>
      <c r="AM94" s="183" t="str">
        <f t="shared" si="31"/>
        <v/>
      </c>
      <c r="AN94" s="183" t="str">
        <f t="shared" si="32"/>
        <v/>
      </c>
      <c r="AO94" s="184">
        <f t="shared" si="33"/>
        <v>0</v>
      </c>
      <c r="AP94" s="184">
        <f t="shared" si="34"/>
        <v>0</v>
      </c>
      <c r="AQ94" s="608" t="str">
        <f t="shared" si="35"/>
        <v/>
      </c>
      <c r="AR94" s="185" t="str">
        <f>IF(COUNTIF(K94:Q94,"F")&gt;0,"",IF(AQ94="PASS",'Statement of Marks'!HZ96,""))</f>
        <v/>
      </c>
      <c r="AS94" s="185" t="str">
        <f>IF(AQ94="PASS",'Statement of Marks'!IA96,"")</f>
        <v/>
      </c>
    </row>
    <row r="95" spans="1:45">
      <c r="A95" s="169">
        <f>IF('Statement of Marks'!A97="","",'Statement of Marks'!A97)</f>
        <v>91</v>
      </c>
      <c r="B95" s="169" t="str">
        <f>IF('Statement of Marks'!B97="","",'Statement of Marks'!B97)</f>
        <v/>
      </c>
      <c r="C95" s="169" t="str">
        <f>IF('Statement of Marks'!D97="","",'Statement of Marks'!D97)</f>
        <v/>
      </c>
      <c r="D95" s="170" t="str">
        <f>IF('Statement of Marks'!E97="","",'Statement of Marks'!E97)</f>
        <v/>
      </c>
      <c r="E95" s="171" t="str">
        <f>IF('Statement of Marks'!F97="","",'Statement of Marks'!F97)</f>
        <v/>
      </c>
      <c r="F95" s="171" t="str">
        <f>IF('Statement of Marks'!G97="","",'Statement of Marks'!G97)</f>
        <v/>
      </c>
      <c r="G95" s="171" t="str">
        <f>IF('Statement of Marks'!H97="","",'Statement of Marks'!H97)</f>
        <v/>
      </c>
      <c r="H95" s="172" t="str">
        <f>IF('Statement of Marks'!HS97="","",'Statement of Marks'!HS97)</f>
        <v/>
      </c>
      <c r="I95" s="172" t="str">
        <f>IF('Statement of Marks'!HV97="","",'Statement of Marks'!HV97)</f>
        <v/>
      </c>
      <c r="J95" s="173" t="str">
        <f>IF('Statement of Marks'!HU97="","",'Statement of Marks'!HU97)</f>
        <v/>
      </c>
      <c r="K95" s="181" t="str">
        <f>'Statement of Marks'!GN97</f>
        <v/>
      </c>
      <c r="L95" s="181" t="str">
        <f>'Statement of Marks'!GQ97</f>
        <v/>
      </c>
      <c r="M95" s="181" t="str">
        <f>'Statement of Marks'!GT97</f>
        <v/>
      </c>
      <c r="N95" s="181" t="str">
        <f>'Statement of Marks'!HB97</f>
        <v/>
      </c>
      <c r="O95" s="181" t="str">
        <f>'Statement of Marks'!HE97</f>
        <v/>
      </c>
      <c r="P95" s="181" t="str">
        <f>'Statement of Marks'!HH97</f>
        <v/>
      </c>
      <c r="Q95" s="181" t="str">
        <f>'Statement of Marks'!HK97</f>
        <v/>
      </c>
      <c r="R95" s="173" t="str">
        <f>IF(COUNTIF(K95:Q95,"F")&gt;0,"",CONCATENATE('Statement of Marks'!HO97,'Statement of Marks'!HQ97))</f>
        <v xml:space="preserve">            </v>
      </c>
      <c r="S95" s="174">
        <f t="shared" si="18"/>
        <v>0</v>
      </c>
      <c r="T95" s="5"/>
      <c r="U95" s="182" t="str">
        <f t="shared" si="19"/>
        <v/>
      </c>
      <c r="V95" s="182" t="str">
        <f t="shared" si="20"/>
        <v/>
      </c>
      <c r="W95" s="5"/>
      <c r="X95" s="182" t="str">
        <f t="shared" si="21"/>
        <v/>
      </c>
      <c r="Y95" s="182" t="str">
        <f t="shared" si="22"/>
        <v/>
      </c>
      <c r="Z95" s="5"/>
      <c r="AA95" s="182" t="str">
        <f t="shared" si="23"/>
        <v/>
      </c>
      <c r="AB95" s="183" t="str">
        <f t="shared" si="24"/>
        <v/>
      </c>
      <c r="AC95" s="5"/>
      <c r="AD95" s="182" t="str">
        <f t="shared" si="25"/>
        <v/>
      </c>
      <c r="AE95" s="183" t="str">
        <f t="shared" si="26"/>
        <v/>
      </c>
      <c r="AF95" s="5"/>
      <c r="AG95" s="182" t="str">
        <f t="shared" si="27"/>
        <v/>
      </c>
      <c r="AH95" s="183" t="str">
        <f t="shared" si="28"/>
        <v/>
      </c>
      <c r="AI95" s="5"/>
      <c r="AJ95" s="183" t="str">
        <f t="shared" si="29"/>
        <v/>
      </c>
      <c r="AK95" s="183" t="str">
        <f t="shared" si="30"/>
        <v/>
      </c>
      <c r="AL95" s="5"/>
      <c r="AM95" s="183" t="str">
        <f t="shared" si="31"/>
        <v/>
      </c>
      <c r="AN95" s="183" t="str">
        <f t="shared" si="32"/>
        <v/>
      </c>
      <c r="AO95" s="184">
        <f t="shared" si="33"/>
        <v>0</v>
      </c>
      <c r="AP95" s="184">
        <f t="shared" si="34"/>
        <v>0</v>
      </c>
      <c r="AQ95" s="608" t="str">
        <f t="shared" si="35"/>
        <v/>
      </c>
      <c r="AR95" s="185" t="str">
        <f>IF(COUNTIF(K95:Q95,"F")&gt;0,"",IF(AQ95="PASS",'Statement of Marks'!HZ97,""))</f>
        <v/>
      </c>
      <c r="AS95" s="185" t="str">
        <f>IF(AQ95="PASS",'Statement of Marks'!IA97,"")</f>
        <v/>
      </c>
    </row>
    <row r="96" spans="1:45">
      <c r="A96" s="169">
        <f>IF('Statement of Marks'!A98="","",'Statement of Marks'!A98)</f>
        <v>92</v>
      </c>
      <c r="B96" s="169" t="str">
        <f>IF('Statement of Marks'!B98="","",'Statement of Marks'!B98)</f>
        <v/>
      </c>
      <c r="C96" s="169" t="str">
        <f>IF('Statement of Marks'!D98="","",'Statement of Marks'!D98)</f>
        <v/>
      </c>
      <c r="D96" s="170" t="str">
        <f>IF('Statement of Marks'!E98="","",'Statement of Marks'!E98)</f>
        <v/>
      </c>
      <c r="E96" s="171" t="str">
        <f>IF('Statement of Marks'!F98="","",'Statement of Marks'!F98)</f>
        <v/>
      </c>
      <c r="F96" s="171" t="str">
        <f>IF('Statement of Marks'!G98="","",'Statement of Marks'!G98)</f>
        <v/>
      </c>
      <c r="G96" s="171" t="str">
        <f>IF('Statement of Marks'!H98="","",'Statement of Marks'!H98)</f>
        <v/>
      </c>
      <c r="H96" s="172" t="str">
        <f>IF('Statement of Marks'!HS98="","",'Statement of Marks'!HS98)</f>
        <v/>
      </c>
      <c r="I96" s="172" t="str">
        <f>IF('Statement of Marks'!HV98="","",'Statement of Marks'!HV98)</f>
        <v/>
      </c>
      <c r="J96" s="173" t="str">
        <f>IF('Statement of Marks'!HU98="","",'Statement of Marks'!HU98)</f>
        <v/>
      </c>
      <c r="K96" s="181" t="str">
        <f>'Statement of Marks'!GN98</f>
        <v/>
      </c>
      <c r="L96" s="181" t="str">
        <f>'Statement of Marks'!GQ98</f>
        <v/>
      </c>
      <c r="M96" s="181" t="str">
        <f>'Statement of Marks'!GT98</f>
        <v/>
      </c>
      <c r="N96" s="181" t="str">
        <f>'Statement of Marks'!HB98</f>
        <v/>
      </c>
      <c r="O96" s="181" t="str">
        <f>'Statement of Marks'!HE98</f>
        <v/>
      </c>
      <c r="P96" s="181" t="str">
        <f>'Statement of Marks'!HH98</f>
        <v/>
      </c>
      <c r="Q96" s="181" t="str">
        <f>'Statement of Marks'!HK98</f>
        <v/>
      </c>
      <c r="R96" s="173" t="str">
        <f>IF(COUNTIF(K96:Q96,"F")&gt;0,"",CONCATENATE('Statement of Marks'!HO98,'Statement of Marks'!HQ98))</f>
        <v xml:space="preserve">            </v>
      </c>
      <c r="S96" s="174">
        <f t="shared" si="18"/>
        <v>0</v>
      </c>
      <c r="T96" s="5"/>
      <c r="U96" s="182" t="str">
        <f t="shared" si="19"/>
        <v/>
      </c>
      <c r="V96" s="182" t="str">
        <f t="shared" si="20"/>
        <v/>
      </c>
      <c r="W96" s="5"/>
      <c r="X96" s="182" t="str">
        <f t="shared" si="21"/>
        <v/>
      </c>
      <c r="Y96" s="182" t="str">
        <f t="shared" si="22"/>
        <v/>
      </c>
      <c r="Z96" s="5"/>
      <c r="AA96" s="182" t="str">
        <f t="shared" si="23"/>
        <v/>
      </c>
      <c r="AB96" s="183" t="str">
        <f t="shared" si="24"/>
        <v/>
      </c>
      <c r="AC96" s="5"/>
      <c r="AD96" s="182" t="str">
        <f t="shared" si="25"/>
        <v/>
      </c>
      <c r="AE96" s="183" t="str">
        <f t="shared" si="26"/>
        <v/>
      </c>
      <c r="AF96" s="5"/>
      <c r="AG96" s="182" t="str">
        <f t="shared" si="27"/>
        <v/>
      </c>
      <c r="AH96" s="183" t="str">
        <f t="shared" si="28"/>
        <v/>
      </c>
      <c r="AI96" s="5"/>
      <c r="AJ96" s="183" t="str">
        <f t="shared" si="29"/>
        <v/>
      </c>
      <c r="AK96" s="183" t="str">
        <f t="shared" si="30"/>
        <v/>
      </c>
      <c r="AL96" s="5"/>
      <c r="AM96" s="183" t="str">
        <f t="shared" si="31"/>
        <v/>
      </c>
      <c r="AN96" s="183" t="str">
        <f t="shared" si="32"/>
        <v/>
      </c>
      <c r="AO96" s="184">
        <f t="shared" si="33"/>
        <v>0</v>
      </c>
      <c r="AP96" s="184">
        <f t="shared" si="34"/>
        <v>0</v>
      </c>
      <c r="AQ96" s="608" t="str">
        <f t="shared" si="35"/>
        <v/>
      </c>
      <c r="AR96" s="185" t="str">
        <f>IF(COUNTIF(K96:Q96,"F")&gt;0,"",IF(AQ96="PASS",'Statement of Marks'!HZ98,""))</f>
        <v/>
      </c>
      <c r="AS96" s="185" t="str">
        <f>IF(AQ96="PASS",'Statement of Marks'!IA98,"")</f>
        <v/>
      </c>
    </row>
    <row r="97" spans="1:45">
      <c r="A97" s="169">
        <f>IF('Statement of Marks'!A99="","",'Statement of Marks'!A99)</f>
        <v>93</v>
      </c>
      <c r="B97" s="169" t="str">
        <f>IF('Statement of Marks'!B99="","",'Statement of Marks'!B99)</f>
        <v/>
      </c>
      <c r="C97" s="169" t="str">
        <f>IF('Statement of Marks'!D99="","",'Statement of Marks'!D99)</f>
        <v/>
      </c>
      <c r="D97" s="170" t="str">
        <f>IF('Statement of Marks'!E99="","",'Statement of Marks'!E99)</f>
        <v/>
      </c>
      <c r="E97" s="171" t="str">
        <f>IF('Statement of Marks'!F99="","",'Statement of Marks'!F99)</f>
        <v/>
      </c>
      <c r="F97" s="171" t="str">
        <f>IF('Statement of Marks'!G99="","",'Statement of Marks'!G99)</f>
        <v/>
      </c>
      <c r="G97" s="171" t="str">
        <f>IF('Statement of Marks'!H99="","",'Statement of Marks'!H99)</f>
        <v/>
      </c>
      <c r="H97" s="172" t="str">
        <f>IF('Statement of Marks'!HS99="","",'Statement of Marks'!HS99)</f>
        <v/>
      </c>
      <c r="I97" s="172" t="str">
        <f>IF('Statement of Marks'!HV99="","",'Statement of Marks'!HV99)</f>
        <v/>
      </c>
      <c r="J97" s="173" t="str">
        <f>IF('Statement of Marks'!HU99="","",'Statement of Marks'!HU99)</f>
        <v/>
      </c>
      <c r="K97" s="181" t="str">
        <f>'Statement of Marks'!GN99</f>
        <v/>
      </c>
      <c r="L97" s="181" t="str">
        <f>'Statement of Marks'!GQ99</f>
        <v/>
      </c>
      <c r="M97" s="181" t="str">
        <f>'Statement of Marks'!GT99</f>
        <v/>
      </c>
      <c r="N97" s="181" t="str">
        <f>'Statement of Marks'!HB99</f>
        <v/>
      </c>
      <c r="O97" s="181" t="str">
        <f>'Statement of Marks'!HE99</f>
        <v/>
      </c>
      <c r="P97" s="181" t="str">
        <f>'Statement of Marks'!HH99</f>
        <v/>
      </c>
      <c r="Q97" s="181" t="str">
        <f>'Statement of Marks'!HK99</f>
        <v/>
      </c>
      <c r="R97" s="173" t="str">
        <f>IF(COUNTIF(K97:Q97,"F")&gt;0,"",CONCATENATE('Statement of Marks'!HO99,'Statement of Marks'!HQ99))</f>
        <v xml:space="preserve">            </v>
      </c>
      <c r="S97" s="174">
        <f t="shared" si="18"/>
        <v>0</v>
      </c>
      <c r="T97" s="5"/>
      <c r="U97" s="182" t="str">
        <f t="shared" si="19"/>
        <v/>
      </c>
      <c r="V97" s="182" t="str">
        <f t="shared" si="20"/>
        <v/>
      </c>
      <c r="W97" s="5"/>
      <c r="X97" s="182" t="str">
        <f t="shared" si="21"/>
        <v/>
      </c>
      <c r="Y97" s="182" t="str">
        <f t="shared" si="22"/>
        <v/>
      </c>
      <c r="Z97" s="5"/>
      <c r="AA97" s="182" t="str">
        <f t="shared" si="23"/>
        <v/>
      </c>
      <c r="AB97" s="183" t="str">
        <f t="shared" si="24"/>
        <v/>
      </c>
      <c r="AC97" s="5"/>
      <c r="AD97" s="182" t="str">
        <f t="shared" si="25"/>
        <v/>
      </c>
      <c r="AE97" s="183" t="str">
        <f t="shared" si="26"/>
        <v/>
      </c>
      <c r="AF97" s="5"/>
      <c r="AG97" s="182" t="str">
        <f t="shared" si="27"/>
        <v/>
      </c>
      <c r="AH97" s="183" t="str">
        <f t="shared" si="28"/>
        <v/>
      </c>
      <c r="AI97" s="5"/>
      <c r="AJ97" s="183" t="str">
        <f t="shared" si="29"/>
        <v/>
      </c>
      <c r="AK97" s="183" t="str">
        <f t="shared" si="30"/>
        <v/>
      </c>
      <c r="AL97" s="5"/>
      <c r="AM97" s="183" t="str">
        <f t="shared" si="31"/>
        <v/>
      </c>
      <c r="AN97" s="183" t="str">
        <f t="shared" si="32"/>
        <v/>
      </c>
      <c r="AO97" s="184">
        <f t="shared" si="33"/>
        <v>0</v>
      </c>
      <c r="AP97" s="184">
        <f t="shared" si="34"/>
        <v>0</v>
      </c>
      <c r="AQ97" s="608" t="str">
        <f t="shared" si="35"/>
        <v/>
      </c>
      <c r="AR97" s="185" t="str">
        <f>IF(COUNTIF(K97:Q97,"F")&gt;0,"",IF(AQ97="PASS",'Statement of Marks'!HZ99,""))</f>
        <v/>
      </c>
      <c r="AS97" s="185" t="str">
        <f>IF(AQ97="PASS",'Statement of Marks'!IA99,"")</f>
        <v/>
      </c>
    </row>
    <row r="98" spans="1:45">
      <c r="A98" s="169">
        <f>IF('Statement of Marks'!A100="","",'Statement of Marks'!A100)</f>
        <v>94</v>
      </c>
      <c r="B98" s="169" t="str">
        <f>IF('Statement of Marks'!B100="","",'Statement of Marks'!B100)</f>
        <v/>
      </c>
      <c r="C98" s="169" t="str">
        <f>IF('Statement of Marks'!D100="","",'Statement of Marks'!D100)</f>
        <v/>
      </c>
      <c r="D98" s="170" t="str">
        <f>IF('Statement of Marks'!E100="","",'Statement of Marks'!E100)</f>
        <v/>
      </c>
      <c r="E98" s="171" t="str">
        <f>IF('Statement of Marks'!F100="","",'Statement of Marks'!F100)</f>
        <v/>
      </c>
      <c r="F98" s="171" t="str">
        <f>IF('Statement of Marks'!G100="","",'Statement of Marks'!G100)</f>
        <v/>
      </c>
      <c r="G98" s="171" t="str">
        <f>IF('Statement of Marks'!H100="","",'Statement of Marks'!H100)</f>
        <v/>
      </c>
      <c r="H98" s="172" t="str">
        <f>IF('Statement of Marks'!HS100="","",'Statement of Marks'!HS100)</f>
        <v/>
      </c>
      <c r="I98" s="172" t="str">
        <f>IF('Statement of Marks'!HV100="","",'Statement of Marks'!HV100)</f>
        <v/>
      </c>
      <c r="J98" s="173" t="str">
        <f>IF('Statement of Marks'!HU100="","",'Statement of Marks'!HU100)</f>
        <v/>
      </c>
      <c r="K98" s="181" t="str">
        <f>'Statement of Marks'!GN100</f>
        <v/>
      </c>
      <c r="L98" s="181" t="str">
        <f>'Statement of Marks'!GQ100</f>
        <v/>
      </c>
      <c r="M98" s="181" t="str">
        <f>'Statement of Marks'!GT100</f>
        <v/>
      </c>
      <c r="N98" s="181" t="str">
        <f>'Statement of Marks'!HB100</f>
        <v/>
      </c>
      <c r="O98" s="181" t="str">
        <f>'Statement of Marks'!HE100</f>
        <v/>
      </c>
      <c r="P98" s="181" t="str">
        <f>'Statement of Marks'!HH100</f>
        <v/>
      </c>
      <c r="Q98" s="181" t="str">
        <f>'Statement of Marks'!HK100</f>
        <v/>
      </c>
      <c r="R98" s="173" t="str">
        <f>IF(COUNTIF(K98:Q98,"F")&gt;0,"",CONCATENATE('Statement of Marks'!HO100,'Statement of Marks'!HQ100))</f>
        <v xml:space="preserve">            </v>
      </c>
      <c r="S98" s="174">
        <f t="shared" si="18"/>
        <v>0</v>
      </c>
      <c r="T98" s="5"/>
      <c r="U98" s="182" t="str">
        <f t="shared" si="19"/>
        <v/>
      </c>
      <c r="V98" s="182" t="str">
        <f t="shared" si="20"/>
        <v/>
      </c>
      <c r="W98" s="5"/>
      <c r="X98" s="182" t="str">
        <f t="shared" si="21"/>
        <v/>
      </c>
      <c r="Y98" s="182" t="str">
        <f t="shared" si="22"/>
        <v/>
      </c>
      <c r="Z98" s="5"/>
      <c r="AA98" s="182" t="str">
        <f t="shared" si="23"/>
        <v/>
      </c>
      <c r="AB98" s="183" t="str">
        <f t="shared" si="24"/>
        <v/>
      </c>
      <c r="AC98" s="5"/>
      <c r="AD98" s="182" t="str">
        <f t="shared" si="25"/>
        <v/>
      </c>
      <c r="AE98" s="183" t="str">
        <f t="shared" si="26"/>
        <v/>
      </c>
      <c r="AF98" s="5"/>
      <c r="AG98" s="182" t="str">
        <f t="shared" si="27"/>
        <v/>
      </c>
      <c r="AH98" s="183" t="str">
        <f t="shared" si="28"/>
        <v/>
      </c>
      <c r="AI98" s="5"/>
      <c r="AJ98" s="183" t="str">
        <f t="shared" si="29"/>
        <v/>
      </c>
      <c r="AK98" s="183" t="str">
        <f t="shared" si="30"/>
        <v/>
      </c>
      <c r="AL98" s="5"/>
      <c r="AM98" s="183" t="str">
        <f t="shared" si="31"/>
        <v/>
      </c>
      <c r="AN98" s="183" t="str">
        <f t="shared" si="32"/>
        <v/>
      </c>
      <c r="AO98" s="184">
        <f t="shared" si="33"/>
        <v>0</v>
      </c>
      <c r="AP98" s="184">
        <f t="shared" si="34"/>
        <v>0</v>
      </c>
      <c r="AQ98" s="608" t="str">
        <f t="shared" si="35"/>
        <v/>
      </c>
      <c r="AR98" s="185" t="str">
        <f>IF(COUNTIF(K98:Q98,"F")&gt;0,"",IF(AQ98="PASS",'Statement of Marks'!HZ100,""))</f>
        <v/>
      </c>
      <c r="AS98" s="185" t="str">
        <f>IF(AQ98="PASS",'Statement of Marks'!IA100,"")</f>
        <v/>
      </c>
    </row>
    <row r="99" spans="1:45">
      <c r="A99" s="169">
        <f>IF('Statement of Marks'!A101="","",'Statement of Marks'!A101)</f>
        <v>95</v>
      </c>
      <c r="B99" s="169" t="str">
        <f>IF('Statement of Marks'!B101="","",'Statement of Marks'!B101)</f>
        <v/>
      </c>
      <c r="C99" s="169" t="str">
        <f>IF('Statement of Marks'!D101="","",'Statement of Marks'!D101)</f>
        <v/>
      </c>
      <c r="D99" s="170" t="str">
        <f>IF('Statement of Marks'!E101="","",'Statement of Marks'!E101)</f>
        <v/>
      </c>
      <c r="E99" s="171" t="str">
        <f>IF('Statement of Marks'!F101="","",'Statement of Marks'!F101)</f>
        <v/>
      </c>
      <c r="F99" s="171" t="str">
        <f>IF('Statement of Marks'!G101="","",'Statement of Marks'!G101)</f>
        <v/>
      </c>
      <c r="G99" s="171" t="str">
        <f>IF('Statement of Marks'!H101="","",'Statement of Marks'!H101)</f>
        <v/>
      </c>
      <c r="H99" s="172" t="str">
        <f>IF('Statement of Marks'!HS101="","",'Statement of Marks'!HS101)</f>
        <v/>
      </c>
      <c r="I99" s="172" t="str">
        <f>IF('Statement of Marks'!HV101="","",'Statement of Marks'!HV101)</f>
        <v/>
      </c>
      <c r="J99" s="173" t="str">
        <f>IF('Statement of Marks'!HU101="","",'Statement of Marks'!HU101)</f>
        <v/>
      </c>
      <c r="K99" s="181" t="str">
        <f>'Statement of Marks'!GN101</f>
        <v/>
      </c>
      <c r="L99" s="181" t="str">
        <f>'Statement of Marks'!GQ101</f>
        <v/>
      </c>
      <c r="M99" s="181" t="str">
        <f>'Statement of Marks'!GT101</f>
        <v/>
      </c>
      <c r="N99" s="181" t="str">
        <f>'Statement of Marks'!HB101</f>
        <v/>
      </c>
      <c r="O99" s="181" t="str">
        <f>'Statement of Marks'!HE101</f>
        <v/>
      </c>
      <c r="P99" s="181" t="str">
        <f>'Statement of Marks'!HH101</f>
        <v/>
      </c>
      <c r="Q99" s="181" t="str">
        <f>'Statement of Marks'!HK101</f>
        <v/>
      </c>
      <c r="R99" s="173" t="str">
        <f>IF(COUNTIF(K99:Q99,"F")&gt;0,"",CONCATENATE('Statement of Marks'!HO101,'Statement of Marks'!HQ101))</f>
        <v xml:space="preserve">            </v>
      </c>
      <c r="S99" s="174">
        <f t="shared" si="18"/>
        <v>0</v>
      </c>
      <c r="T99" s="5"/>
      <c r="U99" s="182" t="str">
        <f t="shared" si="19"/>
        <v/>
      </c>
      <c r="V99" s="182" t="str">
        <f t="shared" si="20"/>
        <v/>
      </c>
      <c r="W99" s="5"/>
      <c r="X99" s="182" t="str">
        <f t="shared" si="21"/>
        <v/>
      </c>
      <c r="Y99" s="182" t="str">
        <f t="shared" si="22"/>
        <v/>
      </c>
      <c r="Z99" s="5"/>
      <c r="AA99" s="182" t="str">
        <f t="shared" si="23"/>
        <v/>
      </c>
      <c r="AB99" s="183" t="str">
        <f t="shared" si="24"/>
        <v/>
      </c>
      <c r="AC99" s="5"/>
      <c r="AD99" s="182" t="str">
        <f t="shared" si="25"/>
        <v/>
      </c>
      <c r="AE99" s="183" t="str">
        <f t="shared" si="26"/>
        <v/>
      </c>
      <c r="AF99" s="5"/>
      <c r="AG99" s="182" t="str">
        <f t="shared" si="27"/>
        <v/>
      </c>
      <c r="AH99" s="183" t="str">
        <f t="shared" si="28"/>
        <v/>
      </c>
      <c r="AI99" s="5"/>
      <c r="AJ99" s="183" t="str">
        <f t="shared" si="29"/>
        <v/>
      </c>
      <c r="AK99" s="183" t="str">
        <f t="shared" si="30"/>
        <v/>
      </c>
      <c r="AL99" s="5"/>
      <c r="AM99" s="183" t="str">
        <f t="shared" si="31"/>
        <v/>
      </c>
      <c r="AN99" s="183" t="str">
        <f t="shared" si="32"/>
        <v/>
      </c>
      <c r="AO99" s="184">
        <f t="shared" si="33"/>
        <v>0</v>
      </c>
      <c r="AP99" s="184">
        <f t="shared" si="34"/>
        <v>0</v>
      </c>
      <c r="AQ99" s="608" t="str">
        <f t="shared" si="35"/>
        <v/>
      </c>
      <c r="AR99" s="185" t="str">
        <f>IF(COUNTIF(K99:Q99,"F")&gt;0,"",IF(AQ99="PASS",'Statement of Marks'!HZ101,""))</f>
        <v/>
      </c>
      <c r="AS99" s="185" t="str">
        <f>IF(AQ99="PASS",'Statement of Marks'!IA101,"")</f>
        <v/>
      </c>
    </row>
    <row r="100" spans="1:45">
      <c r="A100" s="169">
        <f>IF('Statement of Marks'!A102="","",'Statement of Marks'!A102)</f>
        <v>96</v>
      </c>
      <c r="B100" s="169" t="str">
        <f>IF('Statement of Marks'!B102="","",'Statement of Marks'!B102)</f>
        <v/>
      </c>
      <c r="C100" s="169" t="str">
        <f>IF('Statement of Marks'!D102="","",'Statement of Marks'!D102)</f>
        <v/>
      </c>
      <c r="D100" s="170" t="str">
        <f>IF('Statement of Marks'!E102="","",'Statement of Marks'!E102)</f>
        <v/>
      </c>
      <c r="E100" s="171" t="str">
        <f>IF('Statement of Marks'!F102="","",'Statement of Marks'!F102)</f>
        <v/>
      </c>
      <c r="F100" s="171" t="str">
        <f>IF('Statement of Marks'!G102="","",'Statement of Marks'!G102)</f>
        <v/>
      </c>
      <c r="G100" s="171" t="str">
        <f>IF('Statement of Marks'!H102="","",'Statement of Marks'!H102)</f>
        <v/>
      </c>
      <c r="H100" s="172" t="str">
        <f>IF('Statement of Marks'!HS102="","",'Statement of Marks'!HS102)</f>
        <v/>
      </c>
      <c r="I100" s="172" t="str">
        <f>IF('Statement of Marks'!HV102="","",'Statement of Marks'!HV102)</f>
        <v/>
      </c>
      <c r="J100" s="173" t="str">
        <f>IF('Statement of Marks'!HU102="","",'Statement of Marks'!HU102)</f>
        <v/>
      </c>
      <c r="K100" s="181" t="str">
        <f>'Statement of Marks'!GN102</f>
        <v/>
      </c>
      <c r="L100" s="181" t="str">
        <f>'Statement of Marks'!GQ102</f>
        <v/>
      </c>
      <c r="M100" s="181" t="str">
        <f>'Statement of Marks'!GT102</f>
        <v/>
      </c>
      <c r="N100" s="181" t="str">
        <f>'Statement of Marks'!HB102</f>
        <v/>
      </c>
      <c r="O100" s="181" t="str">
        <f>'Statement of Marks'!HE102</f>
        <v/>
      </c>
      <c r="P100" s="181" t="str">
        <f>'Statement of Marks'!HH102</f>
        <v/>
      </c>
      <c r="Q100" s="181" t="str">
        <f>'Statement of Marks'!HK102</f>
        <v/>
      </c>
      <c r="R100" s="173" t="str">
        <f>IF(COUNTIF(K100:Q100,"F")&gt;0,"",CONCATENATE('Statement of Marks'!HO102,'Statement of Marks'!HQ102))</f>
        <v xml:space="preserve">            </v>
      </c>
      <c r="S100" s="174">
        <f t="shared" si="18"/>
        <v>0</v>
      </c>
      <c r="T100" s="5"/>
      <c r="U100" s="182" t="str">
        <f t="shared" si="19"/>
        <v/>
      </c>
      <c r="V100" s="182" t="str">
        <f t="shared" si="20"/>
        <v/>
      </c>
      <c r="W100" s="5"/>
      <c r="X100" s="182" t="str">
        <f t="shared" si="21"/>
        <v/>
      </c>
      <c r="Y100" s="182" t="str">
        <f t="shared" si="22"/>
        <v/>
      </c>
      <c r="Z100" s="5"/>
      <c r="AA100" s="182" t="str">
        <f t="shared" si="23"/>
        <v/>
      </c>
      <c r="AB100" s="183" t="str">
        <f t="shared" si="24"/>
        <v/>
      </c>
      <c r="AC100" s="5"/>
      <c r="AD100" s="182" t="str">
        <f t="shared" si="25"/>
        <v/>
      </c>
      <c r="AE100" s="183" t="str">
        <f t="shared" si="26"/>
        <v/>
      </c>
      <c r="AF100" s="5"/>
      <c r="AG100" s="182" t="str">
        <f t="shared" si="27"/>
        <v/>
      </c>
      <c r="AH100" s="183" t="str">
        <f t="shared" si="28"/>
        <v/>
      </c>
      <c r="AI100" s="5"/>
      <c r="AJ100" s="183" t="str">
        <f t="shared" si="29"/>
        <v/>
      </c>
      <c r="AK100" s="183" t="str">
        <f t="shared" si="30"/>
        <v/>
      </c>
      <c r="AL100" s="5"/>
      <c r="AM100" s="183" t="str">
        <f t="shared" si="31"/>
        <v/>
      </c>
      <c r="AN100" s="183" t="str">
        <f t="shared" si="32"/>
        <v/>
      </c>
      <c r="AO100" s="184">
        <f t="shared" si="33"/>
        <v>0</v>
      </c>
      <c r="AP100" s="184">
        <f t="shared" si="34"/>
        <v>0</v>
      </c>
      <c r="AQ100" s="608" t="str">
        <f t="shared" si="35"/>
        <v/>
      </c>
      <c r="AR100" s="185" t="str">
        <f>IF(COUNTIF(K100:Q100,"F")&gt;0,"",IF(AQ100="PASS",'Statement of Marks'!HZ102,""))</f>
        <v/>
      </c>
      <c r="AS100" s="185" t="str">
        <f>IF(AQ100="PASS",'Statement of Marks'!IA102,"")</f>
        <v/>
      </c>
    </row>
    <row r="101" spans="1:45">
      <c r="A101" s="169">
        <f>IF('Statement of Marks'!A103="","",'Statement of Marks'!A103)</f>
        <v>97</v>
      </c>
      <c r="B101" s="169" t="str">
        <f>IF('Statement of Marks'!B103="","",'Statement of Marks'!B103)</f>
        <v/>
      </c>
      <c r="C101" s="169" t="str">
        <f>IF('Statement of Marks'!D103="","",'Statement of Marks'!D103)</f>
        <v/>
      </c>
      <c r="D101" s="170" t="str">
        <f>IF('Statement of Marks'!E103="","",'Statement of Marks'!E103)</f>
        <v/>
      </c>
      <c r="E101" s="171" t="str">
        <f>IF('Statement of Marks'!F103="","",'Statement of Marks'!F103)</f>
        <v/>
      </c>
      <c r="F101" s="171" t="str">
        <f>IF('Statement of Marks'!G103="","",'Statement of Marks'!G103)</f>
        <v/>
      </c>
      <c r="G101" s="171" t="str">
        <f>IF('Statement of Marks'!H103="","",'Statement of Marks'!H103)</f>
        <v/>
      </c>
      <c r="H101" s="172" t="str">
        <f>IF('Statement of Marks'!HS103="","",'Statement of Marks'!HS103)</f>
        <v/>
      </c>
      <c r="I101" s="172" t="str">
        <f>IF('Statement of Marks'!HV103="","",'Statement of Marks'!HV103)</f>
        <v/>
      </c>
      <c r="J101" s="173" t="str">
        <f>IF('Statement of Marks'!HU103="","",'Statement of Marks'!HU103)</f>
        <v/>
      </c>
      <c r="K101" s="181" t="str">
        <f>'Statement of Marks'!GN103</f>
        <v/>
      </c>
      <c r="L101" s="181" t="str">
        <f>'Statement of Marks'!GQ103</f>
        <v/>
      </c>
      <c r="M101" s="181" t="str">
        <f>'Statement of Marks'!GT103</f>
        <v/>
      </c>
      <c r="N101" s="181" t="str">
        <f>'Statement of Marks'!HB103</f>
        <v/>
      </c>
      <c r="O101" s="181" t="str">
        <f>'Statement of Marks'!HE103</f>
        <v/>
      </c>
      <c r="P101" s="181" t="str">
        <f>'Statement of Marks'!HH103</f>
        <v/>
      </c>
      <c r="Q101" s="181" t="str">
        <f>'Statement of Marks'!HK103</f>
        <v/>
      </c>
      <c r="R101" s="173" t="str">
        <f>IF(COUNTIF(K101:Q101,"F")&gt;0,"",CONCATENATE('Statement of Marks'!HO103,'Statement of Marks'!HQ103))</f>
        <v xml:space="preserve">            </v>
      </c>
      <c r="S101" s="174">
        <f t="shared" si="18"/>
        <v>0</v>
      </c>
      <c r="T101" s="5"/>
      <c r="U101" s="182" t="str">
        <f t="shared" si="19"/>
        <v/>
      </c>
      <c r="V101" s="182" t="str">
        <f t="shared" si="20"/>
        <v/>
      </c>
      <c r="W101" s="5"/>
      <c r="X101" s="182" t="str">
        <f t="shared" si="21"/>
        <v/>
      </c>
      <c r="Y101" s="182" t="str">
        <f t="shared" si="22"/>
        <v/>
      </c>
      <c r="Z101" s="5"/>
      <c r="AA101" s="182" t="str">
        <f t="shared" si="23"/>
        <v/>
      </c>
      <c r="AB101" s="183" t="str">
        <f t="shared" si="24"/>
        <v/>
      </c>
      <c r="AC101" s="5"/>
      <c r="AD101" s="182" t="str">
        <f t="shared" si="25"/>
        <v/>
      </c>
      <c r="AE101" s="183" t="str">
        <f t="shared" si="26"/>
        <v/>
      </c>
      <c r="AF101" s="5"/>
      <c r="AG101" s="182" t="str">
        <f t="shared" si="27"/>
        <v/>
      </c>
      <c r="AH101" s="183" t="str">
        <f t="shared" si="28"/>
        <v/>
      </c>
      <c r="AI101" s="5"/>
      <c r="AJ101" s="183" t="str">
        <f t="shared" si="29"/>
        <v/>
      </c>
      <c r="AK101" s="183" t="str">
        <f t="shared" si="30"/>
        <v/>
      </c>
      <c r="AL101" s="5"/>
      <c r="AM101" s="183" t="str">
        <f t="shared" si="31"/>
        <v/>
      </c>
      <c r="AN101" s="183" t="str">
        <f t="shared" si="32"/>
        <v/>
      </c>
      <c r="AO101" s="184">
        <f t="shared" si="33"/>
        <v>0</v>
      </c>
      <c r="AP101" s="184">
        <f t="shared" si="34"/>
        <v>0</v>
      </c>
      <c r="AQ101" s="608" t="str">
        <f t="shared" si="35"/>
        <v/>
      </c>
      <c r="AR101" s="185" t="str">
        <f>IF(COUNTIF(K101:Q101,"F")&gt;0,"",IF(AQ101="PASS",'Statement of Marks'!HZ103,""))</f>
        <v/>
      </c>
      <c r="AS101" s="185" t="str">
        <f>IF(AQ101="PASS",'Statement of Marks'!IA103,"")</f>
        <v/>
      </c>
    </row>
    <row r="102" spans="1:45">
      <c r="A102" s="169">
        <f>IF('Statement of Marks'!A104="","",'Statement of Marks'!A104)</f>
        <v>98</v>
      </c>
      <c r="B102" s="169" t="str">
        <f>IF('Statement of Marks'!B104="","",'Statement of Marks'!B104)</f>
        <v/>
      </c>
      <c r="C102" s="169" t="str">
        <f>IF('Statement of Marks'!D104="","",'Statement of Marks'!D104)</f>
        <v/>
      </c>
      <c r="D102" s="170" t="str">
        <f>IF('Statement of Marks'!E104="","",'Statement of Marks'!E104)</f>
        <v/>
      </c>
      <c r="E102" s="171" t="str">
        <f>IF('Statement of Marks'!F104="","",'Statement of Marks'!F104)</f>
        <v/>
      </c>
      <c r="F102" s="171" t="str">
        <f>IF('Statement of Marks'!G104="","",'Statement of Marks'!G104)</f>
        <v/>
      </c>
      <c r="G102" s="171" t="str">
        <f>IF('Statement of Marks'!H104="","",'Statement of Marks'!H104)</f>
        <v/>
      </c>
      <c r="H102" s="172" t="str">
        <f>IF('Statement of Marks'!HS104="","",'Statement of Marks'!HS104)</f>
        <v/>
      </c>
      <c r="I102" s="172" t="str">
        <f>IF('Statement of Marks'!HV104="","",'Statement of Marks'!HV104)</f>
        <v/>
      </c>
      <c r="J102" s="173" t="str">
        <f>IF('Statement of Marks'!HU104="","",'Statement of Marks'!HU104)</f>
        <v/>
      </c>
      <c r="K102" s="181" t="str">
        <f>'Statement of Marks'!GN104</f>
        <v/>
      </c>
      <c r="L102" s="181" t="str">
        <f>'Statement of Marks'!GQ104</f>
        <v/>
      </c>
      <c r="M102" s="181" t="str">
        <f>'Statement of Marks'!GT104</f>
        <v/>
      </c>
      <c r="N102" s="181" t="str">
        <f>'Statement of Marks'!HB104</f>
        <v/>
      </c>
      <c r="O102" s="181" t="str">
        <f>'Statement of Marks'!HE104</f>
        <v/>
      </c>
      <c r="P102" s="181" t="str">
        <f>'Statement of Marks'!HH104</f>
        <v/>
      </c>
      <c r="Q102" s="181" t="str">
        <f>'Statement of Marks'!HK104</f>
        <v/>
      </c>
      <c r="R102" s="173" t="str">
        <f>IF(COUNTIF(K102:Q102,"F")&gt;0,"",CONCATENATE('Statement of Marks'!HO104,'Statement of Marks'!HQ104))</f>
        <v xml:space="preserve">            </v>
      </c>
      <c r="S102" s="174">
        <f t="shared" si="18"/>
        <v>0</v>
      </c>
      <c r="T102" s="5"/>
      <c r="U102" s="182" t="str">
        <f t="shared" si="19"/>
        <v/>
      </c>
      <c r="V102" s="182" t="str">
        <f t="shared" si="20"/>
        <v/>
      </c>
      <c r="W102" s="5"/>
      <c r="X102" s="182" t="str">
        <f t="shared" si="21"/>
        <v/>
      </c>
      <c r="Y102" s="182" t="str">
        <f t="shared" si="22"/>
        <v/>
      </c>
      <c r="Z102" s="5"/>
      <c r="AA102" s="182" t="str">
        <f t="shared" si="23"/>
        <v/>
      </c>
      <c r="AB102" s="183" t="str">
        <f t="shared" si="24"/>
        <v/>
      </c>
      <c r="AC102" s="5"/>
      <c r="AD102" s="182" t="str">
        <f t="shared" si="25"/>
        <v/>
      </c>
      <c r="AE102" s="183" t="str">
        <f t="shared" si="26"/>
        <v/>
      </c>
      <c r="AF102" s="5"/>
      <c r="AG102" s="182" t="str">
        <f t="shared" si="27"/>
        <v/>
      </c>
      <c r="AH102" s="183" t="str">
        <f t="shared" si="28"/>
        <v/>
      </c>
      <c r="AI102" s="5"/>
      <c r="AJ102" s="183" t="str">
        <f t="shared" si="29"/>
        <v/>
      </c>
      <c r="AK102" s="183" t="str">
        <f t="shared" si="30"/>
        <v/>
      </c>
      <c r="AL102" s="5"/>
      <c r="AM102" s="183" t="str">
        <f t="shared" si="31"/>
        <v/>
      </c>
      <c r="AN102" s="183" t="str">
        <f t="shared" si="32"/>
        <v/>
      </c>
      <c r="AO102" s="184">
        <f t="shared" si="33"/>
        <v>0</v>
      </c>
      <c r="AP102" s="184">
        <f t="shared" si="34"/>
        <v>0</v>
      </c>
      <c r="AQ102" s="608" t="str">
        <f t="shared" si="35"/>
        <v/>
      </c>
      <c r="AR102" s="185" t="str">
        <f>IF(COUNTIF(K102:Q102,"F")&gt;0,"",IF(AQ102="PASS",'Statement of Marks'!HZ104,""))</f>
        <v/>
      </c>
      <c r="AS102" s="185" t="str">
        <f>IF(AQ102="PASS",'Statement of Marks'!IA104,"")</f>
        <v/>
      </c>
    </row>
    <row r="103" spans="1:45">
      <c r="A103" s="169">
        <f>IF('Statement of Marks'!A105="","",'Statement of Marks'!A105)</f>
        <v>99</v>
      </c>
      <c r="B103" s="169" t="str">
        <f>IF('Statement of Marks'!B105="","",'Statement of Marks'!B105)</f>
        <v/>
      </c>
      <c r="C103" s="169" t="str">
        <f>IF('Statement of Marks'!D105="","",'Statement of Marks'!D105)</f>
        <v/>
      </c>
      <c r="D103" s="170" t="str">
        <f>IF('Statement of Marks'!E105="","",'Statement of Marks'!E105)</f>
        <v/>
      </c>
      <c r="E103" s="171" t="str">
        <f>IF('Statement of Marks'!F105="","",'Statement of Marks'!F105)</f>
        <v/>
      </c>
      <c r="F103" s="171" t="str">
        <f>IF('Statement of Marks'!G105="","",'Statement of Marks'!G105)</f>
        <v/>
      </c>
      <c r="G103" s="171" t="str">
        <f>IF('Statement of Marks'!H105="","",'Statement of Marks'!H105)</f>
        <v/>
      </c>
      <c r="H103" s="172" t="str">
        <f>IF('Statement of Marks'!HS105="","",'Statement of Marks'!HS105)</f>
        <v/>
      </c>
      <c r="I103" s="172" t="str">
        <f>IF('Statement of Marks'!HV105="","",'Statement of Marks'!HV105)</f>
        <v/>
      </c>
      <c r="J103" s="173" t="str">
        <f>IF('Statement of Marks'!HU105="","",'Statement of Marks'!HU105)</f>
        <v/>
      </c>
      <c r="K103" s="181" t="str">
        <f>'Statement of Marks'!GN105</f>
        <v/>
      </c>
      <c r="L103" s="181" t="str">
        <f>'Statement of Marks'!GQ105</f>
        <v/>
      </c>
      <c r="M103" s="181" t="str">
        <f>'Statement of Marks'!GT105</f>
        <v/>
      </c>
      <c r="N103" s="181" t="str">
        <f>'Statement of Marks'!HB105</f>
        <v/>
      </c>
      <c r="O103" s="181" t="str">
        <f>'Statement of Marks'!HE105</f>
        <v/>
      </c>
      <c r="P103" s="181" t="str">
        <f>'Statement of Marks'!HH105</f>
        <v/>
      </c>
      <c r="Q103" s="181" t="str">
        <f>'Statement of Marks'!HK105</f>
        <v/>
      </c>
      <c r="R103" s="173" t="str">
        <f>IF(COUNTIF(K103:Q103,"F")&gt;0,"",CONCATENATE('Statement of Marks'!HO105,'Statement of Marks'!HQ105))</f>
        <v xml:space="preserve">            </v>
      </c>
      <c r="S103" s="174">
        <f t="shared" si="18"/>
        <v>0</v>
      </c>
      <c r="T103" s="5"/>
      <c r="U103" s="182" t="str">
        <f t="shared" si="19"/>
        <v/>
      </c>
      <c r="V103" s="182" t="str">
        <f t="shared" si="20"/>
        <v/>
      </c>
      <c r="W103" s="5"/>
      <c r="X103" s="182" t="str">
        <f t="shared" si="21"/>
        <v/>
      </c>
      <c r="Y103" s="182" t="str">
        <f t="shared" si="22"/>
        <v/>
      </c>
      <c r="Z103" s="5"/>
      <c r="AA103" s="182" t="str">
        <f t="shared" si="23"/>
        <v/>
      </c>
      <c r="AB103" s="183" t="str">
        <f t="shared" si="24"/>
        <v/>
      </c>
      <c r="AC103" s="5"/>
      <c r="AD103" s="182" t="str">
        <f t="shared" si="25"/>
        <v/>
      </c>
      <c r="AE103" s="183" t="str">
        <f t="shared" si="26"/>
        <v/>
      </c>
      <c r="AF103" s="5"/>
      <c r="AG103" s="182" t="str">
        <f t="shared" si="27"/>
        <v/>
      </c>
      <c r="AH103" s="183" t="str">
        <f t="shared" si="28"/>
        <v/>
      </c>
      <c r="AI103" s="5"/>
      <c r="AJ103" s="183" t="str">
        <f t="shared" si="29"/>
        <v/>
      </c>
      <c r="AK103" s="183" t="str">
        <f t="shared" si="30"/>
        <v/>
      </c>
      <c r="AL103" s="5"/>
      <c r="AM103" s="183" t="str">
        <f t="shared" si="31"/>
        <v/>
      </c>
      <c r="AN103" s="183" t="str">
        <f t="shared" si="32"/>
        <v/>
      </c>
      <c r="AO103" s="184">
        <f t="shared" si="33"/>
        <v>0</v>
      </c>
      <c r="AP103" s="184">
        <f t="shared" si="34"/>
        <v>0</v>
      </c>
      <c r="AQ103" s="608" t="str">
        <f t="shared" si="35"/>
        <v/>
      </c>
      <c r="AR103" s="185" t="str">
        <f>IF(COUNTIF(K103:Q103,"F")&gt;0,"",IF(AQ103="PASS",'Statement of Marks'!HZ105,""))</f>
        <v/>
      </c>
      <c r="AS103" s="185" t="str">
        <f>IF(AQ103="PASS",'Statement of Marks'!IA105,"")</f>
        <v/>
      </c>
    </row>
    <row r="104" spans="1:45">
      <c r="A104" s="169">
        <f>IF('Statement of Marks'!A106="","",'Statement of Marks'!A106)</f>
        <v>100</v>
      </c>
      <c r="B104" s="169" t="str">
        <f>IF('Statement of Marks'!B106="","",'Statement of Marks'!B106)</f>
        <v/>
      </c>
      <c r="C104" s="169" t="str">
        <f>IF('Statement of Marks'!D106="","",'Statement of Marks'!D106)</f>
        <v/>
      </c>
      <c r="D104" s="170" t="str">
        <f>IF('Statement of Marks'!E106="","",'Statement of Marks'!E106)</f>
        <v/>
      </c>
      <c r="E104" s="171" t="str">
        <f>IF('Statement of Marks'!F106="","",'Statement of Marks'!F106)</f>
        <v/>
      </c>
      <c r="F104" s="171" t="str">
        <f>IF('Statement of Marks'!G106="","",'Statement of Marks'!G106)</f>
        <v/>
      </c>
      <c r="G104" s="171" t="str">
        <f>IF('Statement of Marks'!H106="","",'Statement of Marks'!H106)</f>
        <v/>
      </c>
      <c r="H104" s="172" t="str">
        <f>IF('Statement of Marks'!HS106="","",'Statement of Marks'!HS106)</f>
        <v/>
      </c>
      <c r="I104" s="172" t="str">
        <f>IF('Statement of Marks'!HV106="","",'Statement of Marks'!HV106)</f>
        <v/>
      </c>
      <c r="J104" s="173" t="str">
        <f>IF('Statement of Marks'!HU106="","",'Statement of Marks'!HU106)</f>
        <v/>
      </c>
      <c r="K104" s="181" t="str">
        <f>'Statement of Marks'!GN106</f>
        <v/>
      </c>
      <c r="L104" s="181" t="str">
        <f>'Statement of Marks'!GQ106</f>
        <v/>
      </c>
      <c r="M104" s="181" t="str">
        <f>'Statement of Marks'!GT106</f>
        <v/>
      </c>
      <c r="N104" s="181" t="str">
        <f>'Statement of Marks'!HB106</f>
        <v/>
      </c>
      <c r="O104" s="181" t="str">
        <f>'Statement of Marks'!HE106</f>
        <v/>
      </c>
      <c r="P104" s="181" t="str">
        <f>'Statement of Marks'!HH106</f>
        <v/>
      </c>
      <c r="Q104" s="181" t="str">
        <f>'Statement of Marks'!HK106</f>
        <v/>
      </c>
      <c r="R104" s="173" t="str">
        <f>IF(COUNTIF(K104:Q104,"F")&gt;0,"",CONCATENATE('Statement of Marks'!HO106,'Statement of Marks'!HQ106))</f>
        <v xml:space="preserve">            </v>
      </c>
      <c r="S104" s="174">
        <f t="shared" si="18"/>
        <v>0</v>
      </c>
      <c r="T104" s="5"/>
      <c r="U104" s="182" t="str">
        <f t="shared" si="19"/>
        <v/>
      </c>
      <c r="V104" s="182" t="str">
        <f t="shared" si="20"/>
        <v/>
      </c>
      <c r="W104" s="5"/>
      <c r="X104" s="182" t="str">
        <f t="shared" si="21"/>
        <v/>
      </c>
      <c r="Y104" s="182" t="str">
        <f t="shared" si="22"/>
        <v/>
      </c>
      <c r="Z104" s="5"/>
      <c r="AA104" s="182" t="str">
        <f t="shared" si="23"/>
        <v/>
      </c>
      <c r="AB104" s="183" t="str">
        <f t="shared" si="24"/>
        <v/>
      </c>
      <c r="AC104" s="5"/>
      <c r="AD104" s="182" t="str">
        <f t="shared" si="25"/>
        <v/>
      </c>
      <c r="AE104" s="183" t="str">
        <f t="shared" si="26"/>
        <v/>
      </c>
      <c r="AF104" s="5"/>
      <c r="AG104" s="182" t="str">
        <f t="shared" si="27"/>
        <v/>
      </c>
      <c r="AH104" s="183" t="str">
        <f t="shared" si="28"/>
        <v/>
      </c>
      <c r="AI104" s="5"/>
      <c r="AJ104" s="183" t="str">
        <f t="shared" si="29"/>
        <v/>
      </c>
      <c r="AK104" s="183" t="str">
        <f t="shared" si="30"/>
        <v/>
      </c>
      <c r="AL104" s="5"/>
      <c r="AM104" s="183" t="str">
        <f t="shared" si="31"/>
        <v/>
      </c>
      <c r="AN104" s="183" t="str">
        <f t="shared" si="32"/>
        <v/>
      </c>
      <c r="AO104" s="184">
        <f t="shared" si="33"/>
        <v>0</v>
      </c>
      <c r="AP104" s="184">
        <f t="shared" si="34"/>
        <v>0</v>
      </c>
      <c r="AQ104" s="608" t="str">
        <f t="shared" si="35"/>
        <v/>
      </c>
      <c r="AR104" s="185" t="str">
        <f>IF(COUNTIF(K104:Q104,"F")&gt;0,"",IF(AQ104="PASS",'Statement of Marks'!HZ106,""))</f>
        <v/>
      </c>
      <c r="AS104" s="185" t="str">
        <f>IF(AQ104="PASS",'Statement of Marks'!IA106,"")</f>
        <v/>
      </c>
    </row>
    <row r="105" spans="1:45">
      <c r="A105" s="169">
        <f>IF('Statement of Marks'!A107="","",'Statement of Marks'!A107)</f>
        <v>101</v>
      </c>
      <c r="B105" s="169" t="str">
        <f>IF('Statement of Marks'!B107="","",'Statement of Marks'!B107)</f>
        <v/>
      </c>
      <c r="C105" s="169" t="str">
        <f>IF('Statement of Marks'!D107="","",'Statement of Marks'!D107)</f>
        <v/>
      </c>
      <c r="D105" s="170" t="str">
        <f>IF('Statement of Marks'!E107="","",'Statement of Marks'!E107)</f>
        <v/>
      </c>
      <c r="E105" s="171" t="str">
        <f>IF('Statement of Marks'!F107="","",'Statement of Marks'!F107)</f>
        <v/>
      </c>
      <c r="F105" s="171" t="str">
        <f>IF('Statement of Marks'!G107="","",'Statement of Marks'!G107)</f>
        <v/>
      </c>
      <c r="G105" s="171" t="str">
        <f>IF('Statement of Marks'!H107="","",'Statement of Marks'!H107)</f>
        <v/>
      </c>
      <c r="H105" s="172" t="str">
        <f>IF('Statement of Marks'!HS107="","",'Statement of Marks'!HS107)</f>
        <v/>
      </c>
      <c r="I105" s="172" t="str">
        <f>IF('Statement of Marks'!HV107="","",'Statement of Marks'!HV107)</f>
        <v/>
      </c>
      <c r="J105" s="173" t="str">
        <f>IF('Statement of Marks'!HU107="","",'Statement of Marks'!HU107)</f>
        <v/>
      </c>
      <c r="K105" s="181" t="str">
        <f>'Statement of Marks'!GN107</f>
        <v/>
      </c>
      <c r="L105" s="181" t="str">
        <f>'Statement of Marks'!GQ107</f>
        <v/>
      </c>
      <c r="M105" s="181" t="str">
        <f>'Statement of Marks'!GT107</f>
        <v/>
      </c>
      <c r="N105" s="181" t="str">
        <f>'Statement of Marks'!HB107</f>
        <v/>
      </c>
      <c r="O105" s="181" t="str">
        <f>'Statement of Marks'!HE107</f>
        <v/>
      </c>
      <c r="P105" s="181" t="str">
        <f>'Statement of Marks'!HH107</f>
        <v/>
      </c>
      <c r="Q105" s="181" t="str">
        <f>'Statement of Marks'!HK107</f>
        <v/>
      </c>
      <c r="R105" s="173" t="str">
        <f>IF(COUNTIF(K105:Q105,"F")&gt;0,"",CONCATENATE('Statement of Marks'!HO107,'Statement of Marks'!HQ107))</f>
        <v xml:space="preserve">            </v>
      </c>
      <c r="S105" s="174">
        <f t="shared" si="18"/>
        <v>0</v>
      </c>
      <c r="T105" s="5"/>
      <c r="U105" s="182" t="str">
        <f t="shared" si="19"/>
        <v/>
      </c>
      <c r="V105" s="182" t="str">
        <f t="shared" si="20"/>
        <v/>
      </c>
      <c r="W105" s="5"/>
      <c r="X105" s="182" t="str">
        <f t="shared" si="21"/>
        <v/>
      </c>
      <c r="Y105" s="182" t="str">
        <f t="shared" si="22"/>
        <v/>
      </c>
      <c r="Z105" s="5"/>
      <c r="AA105" s="182" t="str">
        <f t="shared" si="23"/>
        <v/>
      </c>
      <c r="AB105" s="183" t="str">
        <f t="shared" si="24"/>
        <v/>
      </c>
      <c r="AC105" s="5"/>
      <c r="AD105" s="182" t="str">
        <f t="shared" si="25"/>
        <v/>
      </c>
      <c r="AE105" s="183" t="str">
        <f t="shared" si="26"/>
        <v/>
      </c>
      <c r="AF105" s="5"/>
      <c r="AG105" s="182" t="str">
        <f t="shared" si="27"/>
        <v/>
      </c>
      <c r="AH105" s="183" t="str">
        <f t="shared" si="28"/>
        <v/>
      </c>
      <c r="AI105" s="5"/>
      <c r="AJ105" s="183" t="str">
        <f t="shared" si="29"/>
        <v/>
      </c>
      <c r="AK105" s="183" t="str">
        <f t="shared" si="30"/>
        <v/>
      </c>
      <c r="AL105" s="5"/>
      <c r="AM105" s="183" t="str">
        <f t="shared" si="31"/>
        <v/>
      </c>
      <c r="AN105" s="183" t="str">
        <f t="shared" si="32"/>
        <v/>
      </c>
      <c r="AO105" s="184">
        <f t="shared" si="33"/>
        <v>0</v>
      </c>
      <c r="AP105" s="184">
        <f t="shared" si="34"/>
        <v>0</v>
      </c>
      <c r="AQ105" s="608" t="str">
        <f t="shared" si="35"/>
        <v/>
      </c>
      <c r="AR105" s="185" t="str">
        <f>IF(COUNTIF(K105:Q105,"F")&gt;0,"",IF(AQ105="PASS",'Statement of Marks'!HZ107,""))</f>
        <v/>
      </c>
      <c r="AS105" s="185" t="str">
        <f>IF(AQ105="PASS",'Statement of Marks'!IA107,"")</f>
        <v/>
      </c>
    </row>
    <row r="106" spans="1:45">
      <c r="A106" s="169">
        <f>IF('Statement of Marks'!A108="","",'Statement of Marks'!A108)</f>
        <v>102</v>
      </c>
      <c r="B106" s="169" t="str">
        <f>IF('Statement of Marks'!B108="","",'Statement of Marks'!B108)</f>
        <v/>
      </c>
      <c r="C106" s="169" t="str">
        <f>IF('Statement of Marks'!D108="","",'Statement of Marks'!D108)</f>
        <v/>
      </c>
      <c r="D106" s="170" t="str">
        <f>IF('Statement of Marks'!E108="","",'Statement of Marks'!E108)</f>
        <v/>
      </c>
      <c r="E106" s="171" t="str">
        <f>IF('Statement of Marks'!F108="","",'Statement of Marks'!F108)</f>
        <v/>
      </c>
      <c r="F106" s="171" t="str">
        <f>IF('Statement of Marks'!G108="","",'Statement of Marks'!G108)</f>
        <v/>
      </c>
      <c r="G106" s="171" t="str">
        <f>IF('Statement of Marks'!H108="","",'Statement of Marks'!H108)</f>
        <v/>
      </c>
      <c r="H106" s="172" t="str">
        <f>IF('Statement of Marks'!HS108="","",'Statement of Marks'!HS108)</f>
        <v/>
      </c>
      <c r="I106" s="172" t="str">
        <f>IF('Statement of Marks'!HV108="","",'Statement of Marks'!HV108)</f>
        <v/>
      </c>
      <c r="J106" s="173" t="str">
        <f>IF('Statement of Marks'!HU108="","",'Statement of Marks'!HU108)</f>
        <v/>
      </c>
      <c r="K106" s="181" t="str">
        <f>'Statement of Marks'!GN108</f>
        <v/>
      </c>
      <c r="L106" s="181" t="str">
        <f>'Statement of Marks'!GQ108</f>
        <v/>
      </c>
      <c r="M106" s="181" t="str">
        <f>'Statement of Marks'!GT108</f>
        <v/>
      </c>
      <c r="N106" s="181" t="str">
        <f>'Statement of Marks'!HB108</f>
        <v/>
      </c>
      <c r="O106" s="181" t="str">
        <f>'Statement of Marks'!HE108</f>
        <v/>
      </c>
      <c r="P106" s="181" t="str">
        <f>'Statement of Marks'!HH108</f>
        <v/>
      </c>
      <c r="Q106" s="181" t="str">
        <f>'Statement of Marks'!HK108</f>
        <v/>
      </c>
      <c r="R106" s="173" t="str">
        <f>IF(COUNTIF(K106:Q106,"F")&gt;0,"",CONCATENATE('Statement of Marks'!HO108,'Statement of Marks'!HQ108))</f>
        <v xml:space="preserve">            </v>
      </c>
      <c r="S106" s="174">
        <f t="shared" si="18"/>
        <v>0</v>
      </c>
      <c r="T106" s="5"/>
      <c r="U106" s="182" t="str">
        <f t="shared" si="19"/>
        <v/>
      </c>
      <c r="V106" s="182" t="str">
        <f t="shared" si="20"/>
        <v/>
      </c>
      <c r="W106" s="5"/>
      <c r="X106" s="182" t="str">
        <f t="shared" si="21"/>
        <v/>
      </c>
      <c r="Y106" s="182" t="str">
        <f t="shared" si="22"/>
        <v/>
      </c>
      <c r="Z106" s="5"/>
      <c r="AA106" s="182" t="str">
        <f t="shared" si="23"/>
        <v/>
      </c>
      <c r="AB106" s="183" t="str">
        <f t="shared" si="24"/>
        <v/>
      </c>
      <c r="AC106" s="5"/>
      <c r="AD106" s="182" t="str">
        <f t="shared" si="25"/>
        <v/>
      </c>
      <c r="AE106" s="183" t="str">
        <f t="shared" si="26"/>
        <v/>
      </c>
      <c r="AF106" s="5"/>
      <c r="AG106" s="182" t="str">
        <f t="shared" si="27"/>
        <v/>
      </c>
      <c r="AH106" s="183" t="str">
        <f t="shared" si="28"/>
        <v/>
      </c>
      <c r="AI106" s="5"/>
      <c r="AJ106" s="183" t="str">
        <f t="shared" si="29"/>
        <v/>
      </c>
      <c r="AK106" s="183" t="str">
        <f t="shared" si="30"/>
        <v/>
      </c>
      <c r="AL106" s="5"/>
      <c r="AM106" s="183" t="str">
        <f t="shared" si="31"/>
        <v/>
      </c>
      <c r="AN106" s="183" t="str">
        <f t="shared" si="32"/>
        <v/>
      </c>
      <c r="AO106" s="184">
        <f t="shared" si="33"/>
        <v>0</v>
      </c>
      <c r="AP106" s="184">
        <f t="shared" si="34"/>
        <v>0</v>
      </c>
      <c r="AQ106" s="608" t="str">
        <f t="shared" si="35"/>
        <v/>
      </c>
      <c r="AR106" s="185" t="str">
        <f>IF(COUNTIF(K106:Q106,"F")&gt;0,"",IF(AQ106="PASS",'Statement of Marks'!HZ108,""))</f>
        <v/>
      </c>
      <c r="AS106" s="185" t="str">
        <f>IF(AQ106="PASS",'Statement of Marks'!IA108,"")</f>
        <v/>
      </c>
    </row>
    <row r="107" spans="1:45">
      <c r="A107" s="169">
        <f>IF('Statement of Marks'!A109="","",'Statement of Marks'!A109)</f>
        <v>103</v>
      </c>
      <c r="B107" s="169" t="str">
        <f>IF('Statement of Marks'!B109="","",'Statement of Marks'!B109)</f>
        <v/>
      </c>
      <c r="C107" s="169" t="str">
        <f>IF('Statement of Marks'!D109="","",'Statement of Marks'!D109)</f>
        <v/>
      </c>
      <c r="D107" s="170" t="str">
        <f>IF('Statement of Marks'!E109="","",'Statement of Marks'!E109)</f>
        <v/>
      </c>
      <c r="E107" s="171" t="str">
        <f>IF('Statement of Marks'!F109="","",'Statement of Marks'!F109)</f>
        <v/>
      </c>
      <c r="F107" s="171" t="str">
        <f>IF('Statement of Marks'!G109="","",'Statement of Marks'!G109)</f>
        <v/>
      </c>
      <c r="G107" s="171" t="str">
        <f>IF('Statement of Marks'!H109="","",'Statement of Marks'!H109)</f>
        <v/>
      </c>
      <c r="H107" s="172" t="str">
        <f>IF('Statement of Marks'!HS109="","",'Statement of Marks'!HS109)</f>
        <v/>
      </c>
      <c r="I107" s="172" t="str">
        <f>IF('Statement of Marks'!HV109="","",'Statement of Marks'!HV109)</f>
        <v/>
      </c>
      <c r="J107" s="173" t="str">
        <f>IF('Statement of Marks'!HU109="","",'Statement of Marks'!HU109)</f>
        <v/>
      </c>
      <c r="K107" s="181" t="str">
        <f>'Statement of Marks'!GN109</f>
        <v/>
      </c>
      <c r="L107" s="181" t="str">
        <f>'Statement of Marks'!GQ109</f>
        <v/>
      </c>
      <c r="M107" s="181" t="str">
        <f>'Statement of Marks'!GT109</f>
        <v/>
      </c>
      <c r="N107" s="181" t="str">
        <f>'Statement of Marks'!HB109</f>
        <v/>
      </c>
      <c r="O107" s="181" t="str">
        <f>'Statement of Marks'!HE109</f>
        <v/>
      </c>
      <c r="P107" s="181" t="str">
        <f>'Statement of Marks'!HH109</f>
        <v/>
      </c>
      <c r="Q107" s="181" t="str">
        <f>'Statement of Marks'!HK109</f>
        <v/>
      </c>
      <c r="R107" s="173" t="str">
        <f>IF(COUNTIF(K107:Q107,"F")&gt;0,"",CONCATENATE('Statement of Marks'!HO109,'Statement of Marks'!HQ109))</f>
        <v xml:space="preserve">            </v>
      </c>
      <c r="S107" s="174">
        <f t="shared" si="18"/>
        <v>0</v>
      </c>
      <c r="T107" s="5"/>
      <c r="U107" s="182" t="str">
        <f t="shared" si="19"/>
        <v/>
      </c>
      <c r="V107" s="182" t="str">
        <f t="shared" si="20"/>
        <v/>
      </c>
      <c r="W107" s="5"/>
      <c r="X107" s="182" t="str">
        <f t="shared" si="21"/>
        <v/>
      </c>
      <c r="Y107" s="182" t="str">
        <f t="shared" si="22"/>
        <v/>
      </c>
      <c r="Z107" s="5"/>
      <c r="AA107" s="182" t="str">
        <f t="shared" si="23"/>
        <v/>
      </c>
      <c r="AB107" s="183" t="str">
        <f t="shared" si="24"/>
        <v/>
      </c>
      <c r="AC107" s="5"/>
      <c r="AD107" s="182" t="str">
        <f t="shared" si="25"/>
        <v/>
      </c>
      <c r="AE107" s="183" t="str">
        <f t="shared" si="26"/>
        <v/>
      </c>
      <c r="AF107" s="5"/>
      <c r="AG107" s="182" t="str">
        <f t="shared" si="27"/>
        <v/>
      </c>
      <c r="AH107" s="183" t="str">
        <f t="shared" si="28"/>
        <v/>
      </c>
      <c r="AI107" s="5"/>
      <c r="AJ107" s="183" t="str">
        <f t="shared" si="29"/>
        <v/>
      </c>
      <c r="AK107" s="183" t="str">
        <f t="shared" si="30"/>
        <v/>
      </c>
      <c r="AL107" s="5"/>
      <c r="AM107" s="183" t="str">
        <f t="shared" si="31"/>
        <v/>
      </c>
      <c r="AN107" s="183" t="str">
        <f t="shared" si="32"/>
        <v/>
      </c>
      <c r="AO107" s="184">
        <f t="shared" si="33"/>
        <v>0</v>
      </c>
      <c r="AP107" s="184">
        <f t="shared" si="34"/>
        <v>0</v>
      </c>
      <c r="AQ107" s="608" t="str">
        <f t="shared" si="35"/>
        <v/>
      </c>
      <c r="AR107" s="185" t="str">
        <f>IF(COUNTIF(K107:Q107,"F")&gt;0,"",IF(AQ107="PASS",'Statement of Marks'!HZ109,""))</f>
        <v/>
      </c>
      <c r="AS107" s="185" t="str">
        <f>IF(AQ107="PASS",'Statement of Marks'!IA109,"")</f>
        <v/>
      </c>
    </row>
    <row r="108" spans="1:45">
      <c r="A108" s="169">
        <f>IF('Statement of Marks'!A110="","",'Statement of Marks'!A110)</f>
        <v>104</v>
      </c>
      <c r="B108" s="169" t="str">
        <f>IF('Statement of Marks'!B110="","",'Statement of Marks'!B110)</f>
        <v/>
      </c>
      <c r="C108" s="169" t="str">
        <f>IF('Statement of Marks'!D110="","",'Statement of Marks'!D110)</f>
        <v/>
      </c>
      <c r="D108" s="170" t="str">
        <f>IF('Statement of Marks'!E110="","",'Statement of Marks'!E110)</f>
        <v/>
      </c>
      <c r="E108" s="171" t="str">
        <f>IF('Statement of Marks'!F110="","",'Statement of Marks'!F110)</f>
        <v/>
      </c>
      <c r="F108" s="171" t="str">
        <f>IF('Statement of Marks'!G110="","",'Statement of Marks'!G110)</f>
        <v/>
      </c>
      <c r="G108" s="171" t="str">
        <f>IF('Statement of Marks'!H110="","",'Statement of Marks'!H110)</f>
        <v/>
      </c>
      <c r="H108" s="172" t="str">
        <f>IF('Statement of Marks'!HS110="","",'Statement of Marks'!HS110)</f>
        <v/>
      </c>
      <c r="I108" s="172" t="str">
        <f>IF('Statement of Marks'!HV110="","",'Statement of Marks'!HV110)</f>
        <v/>
      </c>
      <c r="J108" s="173" t="str">
        <f>IF('Statement of Marks'!HU110="","",'Statement of Marks'!HU110)</f>
        <v/>
      </c>
      <c r="K108" s="181" t="str">
        <f>'Statement of Marks'!GN110</f>
        <v/>
      </c>
      <c r="L108" s="181" t="str">
        <f>'Statement of Marks'!GQ110</f>
        <v/>
      </c>
      <c r="M108" s="181" t="str">
        <f>'Statement of Marks'!GT110</f>
        <v/>
      </c>
      <c r="N108" s="181" t="str">
        <f>'Statement of Marks'!HB110</f>
        <v/>
      </c>
      <c r="O108" s="181" t="str">
        <f>'Statement of Marks'!HE110</f>
        <v/>
      </c>
      <c r="P108" s="181" t="str">
        <f>'Statement of Marks'!HH110</f>
        <v/>
      </c>
      <c r="Q108" s="181" t="str">
        <f>'Statement of Marks'!HK110</f>
        <v/>
      </c>
      <c r="R108" s="173" t="str">
        <f>IF(COUNTIF(K108:Q108,"F")&gt;0,"",CONCATENATE('Statement of Marks'!HO110,'Statement of Marks'!HQ110))</f>
        <v xml:space="preserve">            </v>
      </c>
      <c r="S108" s="174">
        <f t="shared" si="18"/>
        <v>0</v>
      </c>
      <c r="T108" s="5"/>
      <c r="U108" s="182" t="str">
        <f t="shared" si="19"/>
        <v/>
      </c>
      <c r="V108" s="182" t="str">
        <f t="shared" si="20"/>
        <v/>
      </c>
      <c r="W108" s="5"/>
      <c r="X108" s="182" t="str">
        <f t="shared" si="21"/>
        <v/>
      </c>
      <c r="Y108" s="182" t="str">
        <f t="shared" si="22"/>
        <v/>
      </c>
      <c r="Z108" s="5"/>
      <c r="AA108" s="182" t="str">
        <f t="shared" si="23"/>
        <v/>
      </c>
      <c r="AB108" s="183" t="str">
        <f t="shared" si="24"/>
        <v/>
      </c>
      <c r="AC108" s="5"/>
      <c r="AD108" s="182" t="str">
        <f t="shared" si="25"/>
        <v/>
      </c>
      <c r="AE108" s="183" t="str">
        <f t="shared" si="26"/>
        <v/>
      </c>
      <c r="AF108" s="5"/>
      <c r="AG108" s="182" t="str">
        <f t="shared" si="27"/>
        <v/>
      </c>
      <c r="AH108" s="183" t="str">
        <f t="shared" si="28"/>
        <v/>
      </c>
      <c r="AI108" s="5"/>
      <c r="AJ108" s="183" t="str">
        <f t="shared" si="29"/>
        <v/>
      </c>
      <c r="AK108" s="183" t="str">
        <f t="shared" si="30"/>
        <v/>
      </c>
      <c r="AL108" s="5"/>
      <c r="AM108" s="183" t="str">
        <f t="shared" si="31"/>
        <v/>
      </c>
      <c r="AN108" s="183" t="str">
        <f t="shared" si="32"/>
        <v/>
      </c>
      <c r="AO108" s="184">
        <f t="shared" si="33"/>
        <v>0</v>
      </c>
      <c r="AP108" s="184">
        <f t="shared" si="34"/>
        <v>0</v>
      </c>
      <c r="AQ108" s="608" t="str">
        <f t="shared" si="35"/>
        <v/>
      </c>
      <c r="AR108" s="185" t="str">
        <f>IF(COUNTIF(K108:Q108,"F")&gt;0,"",IF(AQ108="PASS",'Statement of Marks'!HZ110,""))</f>
        <v/>
      </c>
      <c r="AS108" s="185" t="str">
        <f>IF(AQ108="PASS",'Statement of Marks'!IA110,"")</f>
        <v/>
      </c>
    </row>
    <row r="109" spans="1:45">
      <c r="A109" s="169">
        <f>IF('Statement of Marks'!A111="","",'Statement of Marks'!A111)</f>
        <v>105</v>
      </c>
      <c r="B109" s="169" t="str">
        <f>IF('Statement of Marks'!B111="","",'Statement of Marks'!B111)</f>
        <v/>
      </c>
      <c r="C109" s="169" t="str">
        <f>IF('Statement of Marks'!D111="","",'Statement of Marks'!D111)</f>
        <v/>
      </c>
      <c r="D109" s="170" t="str">
        <f>IF('Statement of Marks'!E111="","",'Statement of Marks'!E111)</f>
        <v/>
      </c>
      <c r="E109" s="171" t="str">
        <f>IF('Statement of Marks'!F111="","",'Statement of Marks'!F111)</f>
        <v/>
      </c>
      <c r="F109" s="171" t="str">
        <f>IF('Statement of Marks'!G111="","",'Statement of Marks'!G111)</f>
        <v/>
      </c>
      <c r="G109" s="171" t="str">
        <f>IF('Statement of Marks'!H111="","",'Statement of Marks'!H111)</f>
        <v/>
      </c>
      <c r="H109" s="172" t="str">
        <f>IF('Statement of Marks'!HS111="","",'Statement of Marks'!HS111)</f>
        <v/>
      </c>
      <c r="I109" s="172" t="str">
        <f>IF('Statement of Marks'!HV111="","",'Statement of Marks'!HV111)</f>
        <v/>
      </c>
      <c r="J109" s="173" t="str">
        <f>IF('Statement of Marks'!HU111="","",'Statement of Marks'!HU111)</f>
        <v/>
      </c>
      <c r="K109" s="181" t="str">
        <f>'Statement of Marks'!GN111</f>
        <v/>
      </c>
      <c r="L109" s="181" t="str">
        <f>'Statement of Marks'!GQ111</f>
        <v/>
      </c>
      <c r="M109" s="181" t="str">
        <f>'Statement of Marks'!GT111</f>
        <v/>
      </c>
      <c r="N109" s="181" t="str">
        <f>'Statement of Marks'!HB111</f>
        <v/>
      </c>
      <c r="O109" s="181" t="str">
        <f>'Statement of Marks'!HE111</f>
        <v/>
      </c>
      <c r="P109" s="181" t="str">
        <f>'Statement of Marks'!HH111</f>
        <v/>
      </c>
      <c r="Q109" s="181" t="str">
        <f>'Statement of Marks'!HK111</f>
        <v/>
      </c>
      <c r="R109" s="173" t="str">
        <f>IF(COUNTIF(K109:Q109,"F")&gt;0,"",CONCATENATE('Statement of Marks'!HO111,'Statement of Marks'!HQ111))</f>
        <v xml:space="preserve">            </v>
      </c>
      <c r="S109" s="174">
        <f t="shared" si="18"/>
        <v>0</v>
      </c>
      <c r="T109" s="5"/>
      <c r="U109" s="182" t="str">
        <f t="shared" si="19"/>
        <v/>
      </c>
      <c r="V109" s="182" t="str">
        <f t="shared" si="20"/>
        <v/>
      </c>
      <c r="W109" s="5"/>
      <c r="X109" s="182" t="str">
        <f t="shared" si="21"/>
        <v/>
      </c>
      <c r="Y109" s="182" t="str">
        <f t="shared" si="22"/>
        <v/>
      </c>
      <c r="Z109" s="5"/>
      <c r="AA109" s="182" t="str">
        <f t="shared" si="23"/>
        <v/>
      </c>
      <c r="AB109" s="183" t="str">
        <f t="shared" si="24"/>
        <v/>
      </c>
      <c r="AC109" s="5"/>
      <c r="AD109" s="182" t="str">
        <f t="shared" si="25"/>
        <v/>
      </c>
      <c r="AE109" s="183" t="str">
        <f t="shared" si="26"/>
        <v/>
      </c>
      <c r="AF109" s="5"/>
      <c r="AG109" s="182" t="str">
        <f t="shared" si="27"/>
        <v/>
      </c>
      <c r="AH109" s="183" t="str">
        <f t="shared" si="28"/>
        <v/>
      </c>
      <c r="AI109" s="5"/>
      <c r="AJ109" s="183" t="str">
        <f t="shared" si="29"/>
        <v/>
      </c>
      <c r="AK109" s="183" t="str">
        <f t="shared" si="30"/>
        <v/>
      </c>
      <c r="AL109" s="5"/>
      <c r="AM109" s="183" t="str">
        <f t="shared" si="31"/>
        <v/>
      </c>
      <c r="AN109" s="183" t="str">
        <f t="shared" si="32"/>
        <v/>
      </c>
      <c r="AO109" s="184">
        <f t="shared" si="33"/>
        <v>0</v>
      </c>
      <c r="AP109" s="184">
        <f t="shared" si="34"/>
        <v>0</v>
      </c>
      <c r="AQ109" s="608" t="str">
        <f t="shared" si="35"/>
        <v/>
      </c>
      <c r="AR109" s="185" t="str">
        <f>IF(COUNTIF(K109:Q109,"F")&gt;0,"",IF(AQ109="PASS",'Statement of Marks'!HZ111,""))</f>
        <v/>
      </c>
      <c r="AS109" s="185" t="str">
        <f>IF(AQ109="PASS",'Statement of Marks'!IA111,"")</f>
        <v/>
      </c>
    </row>
    <row r="110" spans="1:45">
      <c r="A110" s="169">
        <f>IF('Statement of Marks'!A112="","",'Statement of Marks'!A112)</f>
        <v>106</v>
      </c>
      <c r="B110" s="169" t="str">
        <f>IF('Statement of Marks'!B112="","",'Statement of Marks'!B112)</f>
        <v/>
      </c>
      <c r="C110" s="169" t="str">
        <f>IF('Statement of Marks'!D112="","",'Statement of Marks'!D112)</f>
        <v/>
      </c>
      <c r="D110" s="170" t="str">
        <f>IF('Statement of Marks'!E112="","",'Statement of Marks'!E112)</f>
        <v/>
      </c>
      <c r="E110" s="171" t="str">
        <f>IF('Statement of Marks'!F112="","",'Statement of Marks'!F112)</f>
        <v/>
      </c>
      <c r="F110" s="171" t="str">
        <f>IF('Statement of Marks'!G112="","",'Statement of Marks'!G112)</f>
        <v/>
      </c>
      <c r="G110" s="171" t="str">
        <f>IF('Statement of Marks'!H112="","",'Statement of Marks'!H112)</f>
        <v/>
      </c>
      <c r="H110" s="172" t="str">
        <f>IF('Statement of Marks'!HS112="","",'Statement of Marks'!HS112)</f>
        <v/>
      </c>
      <c r="I110" s="172" t="str">
        <f>IF('Statement of Marks'!HV112="","",'Statement of Marks'!HV112)</f>
        <v/>
      </c>
      <c r="J110" s="173" t="str">
        <f>IF('Statement of Marks'!HU112="","",'Statement of Marks'!HU112)</f>
        <v/>
      </c>
      <c r="K110" s="181" t="str">
        <f>'Statement of Marks'!GN112</f>
        <v/>
      </c>
      <c r="L110" s="181" t="str">
        <f>'Statement of Marks'!GQ112</f>
        <v/>
      </c>
      <c r="M110" s="181" t="str">
        <f>'Statement of Marks'!GT112</f>
        <v/>
      </c>
      <c r="N110" s="181" t="str">
        <f>'Statement of Marks'!HB112</f>
        <v/>
      </c>
      <c r="O110" s="181" t="str">
        <f>'Statement of Marks'!HE112</f>
        <v/>
      </c>
      <c r="P110" s="181" t="str">
        <f>'Statement of Marks'!HH112</f>
        <v/>
      </c>
      <c r="Q110" s="181" t="str">
        <f>'Statement of Marks'!HK112</f>
        <v/>
      </c>
      <c r="R110" s="173" t="str">
        <f>IF(COUNTIF(K110:Q110,"F")&gt;0,"",CONCATENATE('Statement of Marks'!HO112,'Statement of Marks'!HQ112))</f>
        <v xml:space="preserve">            </v>
      </c>
      <c r="S110" s="174">
        <f t="shared" si="18"/>
        <v>0</v>
      </c>
      <c r="T110" s="5"/>
      <c r="U110" s="182" t="str">
        <f t="shared" si="19"/>
        <v/>
      </c>
      <c r="V110" s="182" t="str">
        <f t="shared" si="20"/>
        <v/>
      </c>
      <c r="W110" s="5"/>
      <c r="X110" s="182" t="str">
        <f t="shared" si="21"/>
        <v/>
      </c>
      <c r="Y110" s="182" t="str">
        <f t="shared" si="22"/>
        <v/>
      </c>
      <c r="Z110" s="5"/>
      <c r="AA110" s="182" t="str">
        <f t="shared" si="23"/>
        <v/>
      </c>
      <c r="AB110" s="183" t="str">
        <f t="shared" si="24"/>
        <v/>
      </c>
      <c r="AC110" s="5"/>
      <c r="AD110" s="182" t="str">
        <f t="shared" si="25"/>
        <v/>
      </c>
      <c r="AE110" s="183" t="str">
        <f t="shared" si="26"/>
        <v/>
      </c>
      <c r="AF110" s="5"/>
      <c r="AG110" s="182" t="str">
        <f t="shared" si="27"/>
        <v/>
      </c>
      <c r="AH110" s="183" t="str">
        <f t="shared" si="28"/>
        <v/>
      </c>
      <c r="AI110" s="5"/>
      <c r="AJ110" s="183" t="str">
        <f t="shared" si="29"/>
        <v/>
      </c>
      <c r="AK110" s="183" t="str">
        <f t="shared" si="30"/>
        <v/>
      </c>
      <c r="AL110" s="5"/>
      <c r="AM110" s="183" t="str">
        <f t="shared" si="31"/>
        <v/>
      </c>
      <c r="AN110" s="183" t="str">
        <f t="shared" si="32"/>
        <v/>
      </c>
      <c r="AO110" s="184">
        <f t="shared" si="33"/>
        <v>0</v>
      </c>
      <c r="AP110" s="184">
        <f t="shared" si="34"/>
        <v>0</v>
      </c>
      <c r="AQ110" s="608" t="str">
        <f t="shared" si="35"/>
        <v/>
      </c>
      <c r="AR110" s="185" t="str">
        <f>IF(COUNTIF(K110:Q110,"F")&gt;0,"",IF(AQ110="PASS",'Statement of Marks'!HZ112,""))</f>
        <v/>
      </c>
      <c r="AS110" s="185" t="str">
        <f>IF(AQ110="PASS",'Statement of Marks'!IA112,"")</f>
        <v/>
      </c>
    </row>
    <row r="111" spans="1:45">
      <c r="A111" s="169">
        <f>IF('Statement of Marks'!A113="","",'Statement of Marks'!A113)</f>
        <v>107</v>
      </c>
      <c r="B111" s="169" t="str">
        <f>IF('Statement of Marks'!B113="","",'Statement of Marks'!B113)</f>
        <v/>
      </c>
      <c r="C111" s="169" t="str">
        <f>IF('Statement of Marks'!D113="","",'Statement of Marks'!D113)</f>
        <v/>
      </c>
      <c r="D111" s="170" t="str">
        <f>IF('Statement of Marks'!E113="","",'Statement of Marks'!E113)</f>
        <v/>
      </c>
      <c r="E111" s="171" t="str">
        <f>IF('Statement of Marks'!F113="","",'Statement of Marks'!F113)</f>
        <v/>
      </c>
      <c r="F111" s="171" t="str">
        <f>IF('Statement of Marks'!G113="","",'Statement of Marks'!G113)</f>
        <v/>
      </c>
      <c r="G111" s="171" t="str">
        <f>IF('Statement of Marks'!H113="","",'Statement of Marks'!H113)</f>
        <v/>
      </c>
      <c r="H111" s="172" t="str">
        <f>IF('Statement of Marks'!HS113="","",'Statement of Marks'!HS113)</f>
        <v/>
      </c>
      <c r="I111" s="172" t="str">
        <f>IF('Statement of Marks'!HV113="","",'Statement of Marks'!HV113)</f>
        <v/>
      </c>
      <c r="J111" s="173" t="str">
        <f>IF('Statement of Marks'!HU113="","",'Statement of Marks'!HU113)</f>
        <v/>
      </c>
      <c r="K111" s="181" t="str">
        <f>'Statement of Marks'!GN113</f>
        <v/>
      </c>
      <c r="L111" s="181" t="str">
        <f>'Statement of Marks'!GQ113</f>
        <v/>
      </c>
      <c r="M111" s="181" t="str">
        <f>'Statement of Marks'!GT113</f>
        <v/>
      </c>
      <c r="N111" s="181" t="str">
        <f>'Statement of Marks'!HB113</f>
        <v/>
      </c>
      <c r="O111" s="181" t="str">
        <f>'Statement of Marks'!HE113</f>
        <v/>
      </c>
      <c r="P111" s="181" t="str">
        <f>'Statement of Marks'!HH113</f>
        <v/>
      </c>
      <c r="Q111" s="181" t="str">
        <f>'Statement of Marks'!HK113</f>
        <v/>
      </c>
      <c r="R111" s="173" t="str">
        <f>IF(COUNTIF(K111:Q111,"F")&gt;0,"",CONCATENATE('Statement of Marks'!HO113,'Statement of Marks'!HQ113))</f>
        <v xml:space="preserve">            </v>
      </c>
      <c r="S111" s="174">
        <f t="shared" si="18"/>
        <v>0</v>
      </c>
      <c r="T111" s="5"/>
      <c r="U111" s="182" t="str">
        <f t="shared" si="19"/>
        <v/>
      </c>
      <c r="V111" s="182" t="str">
        <f t="shared" si="20"/>
        <v/>
      </c>
      <c r="W111" s="5"/>
      <c r="X111" s="182" t="str">
        <f t="shared" si="21"/>
        <v/>
      </c>
      <c r="Y111" s="182" t="str">
        <f t="shared" si="22"/>
        <v/>
      </c>
      <c r="Z111" s="5"/>
      <c r="AA111" s="182" t="str">
        <f t="shared" si="23"/>
        <v/>
      </c>
      <c r="AB111" s="183" t="str">
        <f t="shared" si="24"/>
        <v/>
      </c>
      <c r="AC111" s="5"/>
      <c r="AD111" s="182" t="str">
        <f t="shared" si="25"/>
        <v/>
      </c>
      <c r="AE111" s="183" t="str">
        <f t="shared" si="26"/>
        <v/>
      </c>
      <c r="AF111" s="5"/>
      <c r="AG111" s="182" t="str">
        <f t="shared" si="27"/>
        <v/>
      </c>
      <c r="AH111" s="183" t="str">
        <f t="shared" si="28"/>
        <v/>
      </c>
      <c r="AI111" s="5"/>
      <c r="AJ111" s="183" t="str">
        <f t="shared" si="29"/>
        <v/>
      </c>
      <c r="AK111" s="183" t="str">
        <f t="shared" si="30"/>
        <v/>
      </c>
      <c r="AL111" s="5"/>
      <c r="AM111" s="183" t="str">
        <f t="shared" si="31"/>
        <v/>
      </c>
      <c r="AN111" s="183" t="str">
        <f t="shared" si="32"/>
        <v/>
      </c>
      <c r="AO111" s="184">
        <f t="shared" si="33"/>
        <v>0</v>
      </c>
      <c r="AP111" s="184">
        <f t="shared" si="34"/>
        <v>0</v>
      </c>
      <c r="AQ111" s="608" t="str">
        <f t="shared" si="35"/>
        <v/>
      </c>
      <c r="AR111" s="185" t="str">
        <f>IF(COUNTIF(K111:Q111,"F")&gt;0,"",IF(AQ111="PASS",'Statement of Marks'!HZ113,""))</f>
        <v/>
      </c>
      <c r="AS111" s="185" t="str">
        <f>IF(AQ111="PASS",'Statement of Marks'!IA113,"")</f>
        <v/>
      </c>
    </row>
    <row r="112" spans="1:45">
      <c r="A112" s="169">
        <f>IF('Statement of Marks'!A114="","",'Statement of Marks'!A114)</f>
        <v>108</v>
      </c>
      <c r="B112" s="169" t="str">
        <f>IF('Statement of Marks'!B114="","",'Statement of Marks'!B114)</f>
        <v/>
      </c>
      <c r="C112" s="169" t="str">
        <f>IF('Statement of Marks'!D114="","",'Statement of Marks'!D114)</f>
        <v/>
      </c>
      <c r="D112" s="170" t="str">
        <f>IF('Statement of Marks'!E114="","",'Statement of Marks'!E114)</f>
        <v/>
      </c>
      <c r="E112" s="171" t="str">
        <f>IF('Statement of Marks'!F114="","",'Statement of Marks'!F114)</f>
        <v/>
      </c>
      <c r="F112" s="171" t="str">
        <f>IF('Statement of Marks'!G114="","",'Statement of Marks'!G114)</f>
        <v/>
      </c>
      <c r="G112" s="171" t="str">
        <f>IF('Statement of Marks'!H114="","",'Statement of Marks'!H114)</f>
        <v/>
      </c>
      <c r="H112" s="172" t="str">
        <f>IF('Statement of Marks'!HS114="","",'Statement of Marks'!HS114)</f>
        <v/>
      </c>
      <c r="I112" s="172" t="str">
        <f>IF('Statement of Marks'!HV114="","",'Statement of Marks'!HV114)</f>
        <v/>
      </c>
      <c r="J112" s="173" t="str">
        <f>IF('Statement of Marks'!HU114="","",'Statement of Marks'!HU114)</f>
        <v/>
      </c>
      <c r="K112" s="181" t="str">
        <f>'Statement of Marks'!GN114</f>
        <v/>
      </c>
      <c r="L112" s="181" t="str">
        <f>'Statement of Marks'!GQ114</f>
        <v/>
      </c>
      <c r="M112" s="181" t="str">
        <f>'Statement of Marks'!GT114</f>
        <v/>
      </c>
      <c r="N112" s="181" t="str">
        <f>'Statement of Marks'!HB114</f>
        <v/>
      </c>
      <c r="O112" s="181" t="str">
        <f>'Statement of Marks'!HE114</f>
        <v/>
      </c>
      <c r="P112" s="181" t="str">
        <f>'Statement of Marks'!HH114</f>
        <v/>
      </c>
      <c r="Q112" s="181" t="str">
        <f>'Statement of Marks'!HK114</f>
        <v/>
      </c>
      <c r="R112" s="173" t="str">
        <f>IF(COUNTIF(K112:Q112,"F")&gt;0,"",CONCATENATE('Statement of Marks'!HO114,'Statement of Marks'!HQ114))</f>
        <v xml:space="preserve">            </v>
      </c>
      <c r="S112" s="174">
        <f t="shared" si="18"/>
        <v>0</v>
      </c>
      <c r="T112" s="5"/>
      <c r="U112" s="182" t="str">
        <f t="shared" si="19"/>
        <v/>
      </c>
      <c r="V112" s="182" t="str">
        <f t="shared" si="20"/>
        <v/>
      </c>
      <c r="W112" s="5"/>
      <c r="X112" s="182" t="str">
        <f t="shared" si="21"/>
        <v/>
      </c>
      <c r="Y112" s="182" t="str">
        <f t="shared" si="22"/>
        <v/>
      </c>
      <c r="Z112" s="5"/>
      <c r="AA112" s="182" t="str">
        <f t="shared" si="23"/>
        <v/>
      </c>
      <c r="AB112" s="183" t="str">
        <f t="shared" si="24"/>
        <v/>
      </c>
      <c r="AC112" s="5"/>
      <c r="AD112" s="182" t="str">
        <f t="shared" si="25"/>
        <v/>
      </c>
      <c r="AE112" s="183" t="str">
        <f t="shared" si="26"/>
        <v/>
      </c>
      <c r="AF112" s="5"/>
      <c r="AG112" s="182" t="str">
        <f t="shared" si="27"/>
        <v/>
      </c>
      <c r="AH112" s="183" t="str">
        <f t="shared" si="28"/>
        <v/>
      </c>
      <c r="AI112" s="5"/>
      <c r="AJ112" s="183" t="str">
        <f t="shared" si="29"/>
        <v/>
      </c>
      <c r="AK112" s="183" t="str">
        <f t="shared" si="30"/>
        <v/>
      </c>
      <c r="AL112" s="5"/>
      <c r="AM112" s="183" t="str">
        <f t="shared" si="31"/>
        <v/>
      </c>
      <c r="AN112" s="183" t="str">
        <f t="shared" si="32"/>
        <v/>
      </c>
      <c r="AO112" s="184">
        <f t="shared" si="33"/>
        <v>0</v>
      </c>
      <c r="AP112" s="184">
        <f t="shared" si="34"/>
        <v>0</v>
      </c>
      <c r="AQ112" s="608" t="str">
        <f t="shared" si="35"/>
        <v/>
      </c>
      <c r="AR112" s="185" t="str">
        <f>IF(COUNTIF(K112:Q112,"F")&gt;0,"",IF(AQ112="PASS",'Statement of Marks'!HZ114,""))</f>
        <v/>
      </c>
      <c r="AS112" s="185" t="str">
        <f>IF(AQ112="PASS",'Statement of Marks'!IA114,"")</f>
        <v/>
      </c>
    </row>
    <row r="113" spans="1:45">
      <c r="A113" s="169">
        <f>IF('Statement of Marks'!A115="","",'Statement of Marks'!A115)</f>
        <v>109</v>
      </c>
      <c r="B113" s="169" t="str">
        <f>IF('Statement of Marks'!B115="","",'Statement of Marks'!B115)</f>
        <v/>
      </c>
      <c r="C113" s="169" t="str">
        <f>IF('Statement of Marks'!D115="","",'Statement of Marks'!D115)</f>
        <v/>
      </c>
      <c r="D113" s="170" t="str">
        <f>IF('Statement of Marks'!E115="","",'Statement of Marks'!E115)</f>
        <v/>
      </c>
      <c r="E113" s="171" t="str">
        <f>IF('Statement of Marks'!F115="","",'Statement of Marks'!F115)</f>
        <v/>
      </c>
      <c r="F113" s="171" t="str">
        <f>IF('Statement of Marks'!G115="","",'Statement of Marks'!G115)</f>
        <v/>
      </c>
      <c r="G113" s="171" t="str">
        <f>IF('Statement of Marks'!H115="","",'Statement of Marks'!H115)</f>
        <v/>
      </c>
      <c r="H113" s="172" t="str">
        <f>IF('Statement of Marks'!HS115="","",'Statement of Marks'!HS115)</f>
        <v/>
      </c>
      <c r="I113" s="172" t="str">
        <f>IF('Statement of Marks'!HV115="","",'Statement of Marks'!HV115)</f>
        <v/>
      </c>
      <c r="J113" s="173" t="str">
        <f>IF('Statement of Marks'!HU115="","",'Statement of Marks'!HU115)</f>
        <v/>
      </c>
      <c r="K113" s="181" t="str">
        <f>'Statement of Marks'!GN115</f>
        <v/>
      </c>
      <c r="L113" s="181" t="str">
        <f>'Statement of Marks'!GQ115</f>
        <v/>
      </c>
      <c r="M113" s="181" t="str">
        <f>'Statement of Marks'!GT115</f>
        <v/>
      </c>
      <c r="N113" s="181" t="str">
        <f>'Statement of Marks'!HB115</f>
        <v/>
      </c>
      <c r="O113" s="181" t="str">
        <f>'Statement of Marks'!HE115</f>
        <v/>
      </c>
      <c r="P113" s="181" t="str">
        <f>'Statement of Marks'!HH115</f>
        <v/>
      </c>
      <c r="Q113" s="181" t="str">
        <f>'Statement of Marks'!HK115</f>
        <v/>
      </c>
      <c r="R113" s="173" t="str">
        <f>IF(COUNTIF(K113:Q113,"F")&gt;0,"",CONCATENATE('Statement of Marks'!HO115,'Statement of Marks'!HQ115))</f>
        <v xml:space="preserve">            </v>
      </c>
      <c r="S113" s="174">
        <f t="shared" si="18"/>
        <v>0</v>
      </c>
      <c r="T113" s="5"/>
      <c r="U113" s="182" t="str">
        <f t="shared" si="19"/>
        <v/>
      </c>
      <c r="V113" s="182" t="str">
        <f t="shared" si="20"/>
        <v/>
      </c>
      <c r="W113" s="5"/>
      <c r="X113" s="182" t="str">
        <f t="shared" si="21"/>
        <v/>
      </c>
      <c r="Y113" s="182" t="str">
        <f t="shared" si="22"/>
        <v/>
      </c>
      <c r="Z113" s="5"/>
      <c r="AA113" s="182" t="str">
        <f t="shared" si="23"/>
        <v/>
      </c>
      <c r="AB113" s="183" t="str">
        <f t="shared" si="24"/>
        <v/>
      </c>
      <c r="AC113" s="5"/>
      <c r="AD113" s="182" t="str">
        <f t="shared" si="25"/>
        <v/>
      </c>
      <c r="AE113" s="183" t="str">
        <f t="shared" si="26"/>
        <v/>
      </c>
      <c r="AF113" s="5"/>
      <c r="AG113" s="182" t="str">
        <f t="shared" si="27"/>
        <v/>
      </c>
      <c r="AH113" s="183" t="str">
        <f t="shared" si="28"/>
        <v/>
      </c>
      <c r="AI113" s="5"/>
      <c r="AJ113" s="183" t="str">
        <f t="shared" si="29"/>
        <v/>
      </c>
      <c r="AK113" s="183" t="str">
        <f t="shared" si="30"/>
        <v/>
      </c>
      <c r="AL113" s="5"/>
      <c r="AM113" s="183" t="str">
        <f t="shared" si="31"/>
        <v/>
      </c>
      <c r="AN113" s="183" t="str">
        <f t="shared" si="32"/>
        <v/>
      </c>
      <c r="AO113" s="184">
        <f t="shared" si="33"/>
        <v>0</v>
      </c>
      <c r="AP113" s="184">
        <f t="shared" si="34"/>
        <v>0</v>
      </c>
      <c r="AQ113" s="608" t="str">
        <f t="shared" si="35"/>
        <v/>
      </c>
      <c r="AR113" s="185" t="str">
        <f>IF(COUNTIF(K113:Q113,"F")&gt;0,"",IF(AQ113="PASS",'Statement of Marks'!HZ115,""))</f>
        <v/>
      </c>
      <c r="AS113" s="185" t="str">
        <f>IF(AQ113="PASS",'Statement of Marks'!IA115,"")</f>
        <v/>
      </c>
    </row>
    <row r="114" spans="1:45">
      <c r="A114" s="169">
        <f>IF('Statement of Marks'!A116="","",'Statement of Marks'!A116)</f>
        <v>110</v>
      </c>
      <c r="B114" s="169" t="str">
        <f>IF('Statement of Marks'!B116="","",'Statement of Marks'!B116)</f>
        <v/>
      </c>
      <c r="C114" s="169" t="str">
        <f>IF('Statement of Marks'!D116="","",'Statement of Marks'!D116)</f>
        <v/>
      </c>
      <c r="D114" s="170" t="str">
        <f>IF('Statement of Marks'!E116="","",'Statement of Marks'!E116)</f>
        <v/>
      </c>
      <c r="E114" s="171" t="str">
        <f>IF('Statement of Marks'!F116="","",'Statement of Marks'!F116)</f>
        <v/>
      </c>
      <c r="F114" s="171" t="str">
        <f>IF('Statement of Marks'!G116="","",'Statement of Marks'!G116)</f>
        <v/>
      </c>
      <c r="G114" s="171" t="str">
        <f>IF('Statement of Marks'!H116="","",'Statement of Marks'!H116)</f>
        <v/>
      </c>
      <c r="H114" s="172" t="str">
        <f>IF('Statement of Marks'!HS116="","",'Statement of Marks'!HS116)</f>
        <v/>
      </c>
      <c r="I114" s="172" t="str">
        <f>IF('Statement of Marks'!HV116="","",'Statement of Marks'!HV116)</f>
        <v/>
      </c>
      <c r="J114" s="173" t="str">
        <f>IF('Statement of Marks'!HU116="","",'Statement of Marks'!HU116)</f>
        <v/>
      </c>
      <c r="K114" s="181" t="str">
        <f>'Statement of Marks'!GN116</f>
        <v/>
      </c>
      <c r="L114" s="181" t="str">
        <f>'Statement of Marks'!GQ116</f>
        <v/>
      </c>
      <c r="M114" s="181" t="str">
        <f>'Statement of Marks'!GT116</f>
        <v/>
      </c>
      <c r="N114" s="181" t="str">
        <f>'Statement of Marks'!HB116</f>
        <v/>
      </c>
      <c r="O114" s="181" t="str">
        <f>'Statement of Marks'!HE116</f>
        <v/>
      </c>
      <c r="P114" s="181" t="str">
        <f>'Statement of Marks'!HH116</f>
        <v/>
      </c>
      <c r="Q114" s="181" t="str">
        <f>'Statement of Marks'!HK116</f>
        <v/>
      </c>
      <c r="R114" s="173" t="str">
        <f>IF(COUNTIF(K114:Q114,"F")&gt;0,"",CONCATENATE('Statement of Marks'!HO116,'Statement of Marks'!HQ116))</f>
        <v xml:space="preserve">            </v>
      </c>
      <c r="S114" s="174">
        <f t="shared" si="18"/>
        <v>0</v>
      </c>
      <c r="T114" s="5"/>
      <c r="U114" s="182" t="str">
        <f t="shared" si="19"/>
        <v/>
      </c>
      <c r="V114" s="182" t="str">
        <f t="shared" si="20"/>
        <v/>
      </c>
      <c r="W114" s="5"/>
      <c r="X114" s="182" t="str">
        <f t="shared" si="21"/>
        <v/>
      </c>
      <c r="Y114" s="182" t="str">
        <f t="shared" si="22"/>
        <v/>
      </c>
      <c r="Z114" s="5"/>
      <c r="AA114" s="182" t="str">
        <f t="shared" si="23"/>
        <v/>
      </c>
      <c r="AB114" s="183" t="str">
        <f t="shared" si="24"/>
        <v/>
      </c>
      <c r="AC114" s="5"/>
      <c r="AD114" s="182" t="str">
        <f t="shared" si="25"/>
        <v/>
      </c>
      <c r="AE114" s="183" t="str">
        <f t="shared" si="26"/>
        <v/>
      </c>
      <c r="AF114" s="5"/>
      <c r="AG114" s="182" t="str">
        <f t="shared" si="27"/>
        <v/>
      </c>
      <c r="AH114" s="183" t="str">
        <f t="shared" si="28"/>
        <v/>
      </c>
      <c r="AI114" s="5"/>
      <c r="AJ114" s="183" t="str">
        <f t="shared" si="29"/>
        <v/>
      </c>
      <c r="AK114" s="183" t="str">
        <f t="shared" si="30"/>
        <v/>
      </c>
      <c r="AL114" s="5"/>
      <c r="AM114" s="183" t="str">
        <f t="shared" si="31"/>
        <v/>
      </c>
      <c r="AN114" s="183" t="str">
        <f t="shared" si="32"/>
        <v/>
      </c>
      <c r="AO114" s="184">
        <f t="shared" si="33"/>
        <v>0</v>
      </c>
      <c r="AP114" s="184">
        <f t="shared" si="34"/>
        <v>0</v>
      </c>
      <c r="AQ114" s="608" t="str">
        <f t="shared" si="35"/>
        <v/>
      </c>
      <c r="AR114" s="185" t="str">
        <f>IF(COUNTIF(K114:Q114,"F")&gt;0,"",IF(AQ114="PASS",'Statement of Marks'!HZ116,""))</f>
        <v/>
      </c>
      <c r="AS114" s="185" t="str">
        <f>IF(AQ114="PASS",'Statement of Marks'!IA116,"")</f>
        <v/>
      </c>
    </row>
    <row r="115" spans="1:45">
      <c r="A115" s="169">
        <f>IF('Statement of Marks'!A117="","",'Statement of Marks'!A117)</f>
        <v>111</v>
      </c>
      <c r="B115" s="169" t="str">
        <f>IF('Statement of Marks'!B117="","",'Statement of Marks'!B117)</f>
        <v/>
      </c>
      <c r="C115" s="169" t="str">
        <f>IF('Statement of Marks'!D117="","",'Statement of Marks'!D117)</f>
        <v/>
      </c>
      <c r="D115" s="170" t="str">
        <f>IF('Statement of Marks'!E117="","",'Statement of Marks'!E117)</f>
        <v/>
      </c>
      <c r="E115" s="171" t="str">
        <f>IF('Statement of Marks'!F117="","",'Statement of Marks'!F117)</f>
        <v/>
      </c>
      <c r="F115" s="171" t="str">
        <f>IF('Statement of Marks'!G117="","",'Statement of Marks'!G117)</f>
        <v/>
      </c>
      <c r="G115" s="171" t="str">
        <f>IF('Statement of Marks'!H117="","",'Statement of Marks'!H117)</f>
        <v/>
      </c>
      <c r="H115" s="172" t="str">
        <f>IF('Statement of Marks'!HS117="","",'Statement of Marks'!HS117)</f>
        <v/>
      </c>
      <c r="I115" s="172" t="str">
        <f>IF('Statement of Marks'!HV117="","",'Statement of Marks'!HV117)</f>
        <v/>
      </c>
      <c r="J115" s="173" t="str">
        <f>IF('Statement of Marks'!HU117="","",'Statement of Marks'!HU117)</f>
        <v/>
      </c>
      <c r="K115" s="181" t="str">
        <f>'Statement of Marks'!GN117</f>
        <v/>
      </c>
      <c r="L115" s="181" t="str">
        <f>'Statement of Marks'!GQ117</f>
        <v/>
      </c>
      <c r="M115" s="181" t="str">
        <f>'Statement of Marks'!GT117</f>
        <v/>
      </c>
      <c r="N115" s="181" t="str">
        <f>'Statement of Marks'!HB117</f>
        <v/>
      </c>
      <c r="O115" s="181" t="str">
        <f>'Statement of Marks'!HE117</f>
        <v/>
      </c>
      <c r="P115" s="181" t="str">
        <f>'Statement of Marks'!HH117</f>
        <v/>
      </c>
      <c r="Q115" s="181" t="str">
        <f>'Statement of Marks'!HK117</f>
        <v/>
      </c>
      <c r="R115" s="173" t="str">
        <f>IF(COUNTIF(K115:Q115,"F")&gt;0,"",CONCATENATE('Statement of Marks'!HO117,'Statement of Marks'!HQ117))</f>
        <v xml:space="preserve">            </v>
      </c>
      <c r="S115" s="174">
        <f t="shared" si="18"/>
        <v>0</v>
      </c>
      <c r="T115" s="5"/>
      <c r="U115" s="182" t="str">
        <f t="shared" si="19"/>
        <v/>
      </c>
      <c r="V115" s="182" t="str">
        <f t="shared" si="20"/>
        <v/>
      </c>
      <c r="W115" s="5"/>
      <c r="X115" s="182" t="str">
        <f t="shared" si="21"/>
        <v/>
      </c>
      <c r="Y115" s="182" t="str">
        <f t="shared" si="22"/>
        <v/>
      </c>
      <c r="Z115" s="5"/>
      <c r="AA115" s="182" t="str">
        <f t="shared" si="23"/>
        <v/>
      </c>
      <c r="AB115" s="183" t="str">
        <f t="shared" si="24"/>
        <v/>
      </c>
      <c r="AC115" s="5"/>
      <c r="AD115" s="182" t="str">
        <f t="shared" si="25"/>
        <v/>
      </c>
      <c r="AE115" s="183" t="str">
        <f t="shared" si="26"/>
        <v/>
      </c>
      <c r="AF115" s="5"/>
      <c r="AG115" s="182" t="str">
        <f t="shared" si="27"/>
        <v/>
      </c>
      <c r="AH115" s="183" t="str">
        <f t="shared" si="28"/>
        <v/>
      </c>
      <c r="AI115" s="5"/>
      <c r="AJ115" s="183" t="str">
        <f t="shared" si="29"/>
        <v/>
      </c>
      <c r="AK115" s="183" t="str">
        <f t="shared" si="30"/>
        <v/>
      </c>
      <c r="AL115" s="5"/>
      <c r="AM115" s="183" t="str">
        <f t="shared" si="31"/>
        <v/>
      </c>
      <c r="AN115" s="183" t="str">
        <f t="shared" si="32"/>
        <v/>
      </c>
      <c r="AO115" s="184">
        <f t="shared" si="33"/>
        <v>0</v>
      </c>
      <c r="AP115" s="184">
        <f t="shared" si="34"/>
        <v>0</v>
      </c>
      <c r="AQ115" s="608" t="str">
        <f t="shared" si="35"/>
        <v/>
      </c>
      <c r="AR115" s="185" t="str">
        <f>IF(COUNTIF(K115:Q115,"F")&gt;0,"",IF(AQ115="PASS",'Statement of Marks'!HZ117,""))</f>
        <v/>
      </c>
      <c r="AS115" s="185" t="str">
        <f>IF(AQ115="PASS",'Statement of Marks'!IA117,"")</f>
        <v/>
      </c>
    </row>
    <row r="116" spans="1:45">
      <c r="A116" s="169">
        <f>IF('Statement of Marks'!A118="","",'Statement of Marks'!A118)</f>
        <v>112</v>
      </c>
      <c r="B116" s="169" t="str">
        <f>IF('Statement of Marks'!B118="","",'Statement of Marks'!B118)</f>
        <v/>
      </c>
      <c r="C116" s="169" t="str">
        <f>IF('Statement of Marks'!D118="","",'Statement of Marks'!D118)</f>
        <v/>
      </c>
      <c r="D116" s="170" t="str">
        <f>IF('Statement of Marks'!E118="","",'Statement of Marks'!E118)</f>
        <v/>
      </c>
      <c r="E116" s="171" t="str">
        <f>IF('Statement of Marks'!F118="","",'Statement of Marks'!F118)</f>
        <v/>
      </c>
      <c r="F116" s="171" t="str">
        <f>IF('Statement of Marks'!G118="","",'Statement of Marks'!G118)</f>
        <v/>
      </c>
      <c r="G116" s="171" t="str">
        <f>IF('Statement of Marks'!H118="","",'Statement of Marks'!H118)</f>
        <v/>
      </c>
      <c r="H116" s="172" t="str">
        <f>IF('Statement of Marks'!HS118="","",'Statement of Marks'!HS118)</f>
        <v/>
      </c>
      <c r="I116" s="172" t="str">
        <f>IF('Statement of Marks'!HV118="","",'Statement of Marks'!HV118)</f>
        <v/>
      </c>
      <c r="J116" s="173" t="str">
        <f>IF('Statement of Marks'!HU118="","",'Statement of Marks'!HU118)</f>
        <v/>
      </c>
      <c r="K116" s="181" t="str">
        <f>'Statement of Marks'!GN118</f>
        <v/>
      </c>
      <c r="L116" s="181" t="str">
        <f>'Statement of Marks'!GQ118</f>
        <v/>
      </c>
      <c r="M116" s="181" t="str">
        <f>'Statement of Marks'!GT118</f>
        <v/>
      </c>
      <c r="N116" s="181" t="str">
        <f>'Statement of Marks'!HB118</f>
        <v/>
      </c>
      <c r="O116" s="181" t="str">
        <f>'Statement of Marks'!HE118</f>
        <v/>
      </c>
      <c r="P116" s="181" t="str">
        <f>'Statement of Marks'!HH118</f>
        <v/>
      </c>
      <c r="Q116" s="181" t="str">
        <f>'Statement of Marks'!HK118</f>
        <v/>
      </c>
      <c r="R116" s="173" t="str">
        <f>IF(COUNTIF(K116:Q116,"F")&gt;0,"",CONCATENATE('Statement of Marks'!HO118,'Statement of Marks'!HQ118))</f>
        <v xml:space="preserve">            </v>
      </c>
      <c r="S116" s="174">
        <f t="shared" si="18"/>
        <v>0</v>
      </c>
      <c r="T116" s="5"/>
      <c r="U116" s="182" t="str">
        <f t="shared" si="19"/>
        <v/>
      </c>
      <c r="V116" s="182" t="str">
        <f t="shared" si="20"/>
        <v/>
      </c>
      <c r="W116" s="5"/>
      <c r="X116" s="182" t="str">
        <f t="shared" si="21"/>
        <v/>
      </c>
      <c r="Y116" s="182" t="str">
        <f t="shared" si="22"/>
        <v/>
      </c>
      <c r="Z116" s="5"/>
      <c r="AA116" s="182" t="str">
        <f t="shared" si="23"/>
        <v/>
      </c>
      <c r="AB116" s="183" t="str">
        <f t="shared" si="24"/>
        <v/>
      </c>
      <c r="AC116" s="5"/>
      <c r="AD116" s="182" t="str">
        <f t="shared" si="25"/>
        <v/>
      </c>
      <c r="AE116" s="183" t="str">
        <f t="shared" si="26"/>
        <v/>
      </c>
      <c r="AF116" s="5"/>
      <c r="AG116" s="182" t="str">
        <f t="shared" si="27"/>
        <v/>
      </c>
      <c r="AH116" s="183" t="str">
        <f t="shared" si="28"/>
        <v/>
      </c>
      <c r="AI116" s="5"/>
      <c r="AJ116" s="183" t="str">
        <f t="shared" si="29"/>
        <v/>
      </c>
      <c r="AK116" s="183" t="str">
        <f t="shared" si="30"/>
        <v/>
      </c>
      <c r="AL116" s="5"/>
      <c r="AM116" s="183" t="str">
        <f t="shared" si="31"/>
        <v/>
      </c>
      <c r="AN116" s="183" t="str">
        <f t="shared" si="32"/>
        <v/>
      </c>
      <c r="AO116" s="184">
        <f t="shared" si="33"/>
        <v>0</v>
      </c>
      <c r="AP116" s="184">
        <f t="shared" si="34"/>
        <v>0</v>
      </c>
      <c r="AQ116" s="608" t="str">
        <f t="shared" si="35"/>
        <v/>
      </c>
      <c r="AR116" s="185" t="str">
        <f>IF(COUNTIF(K116:Q116,"F")&gt;0,"",IF(AQ116="PASS",'Statement of Marks'!HZ118,""))</f>
        <v/>
      </c>
      <c r="AS116" s="185" t="str">
        <f>IF(AQ116="PASS",'Statement of Marks'!IA118,"")</f>
        <v/>
      </c>
    </row>
    <row r="117" spans="1:45">
      <c r="A117" s="169">
        <f>IF('Statement of Marks'!A119="","",'Statement of Marks'!A119)</f>
        <v>113</v>
      </c>
      <c r="B117" s="169" t="str">
        <f>IF('Statement of Marks'!B119="","",'Statement of Marks'!B119)</f>
        <v/>
      </c>
      <c r="C117" s="169" t="str">
        <f>IF('Statement of Marks'!D119="","",'Statement of Marks'!D119)</f>
        <v/>
      </c>
      <c r="D117" s="170" t="str">
        <f>IF('Statement of Marks'!E119="","",'Statement of Marks'!E119)</f>
        <v/>
      </c>
      <c r="E117" s="171" t="str">
        <f>IF('Statement of Marks'!F119="","",'Statement of Marks'!F119)</f>
        <v/>
      </c>
      <c r="F117" s="171" t="str">
        <f>IF('Statement of Marks'!G119="","",'Statement of Marks'!G119)</f>
        <v/>
      </c>
      <c r="G117" s="171" t="str">
        <f>IF('Statement of Marks'!H119="","",'Statement of Marks'!H119)</f>
        <v/>
      </c>
      <c r="H117" s="172" t="str">
        <f>IF('Statement of Marks'!HS119="","",'Statement of Marks'!HS119)</f>
        <v/>
      </c>
      <c r="I117" s="172" t="str">
        <f>IF('Statement of Marks'!HV119="","",'Statement of Marks'!HV119)</f>
        <v/>
      </c>
      <c r="J117" s="173" t="str">
        <f>IF('Statement of Marks'!HU119="","",'Statement of Marks'!HU119)</f>
        <v/>
      </c>
      <c r="K117" s="181" t="str">
        <f>'Statement of Marks'!GN119</f>
        <v/>
      </c>
      <c r="L117" s="181" t="str">
        <f>'Statement of Marks'!GQ119</f>
        <v/>
      </c>
      <c r="M117" s="181" t="str">
        <f>'Statement of Marks'!GT119</f>
        <v/>
      </c>
      <c r="N117" s="181" t="str">
        <f>'Statement of Marks'!HB119</f>
        <v/>
      </c>
      <c r="O117" s="181" t="str">
        <f>'Statement of Marks'!HE119</f>
        <v/>
      </c>
      <c r="P117" s="181" t="str">
        <f>'Statement of Marks'!HH119</f>
        <v/>
      </c>
      <c r="Q117" s="181" t="str">
        <f>'Statement of Marks'!HK119</f>
        <v/>
      </c>
      <c r="R117" s="173" t="str">
        <f>IF(COUNTIF(K117:Q117,"F")&gt;0,"",CONCATENATE('Statement of Marks'!HO119,'Statement of Marks'!HQ119))</f>
        <v xml:space="preserve">            </v>
      </c>
      <c r="S117" s="174">
        <f t="shared" si="18"/>
        <v>0</v>
      </c>
      <c r="T117" s="5"/>
      <c r="U117" s="182" t="str">
        <f t="shared" si="19"/>
        <v/>
      </c>
      <c r="V117" s="182" t="str">
        <f t="shared" si="20"/>
        <v/>
      </c>
      <c r="W117" s="5"/>
      <c r="X117" s="182" t="str">
        <f t="shared" si="21"/>
        <v/>
      </c>
      <c r="Y117" s="182" t="str">
        <f t="shared" si="22"/>
        <v/>
      </c>
      <c r="Z117" s="5"/>
      <c r="AA117" s="182" t="str">
        <f t="shared" si="23"/>
        <v/>
      </c>
      <c r="AB117" s="183" t="str">
        <f t="shared" si="24"/>
        <v/>
      </c>
      <c r="AC117" s="5"/>
      <c r="AD117" s="182" t="str">
        <f t="shared" si="25"/>
        <v/>
      </c>
      <c r="AE117" s="183" t="str">
        <f t="shared" si="26"/>
        <v/>
      </c>
      <c r="AF117" s="5"/>
      <c r="AG117" s="182" t="str">
        <f t="shared" si="27"/>
        <v/>
      </c>
      <c r="AH117" s="183" t="str">
        <f t="shared" si="28"/>
        <v/>
      </c>
      <c r="AI117" s="5"/>
      <c r="AJ117" s="183" t="str">
        <f t="shared" si="29"/>
        <v/>
      </c>
      <c r="AK117" s="183" t="str">
        <f t="shared" si="30"/>
        <v/>
      </c>
      <c r="AL117" s="5"/>
      <c r="AM117" s="183" t="str">
        <f t="shared" si="31"/>
        <v/>
      </c>
      <c r="AN117" s="183" t="str">
        <f t="shared" si="32"/>
        <v/>
      </c>
      <c r="AO117" s="184">
        <f t="shared" si="33"/>
        <v>0</v>
      </c>
      <c r="AP117" s="184">
        <f t="shared" si="34"/>
        <v>0</v>
      </c>
      <c r="AQ117" s="608" t="str">
        <f t="shared" si="35"/>
        <v/>
      </c>
      <c r="AR117" s="185" t="str">
        <f>IF(COUNTIF(K117:Q117,"F")&gt;0,"",IF(AQ117="PASS",'Statement of Marks'!HZ119,""))</f>
        <v/>
      </c>
      <c r="AS117" s="185" t="str">
        <f>IF(AQ117="PASS",'Statement of Marks'!IA119,"")</f>
        <v/>
      </c>
    </row>
    <row r="118" spans="1:45">
      <c r="A118" s="169">
        <f>IF('Statement of Marks'!A120="","",'Statement of Marks'!A120)</f>
        <v>114</v>
      </c>
      <c r="B118" s="169" t="str">
        <f>IF('Statement of Marks'!B120="","",'Statement of Marks'!B120)</f>
        <v/>
      </c>
      <c r="C118" s="169" t="str">
        <f>IF('Statement of Marks'!D120="","",'Statement of Marks'!D120)</f>
        <v/>
      </c>
      <c r="D118" s="170" t="str">
        <f>IF('Statement of Marks'!E120="","",'Statement of Marks'!E120)</f>
        <v/>
      </c>
      <c r="E118" s="171" t="str">
        <f>IF('Statement of Marks'!F120="","",'Statement of Marks'!F120)</f>
        <v/>
      </c>
      <c r="F118" s="171" t="str">
        <f>IF('Statement of Marks'!G120="","",'Statement of Marks'!G120)</f>
        <v/>
      </c>
      <c r="G118" s="171" t="str">
        <f>IF('Statement of Marks'!H120="","",'Statement of Marks'!H120)</f>
        <v/>
      </c>
      <c r="H118" s="172" t="str">
        <f>IF('Statement of Marks'!HS120="","",'Statement of Marks'!HS120)</f>
        <v/>
      </c>
      <c r="I118" s="172" t="str">
        <f>IF('Statement of Marks'!HV120="","",'Statement of Marks'!HV120)</f>
        <v/>
      </c>
      <c r="J118" s="173" t="str">
        <f>IF('Statement of Marks'!HU120="","",'Statement of Marks'!HU120)</f>
        <v/>
      </c>
      <c r="K118" s="181" t="str">
        <f>'Statement of Marks'!GN120</f>
        <v/>
      </c>
      <c r="L118" s="181" t="str">
        <f>'Statement of Marks'!GQ120</f>
        <v/>
      </c>
      <c r="M118" s="181" t="str">
        <f>'Statement of Marks'!GT120</f>
        <v/>
      </c>
      <c r="N118" s="181" t="str">
        <f>'Statement of Marks'!HB120</f>
        <v/>
      </c>
      <c r="O118" s="181" t="str">
        <f>'Statement of Marks'!HE120</f>
        <v/>
      </c>
      <c r="P118" s="181" t="str">
        <f>'Statement of Marks'!HH120</f>
        <v/>
      </c>
      <c r="Q118" s="181" t="str">
        <f>'Statement of Marks'!HK120</f>
        <v/>
      </c>
      <c r="R118" s="173" t="str">
        <f>IF(COUNTIF(K118:Q118,"F")&gt;0,"",CONCATENATE('Statement of Marks'!HO120,'Statement of Marks'!HQ120))</f>
        <v xml:space="preserve">            </v>
      </c>
      <c r="S118" s="174">
        <f t="shared" si="18"/>
        <v>0</v>
      </c>
      <c r="T118" s="5"/>
      <c r="U118" s="182" t="str">
        <f t="shared" si="19"/>
        <v/>
      </c>
      <c r="V118" s="182" t="str">
        <f t="shared" si="20"/>
        <v/>
      </c>
      <c r="W118" s="5"/>
      <c r="X118" s="182" t="str">
        <f t="shared" si="21"/>
        <v/>
      </c>
      <c r="Y118" s="182" t="str">
        <f t="shared" si="22"/>
        <v/>
      </c>
      <c r="Z118" s="5"/>
      <c r="AA118" s="182" t="str">
        <f t="shared" si="23"/>
        <v/>
      </c>
      <c r="AB118" s="183" t="str">
        <f t="shared" si="24"/>
        <v/>
      </c>
      <c r="AC118" s="5"/>
      <c r="AD118" s="182" t="str">
        <f t="shared" si="25"/>
        <v/>
      </c>
      <c r="AE118" s="183" t="str">
        <f t="shared" si="26"/>
        <v/>
      </c>
      <c r="AF118" s="5"/>
      <c r="AG118" s="182" t="str">
        <f t="shared" si="27"/>
        <v/>
      </c>
      <c r="AH118" s="183" t="str">
        <f t="shared" si="28"/>
        <v/>
      </c>
      <c r="AI118" s="5"/>
      <c r="AJ118" s="183" t="str">
        <f t="shared" si="29"/>
        <v/>
      </c>
      <c r="AK118" s="183" t="str">
        <f t="shared" si="30"/>
        <v/>
      </c>
      <c r="AL118" s="5"/>
      <c r="AM118" s="183" t="str">
        <f t="shared" si="31"/>
        <v/>
      </c>
      <c r="AN118" s="183" t="str">
        <f t="shared" si="32"/>
        <v/>
      </c>
      <c r="AO118" s="184">
        <f t="shared" si="33"/>
        <v>0</v>
      </c>
      <c r="AP118" s="184">
        <f t="shared" si="34"/>
        <v>0</v>
      </c>
      <c r="AQ118" s="608" t="str">
        <f t="shared" si="35"/>
        <v/>
      </c>
      <c r="AR118" s="185" t="str">
        <f>IF(COUNTIF(K118:Q118,"F")&gt;0,"",IF(AQ118="PASS",'Statement of Marks'!HZ120,""))</f>
        <v/>
      </c>
      <c r="AS118" s="185" t="str">
        <f>IF(AQ118="PASS",'Statement of Marks'!IA120,"")</f>
        <v/>
      </c>
    </row>
    <row r="119" spans="1:45">
      <c r="A119" s="169">
        <f>IF('Statement of Marks'!A121="","",'Statement of Marks'!A121)</f>
        <v>115</v>
      </c>
      <c r="B119" s="169" t="str">
        <f>IF('Statement of Marks'!B121="","",'Statement of Marks'!B121)</f>
        <v/>
      </c>
      <c r="C119" s="169" t="str">
        <f>IF('Statement of Marks'!D121="","",'Statement of Marks'!D121)</f>
        <v/>
      </c>
      <c r="D119" s="170" t="str">
        <f>IF('Statement of Marks'!E121="","",'Statement of Marks'!E121)</f>
        <v/>
      </c>
      <c r="E119" s="171" t="str">
        <f>IF('Statement of Marks'!F121="","",'Statement of Marks'!F121)</f>
        <v/>
      </c>
      <c r="F119" s="171" t="str">
        <f>IF('Statement of Marks'!G121="","",'Statement of Marks'!G121)</f>
        <v/>
      </c>
      <c r="G119" s="171" t="str">
        <f>IF('Statement of Marks'!H121="","",'Statement of Marks'!H121)</f>
        <v/>
      </c>
      <c r="H119" s="172" t="str">
        <f>IF('Statement of Marks'!HS121="","",'Statement of Marks'!HS121)</f>
        <v/>
      </c>
      <c r="I119" s="172" t="str">
        <f>IF('Statement of Marks'!HV121="","",'Statement of Marks'!HV121)</f>
        <v/>
      </c>
      <c r="J119" s="173" t="str">
        <f>IF('Statement of Marks'!HU121="","",'Statement of Marks'!HU121)</f>
        <v/>
      </c>
      <c r="K119" s="181" t="str">
        <f>'Statement of Marks'!GN121</f>
        <v/>
      </c>
      <c r="L119" s="181" t="str">
        <f>'Statement of Marks'!GQ121</f>
        <v/>
      </c>
      <c r="M119" s="181" t="str">
        <f>'Statement of Marks'!GT121</f>
        <v/>
      </c>
      <c r="N119" s="181" t="str">
        <f>'Statement of Marks'!HB121</f>
        <v/>
      </c>
      <c r="O119" s="181" t="str">
        <f>'Statement of Marks'!HE121</f>
        <v/>
      </c>
      <c r="P119" s="181" t="str">
        <f>'Statement of Marks'!HH121</f>
        <v/>
      </c>
      <c r="Q119" s="181" t="str">
        <f>'Statement of Marks'!HK121</f>
        <v/>
      </c>
      <c r="R119" s="173" t="str">
        <f>IF(COUNTIF(K119:Q119,"F")&gt;0,"",CONCATENATE('Statement of Marks'!HO121,'Statement of Marks'!HQ121))</f>
        <v xml:space="preserve">            </v>
      </c>
      <c r="S119" s="174">
        <f t="shared" si="18"/>
        <v>0</v>
      </c>
      <c r="T119" s="5"/>
      <c r="U119" s="182" t="str">
        <f t="shared" si="19"/>
        <v/>
      </c>
      <c r="V119" s="182" t="str">
        <f t="shared" si="20"/>
        <v/>
      </c>
      <c r="W119" s="5"/>
      <c r="X119" s="182" t="str">
        <f t="shared" si="21"/>
        <v/>
      </c>
      <c r="Y119" s="182" t="str">
        <f t="shared" si="22"/>
        <v/>
      </c>
      <c r="Z119" s="5"/>
      <c r="AA119" s="182" t="str">
        <f t="shared" si="23"/>
        <v/>
      </c>
      <c r="AB119" s="183" t="str">
        <f t="shared" si="24"/>
        <v/>
      </c>
      <c r="AC119" s="5"/>
      <c r="AD119" s="182" t="str">
        <f t="shared" si="25"/>
        <v/>
      </c>
      <c r="AE119" s="183" t="str">
        <f t="shared" si="26"/>
        <v/>
      </c>
      <c r="AF119" s="5"/>
      <c r="AG119" s="182" t="str">
        <f t="shared" si="27"/>
        <v/>
      </c>
      <c r="AH119" s="183" t="str">
        <f t="shared" si="28"/>
        <v/>
      </c>
      <c r="AI119" s="5"/>
      <c r="AJ119" s="183" t="str">
        <f t="shared" si="29"/>
        <v/>
      </c>
      <c r="AK119" s="183" t="str">
        <f t="shared" si="30"/>
        <v/>
      </c>
      <c r="AL119" s="5"/>
      <c r="AM119" s="183" t="str">
        <f t="shared" si="31"/>
        <v/>
      </c>
      <c r="AN119" s="183" t="str">
        <f t="shared" si="32"/>
        <v/>
      </c>
      <c r="AO119" s="184">
        <f t="shared" si="33"/>
        <v>0</v>
      </c>
      <c r="AP119" s="184">
        <f t="shared" si="34"/>
        <v>0</v>
      </c>
      <c r="AQ119" s="608" t="str">
        <f t="shared" si="35"/>
        <v/>
      </c>
      <c r="AR119" s="185" t="str">
        <f>IF(COUNTIF(K119:Q119,"F")&gt;0,"",IF(AQ119="PASS",'Statement of Marks'!HZ121,""))</f>
        <v/>
      </c>
      <c r="AS119" s="185" t="str">
        <f>IF(AQ119="PASS",'Statement of Marks'!IA121,"")</f>
        <v/>
      </c>
    </row>
    <row r="120" spans="1:45">
      <c r="A120" s="169">
        <f>IF('Statement of Marks'!A122="","",'Statement of Marks'!A122)</f>
        <v>116</v>
      </c>
      <c r="B120" s="169" t="str">
        <f>IF('Statement of Marks'!B122="","",'Statement of Marks'!B122)</f>
        <v/>
      </c>
      <c r="C120" s="169" t="str">
        <f>IF('Statement of Marks'!D122="","",'Statement of Marks'!D122)</f>
        <v/>
      </c>
      <c r="D120" s="170" t="str">
        <f>IF('Statement of Marks'!E122="","",'Statement of Marks'!E122)</f>
        <v/>
      </c>
      <c r="E120" s="171" t="str">
        <f>IF('Statement of Marks'!F122="","",'Statement of Marks'!F122)</f>
        <v/>
      </c>
      <c r="F120" s="171" t="str">
        <f>IF('Statement of Marks'!G122="","",'Statement of Marks'!G122)</f>
        <v/>
      </c>
      <c r="G120" s="171" t="str">
        <f>IF('Statement of Marks'!H122="","",'Statement of Marks'!H122)</f>
        <v/>
      </c>
      <c r="H120" s="172" t="str">
        <f>IF('Statement of Marks'!HS122="","",'Statement of Marks'!HS122)</f>
        <v/>
      </c>
      <c r="I120" s="172" t="str">
        <f>IF('Statement of Marks'!HV122="","",'Statement of Marks'!HV122)</f>
        <v/>
      </c>
      <c r="J120" s="173" t="str">
        <f>IF('Statement of Marks'!HU122="","",'Statement of Marks'!HU122)</f>
        <v/>
      </c>
      <c r="K120" s="181" t="str">
        <f>'Statement of Marks'!GN122</f>
        <v/>
      </c>
      <c r="L120" s="181" t="str">
        <f>'Statement of Marks'!GQ122</f>
        <v/>
      </c>
      <c r="M120" s="181" t="str">
        <f>'Statement of Marks'!GT122</f>
        <v/>
      </c>
      <c r="N120" s="181" t="str">
        <f>'Statement of Marks'!HB122</f>
        <v/>
      </c>
      <c r="O120" s="181" t="str">
        <f>'Statement of Marks'!HE122</f>
        <v/>
      </c>
      <c r="P120" s="181" t="str">
        <f>'Statement of Marks'!HH122</f>
        <v/>
      </c>
      <c r="Q120" s="181" t="str">
        <f>'Statement of Marks'!HK122</f>
        <v/>
      </c>
      <c r="R120" s="173" t="str">
        <f>IF(COUNTIF(K120:Q120,"F")&gt;0,"",CONCATENATE('Statement of Marks'!HO122,'Statement of Marks'!HQ122))</f>
        <v xml:space="preserve">            </v>
      </c>
      <c r="S120" s="174">
        <f t="shared" si="18"/>
        <v>0</v>
      </c>
      <c r="T120" s="5"/>
      <c r="U120" s="182" t="str">
        <f t="shared" si="19"/>
        <v/>
      </c>
      <c r="V120" s="182" t="str">
        <f t="shared" si="20"/>
        <v/>
      </c>
      <c r="W120" s="5"/>
      <c r="X120" s="182" t="str">
        <f t="shared" si="21"/>
        <v/>
      </c>
      <c r="Y120" s="182" t="str">
        <f t="shared" si="22"/>
        <v/>
      </c>
      <c r="Z120" s="5"/>
      <c r="AA120" s="182" t="str">
        <f t="shared" si="23"/>
        <v/>
      </c>
      <c r="AB120" s="183" t="str">
        <f t="shared" si="24"/>
        <v/>
      </c>
      <c r="AC120" s="5"/>
      <c r="AD120" s="182" t="str">
        <f t="shared" si="25"/>
        <v/>
      </c>
      <c r="AE120" s="183" t="str">
        <f t="shared" si="26"/>
        <v/>
      </c>
      <c r="AF120" s="5"/>
      <c r="AG120" s="182" t="str">
        <f t="shared" si="27"/>
        <v/>
      </c>
      <c r="AH120" s="183" t="str">
        <f t="shared" si="28"/>
        <v/>
      </c>
      <c r="AI120" s="5"/>
      <c r="AJ120" s="183" t="str">
        <f t="shared" si="29"/>
        <v/>
      </c>
      <c r="AK120" s="183" t="str">
        <f t="shared" si="30"/>
        <v/>
      </c>
      <c r="AL120" s="5"/>
      <c r="AM120" s="183" t="str">
        <f t="shared" si="31"/>
        <v/>
      </c>
      <c r="AN120" s="183" t="str">
        <f t="shared" si="32"/>
        <v/>
      </c>
      <c r="AO120" s="184">
        <f t="shared" si="33"/>
        <v>0</v>
      </c>
      <c r="AP120" s="184">
        <f t="shared" si="34"/>
        <v>0</v>
      </c>
      <c r="AQ120" s="608" t="str">
        <f t="shared" si="35"/>
        <v/>
      </c>
      <c r="AR120" s="185" t="str">
        <f>IF(COUNTIF(K120:Q120,"F")&gt;0,"",IF(AQ120="PASS",'Statement of Marks'!HZ122,""))</f>
        <v/>
      </c>
      <c r="AS120" s="185" t="str">
        <f>IF(AQ120="PASS",'Statement of Marks'!IA122,"")</f>
        <v/>
      </c>
    </row>
    <row r="121" spans="1:45">
      <c r="A121" s="169">
        <f>IF('Statement of Marks'!A123="","",'Statement of Marks'!A123)</f>
        <v>117</v>
      </c>
      <c r="B121" s="169" t="str">
        <f>IF('Statement of Marks'!B123="","",'Statement of Marks'!B123)</f>
        <v/>
      </c>
      <c r="C121" s="169" t="str">
        <f>IF('Statement of Marks'!D123="","",'Statement of Marks'!D123)</f>
        <v/>
      </c>
      <c r="D121" s="170" t="str">
        <f>IF('Statement of Marks'!E123="","",'Statement of Marks'!E123)</f>
        <v/>
      </c>
      <c r="E121" s="171" t="str">
        <f>IF('Statement of Marks'!F123="","",'Statement of Marks'!F123)</f>
        <v/>
      </c>
      <c r="F121" s="171" t="str">
        <f>IF('Statement of Marks'!G123="","",'Statement of Marks'!G123)</f>
        <v/>
      </c>
      <c r="G121" s="171" t="str">
        <f>IF('Statement of Marks'!H123="","",'Statement of Marks'!H123)</f>
        <v/>
      </c>
      <c r="H121" s="172" t="str">
        <f>IF('Statement of Marks'!HS123="","",'Statement of Marks'!HS123)</f>
        <v/>
      </c>
      <c r="I121" s="172" t="str">
        <f>IF('Statement of Marks'!HV123="","",'Statement of Marks'!HV123)</f>
        <v/>
      </c>
      <c r="J121" s="173" t="str">
        <f>IF('Statement of Marks'!HU123="","",'Statement of Marks'!HU123)</f>
        <v/>
      </c>
      <c r="K121" s="181" t="str">
        <f>'Statement of Marks'!GN123</f>
        <v/>
      </c>
      <c r="L121" s="181" t="str">
        <f>'Statement of Marks'!GQ123</f>
        <v/>
      </c>
      <c r="M121" s="181" t="str">
        <f>'Statement of Marks'!GT123</f>
        <v/>
      </c>
      <c r="N121" s="181" t="str">
        <f>'Statement of Marks'!HB123</f>
        <v/>
      </c>
      <c r="O121" s="181" t="str">
        <f>'Statement of Marks'!HE123</f>
        <v/>
      </c>
      <c r="P121" s="181" t="str">
        <f>'Statement of Marks'!HH123</f>
        <v/>
      </c>
      <c r="Q121" s="181" t="str">
        <f>'Statement of Marks'!HK123</f>
        <v/>
      </c>
      <c r="R121" s="173" t="str">
        <f>IF(COUNTIF(K121:Q121,"F")&gt;0,"",CONCATENATE('Statement of Marks'!HO123,'Statement of Marks'!HQ123))</f>
        <v xml:space="preserve">            </v>
      </c>
      <c r="S121" s="174">
        <f t="shared" si="18"/>
        <v>0</v>
      </c>
      <c r="T121" s="5"/>
      <c r="U121" s="182" t="str">
        <f t="shared" si="19"/>
        <v/>
      </c>
      <c r="V121" s="182" t="str">
        <f t="shared" si="20"/>
        <v/>
      </c>
      <c r="W121" s="5"/>
      <c r="X121" s="182" t="str">
        <f t="shared" si="21"/>
        <v/>
      </c>
      <c r="Y121" s="182" t="str">
        <f t="shared" si="22"/>
        <v/>
      </c>
      <c r="Z121" s="5"/>
      <c r="AA121" s="182" t="str">
        <f t="shared" si="23"/>
        <v/>
      </c>
      <c r="AB121" s="183" t="str">
        <f t="shared" si="24"/>
        <v/>
      </c>
      <c r="AC121" s="5"/>
      <c r="AD121" s="182" t="str">
        <f t="shared" si="25"/>
        <v/>
      </c>
      <c r="AE121" s="183" t="str">
        <f t="shared" si="26"/>
        <v/>
      </c>
      <c r="AF121" s="5"/>
      <c r="AG121" s="182" t="str">
        <f t="shared" si="27"/>
        <v/>
      </c>
      <c r="AH121" s="183" t="str">
        <f t="shared" si="28"/>
        <v/>
      </c>
      <c r="AI121" s="5"/>
      <c r="AJ121" s="183" t="str">
        <f t="shared" si="29"/>
        <v/>
      </c>
      <c r="AK121" s="183" t="str">
        <f t="shared" si="30"/>
        <v/>
      </c>
      <c r="AL121" s="5"/>
      <c r="AM121" s="183" t="str">
        <f t="shared" si="31"/>
        <v/>
      </c>
      <c r="AN121" s="183" t="str">
        <f t="shared" si="32"/>
        <v/>
      </c>
      <c r="AO121" s="184">
        <f t="shared" si="33"/>
        <v>0</v>
      </c>
      <c r="AP121" s="184">
        <f t="shared" si="34"/>
        <v>0</v>
      </c>
      <c r="AQ121" s="608" t="str">
        <f t="shared" si="35"/>
        <v/>
      </c>
      <c r="AR121" s="185" t="str">
        <f>IF(COUNTIF(K121:Q121,"F")&gt;0,"",IF(AQ121="PASS",'Statement of Marks'!HZ123,""))</f>
        <v/>
      </c>
      <c r="AS121" s="185" t="str">
        <f>IF(AQ121="PASS",'Statement of Marks'!IA123,"")</f>
        <v/>
      </c>
    </row>
    <row r="122" spans="1:45">
      <c r="A122" s="169">
        <f>IF('Statement of Marks'!A124="","",'Statement of Marks'!A124)</f>
        <v>118</v>
      </c>
      <c r="B122" s="169" t="str">
        <f>IF('Statement of Marks'!B124="","",'Statement of Marks'!B124)</f>
        <v/>
      </c>
      <c r="C122" s="169" t="str">
        <f>IF('Statement of Marks'!D124="","",'Statement of Marks'!D124)</f>
        <v/>
      </c>
      <c r="D122" s="170" t="str">
        <f>IF('Statement of Marks'!E124="","",'Statement of Marks'!E124)</f>
        <v/>
      </c>
      <c r="E122" s="171" t="str">
        <f>IF('Statement of Marks'!F124="","",'Statement of Marks'!F124)</f>
        <v/>
      </c>
      <c r="F122" s="171" t="str">
        <f>IF('Statement of Marks'!G124="","",'Statement of Marks'!G124)</f>
        <v/>
      </c>
      <c r="G122" s="171" t="str">
        <f>IF('Statement of Marks'!H124="","",'Statement of Marks'!H124)</f>
        <v/>
      </c>
      <c r="H122" s="172" t="str">
        <f>IF('Statement of Marks'!HS124="","",'Statement of Marks'!HS124)</f>
        <v/>
      </c>
      <c r="I122" s="172" t="str">
        <f>IF('Statement of Marks'!HV124="","",'Statement of Marks'!HV124)</f>
        <v/>
      </c>
      <c r="J122" s="173" t="str">
        <f>IF('Statement of Marks'!HU124="","",'Statement of Marks'!HU124)</f>
        <v/>
      </c>
      <c r="K122" s="181" t="str">
        <f>'Statement of Marks'!GN124</f>
        <v/>
      </c>
      <c r="L122" s="181" t="str">
        <f>'Statement of Marks'!GQ124</f>
        <v/>
      </c>
      <c r="M122" s="181" t="str">
        <f>'Statement of Marks'!GT124</f>
        <v/>
      </c>
      <c r="N122" s="181" t="str">
        <f>'Statement of Marks'!HB124</f>
        <v/>
      </c>
      <c r="O122" s="181" t="str">
        <f>'Statement of Marks'!HE124</f>
        <v/>
      </c>
      <c r="P122" s="181" t="str">
        <f>'Statement of Marks'!HH124</f>
        <v/>
      </c>
      <c r="Q122" s="181" t="str">
        <f>'Statement of Marks'!HK124</f>
        <v/>
      </c>
      <c r="R122" s="173" t="str">
        <f>IF(COUNTIF(K122:Q122,"F")&gt;0,"",CONCATENATE('Statement of Marks'!HO124,'Statement of Marks'!HQ124))</f>
        <v xml:space="preserve">            </v>
      </c>
      <c r="S122" s="174">
        <f t="shared" si="18"/>
        <v>0</v>
      </c>
      <c r="T122" s="5"/>
      <c r="U122" s="182" t="str">
        <f t="shared" si="19"/>
        <v/>
      </c>
      <c r="V122" s="182" t="str">
        <f t="shared" si="20"/>
        <v/>
      </c>
      <c r="W122" s="5"/>
      <c r="X122" s="182" t="str">
        <f t="shared" si="21"/>
        <v/>
      </c>
      <c r="Y122" s="182" t="str">
        <f t="shared" si="22"/>
        <v/>
      </c>
      <c r="Z122" s="5"/>
      <c r="AA122" s="182" t="str">
        <f t="shared" si="23"/>
        <v/>
      </c>
      <c r="AB122" s="183" t="str">
        <f t="shared" si="24"/>
        <v/>
      </c>
      <c r="AC122" s="5"/>
      <c r="AD122" s="182" t="str">
        <f t="shared" si="25"/>
        <v/>
      </c>
      <c r="AE122" s="183" t="str">
        <f t="shared" si="26"/>
        <v/>
      </c>
      <c r="AF122" s="5"/>
      <c r="AG122" s="182" t="str">
        <f t="shared" si="27"/>
        <v/>
      </c>
      <c r="AH122" s="183" t="str">
        <f t="shared" si="28"/>
        <v/>
      </c>
      <c r="AI122" s="5"/>
      <c r="AJ122" s="183" t="str">
        <f t="shared" si="29"/>
        <v/>
      </c>
      <c r="AK122" s="183" t="str">
        <f t="shared" si="30"/>
        <v/>
      </c>
      <c r="AL122" s="5"/>
      <c r="AM122" s="183" t="str">
        <f t="shared" si="31"/>
        <v/>
      </c>
      <c r="AN122" s="183" t="str">
        <f t="shared" si="32"/>
        <v/>
      </c>
      <c r="AO122" s="184">
        <f t="shared" si="33"/>
        <v>0</v>
      </c>
      <c r="AP122" s="184">
        <f t="shared" si="34"/>
        <v>0</v>
      </c>
      <c r="AQ122" s="608" t="str">
        <f t="shared" si="35"/>
        <v/>
      </c>
      <c r="AR122" s="185" t="str">
        <f>IF(COUNTIF(K122:Q122,"F")&gt;0,"",IF(AQ122="PASS",'Statement of Marks'!HZ124,""))</f>
        <v/>
      </c>
      <c r="AS122" s="185" t="str">
        <f>IF(AQ122="PASS",'Statement of Marks'!IA124,"")</f>
        <v/>
      </c>
    </row>
    <row r="123" spans="1:45">
      <c r="A123" s="169">
        <f>IF('Statement of Marks'!A125="","",'Statement of Marks'!A125)</f>
        <v>119</v>
      </c>
      <c r="B123" s="169" t="str">
        <f>IF('Statement of Marks'!B125="","",'Statement of Marks'!B125)</f>
        <v/>
      </c>
      <c r="C123" s="169" t="str">
        <f>IF('Statement of Marks'!D125="","",'Statement of Marks'!D125)</f>
        <v/>
      </c>
      <c r="D123" s="170" t="str">
        <f>IF('Statement of Marks'!E125="","",'Statement of Marks'!E125)</f>
        <v/>
      </c>
      <c r="E123" s="171" t="str">
        <f>IF('Statement of Marks'!F125="","",'Statement of Marks'!F125)</f>
        <v/>
      </c>
      <c r="F123" s="171" t="str">
        <f>IF('Statement of Marks'!G125="","",'Statement of Marks'!G125)</f>
        <v/>
      </c>
      <c r="G123" s="171" t="str">
        <f>IF('Statement of Marks'!H125="","",'Statement of Marks'!H125)</f>
        <v/>
      </c>
      <c r="H123" s="172" t="str">
        <f>IF('Statement of Marks'!HS125="","",'Statement of Marks'!HS125)</f>
        <v/>
      </c>
      <c r="I123" s="172" t="str">
        <f>IF('Statement of Marks'!HV125="","",'Statement of Marks'!HV125)</f>
        <v/>
      </c>
      <c r="J123" s="173" t="str">
        <f>IF('Statement of Marks'!HU125="","",'Statement of Marks'!HU125)</f>
        <v/>
      </c>
      <c r="K123" s="181" t="str">
        <f>'Statement of Marks'!GN125</f>
        <v/>
      </c>
      <c r="L123" s="181" t="str">
        <f>'Statement of Marks'!GQ125</f>
        <v/>
      </c>
      <c r="M123" s="181" t="str">
        <f>'Statement of Marks'!GT125</f>
        <v/>
      </c>
      <c r="N123" s="181" t="str">
        <f>'Statement of Marks'!HB125</f>
        <v/>
      </c>
      <c r="O123" s="181" t="str">
        <f>'Statement of Marks'!HE125</f>
        <v/>
      </c>
      <c r="P123" s="181" t="str">
        <f>'Statement of Marks'!HH125</f>
        <v/>
      </c>
      <c r="Q123" s="181" t="str">
        <f>'Statement of Marks'!HK125</f>
        <v/>
      </c>
      <c r="R123" s="173" t="str">
        <f>IF(COUNTIF(K123:Q123,"F")&gt;0,"",CONCATENATE('Statement of Marks'!HO125,'Statement of Marks'!HQ125))</f>
        <v xml:space="preserve">            </v>
      </c>
      <c r="S123" s="174">
        <f t="shared" si="18"/>
        <v>0</v>
      </c>
      <c r="T123" s="5"/>
      <c r="U123" s="182" t="str">
        <f t="shared" si="19"/>
        <v/>
      </c>
      <c r="V123" s="182" t="str">
        <f t="shared" si="20"/>
        <v/>
      </c>
      <c r="W123" s="5"/>
      <c r="X123" s="182" t="str">
        <f t="shared" si="21"/>
        <v/>
      </c>
      <c r="Y123" s="182" t="str">
        <f t="shared" si="22"/>
        <v/>
      </c>
      <c r="Z123" s="5"/>
      <c r="AA123" s="182" t="str">
        <f t="shared" si="23"/>
        <v/>
      </c>
      <c r="AB123" s="183" t="str">
        <f t="shared" si="24"/>
        <v/>
      </c>
      <c r="AC123" s="5"/>
      <c r="AD123" s="182" t="str">
        <f t="shared" si="25"/>
        <v/>
      </c>
      <c r="AE123" s="183" t="str">
        <f t="shared" si="26"/>
        <v/>
      </c>
      <c r="AF123" s="5"/>
      <c r="AG123" s="182" t="str">
        <f t="shared" si="27"/>
        <v/>
      </c>
      <c r="AH123" s="183" t="str">
        <f t="shared" si="28"/>
        <v/>
      </c>
      <c r="AI123" s="5"/>
      <c r="AJ123" s="183" t="str">
        <f t="shared" si="29"/>
        <v/>
      </c>
      <c r="AK123" s="183" t="str">
        <f t="shared" si="30"/>
        <v/>
      </c>
      <c r="AL123" s="5"/>
      <c r="AM123" s="183" t="str">
        <f t="shared" si="31"/>
        <v/>
      </c>
      <c r="AN123" s="183" t="str">
        <f t="shared" si="32"/>
        <v/>
      </c>
      <c r="AO123" s="184">
        <f t="shared" si="33"/>
        <v>0</v>
      </c>
      <c r="AP123" s="184">
        <f t="shared" si="34"/>
        <v>0</v>
      </c>
      <c r="AQ123" s="608" t="str">
        <f t="shared" si="35"/>
        <v/>
      </c>
      <c r="AR123" s="185" t="str">
        <f>IF(COUNTIF(K123:Q123,"F")&gt;0,"",IF(AQ123="PASS",'Statement of Marks'!HZ125,""))</f>
        <v/>
      </c>
      <c r="AS123" s="185" t="str">
        <f>IF(AQ123="PASS",'Statement of Marks'!IA125,"")</f>
        <v/>
      </c>
    </row>
    <row r="124" spans="1:45">
      <c r="A124" s="169">
        <f>IF('Statement of Marks'!A126="","",'Statement of Marks'!A126)</f>
        <v>120</v>
      </c>
      <c r="B124" s="169" t="str">
        <f>IF('Statement of Marks'!B126="","",'Statement of Marks'!B126)</f>
        <v/>
      </c>
      <c r="C124" s="169" t="str">
        <f>IF('Statement of Marks'!D126="","",'Statement of Marks'!D126)</f>
        <v/>
      </c>
      <c r="D124" s="170" t="str">
        <f>IF('Statement of Marks'!E126="","",'Statement of Marks'!E126)</f>
        <v/>
      </c>
      <c r="E124" s="171" t="str">
        <f>IF('Statement of Marks'!F126="","",'Statement of Marks'!F126)</f>
        <v/>
      </c>
      <c r="F124" s="171" t="str">
        <f>IF('Statement of Marks'!G126="","",'Statement of Marks'!G126)</f>
        <v/>
      </c>
      <c r="G124" s="171" t="str">
        <f>IF('Statement of Marks'!H126="","",'Statement of Marks'!H126)</f>
        <v/>
      </c>
      <c r="H124" s="172" t="str">
        <f>IF('Statement of Marks'!HS126="","",'Statement of Marks'!HS126)</f>
        <v/>
      </c>
      <c r="I124" s="172" t="str">
        <f>IF('Statement of Marks'!HV126="","",'Statement of Marks'!HV126)</f>
        <v/>
      </c>
      <c r="J124" s="173" t="str">
        <f>IF('Statement of Marks'!HU126="","",'Statement of Marks'!HU126)</f>
        <v/>
      </c>
      <c r="K124" s="181" t="str">
        <f>'Statement of Marks'!GN126</f>
        <v/>
      </c>
      <c r="L124" s="181" t="str">
        <f>'Statement of Marks'!GQ126</f>
        <v/>
      </c>
      <c r="M124" s="181" t="str">
        <f>'Statement of Marks'!GT126</f>
        <v/>
      </c>
      <c r="N124" s="181" t="str">
        <f>'Statement of Marks'!HB126</f>
        <v/>
      </c>
      <c r="O124" s="181" t="str">
        <f>'Statement of Marks'!HE126</f>
        <v/>
      </c>
      <c r="P124" s="181" t="str">
        <f>'Statement of Marks'!HH126</f>
        <v/>
      </c>
      <c r="Q124" s="181" t="str">
        <f>'Statement of Marks'!HK126</f>
        <v/>
      </c>
      <c r="R124" s="173" t="str">
        <f>IF(COUNTIF(K124:Q124,"F")&gt;0,"",CONCATENATE('Statement of Marks'!HO126,'Statement of Marks'!HQ126))</f>
        <v xml:space="preserve">            </v>
      </c>
      <c r="S124" s="174">
        <f t="shared" si="18"/>
        <v>0</v>
      </c>
      <c r="T124" s="5"/>
      <c r="U124" s="182" t="str">
        <f t="shared" si="19"/>
        <v/>
      </c>
      <c r="V124" s="182" t="str">
        <f t="shared" si="20"/>
        <v/>
      </c>
      <c r="W124" s="5"/>
      <c r="X124" s="182" t="str">
        <f t="shared" si="21"/>
        <v/>
      </c>
      <c r="Y124" s="182" t="str">
        <f t="shared" si="22"/>
        <v/>
      </c>
      <c r="Z124" s="5"/>
      <c r="AA124" s="182" t="str">
        <f t="shared" si="23"/>
        <v/>
      </c>
      <c r="AB124" s="183" t="str">
        <f t="shared" si="24"/>
        <v/>
      </c>
      <c r="AC124" s="5"/>
      <c r="AD124" s="182" t="str">
        <f t="shared" si="25"/>
        <v/>
      </c>
      <c r="AE124" s="183" t="str">
        <f t="shared" si="26"/>
        <v/>
      </c>
      <c r="AF124" s="5"/>
      <c r="AG124" s="182" t="str">
        <f t="shared" si="27"/>
        <v/>
      </c>
      <c r="AH124" s="183" t="str">
        <f t="shared" si="28"/>
        <v/>
      </c>
      <c r="AI124" s="5"/>
      <c r="AJ124" s="183" t="str">
        <f t="shared" si="29"/>
        <v/>
      </c>
      <c r="AK124" s="183" t="str">
        <f t="shared" si="30"/>
        <v/>
      </c>
      <c r="AL124" s="5"/>
      <c r="AM124" s="183" t="str">
        <f t="shared" si="31"/>
        <v/>
      </c>
      <c r="AN124" s="183" t="str">
        <f t="shared" si="32"/>
        <v/>
      </c>
      <c r="AO124" s="184">
        <f t="shared" si="33"/>
        <v>0</v>
      </c>
      <c r="AP124" s="184">
        <f t="shared" si="34"/>
        <v>0</v>
      </c>
      <c r="AQ124" s="608" t="str">
        <f t="shared" si="35"/>
        <v/>
      </c>
      <c r="AR124" s="185" t="str">
        <f>IF(COUNTIF(K124:Q124,"F")&gt;0,"",IF(AQ124="PASS",'Statement of Marks'!HZ126,""))</f>
        <v/>
      </c>
      <c r="AS124" s="185" t="str">
        <f>IF(AQ124="PASS",'Statement of Marks'!IA126,"")</f>
        <v/>
      </c>
    </row>
    <row r="125" spans="1:45">
      <c r="A125" s="169">
        <f>IF('Statement of Marks'!A127="","",'Statement of Marks'!A127)</f>
        <v>121</v>
      </c>
      <c r="B125" s="169" t="str">
        <f>IF('Statement of Marks'!B127="","",'Statement of Marks'!B127)</f>
        <v/>
      </c>
      <c r="C125" s="169" t="str">
        <f>IF('Statement of Marks'!D127="","",'Statement of Marks'!D127)</f>
        <v/>
      </c>
      <c r="D125" s="170" t="str">
        <f>IF('Statement of Marks'!E127="","",'Statement of Marks'!E127)</f>
        <v/>
      </c>
      <c r="E125" s="171" t="str">
        <f>IF('Statement of Marks'!F127="","",'Statement of Marks'!F127)</f>
        <v/>
      </c>
      <c r="F125" s="171" t="str">
        <f>IF('Statement of Marks'!G127="","",'Statement of Marks'!G127)</f>
        <v/>
      </c>
      <c r="G125" s="171" t="str">
        <f>IF('Statement of Marks'!H127="","",'Statement of Marks'!H127)</f>
        <v/>
      </c>
      <c r="H125" s="172" t="str">
        <f>IF('Statement of Marks'!HS127="","",'Statement of Marks'!HS127)</f>
        <v/>
      </c>
      <c r="I125" s="172" t="str">
        <f>IF('Statement of Marks'!HV127="","",'Statement of Marks'!HV127)</f>
        <v/>
      </c>
      <c r="J125" s="173" t="str">
        <f>IF('Statement of Marks'!HU127="","",'Statement of Marks'!HU127)</f>
        <v/>
      </c>
      <c r="K125" s="181" t="str">
        <f>'Statement of Marks'!GN127</f>
        <v/>
      </c>
      <c r="L125" s="181" t="str">
        <f>'Statement of Marks'!GQ127</f>
        <v/>
      </c>
      <c r="M125" s="181" t="str">
        <f>'Statement of Marks'!GT127</f>
        <v/>
      </c>
      <c r="N125" s="181" t="str">
        <f>'Statement of Marks'!HB127</f>
        <v/>
      </c>
      <c r="O125" s="181" t="str">
        <f>'Statement of Marks'!HE127</f>
        <v/>
      </c>
      <c r="P125" s="181" t="str">
        <f>'Statement of Marks'!HH127</f>
        <v/>
      </c>
      <c r="Q125" s="181" t="str">
        <f>'Statement of Marks'!HK127</f>
        <v/>
      </c>
      <c r="R125" s="173" t="str">
        <f>IF(COUNTIF(K125:Q125,"F")&gt;0,"",CONCATENATE('Statement of Marks'!HO127,'Statement of Marks'!HQ127))</f>
        <v xml:space="preserve">            </v>
      </c>
      <c r="S125" s="174">
        <f t="shared" si="18"/>
        <v>0</v>
      </c>
      <c r="T125" s="5"/>
      <c r="U125" s="182" t="str">
        <f t="shared" si="19"/>
        <v/>
      </c>
      <c r="V125" s="182" t="str">
        <f t="shared" si="20"/>
        <v/>
      </c>
      <c r="W125" s="5"/>
      <c r="X125" s="182" t="str">
        <f t="shared" si="21"/>
        <v/>
      </c>
      <c r="Y125" s="182" t="str">
        <f t="shared" si="22"/>
        <v/>
      </c>
      <c r="Z125" s="5"/>
      <c r="AA125" s="182" t="str">
        <f t="shared" si="23"/>
        <v/>
      </c>
      <c r="AB125" s="183" t="str">
        <f t="shared" si="24"/>
        <v/>
      </c>
      <c r="AC125" s="5"/>
      <c r="AD125" s="182" t="str">
        <f t="shared" si="25"/>
        <v/>
      </c>
      <c r="AE125" s="183" t="str">
        <f t="shared" si="26"/>
        <v/>
      </c>
      <c r="AF125" s="5"/>
      <c r="AG125" s="182" t="str">
        <f t="shared" si="27"/>
        <v/>
      </c>
      <c r="AH125" s="183" t="str">
        <f t="shared" si="28"/>
        <v/>
      </c>
      <c r="AI125" s="5"/>
      <c r="AJ125" s="183" t="str">
        <f t="shared" si="29"/>
        <v/>
      </c>
      <c r="AK125" s="183" t="str">
        <f t="shared" si="30"/>
        <v/>
      </c>
      <c r="AL125" s="5"/>
      <c r="AM125" s="183" t="str">
        <f t="shared" si="31"/>
        <v/>
      </c>
      <c r="AN125" s="183" t="str">
        <f t="shared" si="32"/>
        <v/>
      </c>
      <c r="AO125" s="184">
        <f t="shared" si="33"/>
        <v>0</v>
      </c>
      <c r="AP125" s="184">
        <f t="shared" si="34"/>
        <v>0</v>
      </c>
      <c r="AQ125" s="608" t="str">
        <f t="shared" si="35"/>
        <v/>
      </c>
      <c r="AR125" s="185" t="str">
        <f>IF(COUNTIF(K125:Q125,"F")&gt;0,"",IF(AQ125="PASS",'Statement of Marks'!HZ127,""))</f>
        <v/>
      </c>
      <c r="AS125" s="185" t="str">
        <f>IF(AQ125="PASS",'Statement of Marks'!IA127,"")</f>
        <v/>
      </c>
    </row>
    <row r="126" spans="1:45">
      <c r="A126" s="169">
        <f>IF('Statement of Marks'!A128="","",'Statement of Marks'!A128)</f>
        <v>122</v>
      </c>
      <c r="B126" s="169" t="str">
        <f>IF('Statement of Marks'!B128="","",'Statement of Marks'!B128)</f>
        <v/>
      </c>
      <c r="C126" s="169" t="str">
        <f>IF('Statement of Marks'!D128="","",'Statement of Marks'!D128)</f>
        <v/>
      </c>
      <c r="D126" s="170" t="str">
        <f>IF('Statement of Marks'!E128="","",'Statement of Marks'!E128)</f>
        <v/>
      </c>
      <c r="E126" s="171" t="str">
        <f>IF('Statement of Marks'!F128="","",'Statement of Marks'!F128)</f>
        <v/>
      </c>
      <c r="F126" s="171" t="str">
        <f>IF('Statement of Marks'!G128="","",'Statement of Marks'!G128)</f>
        <v/>
      </c>
      <c r="G126" s="171" t="str">
        <f>IF('Statement of Marks'!H128="","",'Statement of Marks'!H128)</f>
        <v/>
      </c>
      <c r="H126" s="172" t="str">
        <f>IF('Statement of Marks'!HS128="","",'Statement of Marks'!HS128)</f>
        <v/>
      </c>
      <c r="I126" s="172" t="str">
        <f>IF('Statement of Marks'!HV128="","",'Statement of Marks'!HV128)</f>
        <v/>
      </c>
      <c r="J126" s="173" t="str">
        <f>IF('Statement of Marks'!HU128="","",'Statement of Marks'!HU128)</f>
        <v/>
      </c>
      <c r="K126" s="181" t="str">
        <f>'Statement of Marks'!GN128</f>
        <v/>
      </c>
      <c r="L126" s="181" t="str">
        <f>'Statement of Marks'!GQ128</f>
        <v/>
      </c>
      <c r="M126" s="181" t="str">
        <f>'Statement of Marks'!GT128</f>
        <v/>
      </c>
      <c r="N126" s="181" t="str">
        <f>'Statement of Marks'!HB128</f>
        <v/>
      </c>
      <c r="O126" s="181" t="str">
        <f>'Statement of Marks'!HE128</f>
        <v/>
      </c>
      <c r="P126" s="181" t="str">
        <f>'Statement of Marks'!HH128</f>
        <v/>
      </c>
      <c r="Q126" s="181" t="str">
        <f>'Statement of Marks'!HK128</f>
        <v/>
      </c>
      <c r="R126" s="173" t="str">
        <f>IF(COUNTIF(K126:Q126,"F")&gt;0,"",CONCATENATE('Statement of Marks'!HO128,'Statement of Marks'!HQ128))</f>
        <v xml:space="preserve">            </v>
      </c>
      <c r="S126" s="174">
        <f t="shared" si="18"/>
        <v>0</v>
      </c>
      <c r="T126" s="5"/>
      <c r="U126" s="182" t="str">
        <f t="shared" si="19"/>
        <v/>
      </c>
      <c r="V126" s="182" t="str">
        <f t="shared" si="20"/>
        <v/>
      </c>
      <c r="W126" s="5"/>
      <c r="X126" s="182" t="str">
        <f t="shared" si="21"/>
        <v/>
      </c>
      <c r="Y126" s="182" t="str">
        <f t="shared" si="22"/>
        <v/>
      </c>
      <c r="Z126" s="5"/>
      <c r="AA126" s="182" t="str">
        <f t="shared" si="23"/>
        <v/>
      </c>
      <c r="AB126" s="183" t="str">
        <f t="shared" si="24"/>
        <v/>
      </c>
      <c r="AC126" s="5"/>
      <c r="AD126" s="182" t="str">
        <f t="shared" si="25"/>
        <v/>
      </c>
      <c r="AE126" s="183" t="str">
        <f t="shared" si="26"/>
        <v/>
      </c>
      <c r="AF126" s="5"/>
      <c r="AG126" s="182" t="str">
        <f t="shared" si="27"/>
        <v/>
      </c>
      <c r="AH126" s="183" t="str">
        <f t="shared" si="28"/>
        <v/>
      </c>
      <c r="AI126" s="5"/>
      <c r="AJ126" s="183" t="str">
        <f t="shared" si="29"/>
        <v/>
      </c>
      <c r="AK126" s="183" t="str">
        <f t="shared" si="30"/>
        <v/>
      </c>
      <c r="AL126" s="5"/>
      <c r="AM126" s="183" t="str">
        <f t="shared" si="31"/>
        <v/>
      </c>
      <c r="AN126" s="183" t="str">
        <f t="shared" si="32"/>
        <v/>
      </c>
      <c r="AO126" s="184">
        <f t="shared" si="33"/>
        <v>0</v>
      </c>
      <c r="AP126" s="184">
        <f t="shared" si="34"/>
        <v>0</v>
      </c>
      <c r="AQ126" s="608" t="str">
        <f t="shared" si="35"/>
        <v/>
      </c>
      <c r="AR126" s="185" t="str">
        <f>IF(COUNTIF(K126:Q126,"F")&gt;0,"",IF(AQ126="PASS",'Statement of Marks'!HZ128,""))</f>
        <v/>
      </c>
      <c r="AS126" s="185" t="str">
        <f>IF(AQ126="PASS",'Statement of Marks'!IA128,"")</f>
        <v/>
      </c>
    </row>
    <row r="127" spans="1:45">
      <c r="A127" s="169">
        <f>IF('Statement of Marks'!A129="","",'Statement of Marks'!A129)</f>
        <v>123</v>
      </c>
      <c r="B127" s="169" t="str">
        <f>IF('Statement of Marks'!B129="","",'Statement of Marks'!B129)</f>
        <v/>
      </c>
      <c r="C127" s="169" t="str">
        <f>IF('Statement of Marks'!D129="","",'Statement of Marks'!D129)</f>
        <v/>
      </c>
      <c r="D127" s="170" t="str">
        <f>IF('Statement of Marks'!E129="","",'Statement of Marks'!E129)</f>
        <v/>
      </c>
      <c r="E127" s="171" t="str">
        <f>IF('Statement of Marks'!F129="","",'Statement of Marks'!F129)</f>
        <v/>
      </c>
      <c r="F127" s="171" t="str">
        <f>IF('Statement of Marks'!G129="","",'Statement of Marks'!G129)</f>
        <v/>
      </c>
      <c r="G127" s="171" t="str">
        <f>IF('Statement of Marks'!H129="","",'Statement of Marks'!H129)</f>
        <v/>
      </c>
      <c r="H127" s="172" t="str">
        <f>IF('Statement of Marks'!HS129="","",'Statement of Marks'!HS129)</f>
        <v/>
      </c>
      <c r="I127" s="172" t="str">
        <f>IF('Statement of Marks'!HV129="","",'Statement of Marks'!HV129)</f>
        <v/>
      </c>
      <c r="J127" s="173" t="str">
        <f>IF('Statement of Marks'!HU129="","",'Statement of Marks'!HU129)</f>
        <v/>
      </c>
      <c r="K127" s="181" t="str">
        <f>'Statement of Marks'!GN129</f>
        <v/>
      </c>
      <c r="L127" s="181" t="str">
        <f>'Statement of Marks'!GQ129</f>
        <v/>
      </c>
      <c r="M127" s="181" t="str">
        <f>'Statement of Marks'!GT129</f>
        <v/>
      </c>
      <c r="N127" s="181" t="str">
        <f>'Statement of Marks'!HB129</f>
        <v/>
      </c>
      <c r="O127" s="181" t="str">
        <f>'Statement of Marks'!HE129</f>
        <v/>
      </c>
      <c r="P127" s="181" t="str">
        <f>'Statement of Marks'!HH129</f>
        <v/>
      </c>
      <c r="Q127" s="181" t="str">
        <f>'Statement of Marks'!HK129</f>
        <v/>
      </c>
      <c r="R127" s="173" t="str">
        <f>IF(COUNTIF(K127:Q127,"F")&gt;0,"",CONCATENATE('Statement of Marks'!HO129,'Statement of Marks'!HQ129))</f>
        <v xml:space="preserve">            </v>
      </c>
      <c r="S127" s="174">
        <f t="shared" si="18"/>
        <v>0</v>
      </c>
      <c r="T127" s="5"/>
      <c r="U127" s="182" t="str">
        <f t="shared" si="19"/>
        <v/>
      </c>
      <c r="V127" s="182" t="str">
        <f t="shared" si="20"/>
        <v/>
      </c>
      <c r="W127" s="5"/>
      <c r="X127" s="182" t="str">
        <f t="shared" si="21"/>
        <v/>
      </c>
      <c r="Y127" s="182" t="str">
        <f t="shared" si="22"/>
        <v/>
      </c>
      <c r="Z127" s="5"/>
      <c r="AA127" s="182" t="str">
        <f t="shared" si="23"/>
        <v/>
      </c>
      <c r="AB127" s="183" t="str">
        <f t="shared" si="24"/>
        <v/>
      </c>
      <c r="AC127" s="5"/>
      <c r="AD127" s="182" t="str">
        <f t="shared" si="25"/>
        <v/>
      </c>
      <c r="AE127" s="183" t="str">
        <f t="shared" si="26"/>
        <v/>
      </c>
      <c r="AF127" s="5"/>
      <c r="AG127" s="182" t="str">
        <f t="shared" si="27"/>
        <v/>
      </c>
      <c r="AH127" s="183" t="str">
        <f t="shared" si="28"/>
        <v/>
      </c>
      <c r="AI127" s="5"/>
      <c r="AJ127" s="183" t="str">
        <f t="shared" si="29"/>
        <v/>
      </c>
      <c r="AK127" s="183" t="str">
        <f t="shared" si="30"/>
        <v/>
      </c>
      <c r="AL127" s="5"/>
      <c r="AM127" s="183" t="str">
        <f t="shared" si="31"/>
        <v/>
      </c>
      <c r="AN127" s="183" t="str">
        <f t="shared" si="32"/>
        <v/>
      </c>
      <c r="AO127" s="184">
        <f t="shared" si="33"/>
        <v>0</v>
      </c>
      <c r="AP127" s="184">
        <f t="shared" si="34"/>
        <v>0</v>
      </c>
      <c r="AQ127" s="608" t="str">
        <f t="shared" si="35"/>
        <v/>
      </c>
      <c r="AR127" s="185" t="str">
        <f>IF(COUNTIF(K127:Q127,"F")&gt;0,"",IF(AQ127="PASS",'Statement of Marks'!HZ129,""))</f>
        <v/>
      </c>
      <c r="AS127" s="185" t="str">
        <f>IF(AQ127="PASS",'Statement of Marks'!IA129,"")</f>
        <v/>
      </c>
    </row>
    <row r="128" spans="1:45">
      <c r="A128" s="169">
        <f>IF('Statement of Marks'!A130="","",'Statement of Marks'!A130)</f>
        <v>124</v>
      </c>
      <c r="B128" s="169" t="str">
        <f>IF('Statement of Marks'!B130="","",'Statement of Marks'!B130)</f>
        <v/>
      </c>
      <c r="C128" s="169" t="str">
        <f>IF('Statement of Marks'!D130="","",'Statement of Marks'!D130)</f>
        <v/>
      </c>
      <c r="D128" s="170" t="str">
        <f>IF('Statement of Marks'!E130="","",'Statement of Marks'!E130)</f>
        <v/>
      </c>
      <c r="E128" s="171" t="str">
        <f>IF('Statement of Marks'!F130="","",'Statement of Marks'!F130)</f>
        <v/>
      </c>
      <c r="F128" s="171" t="str">
        <f>IF('Statement of Marks'!G130="","",'Statement of Marks'!G130)</f>
        <v/>
      </c>
      <c r="G128" s="171" t="str">
        <f>IF('Statement of Marks'!H130="","",'Statement of Marks'!H130)</f>
        <v/>
      </c>
      <c r="H128" s="172" t="str">
        <f>IF('Statement of Marks'!HS130="","",'Statement of Marks'!HS130)</f>
        <v/>
      </c>
      <c r="I128" s="172" t="str">
        <f>IF('Statement of Marks'!HV130="","",'Statement of Marks'!HV130)</f>
        <v/>
      </c>
      <c r="J128" s="173" t="str">
        <f>IF('Statement of Marks'!HU130="","",'Statement of Marks'!HU130)</f>
        <v/>
      </c>
      <c r="K128" s="181" t="str">
        <f>'Statement of Marks'!GN130</f>
        <v/>
      </c>
      <c r="L128" s="181" t="str">
        <f>'Statement of Marks'!GQ130</f>
        <v/>
      </c>
      <c r="M128" s="181" t="str">
        <f>'Statement of Marks'!GT130</f>
        <v/>
      </c>
      <c r="N128" s="181" t="str">
        <f>'Statement of Marks'!HB130</f>
        <v/>
      </c>
      <c r="O128" s="181" t="str">
        <f>'Statement of Marks'!HE130</f>
        <v/>
      </c>
      <c r="P128" s="181" t="str">
        <f>'Statement of Marks'!HH130</f>
        <v/>
      </c>
      <c r="Q128" s="181" t="str">
        <f>'Statement of Marks'!HK130</f>
        <v/>
      </c>
      <c r="R128" s="173" t="str">
        <f>IF(COUNTIF(K128:Q128,"F")&gt;0,"",CONCATENATE('Statement of Marks'!HO130,'Statement of Marks'!HQ130))</f>
        <v xml:space="preserve">            </v>
      </c>
      <c r="S128" s="174">
        <f t="shared" si="18"/>
        <v>0</v>
      </c>
      <c r="T128" s="5"/>
      <c r="U128" s="182" t="str">
        <f t="shared" si="19"/>
        <v/>
      </c>
      <c r="V128" s="182" t="str">
        <f t="shared" si="20"/>
        <v/>
      </c>
      <c r="W128" s="5"/>
      <c r="X128" s="182" t="str">
        <f t="shared" si="21"/>
        <v/>
      </c>
      <c r="Y128" s="182" t="str">
        <f t="shared" si="22"/>
        <v/>
      </c>
      <c r="Z128" s="5"/>
      <c r="AA128" s="182" t="str">
        <f t="shared" si="23"/>
        <v/>
      </c>
      <c r="AB128" s="183" t="str">
        <f t="shared" si="24"/>
        <v/>
      </c>
      <c r="AC128" s="5"/>
      <c r="AD128" s="182" t="str">
        <f t="shared" si="25"/>
        <v/>
      </c>
      <c r="AE128" s="183" t="str">
        <f t="shared" si="26"/>
        <v/>
      </c>
      <c r="AF128" s="5"/>
      <c r="AG128" s="182" t="str">
        <f t="shared" si="27"/>
        <v/>
      </c>
      <c r="AH128" s="183" t="str">
        <f t="shared" si="28"/>
        <v/>
      </c>
      <c r="AI128" s="5"/>
      <c r="AJ128" s="183" t="str">
        <f t="shared" si="29"/>
        <v/>
      </c>
      <c r="AK128" s="183" t="str">
        <f t="shared" si="30"/>
        <v/>
      </c>
      <c r="AL128" s="5"/>
      <c r="AM128" s="183" t="str">
        <f t="shared" si="31"/>
        <v/>
      </c>
      <c r="AN128" s="183" t="str">
        <f t="shared" si="32"/>
        <v/>
      </c>
      <c r="AO128" s="184">
        <f t="shared" si="33"/>
        <v>0</v>
      </c>
      <c r="AP128" s="184">
        <f t="shared" si="34"/>
        <v>0</v>
      </c>
      <c r="AQ128" s="608" t="str">
        <f t="shared" si="35"/>
        <v/>
      </c>
      <c r="AR128" s="185" t="str">
        <f>IF(COUNTIF(K128:Q128,"F")&gt;0,"",IF(AQ128="PASS",'Statement of Marks'!HZ130,""))</f>
        <v/>
      </c>
      <c r="AS128" s="185" t="str">
        <f>IF(AQ128="PASS",'Statement of Marks'!IA130,"")</f>
        <v/>
      </c>
    </row>
    <row r="129" spans="1:45">
      <c r="A129" s="169">
        <f>IF('Statement of Marks'!A131="","",'Statement of Marks'!A131)</f>
        <v>125</v>
      </c>
      <c r="B129" s="169" t="str">
        <f>IF('Statement of Marks'!B131="","",'Statement of Marks'!B131)</f>
        <v/>
      </c>
      <c r="C129" s="169" t="str">
        <f>IF('Statement of Marks'!D131="","",'Statement of Marks'!D131)</f>
        <v/>
      </c>
      <c r="D129" s="170" t="str">
        <f>IF('Statement of Marks'!E131="","",'Statement of Marks'!E131)</f>
        <v/>
      </c>
      <c r="E129" s="171" t="str">
        <f>IF('Statement of Marks'!F131="","",'Statement of Marks'!F131)</f>
        <v/>
      </c>
      <c r="F129" s="171" t="str">
        <f>IF('Statement of Marks'!G131="","",'Statement of Marks'!G131)</f>
        <v/>
      </c>
      <c r="G129" s="171" t="str">
        <f>IF('Statement of Marks'!H131="","",'Statement of Marks'!H131)</f>
        <v/>
      </c>
      <c r="H129" s="172" t="str">
        <f>IF('Statement of Marks'!HS131="","",'Statement of Marks'!HS131)</f>
        <v/>
      </c>
      <c r="I129" s="172" t="str">
        <f>IF('Statement of Marks'!HV131="","",'Statement of Marks'!HV131)</f>
        <v/>
      </c>
      <c r="J129" s="173" t="str">
        <f>IF('Statement of Marks'!HU131="","",'Statement of Marks'!HU131)</f>
        <v/>
      </c>
      <c r="K129" s="181" t="str">
        <f>'Statement of Marks'!GN131</f>
        <v/>
      </c>
      <c r="L129" s="181" t="str">
        <f>'Statement of Marks'!GQ131</f>
        <v/>
      </c>
      <c r="M129" s="181" t="str">
        <f>'Statement of Marks'!GT131</f>
        <v/>
      </c>
      <c r="N129" s="181" t="str">
        <f>'Statement of Marks'!HB131</f>
        <v/>
      </c>
      <c r="O129" s="181" t="str">
        <f>'Statement of Marks'!HE131</f>
        <v/>
      </c>
      <c r="P129" s="181" t="str">
        <f>'Statement of Marks'!HH131</f>
        <v/>
      </c>
      <c r="Q129" s="181" t="str">
        <f>'Statement of Marks'!HK131</f>
        <v/>
      </c>
      <c r="R129" s="173" t="str">
        <f>IF(COUNTIF(K129:Q129,"F")&gt;0,"",CONCATENATE('Statement of Marks'!HO131,'Statement of Marks'!HQ131))</f>
        <v xml:space="preserve">            </v>
      </c>
      <c r="S129" s="174">
        <f t="shared" si="18"/>
        <v>0</v>
      </c>
      <c r="T129" s="5"/>
      <c r="U129" s="182" t="str">
        <f t="shared" si="19"/>
        <v/>
      </c>
      <c r="V129" s="182" t="str">
        <f t="shared" si="20"/>
        <v/>
      </c>
      <c r="W129" s="5"/>
      <c r="X129" s="182" t="str">
        <f t="shared" si="21"/>
        <v/>
      </c>
      <c r="Y129" s="182" t="str">
        <f t="shared" si="22"/>
        <v/>
      </c>
      <c r="Z129" s="5"/>
      <c r="AA129" s="182" t="str">
        <f t="shared" si="23"/>
        <v/>
      </c>
      <c r="AB129" s="183" t="str">
        <f t="shared" si="24"/>
        <v/>
      </c>
      <c r="AC129" s="5"/>
      <c r="AD129" s="182" t="str">
        <f t="shared" si="25"/>
        <v/>
      </c>
      <c r="AE129" s="183" t="str">
        <f t="shared" si="26"/>
        <v/>
      </c>
      <c r="AF129" s="5"/>
      <c r="AG129" s="182" t="str">
        <f t="shared" si="27"/>
        <v/>
      </c>
      <c r="AH129" s="183" t="str">
        <f t="shared" si="28"/>
        <v/>
      </c>
      <c r="AI129" s="5"/>
      <c r="AJ129" s="183" t="str">
        <f t="shared" si="29"/>
        <v/>
      </c>
      <c r="AK129" s="183" t="str">
        <f t="shared" si="30"/>
        <v/>
      </c>
      <c r="AL129" s="5"/>
      <c r="AM129" s="183" t="str">
        <f t="shared" si="31"/>
        <v/>
      </c>
      <c r="AN129" s="183" t="str">
        <f t="shared" si="32"/>
        <v/>
      </c>
      <c r="AO129" s="184">
        <f t="shared" si="33"/>
        <v>0</v>
      </c>
      <c r="AP129" s="184">
        <f t="shared" si="34"/>
        <v>0</v>
      </c>
      <c r="AQ129" s="608" t="str">
        <f t="shared" si="35"/>
        <v/>
      </c>
      <c r="AR129" s="185" t="str">
        <f>IF(COUNTIF(K129:Q129,"F")&gt;0,"",IF(AQ129="PASS",'Statement of Marks'!HZ131,""))</f>
        <v/>
      </c>
      <c r="AS129" s="185" t="str">
        <f>IF(AQ129="PASS",'Statement of Marks'!IA131,"")</f>
        <v/>
      </c>
    </row>
    <row r="130" spans="1:45">
      <c r="A130" s="169">
        <f>IF('Statement of Marks'!A132="","",'Statement of Marks'!A132)</f>
        <v>126</v>
      </c>
      <c r="B130" s="169" t="str">
        <f>IF('Statement of Marks'!B132="","",'Statement of Marks'!B132)</f>
        <v/>
      </c>
      <c r="C130" s="169" t="str">
        <f>IF('Statement of Marks'!D132="","",'Statement of Marks'!D132)</f>
        <v/>
      </c>
      <c r="D130" s="170" t="str">
        <f>IF('Statement of Marks'!E132="","",'Statement of Marks'!E132)</f>
        <v/>
      </c>
      <c r="E130" s="171" t="str">
        <f>IF('Statement of Marks'!F132="","",'Statement of Marks'!F132)</f>
        <v/>
      </c>
      <c r="F130" s="171" t="str">
        <f>IF('Statement of Marks'!G132="","",'Statement of Marks'!G132)</f>
        <v/>
      </c>
      <c r="G130" s="171" t="str">
        <f>IF('Statement of Marks'!H132="","",'Statement of Marks'!H132)</f>
        <v/>
      </c>
      <c r="H130" s="172" t="str">
        <f>IF('Statement of Marks'!HS132="","",'Statement of Marks'!HS132)</f>
        <v/>
      </c>
      <c r="I130" s="172" t="str">
        <f>IF('Statement of Marks'!HV132="","",'Statement of Marks'!HV132)</f>
        <v/>
      </c>
      <c r="J130" s="173" t="str">
        <f>IF('Statement of Marks'!HU132="","",'Statement of Marks'!HU132)</f>
        <v/>
      </c>
      <c r="K130" s="181" t="str">
        <f>'Statement of Marks'!GN132</f>
        <v/>
      </c>
      <c r="L130" s="181" t="str">
        <f>'Statement of Marks'!GQ132</f>
        <v/>
      </c>
      <c r="M130" s="181" t="str">
        <f>'Statement of Marks'!GT132</f>
        <v/>
      </c>
      <c r="N130" s="181" t="str">
        <f>'Statement of Marks'!HB132</f>
        <v/>
      </c>
      <c r="O130" s="181" t="str">
        <f>'Statement of Marks'!HE132</f>
        <v/>
      </c>
      <c r="P130" s="181" t="str">
        <f>'Statement of Marks'!HH132</f>
        <v/>
      </c>
      <c r="Q130" s="181" t="str">
        <f>'Statement of Marks'!HK132</f>
        <v/>
      </c>
      <c r="R130" s="173" t="str">
        <f>IF(COUNTIF(K130:Q130,"F")&gt;0,"",CONCATENATE('Statement of Marks'!HO132,'Statement of Marks'!HQ132))</f>
        <v xml:space="preserve">            </v>
      </c>
      <c r="S130" s="174">
        <f t="shared" si="18"/>
        <v>0</v>
      </c>
      <c r="T130" s="5"/>
      <c r="U130" s="182" t="str">
        <f t="shared" si="19"/>
        <v/>
      </c>
      <c r="V130" s="182" t="str">
        <f t="shared" si="20"/>
        <v/>
      </c>
      <c r="W130" s="5"/>
      <c r="X130" s="182" t="str">
        <f t="shared" si="21"/>
        <v/>
      </c>
      <c r="Y130" s="182" t="str">
        <f t="shared" si="22"/>
        <v/>
      </c>
      <c r="Z130" s="5"/>
      <c r="AA130" s="182" t="str">
        <f t="shared" si="23"/>
        <v/>
      </c>
      <c r="AB130" s="183" t="str">
        <f t="shared" si="24"/>
        <v/>
      </c>
      <c r="AC130" s="5"/>
      <c r="AD130" s="182" t="str">
        <f t="shared" si="25"/>
        <v/>
      </c>
      <c r="AE130" s="183" t="str">
        <f t="shared" si="26"/>
        <v/>
      </c>
      <c r="AF130" s="5"/>
      <c r="AG130" s="182" t="str">
        <f t="shared" si="27"/>
        <v/>
      </c>
      <c r="AH130" s="183" t="str">
        <f t="shared" si="28"/>
        <v/>
      </c>
      <c r="AI130" s="5"/>
      <c r="AJ130" s="183" t="str">
        <f t="shared" si="29"/>
        <v/>
      </c>
      <c r="AK130" s="183" t="str">
        <f t="shared" si="30"/>
        <v/>
      </c>
      <c r="AL130" s="5"/>
      <c r="AM130" s="183" t="str">
        <f t="shared" si="31"/>
        <v/>
      </c>
      <c r="AN130" s="183" t="str">
        <f t="shared" si="32"/>
        <v/>
      </c>
      <c r="AO130" s="184">
        <f t="shared" si="33"/>
        <v>0</v>
      </c>
      <c r="AP130" s="184">
        <f t="shared" si="34"/>
        <v>0</v>
      </c>
      <c r="AQ130" s="608" t="str">
        <f t="shared" si="35"/>
        <v/>
      </c>
      <c r="AR130" s="185" t="str">
        <f>IF(COUNTIF(K130:Q130,"F")&gt;0,"",IF(AQ130="PASS",'Statement of Marks'!HZ132,""))</f>
        <v/>
      </c>
      <c r="AS130" s="185" t="str">
        <f>IF(AQ130="PASS",'Statement of Marks'!IA132,"")</f>
        <v/>
      </c>
    </row>
    <row r="131" spans="1:45">
      <c r="A131" s="169">
        <f>IF('Statement of Marks'!A133="","",'Statement of Marks'!A133)</f>
        <v>127</v>
      </c>
      <c r="B131" s="169" t="str">
        <f>IF('Statement of Marks'!B133="","",'Statement of Marks'!B133)</f>
        <v/>
      </c>
      <c r="C131" s="169" t="str">
        <f>IF('Statement of Marks'!D133="","",'Statement of Marks'!D133)</f>
        <v/>
      </c>
      <c r="D131" s="170" t="str">
        <f>IF('Statement of Marks'!E133="","",'Statement of Marks'!E133)</f>
        <v/>
      </c>
      <c r="E131" s="171" t="str">
        <f>IF('Statement of Marks'!F133="","",'Statement of Marks'!F133)</f>
        <v/>
      </c>
      <c r="F131" s="171" t="str">
        <f>IF('Statement of Marks'!G133="","",'Statement of Marks'!G133)</f>
        <v/>
      </c>
      <c r="G131" s="171" t="str">
        <f>IF('Statement of Marks'!H133="","",'Statement of Marks'!H133)</f>
        <v/>
      </c>
      <c r="H131" s="172" t="str">
        <f>IF('Statement of Marks'!HS133="","",'Statement of Marks'!HS133)</f>
        <v/>
      </c>
      <c r="I131" s="172" t="str">
        <f>IF('Statement of Marks'!HV133="","",'Statement of Marks'!HV133)</f>
        <v/>
      </c>
      <c r="J131" s="173" t="str">
        <f>IF('Statement of Marks'!HU133="","",'Statement of Marks'!HU133)</f>
        <v/>
      </c>
      <c r="K131" s="181" t="str">
        <f>'Statement of Marks'!GN133</f>
        <v/>
      </c>
      <c r="L131" s="181" t="str">
        <f>'Statement of Marks'!GQ133</f>
        <v/>
      </c>
      <c r="M131" s="181" t="str">
        <f>'Statement of Marks'!GT133</f>
        <v/>
      </c>
      <c r="N131" s="181" t="str">
        <f>'Statement of Marks'!HB133</f>
        <v/>
      </c>
      <c r="O131" s="181" t="str">
        <f>'Statement of Marks'!HE133</f>
        <v/>
      </c>
      <c r="P131" s="181" t="str">
        <f>'Statement of Marks'!HH133</f>
        <v/>
      </c>
      <c r="Q131" s="181" t="str">
        <f>'Statement of Marks'!HK133</f>
        <v/>
      </c>
      <c r="R131" s="173" t="str">
        <f>IF(COUNTIF(K131:Q131,"F")&gt;0,"",CONCATENATE('Statement of Marks'!HO133,'Statement of Marks'!HQ133))</f>
        <v xml:space="preserve">            </v>
      </c>
      <c r="S131" s="174">
        <f t="shared" si="18"/>
        <v>0</v>
      </c>
      <c r="T131" s="5"/>
      <c r="U131" s="182" t="str">
        <f t="shared" si="19"/>
        <v/>
      </c>
      <c r="V131" s="182" t="str">
        <f t="shared" si="20"/>
        <v/>
      </c>
      <c r="W131" s="5"/>
      <c r="X131" s="182" t="str">
        <f t="shared" si="21"/>
        <v/>
      </c>
      <c r="Y131" s="182" t="str">
        <f t="shared" si="22"/>
        <v/>
      </c>
      <c r="Z131" s="5"/>
      <c r="AA131" s="182" t="str">
        <f t="shared" si="23"/>
        <v/>
      </c>
      <c r="AB131" s="183" t="str">
        <f t="shared" si="24"/>
        <v/>
      </c>
      <c r="AC131" s="5"/>
      <c r="AD131" s="182" t="str">
        <f t="shared" si="25"/>
        <v/>
      </c>
      <c r="AE131" s="183" t="str">
        <f t="shared" si="26"/>
        <v/>
      </c>
      <c r="AF131" s="5"/>
      <c r="AG131" s="182" t="str">
        <f t="shared" si="27"/>
        <v/>
      </c>
      <c r="AH131" s="183" t="str">
        <f t="shared" si="28"/>
        <v/>
      </c>
      <c r="AI131" s="5"/>
      <c r="AJ131" s="183" t="str">
        <f t="shared" si="29"/>
        <v/>
      </c>
      <c r="AK131" s="183" t="str">
        <f t="shared" si="30"/>
        <v/>
      </c>
      <c r="AL131" s="5"/>
      <c r="AM131" s="183" t="str">
        <f t="shared" si="31"/>
        <v/>
      </c>
      <c r="AN131" s="183" t="str">
        <f t="shared" si="32"/>
        <v/>
      </c>
      <c r="AO131" s="184">
        <f t="shared" si="33"/>
        <v>0</v>
      </c>
      <c r="AP131" s="184">
        <f t="shared" si="34"/>
        <v>0</v>
      </c>
      <c r="AQ131" s="608" t="str">
        <f t="shared" si="35"/>
        <v/>
      </c>
      <c r="AR131" s="185" t="str">
        <f>IF(COUNTIF(K131:Q131,"F")&gt;0,"",IF(AQ131="PASS",'Statement of Marks'!HZ133,""))</f>
        <v/>
      </c>
      <c r="AS131" s="185" t="str">
        <f>IF(AQ131="PASS",'Statement of Marks'!IA133,"")</f>
        <v/>
      </c>
    </row>
    <row r="132" spans="1:45">
      <c r="A132" s="169">
        <f>IF('Statement of Marks'!A134="","",'Statement of Marks'!A134)</f>
        <v>128</v>
      </c>
      <c r="B132" s="169" t="str">
        <f>IF('Statement of Marks'!B134="","",'Statement of Marks'!B134)</f>
        <v/>
      </c>
      <c r="C132" s="169" t="str">
        <f>IF('Statement of Marks'!D134="","",'Statement of Marks'!D134)</f>
        <v/>
      </c>
      <c r="D132" s="170" t="str">
        <f>IF('Statement of Marks'!E134="","",'Statement of Marks'!E134)</f>
        <v/>
      </c>
      <c r="E132" s="171" t="str">
        <f>IF('Statement of Marks'!F134="","",'Statement of Marks'!F134)</f>
        <v/>
      </c>
      <c r="F132" s="171" t="str">
        <f>IF('Statement of Marks'!G134="","",'Statement of Marks'!G134)</f>
        <v/>
      </c>
      <c r="G132" s="171" t="str">
        <f>IF('Statement of Marks'!H134="","",'Statement of Marks'!H134)</f>
        <v/>
      </c>
      <c r="H132" s="172" t="str">
        <f>IF('Statement of Marks'!HS134="","",'Statement of Marks'!HS134)</f>
        <v/>
      </c>
      <c r="I132" s="172" t="str">
        <f>IF('Statement of Marks'!HV134="","",'Statement of Marks'!HV134)</f>
        <v/>
      </c>
      <c r="J132" s="173" t="str">
        <f>IF('Statement of Marks'!HU134="","",'Statement of Marks'!HU134)</f>
        <v/>
      </c>
      <c r="K132" s="181" t="str">
        <f>'Statement of Marks'!GN134</f>
        <v/>
      </c>
      <c r="L132" s="181" t="str">
        <f>'Statement of Marks'!GQ134</f>
        <v/>
      </c>
      <c r="M132" s="181" t="str">
        <f>'Statement of Marks'!GT134</f>
        <v/>
      </c>
      <c r="N132" s="181" t="str">
        <f>'Statement of Marks'!HB134</f>
        <v/>
      </c>
      <c r="O132" s="181" t="str">
        <f>'Statement of Marks'!HE134</f>
        <v/>
      </c>
      <c r="P132" s="181" t="str">
        <f>'Statement of Marks'!HH134</f>
        <v/>
      </c>
      <c r="Q132" s="181" t="str">
        <f>'Statement of Marks'!HK134</f>
        <v/>
      </c>
      <c r="R132" s="173" t="str">
        <f>IF(COUNTIF(K132:Q132,"F")&gt;0,"",CONCATENATE('Statement of Marks'!HO134,'Statement of Marks'!HQ134))</f>
        <v xml:space="preserve">            </v>
      </c>
      <c r="S132" s="174">
        <f t="shared" si="18"/>
        <v>0</v>
      </c>
      <c r="T132" s="5"/>
      <c r="U132" s="182" t="str">
        <f t="shared" si="19"/>
        <v/>
      </c>
      <c r="V132" s="182" t="str">
        <f t="shared" si="20"/>
        <v/>
      </c>
      <c r="W132" s="5"/>
      <c r="X132" s="182" t="str">
        <f t="shared" si="21"/>
        <v/>
      </c>
      <c r="Y132" s="182" t="str">
        <f t="shared" si="22"/>
        <v/>
      </c>
      <c r="Z132" s="5"/>
      <c r="AA132" s="182" t="str">
        <f t="shared" si="23"/>
        <v/>
      </c>
      <c r="AB132" s="183" t="str">
        <f t="shared" si="24"/>
        <v/>
      </c>
      <c r="AC132" s="5"/>
      <c r="AD132" s="182" t="str">
        <f t="shared" si="25"/>
        <v/>
      </c>
      <c r="AE132" s="183" t="str">
        <f t="shared" si="26"/>
        <v/>
      </c>
      <c r="AF132" s="5"/>
      <c r="AG132" s="182" t="str">
        <f t="shared" si="27"/>
        <v/>
      </c>
      <c r="AH132" s="183" t="str">
        <f t="shared" si="28"/>
        <v/>
      </c>
      <c r="AI132" s="5"/>
      <c r="AJ132" s="183" t="str">
        <f t="shared" si="29"/>
        <v/>
      </c>
      <c r="AK132" s="183" t="str">
        <f t="shared" si="30"/>
        <v/>
      </c>
      <c r="AL132" s="5"/>
      <c r="AM132" s="183" t="str">
        <f t="shared" si="31"/>
        <v/>
      </c>
      <c r="AN132" s="183" t="str">
        <f t="shared" si="32"/>
        <v/>
      </c>
      <c r="AO132" s="184">
        <f t="shared" si="33"/>
        <v>0</v>
      </c>
      <c r="AP132" s="184">
        <f t="shared" si="34"/>
        <v>0</v>
      </c>
      <c r="AQ132" s="608" t="str">
        <f t="shared" si="35"/>
        <v/>
      </c>
      <c r="AR132" s="185" t="str">
        <f>IF(COUNTIF(K132:Q132,"F")&gt;0,"",IF(AQ132="PASS",'Statement of Marks'!HZ134,""))</f>
        <v/>
      </c>
      <c r="AS132" s="185" t="str">
        <f>IF(AQ132="PASS",'Statement of Marks'!IA134,"")</f>
        <v/>
      </c>
    </row>
    <row r="133" spans="1:45">
      <c r="A133" s="169">
        <f>IF('Statement of Marks'!A135="","",'Statement of Marks'!A135)</f>
        <v>129</v>
      </c>
      <c r="B133" s="169" t="str">
        <f>IF('Statement of Marks'!B135="","",'Statement of Marks'!B135)</f>
        <v/>
      </c>
      <c r="C133" s="169" t="str">
        <f>IF('Statement of Marks'!D135="","",'Statement of Marks'!D135)</f>
        <v/>
      </c>
      <c r="D133" s="170" t="str">
        <f>IF('Statement of Marks'!E135="","",'Statement of Marks'!E135)</f>
        <v/>
      </c>
      <c r="E133" s="171" t="str">
        <f>IF('Statement of Marks'!F135="","",'Statement of Marks'!F135)</f>
        <v/>
      </c>
      <c r="F133" s="171" t="str">
        <f>IF('Statement of Marks'!G135="","",'Statement of Marks'!G135)</f>
        <v/>
      </c>
      <c r="G133" s="171" t="str">
        <f>IF('Statement of Marks'!H135="","",'Statement of Marks'!H135)</f>
        <v/>
      </c>
      <c r="H133" s="172" t="str">
        <f>IF('Statement of Marks'!HS135="","",'Statement of Marks'!HS135)</f>
        <v/>
      </c>
      <c r="I133" s="172" t="str">
        <f>IF('Statement of Marks'!HV135="","",'Statement of Marks'!HV135)</f>
        <v/>
      </c>
      <c r="J133" s="173" t="str">
        <f>IF('Statement of Marks'!HU135="","",'Statement of Marks'!HU135)</f>
        <v/>
      </c>
      <c r="K133" s="181" t="str">
        <f>'Statement of Marks'!GN135</f>
        <v/>
      </c>
      <c r="L133" s="181" t="str">
        <f>'Statement of Marks'!GQ135</f>
        <v/>
      </c>
      <c r="M133" s="181" t="str">
        <f>'Statement of Marks'!GT135</f>
        <v/>
      </c>
      <c r="N133" s="181" t="str">
        <f>'Statement of Marks'!HB135</f>
        <v/>
      </c>
      <c r="O133" s="181" t="str">
        <f>'Statement of Marks'!HE135</f>
        <v/>
      </c>
      <c r="P133" s="181" t="str">
        <f>'Statement of Marks'!HH135</f>
        <v/>
      </c>
      <c r="Q133" s="181" t="str">
        <f>'Statement of Marks'!HK135</f>
        <v/>
      </c>
      <c r="R133" s="173" t="str">
        <f>IF(COUNTIF(K133:Q133,"F")&gt;0,"",CONCATENATE('Statement of Marks'!HO135,'Statement of Marks'!HQ135))</f>
        <v xml:space="preserve">            </v>
      </c>
      <c r="S133" s="174">
        <f t="shared" si="18"/>
        <v>0</v>
      </c>
      <c r="T133" s="5"/>
      <c r="U133" s="182" t="str">
        <f t="shared" si="19"/>
        <v/>
      </c>
      <c r="V133" s="182" t="str">
        <f t="shared" si="20"/>
        <v/>
      </c>
      <c r="W133" s="5"/>
      <c r="X133" s="182" t="str">
        <f t="shared" si="21"/>
        <v/>
      </c>
      <c r="Y133" s="182" t="str">
        <f t="shared" si="22"/>
        <v/>
      </c>
      <c r="Z133" s="5"/>
      <c r="AA133" s="182" t="str">
        <f t="shared" si="23"/>
        <v/>
      </c>
      <c r="AB133" s="183" t="str">
        <f t="shared" si="24"/>
        <v/>
      </c>
      <c r="AC133" s="5"/>
      <c r="AD133" s="182" t="str">
        <f t="shared" si="25"/>
        <v/>
      </c>
      <c r="AE133" s="183" t="str">
        <f t="shared" si="26"/>
        <v/>
      </c>
      <c r="AF133" s="5"/>
      <c r="AG133" s="182" t="str">
        <f t="shared" si="27"/>
        <v/>
      </c>
      <c r="AH133" s="183" t="str">
        <f t="shared" si="28"/>
        <v/>
      </c>
      <c r="AI133" s="5"/>
      <c r="AJ133" s="183" t="str">
        <f t="shared" si="29"/>
        <v/>
      </c>
      <c r="AK133" s="183" t="str">
        <f t="shared" si="30"/>
        <v/>
      </c>
      <c r="AL133" s="5"/>
      <c r="AM133" s="183" t="str">
        <f t="shared" si="31"/>
        <v/>
      </c>
      <c r="AN133" s="183" t="str">
        <f t="shared" si="32"/>
        <v/>
      </c>
      <c r="AO133" s="184">
        <f t="shared" si="33"/>
        <v>0</v>
      </c>
      <c r="AP133" s="184">
        <f t="shared" si="34"/>
        <v>0</v>
      </c>
      <c r="AQ133" s="608" t="str">
        <f t="shared" si="35"/>
        <v/>
      </c>
      <c r="AR133" s="185" t="str">
        <f>IF(COUNTIF(K133:Q133,"F")&gt;0,"",IF(AQ133="PASS",'Statement of Marks'!HZ135,""))</f>
        <v/>
      </c>
      <c r="AS133" s="185" t="str">
        <f>IF(AQ133="PASS",'Statement of Marks'!IA135,"")</f>
        <v/>
      </c>
    </row>
    <row r="134" spans="1:45">
      <c r="A134" s="169">
        <f>IF('Statement of Marks'!A136="","",'Statement of Marks'!A136)</f>
        <v>130</v>
      </c>
      <c r="B134" s="169" t="str">
        <f>IF('Statement of Marks'!B136="","",'Statement of Marks'!B136)</f>
        <v/>
      </c>
      <c r="C134" s="169" t="str">
        <f>IF('Statement of Marks'!D136="","",'Statement of Marks'!D136)</f>
        <v/>
      </c>
      <c r="D134" s="170" t="str">
        <f>IF('Statement of Marks'!E136="","",'Statement of Marks'!E136)</f>
        <v/>
      </c>
      <c r="E134" s="171" t="str">
        <f>IF('Statement of Marks'!F136="","",'Statement of Marks'!F136)</f>
        <v/>
      </c>
      <c r="F134" s="171" t="str">
        <f>IF('Statement of Marks'!G136="","",'Statement of Marks'!G136)</f>
        <v/>
      </c>
      <c r="G134" s="171" t="str">
        <f>IF('Statement of Marks'!H136="","",'Statement of Marks'!H136)</f>
        <v/>
      </c>
      <c r="H134" s="172" t="str">
        <f>IF('Statement of Marks'!HS136="","",'Statement of Marks'!HS136)</f>
        <v/>
      </c>
      <c r="I134" s="172" t="str">
        <f>IF('Statement of Marks'!HV136="","",'Statement of Marks'!HV136)</f>
        <v/>
      </c>
      <c r="J134" s="173" t="str">
        <f>IF('Statement of Marks'!HU136="","",'Statement of Marks'!HU136)</f>
        <v/>
      </c>
      <c r="K134" s="181" t="str">
        <f>'Statement of Marks'!GN136</f>
        <v/>
      </c>
      <c r="L134" s="181" t="str">
        <f>'Statement of Marks'!GQ136</f>
        <v/>
      </c>
      <c r="M134" s="181" t="str">
        <f>'Statement of Marks'!GT136</f>
        <v/>
      </c>
      <c r="N134" s="181" t="str">
        <f>'Statement of Marks'!HB136</f>
        <v/>
      </c>
      <c r="O134" s="181" t="str">
        <f>'Statement of Marks'!HE136</f>
        <v/>
      </c>
      <c r="P134" s="181" t="str">
        <f>'Statement of Marks'!HH136</f>
        <v/>
      </c>
      <c r="Q134" s="181" t="str">
        <f>'Statement of Marks'!HK136</f>
        <v/>
      </c>
      <c r="R134" s="173" t="str">
        <f>IF(COUNTIF(K134:Q134,"F")&gt;0,"",CONCATENATE('Statement of Marks'!HO136,'Statement of Marks'!HQ136))</f>
        <v xml:space="preserve">            </v>
      </c>
      <c r="S134" s="174">
        <f t="shared" ref="S134:S197" si="36">IF(COUNTIF(K134:Q134,"F")&gt;0,"",COUNTIF(K134:Q134,"S")+COUNTIF(K134:Q134,"RE")+COUNTIF(K134:Q134,"REP"))</f>
        <v>0</v>
      </c>
      <c r="T134" s="5"/>
      <c r="U134" s="182" t="str">
        <f t="shared" ref="U134:U197" si="37">IF(T134="","",IF(OR(T134="AB",K134="RE"),T134,IF(AND(K134="S"),ROUNDUP(T134,0),)))</f>
        <v/>
      </c>
      <c r="V134" s="182" t="str">
        <f t="shared" ref="V134:V197" si="38">IF(T134="","",IF(OR(T134="AB",T134&lt;36%*$T$4),"F","P"))</f>
        <v/>
      </c>
      <c r="W134" s="5"/>
      <c r="X134" s="182" t="str">
        <f t="shared" ref="X134:X197" si="39">IF(W134="","",IF(OR(W134="AB",L134="RE"),W134,IF(AND(L134="S"),ROUNDUP(W134,0),)))</f>
        <v/>
      </c>
      <c r="Y134" s="182" t="str">
        <f t="shared" ref="Y134:Y197" si="40">IF(W134="","",IF(OR(W134="AB",W134&lt;36%*$W$4),"F","P"))</f>
        <v/>
      </c>
      <c r="Z134" s="5"/>
      <c r="AA134" s="182" t="str">
        <f t="shared" ref="AA134:AA197" si="41">IF(Z134="","",IF(OR(Z134="AB",M134="RE"),Z134,IF(AND(M134="S"),ROUNDUP(Z134,0),)))</f>
        <v/>
      </c>
      <c r="AB134" s="183" t="str">
        <f t="shared" ref="AB134:AB197" si="42">IF(Z134="","",IF(OR(Z134="AB",Z134&lt;36%*$Z$4),"F","P"))</f>
        <v/>
      </c>
      <c r="AC134" s="5"/>
      <c r="AD134" s="182" t="str">
        <f t="shared" ref="AD134:AD197" si="43">IF(AC134="","",IF(OR(AC134="AB",N134="RE"),AC134,IF(AND(N134="S"),ROUNDUP(AC134,0),)))</f>
        <v/>
      </c>
      <c r="AE134" s="183" t="str">
        <f t="shared" ref="AE134:AE197" si="44">IF(AC134="","",IF(OR(AC134="AB",AC134&lt;36%*$AC$4),"F","P"))</f>
        <v/>
      </c>
      <c r="AF134" s="5"/>
      <c r="AG134" s="182" t="str">
        <f t="shared" ref="AG134:AG197" si="45">IF(AF134="","",IF(OR(AF134="AB",O134="RE"),AF134,IF(AND(O134="S"),ROUNDUP(AF134,0),)))</f>
        <v/>
      </c>
      <c r="AH134" s="183" t="str">
        <f t="shared" ref="AH134:AH197" si="46">IF(AF134="","",IF(OR(AF134="AB",AF134&lt;36%*$AF$4),"F","P"))</f>
        <v/>
      </c>
      <c r="AI134" s="5"/>
      <c r="AJ134" s="183" t="str">
        <f t="shared" ref="AJ134:AJ197" si="47">IF(AI134="","",IF(OR(AI134="AB",P134="RE"),AI134,IF(AND(P134="S"),ROUNDUP(AI134,0),)))</f>
        <v/>
      </c>
      <c r="AK134" s="183" t="str">
        <f t="shared" ref="AK134:AK197" si="48">IF(AI134="","",IF(OR(AI134="AB",AI134&lt;36%*$AI$4),"F","P"))</f>
        <v/>
      </c>
      <c r="AL134" s="5"/>
      <c r="AM134" s="183" t="str">
        <f t="shared" ref="AM134:AM197" si="49">IF(AL134="","",IF(OR(AL134="AB",Q134="RE"),AL134,IF(AND(Q134="S"),ROUNDUP(AL134,0),)))</f>
        <v/>
      </c>
      <c r="AN134" s="183" t="str">
        <f t="shared" ref="AN134:AN197" si="50">IF(AL134="","",IF(OR(AL134="AB",AL134&lt;36%*$AL$4),"F","P"))</f>
        <v/>
      </c>
      <c r="AO134" s="184">
        <f t="shared" ref="AO134:AO197" si="51">IF(COUNTIF(K134:Q134,"F")&gt;0,"",COUNTA(T134,W134,Z134,AC134,AF134,AI134,AL134))</f>
        <v>0</v>
      </c>
      <c r="AP134" s="184">
        <f t="shared" ref="AP134:AP197" si="52">IF(COUNTIF(K134:Q134,"F")&gt;0,"",COUNTIF(T134:AN134,"P"))</f>
        <v>0</v>
      </c>
      <c r="AQ134" s="608" t="str">
        <f t="shared" ref="AQ134:AQ197" si="53">IF(AND(T134="",W134="",Z134="",AC134="",AF134="",AI134="",AL134=""),"",IF(COUNTIF(K134:Q134,"F")&gt;0,"",IF(S134=0,"",IF(S134&gt;AO134,H134,IF(S134&gt;AP134,"FAIL","PASS")))))</f>
        <v/>
      </c>
      <c r="AR134" s="185" t="str">
        <f>IF(COUNTIF(K134:Q134,"F")&gt;0,"",IF(AQ134="PASS",'Statement of Marks'!HZ136,""))</f>
        <v/>
      </c>
      <c r="AS134" s="185" t="str">
        <f>IF(AQ134="PASS",'Statement of Marks'!IA136,"")</f>
        <v/>
      </c>
    </row>
    <row r="135" spans="1:45">
      <c r="A135" s="169">
        <f>IF('Statement of Marks'!A137="","",'Statement of Marks'!A137)</f>
        <v>131</v>
      </c>
      <c r="B135" s="169" t="str">
        <f>IF('Statement of Marks'!B137="","",'Statement of Marks'!B137)</f>
        <v/>
      </c>
      <c r="C135" s="169" t="str">
        <f>IF('Statement of Marks'!D137="","",'Statement of Marks'!D137)</f>
        <v/>
      </c>
      <c r="D135" s="170" t="str">
        <f>IF('Statement of Marks'!E137="","",'Statement of Marks'!E137)</f>
        <v/>
      </c>
      <c r="E135" s="171" t="str">
        <f>IF('Statement of Marks'!F137="","",'Statement of Marks'!F137)</f>
        <v/>
      </c>
      <c r="F135" s="171" t="str">
        <f>IF('Statement of Marks'!G137="","",'Statement of Marks'!G137)</f>
        <v/>
      </c>
      <c r="G135" s="171" t="str">
        <f>IF('Statement of Marks'!H137="","",'Statement of Marks'!H137)</f>
        <v/>
      </c>
      <c r="H135" s="172" t="str">
        <f>IF('Statement of Marks'!HS137="","",'Statement of Marks'!HS137)</f>
        <v/>
      </c>
      <c r="I135" s="172" t="str">
        <f>IF('Statement of Marks'!HV137="","",'Statement of Marks'!HV137)</f>
        <v/>
      </c>
      <c r="J135" s="173" t="str">
        <f>IF('Statement of Marks'!HU137="","",'Statement of Marks'!HU137)</f>
        <v/>
      </c>
      <c r="K135" s="181" t="str">
        <f>'Statement of Marks'!GN137</f>
        <v/>
      </c>
      <c r="L135" s="181" t="str">
        <f>'Statement of Marks'!GQ137</f>
        <v/>
      </c>
      <c r="M135" s="181" t="str">
        <f>'Statement of Marks'!GT137</f>
        <v/>
      </c>
      <c r="N135" s="181" t="str">
        <f>'Statement of Marks'!HB137</f>
        <v/>
      </c>
      <c r="O135" s="181" t="str">
        <f>'Statement of Marks'!HE137</f>
        <v/>
      </c>
      <c r="P135" s="181" t="str">
        <f>'Statement of Marks'!HH137</f>
        <v/>
      </c>
      <c r="Q135" s="181" t="str">
        <f>'Statement of Marks'!HK137</f>
        <v/>
      </c>
      <c r="R135" s="173" t="str">
        <f>IF(COUNTIF(K135:Q135,"F")&gt;0,"",CONCATENATE('Statement of Marks'!HO137,'Statement of Marks'!HQ137))</f>
        <v xml:space="preserve">            </v>
      </c>
      <c r="S135" s="174">
        <f t="shared" si="36"/>
        <v>0</v>
      </c>
      <c r="T135" s="5"/>
      <c r="U135" s="182" t="str">
        <f t="shared" si="37"/>
        <v/>
      </c>
      <c r="V135" s="182" t="str">
        <f t="shared" si="38"/>
        <v/>
      </c>
      <c r="W135" s="5"/>
      <c r="X135" s="182" t="str">
        <f t="shared" si="39"/>
        <v/>
      </c>
      <c r="Y135" s="182" t="str">
        <f t="shared" si="40"/>
        <v/>
      </c>
      <c r="Z135" s="5"/>
      <c r="AA135" s="182" t="str">
        <f t="shared" si="41"/>
        <v/>
      </c>
      <c r="AB135" s="183" t="str">
        <f t="shared" si="42"/>
        <v/>
      </c>
      <c r="AC135" s="5"/>
      <c r="AD135" s="182" t="str">
        <f t="shared" si="43"/>
        <v/>
      </c>
      <c r="AE135" s="183" t="str">
        <f t="shared" si="44"/>
        <v/>
      </c>
      <c r="AF135" s="5"/>
      <c r="AG135" s="182" t="str">
        <f t="shared" si="45"/>
        <v/>
      </c>
      <c r="AH135" s="183" t="str">
        <f t="shared" si="46"/>
        <v/>
      </c>
      <c r="AI135" s="5"/>
      <c r="AJ135" s="183" t="str">
        <f t="shared" si="47"/>
        <v/>
      </c>
      <c r="AK135" s="183" t="str">
        <f t="shared" si="48"/>
        <v/>
      </c>
      <c r="AL135" s="5"/>
      <c r="AM135" s="183" t="str">
        <f t="shared" si="49"/>
        <v/>
      </c>
      <c r="AN135" s="183" t="str">
        <f t="shared" si="50"/>
        <v/>
      </c>
      <c r="AO135" s="184">
        <f t="shared" si="51"/>
        <v>0</v>
      </c>
      <c r="AP135" s="184">
        <f t="shared" si="52"/>
        <v>0</v>
      </c>
      <c r="AQ135" s="608" t="str">
        <f t="shared" si="53"/>
        <v/>
      </c>
      <c r="AR135" s="185" t="str">
        <f>IF(COUNTIF(K135:Q135,"F")&gt;0,"",IF(AQ135="PASS",'Statement of Marks'!HZ137,""))</f>
        <v/>
      </c>
      <c r="AS135" s="185" t="str">
        <f>IF(AQ135="PASS",'Statement of Marks'!IA137,"")</f>
        <v/>
      </c>
    </row>
    <row r="136" spans="1:45">
      <c r="A136" s="169">
        <f>IF('Statement of Marks'!A138="","",'Statement of Marks'!A138)</f>
        <v>132</v>
      </c>
      <c r="B136" s="169" t="str">
        <f>IF('Statement of Marks'!B138="","",'Statement of Marks'!B138)</f>
        <v/>
      </c>
      <c r="C136" s="169" t="str">
        <f>IF('Statement of Marks'!D138="","",'Statement of Marks'!D138)</f>
        <v/>
      </c>
      <c r="D136" s="170" t="str">
        <f>IF('Statement of Marks'!E138="","",'Statement of Marks'!E138)</f>
        <v/>
      </c>
      <c r="E136" s="171" t="str">
        <f>IF('Statement of Marks'!F138="","",'Statement of Marks'!F138)</f>
        <v/>
      </c>
      <c r="F136" s="171" t="str">
        <f>IF('Statement of Marks'!G138="","",'Statement of Marks'!G138)</f>
        <v/>
      </c>
      <c r="G136" s="171" t="str">
        <f>IF('Statement of Marks'!H138="","",'Statement of Marks'!H138)</f>
        <v/>
      </c>
      <c r="H136" s="172" t="str">
        <f>IF('Statement of Marks'!HS138="","",'Statement of Marks'!HS138)</f>
        <v/>
      </c>
      <c r="I136" s="172" t="str">
        <f>IF('Statement of Marks'!HV138="","",'Statement of Marks'!HV138)</f>
        <v/>
      </c>
      <c r="J136" s="173" t="str">
        <f>IF('Statement of Marks'!HU138="","",'Statement of Marks'!HU138)</f>
        <v/>
      </c>
      <c r="K136" s="181" t="str">
        <f>'Statement of Marks'!GN138</f>
        <v/>
      </c>
      <c r="L136" s="181" t="str">
        <f>'Statement of Marks'!GQ138</f>
        <v/>
      </c>
      <c r="M136" s="181" t="str">
        <f>'Statement of Marks'!GT138</f>
        <v/>
      </c>
      <c r="N136" s="181" t="str">
        <f>'Statement of Marks'!HB138</f>
        <v/>
      </c>
      <c r="O136" s="181" t="str">
        <f>'Statement of Marks'!HE138</f>
        <v/>
      </c>
      <c r="P136" s="181" t="str">
        <f>'Statement of Marks'!HH138</f>
        <v/>
      </c>
      <c r="Q136" s="181" t="str">
        <f>'Statement of Marks'!HK138</f>
        <v/>
      </c>
      <c r="R136" s="173" t="str">
        <f>IF(COUNTIF(K136:Q136,"F")&gt;0,"",CONCATENATE('Statement of Marks'!HO138,'Statement of Marks'!HQ138))</f>
        <v xml:space="preserve">            </v>
      </c>
      <c r="S136" s="174">
        <f t="shared" si="36"/>
        <v>0</v>
      </c>
      <c r="T136" s="5"/>
      <c r="U136" s="182" t="str">
        <f t="shared" si="37"/>
        <v/>
      </c>
      <c r="V136" s="182" t="str">
        <f t="shared" si="38"/>
        <v/>
      </c>
      <c r="W136" s="5"/>
      <c r="X136" s="182" t="str">
        <f t="shared" si="39"/>
        <v/>
      </c>
      <c r="Y136" s="182" t="str">
        <f t="shared" si="40"/>
        <v/>
      </c>
      <c r="Z136" s="5"/>
      <c r="AA136" s="182" t="str">
        <f t="shared" si="41"/>
        <v/>
      </c>
      <c r="AB136" s="183" t="str">
        <f t="shared" si="42"/>
        <v/>
      </c>
      <c r="AC136" s="5"/>
      <c r="AD136" s="182" t="str">
        <f t="shared" si="43"/>
        <v/>
      </c>
      <c r="AE136" s="183" t="str">
        <f t="shared" si="44"/>
        <v/>
      </c>
      <c r="AF136" s="5"/>
      <c r="AG136" s="182" t="str">
        <f t="shared" si="45"/>
        <v/>
      </c>
      <c r="AH136" s="183" t="str">
        <f t="shared" si="46"/>
        <v/>
      </c>
      <c r="AI136" s="5"/>
      <c r="AJ136" s="183" t="str">
        <f t="shared" si="47"/>
        <v/>
      </c>
      <c r="AK136" s="183" t="str">
        <f t="shared" si="48"/>
        <v/>
      </c>
      <c r="AL136" s="5"/>
      <c r="AM136" s="183" t="str">
        <f t="shared" si="49"/>
        <v/>
      </c>
      <c r="AN136" s="183" t="str">
        <f t="shared" si="50"/>
        <v/>
      </c>
      <c r="AO136" s="184">
        <f t="shared" si="51"/>
        <v>0</v>
      </c>
      <c r="AP136" s="184">
        <f t="shared" si="52"/>
        <v>0</v>
      </c>
      <c r="AQ136" s="608" t="str">
        <f t="shared" si="53"/>
        <v/>
      </c>
      <c r="AR136" s="185" t="str">
        <f>IF(COUNTIF(K136:Q136,"F")&gt;0,"",IF(AQ136="PASS",'Statement of Marks'!HZ138,""))</f>
        <v/>
      </c>
      <c r="AS136" s="185" t="str">
        <f>IF(AQ136="PASS",'Statement of Marks'!IA138,"")</f>
        <v/>
      </c>
    </row>
    <row r="137" spans="1:45">
      <c r="A137" s="169">
        <f>IF('Statement of Marks'!A139="","",'Statement of Marks'!A139)</f>
        <v>133</v>
      </c>
      <c r="B137" s="169" t="str">
        <f>IF('Statement of Marks'!B139="","",'Statement of Marks'!B139)</f>
        <v/>
      </c>
      <c r="C137" s="169" t="str">
        <f>IF('Statement of Marks'!D139="","",'Statement of Marks'!D139)</f>
        <v/>
      </c>
      <c r="D137" s="170" t="str">
        <f>IF('Statement of Marks'!E139="","",'Statement of Marks'!E139)</f>
        <v/>
      </c>
      <c r="E137" s="171" t="str">
        <f>IF('Statement of Marks'!F139="","",'Statement of Marks'!F139)</f>
        <v/>
      </c>
      <c r="F137" s="171" t="str">
        <f>IF('Statement of Marks'!G139="","",'Statement of Marks'!G139)</f>
        <v/>
      </c>
      <c r="G137" s="171" t="str">
        <f>IF('Statement of Marks'!H139="","",'Statement of Marks'!H139)</f>
        <v/>
      </c>
      <c r="H137" s="172" t="str">
        <f>IF('Statement of Marks'!HS139="","",'Statement of Marks'!HS139)</f>
        <v/>
      </c>
      <c r="I137" s="172" t="str">
        <f>IF('Statement of Marks'!HV139="","",'Statement of Marks'!HV139)</f>
        <v/>
      </c>
      <c r="J137" s="173" t="str">
        <f>IF('Statement of Marks'!HU139="","",'Statement of Marks'!HU139)</f>
        <v/>
      </c>
      <c r="K137" s="181" t="str">
        <f>'Statement of Marks'!GN139</f>
        <v/>
      </c>
      <c r="L137" s="181" t="str">
        <f>'Statement of Marks'!GQ139</f>
        <v/>
      </c>
      <c r="M137" s="181" t="str">
        <f>'Statement of Marks'!GT139</f>
        <v/>
      </c>
      <c r="N137" s="181" t="str">
        <f>'Statement of Marks'!HB139</f>
        <v/>
      </c>
      <c r="O137" s="181" t="str">
        <f>'Statement of Marks'!HE139</f>
        <v/>
      </c>
      <c r="P137" s="181" t="str">
        <f>'Statement of Marks'!HH139</f>
        <v/>
      </c>
      <c r="Q137" s="181" t="str">
        <f>'Statement of Marks'!HK139</f>
        <v/>
      </c>
      <c r="R137" s="173" t="str">
        <f>IF(COUNTIF(K137:Q137,"F")&gt;0,"",CONCATENATE('Statement of Marks'!HO139,'Statement of Marks'!HQ139))</f>
        <v xml:space="preserve">            </v>
      </c>
      <c r="S137" s="174">
        <f t="shared" si="36"/>
        <v>0</v>
      </c>
      <c r="T137" s="5"/>
      <c r="U137" s="182" t="str">
        <f t="shared" si="37"/>
        <v/>
      </c>
      <c r="V137" s="182" t="str">
        <f t="shared" si="38"/>
        <v/>
      </c>
      <c r="W137" s="5"/>
      <c r="X137" s="182" t="str">
        <f t="shared" si="39"/>
        <v/>
      </c>
      <c r="Y137" s="182" t="str">
        <f t="shared" si="40"/>
        <v/>
      </c>
      <c r="Z137" s="5"/>
      <c r="AA137" s="182" t="str">
        <f t="shared" si="41"/>
        <v/>
      </c>
      <c r="AB137" s="183" t="str">
        <f t="shared" si="42"/>
        <v/>
      </c>
      <c r="AC137" s="5"/>
      <c r="AD137" s="182" t="str">
        <f t="shared" si="43"/>
        <v/>
      </c>
      <c r="AE137" s="183" t="str">
        <f t="shared" si="44"/>
        <v/>
      </c>
      <c r="AF137" s="5"/>
      <c r="AG137" s="182" t="str">
        <f t="shared" si="45"/>
        <v/>
      </c>
      <c r="AH137" s="183" t="str">
        <f t="shared" si="46"/>
        <v/>
      </c>
      <c r="AI137" s="5"/>
      <c r="AJ137" s="183" t="str">
        <f t="shared" si="47"/>
        <v/>
      </c>
      <c r="AK137" s="183" t="str">
        <f t="shared" si="48"/>
        <v/>
      </c>
      <c r="AL137" s="5"/>
      <c r="AM137" s="183" t="str">
        <f t="shared" si="49"/>
        <v/>
      </c>
      <c r="AN137" s="183" t="str">
        <f t="shared" si="50"/>
        <v/>
      </c>
      <c r="AO137" s="184">
        <f t="shared" si="51"/>
        <v>0</v>
      </c>
      <c r="AP137" s="184">
        <f t="shared" si="52"/>
        <v>0</v>
      </c>
      <c r="AQ137" s="608" t="str">
        <f t="shared" si="53"/>
        <v/>
      </c>
      <c r="AR137" s="185" t="str">
        <f>IF(COUNTIF(K137:Q137,"F")&gt;0,"",IF(AQ137="PASS",'Statement of Marks'!HZ139,""))</f>
        <v/>
      </c>
      <c r="AS137" s="185" t="str">
        <f>IF(AQ137="PASS",'Statement of Marks'!IA139,"")</f>
        <v/>
      </c>
    </row>
    <row r="138" spans="1:45">
      <c r="A138" s="169">
        <f>IF('Statement of Marks'!A140="","",'Statement of Marks'!A140)</f>
        <v>134</v>
      </c>
      <c r="B138" s="169" t="str">
        <f>IF('Statement of Marks'!B140="","",'Statement of Marks'!B140)</f>
        <v/>
      </c>
      <c r="C138" s="169" t="str">
        <f>IF('Statement of Marks'!D140="","",'Statement of Marks'!D140)</f>
        <v/>
      </c>
      <c r="D138" s="170" t="str">
        <f>IF('Statement of Marks'!E140="","",'Statement of Marks'!E140)</f>
        <v/>
      </c>
      <c r="E138" s="171" t="str">
        <f>IF('Statement of Marks'!F140="","",'Statement of Marks'!F140)</f>
        <v/>
      </c>
      <c r="F138" s="171" t="str">
        <f>IF('Statement of Marks'!G140="","",'Statement of Marks'!G140)</f>
        <v/>
      </c>
      <c r="G138" s="171" t="str">
        <f>IF('Statement of Marks'!H140="","",'Statement of Marks'!H140)</f>
        <v/>
      </c>
      <c r="H138" s="172" t="str">
        <f>IF('Statement of Marks'!HS140="","",'Statement of Marks'!HS140)</f>
        <v/>
      </c>
      <c r="I138" s="172" t="str">
        <f>IF('Statement of Marks'!HV140="","",'Statement of Marks'!HV140)</f>
        <v/>
      </c>
      <c r="J138" s="173" t="str">
        <f>IF('Statement of Marks'!HU140="","",'Statement of Marks'!HU140)</f>
        <v/>
      </c>
      <c r="K138" s="181" t="str">
        <f>'Statement of Marks'!GN140</f>
        <v/>
      </c>
      <c r="L138" s="181" t="str">
        <f>'Statement of Marks'!GQ140</f>
        <v/>
      </c>
      <c r="M138" s="181" t="str">
        <f>'Statement of Marks'!GT140</f>
        <v/>
      </c>
      <c r="N138" s="181" t="str">
        <f>'Statement of Marks'!HB140</f>
        <v/>
      </c>
      <c r="O138" s="181" t="str">
        <f>'Statement of Marks'!HE140</f>
        <v/>
      </c>
      <c r="P138" s="181" t="str">
        <f>'Statement of Marks'!HH140</f>
        <v/>
      </c>
      <c r="Q138" s="181" t="str">
        <f>'Statement of Marks'!HK140</f>
        <v/>
      </c>
      <c r="R138" s="173" t="str">
        <f>IF(COUNTIF(K138:Q138,"F")&gt;0,"",CONCATENATE('Statement of Marks'!HO140,'Statement of Marks'!HQ140))</f>
        <v xml:space="preserve">            </v>
      </c>
      <c r="S138" s="174">
        <f t="shared" si="36"/>
        <v>0</v>
      </c>
      <c r="T138" s="5"/>
      <c r="U138" s="182" t="str">
        <f t="shared" si="37"/>
        <v/>
      </c>
      <c r="V138" s="182" t="str">
        <f t="shared" si="38"/>
        <v/>
      </c>
      <c r="W138" s="5"/>
      <c r="X138" s="182" t="str">
        <f t="shared" si="39"/>
        <v/>
      </c>
      <c r="Y138" s="182" t="str">
        <f t="shared" si="40"/>
        <v/>
      </c>
      <c r="Z138" s="5"/>
      <c r="AA138" s="182" t="str">
        <f t="shared" si="41"/>
        <v/>
      </c>
      <c r="AB138" s="183" t="str">
        <f t="shared" si="42"/>
        <v/>
      </c>
      <c r="AC138" s="5"/>
      <c r="AD138" s="182" t="str">
        <f t="shared" si="43"/>
        <v/>
      </c>
      <c r="AE138" s="183" t="str">
        <f t="shared" si="44"/>
        <v/>
      </c>
      <c r="AF138" s="5"/>
      <c r="AG138" s="182" t="str">
        <f t="shared" si="45"/>
        <v/>
      </c>
      <c r="AH138" s="183" t="str">
        <f t="shared" si="46"/>
        <v/>
      </c>
      <c r="AI138" s="5"/>
      <c r="AJ138" s="183" t="str">
        <f t="shared" si="47"/>
        <v/>
      </c>
      <c r="AK138" s="183" t="str">
        <f t="shared" si="48"/>
        <v/>
      </c>
      <c r="AL138" s="5"/>
      <c r="AM138" s="183" t="str">
        <f t="shared" si="49"/>
        <v/>
      </c>
      <c r="AN138" s="183" t="str">
        <f t="shared" si="50"/>
        <v/>
      </c>
      <c r="AO138" s="184">
        <f t="shared" si="51"/>
        <v>0</v>
      </c>
      <c r="AP138" s="184">
        <f t="shared" si="52"/>
        <v>0</v>
      </c>
      <c r="AQ138" s="608" t="str">
        <f t="shared" si="53"/>
        <v/>
      </c>
      <c r="AR138" s="185" t="str">
        <f>IF(COUNTIF(K138:Q138,"F")&gt;0,"",IF(AQ138="PASS",'Statement of Marks'!HZ140,""))</f>
        <v/>
      </c>
      <c r="AS138" s="185" t="str">
        <f>IF(AQ138="PASS",'Statement of Marks'!IA140,"")</f>
        <v/>
      </c>
    </row>
    <row r="139" spans="1:45">
      <c r="A139" s="169">
        <f>IF('Statement of Marks'!A141="","",'Statement of Marks'!A141)</f>
        <v>135</v>
      </c>
      <c r="B139" s="169" t="str">
        <f>IF('Statement of Marks'!B141="","",'Statement of Marks'!B141)</f>
        <v/>
      </c>
      <c r="C139" s="169" t="str">
        <f>IF('Statement of Marks'!D141="","",'Statement of Marks'!D141)</f>
        <v/>
      </c>
      <c r="D139" s="170" t="str">
        <f>IF('Statement of Marks'!E141="","",'Statement of Marks'!E141)</f>
        <v/>
      </c>
      <c r="E139" s="171" t="str">
        <f>IF('Statement of Marks'!F141="","",'Statement of Marks'!F141)</f>
        <v/>
      </c>
      <c r="F139" s="171" t="str">
        <f>IF('Statement of Marks'!G141="","",'Statement of Marks'!G141)</f>
        <v/>
      </c>
      <c r="G139" s="171" t="str">
        <f>IF('Statement of Marks'!H141="","",'Statement of Marks'!H141)</f>
        <v/>
      </c>
      <c r="H139" s="172" t="str">
        <f>IF('Statement of Marks'!HS141="","",'Statement of Marks'!HS141)</f>
        <v/>
      </c>
      <c r="I139" s="172" t="str">
        <f>IF('Statement of Marks'!HV141="","",'Statement of Marks'!HV141)</f>
        <v/>
      </c>
      <c r="J139" s="173" t="str">
        <f>IF('Statement of Marks'!HU141="","",'Statement of Marks'!HU141)</f>
        <v/>
      </c>
      <c r="K139" s="181" t="str">
        <f>'Statement of Marks'!GN141</f>
        <v/>
      </c>
      <c r="L139" s="181" t="str">
        <f>'Statement of Marks'!GQ141</f>
        <v/>
      </c>
      <c r="M139" s="181" t="str">
        <f>'Statement of Marks'!GT141</f>
        <v/>
      </c>
      <c r="N139" s="181" t="str">
        <f>'Statement of Marks'!HB141</f>
        <v/>
      </c>
      <c r="O139" s="181" t="str">
        <f>'Statement of Marks'!HE141</f>
        <v/>
      </c>
      <c r="P139" s="181" t="str">
        <f>'Statement of Marks'!HH141</f>
        <v/>
      </c>
      <c r="Q139" s="181" t="str">
        <f>'Statement of Marks'!HK141</f>
        <v/>
      </c>
      <c r="R139" s="173" t="str">
        <f>IF(COUNTIF(K139:Q139,"F")&gt;0,"",CONCATENATE('Statement of Marks'!HO141,'Statement of Marks'!HQ141))</f>
        <v xml:space="preserve">            </v>
      </c>
      <c r="S139" s="174">
        <f t="shared" si="36"/>
        <v>0</v>
      </c>
      <c r="T139" s="5"/>
      <c r="U139" s="182" t="str">
        <f t="shared" si="37"/>
        <v/>
      </c>
      <c r="V139" s="182" t="str">
        <f t="shared" si="38"/>
        <v/>
      </c>
      <c r="W139" s="5"/>
      <c r="X139" s="182" t="str">
        <f t="shared" si="39"/>
        <v/>
      </c>
      <c r="Y139" s="182" t="str">
        <f t="shared" si="40"/>
        <v/>
      </c>
      <c r="Z139" s="5"/>
      <c r="AA139" s="182" t="str">
        <f t="shared" si="41"/>
        <v/>
      </c>
      <c r="AB139" s="183" t="str">
        <f t="shared" si="42"/>
        <v/>
      </c>
      <c r="AC139" s="5"/>
      <c r="AD139" s="182" t="str">
        <f t="shared" si="43"/>
        <v/>
      </c>
      <c r="AE139" s="183" t="str">
        <f t="shared" si="44"/>
        <v/>
      </c>
      <c r="AF139" s="5"/>
      <c r="AG139" s="182" t="str">
        <f t="shared" si="45"/>
        <v/>
      </c>
      <c r="AH139" s="183" t="str">
        <f t="shared" si="46"/>
        <v/>
      </c>
      <c r="AI139" s="5"/>
      <c r="AJ139" s="183" t="str">
        <f t="shared" si="47"/>
        <v/>
      </c>
      <c r="AK139" s="183" t="str">
        <f t="shared" si="48"/>
        <v/>
      </c>
      <c r="AL139" s="5"/>
      <c r="AM139" s="183" t="str">
        <f t="shared" si="49"/>
        <v/>
      </c>
      <c r="AN139" s="183" t="str">
        <f t="shared" si="50"/>
        <v/>
      </c>
      <c r="AO139" s="184">
        <f t="shared" si="51"/>
        <v>0</v>
      </c>
      <c r="AP139" s="184">
        <f t="shared" si="52"/>
        <v>0</v>
      </c>
      <c r="AQ139" s="608" t="str">
        <f t="shared" si="53"/>
        <v/>
      </c>
      <c r="AR139" s="185" t="str">
        <f>IF(COUNTIF(K139:Q139,"F")&gt;0,"",IF(AQ139="PASS",'Statement of Marks'!HZ141,""))</f>
        <v/>
      </c>
      <c r="AS139" s="185" t="str">
        <f>IF(AQ139="PASS",'Statement of Marks'!IA141,"")</f>
        <v/>
      </c>
    </row>
    <row r="140" spans="1:45">
      <c r="A140" s="169">
        <f>IF('Statement of Marks'!A142="","",'Statement of Marks'!A142)</f>
        <v>136</v>
      </c>
      <c r="B140" s="169" t="str">
        <f>IF('Statement of Marks'!B142="","",'Statement of Marks'!B142)</f>
        <v/>
      </c>
      <c r="C140" s="169" t="str">
        <f>IF('Statement of Marks'!D142="","",'Statement of Marks'!D142)</f>
        <v/>
      </c>
      <c r="D140" s="170" t="str">
        <f>IF('Statement of Marks'!E142="","",'Statement of Marks'!E142)</f>
        <v/>
      </c>
      <c r="E140" s="171" t="str">
        <f>IF('Statement of Marks'!F142="","",'Statement of Marks'!F142)</f>
        <v/>
      </c>
      <c r="F140" s="171" t="str">
        <f>IF('Statement of Marks'!G142="","",'Statement of Marks'!G142)</f>
        <v/>
      </c>
      <c r="G140" s="171" t="str">
        <f>IF('Statement of Marks'!H142="","",'Statement of Marks'!H142)</f>
        <v/>
      </c>
      <c r="H140" s="172" t="str">
        <f>IF('Statement of Marks'!HS142="","",'Statement of Marks'!HS142)</f>
        <v/>
      </c>
      <c r="I140" s="172" t="str">
        <f>IF('Statement of Marks'!HV142="","",'Statement of Marks'!HV142)</f>
        <v/>
      </c>
      <c r="J140" s="173" t="str">
        <f>IF('Statement of Marks'!HU142="","",'Statement of Marks'!HU142)</f>
        <v/>
      </c>
      <c r="K140" s="181" t="str">
        <f>'Statement of Marks'!GN142</f>
        <v/>
      </c>
      <c r="L140" s="181" t="str">
        <f>'Statement of Marks'!GQ142</f>
        <v/>
      </c>
      <c r="M140" s="181" t="str">
        <f>'Statement of Marks'!GT142</f>
        <v/>
      </c>
      <c r="N140" s="181" t="str">
        <f>'Statement of Marks'!HB142</f>
        <v/>
      </c>
      <c r="O140" s="181" t="str">
        <f>'Statement of Marks'!HE142</f>
        <v/>
      </c>
      <c r="P140" s="181" t="str">
        <f>'Statement of Marks'!HH142</f>
        <v/>
      </c>
      <c r="Q140" s="181" t="str">
        <f>'Statement of Marks'!HK142</f>
        <v/>
      </c>
      <c r="R140" s="173" t="str">
        <f>IF(COUNTIF(K140:Q140,"F")&gt;0,"",CONCATENATE('Statement of Marks'!HO142,'Statement of Marks'!HQ142))</f>
        <v xml:space="preserve">            </v>
      </c>
      <c r="S140" s="174">
        <f t="shared" si="36"/>
        <v>0</v>
      </c>
      <c r="T140" s="5"/>
      <c r="U140" s="182" t="str">
        <f t="shared" si="37"/>
        <v/>
      </c>
      <c r="V140" s="182" t="str">
        <f t="shared" si="38"/>
        <v/>
      </c>
      <c r="W140" s="5"/>
      <c r="X140" s="182" t="str">
        <f t="shared" si="39"/>
        <v/>
      </c>
      <c r="Y140" s="182" t="str">
        <f t="shared" si="40"/>
        <v/>
      </c>
      <c r="Z140" s="5"/>
      <c r="AA140" s="182" t="str">
        <f t="shared" si="41"/>
        <v/>
      </c>
      <c r="AB140" s="183" t="str">
        <f t="shared" si="42"/>
        <v/>
      </c>
      <c r="AC140" s="5"/>
      <c r="AD140" s="182" t="str">
        <f t="shared" si="43"/>
        <v/>
      </c>
      <c r="AE140" s="183" t="str">
        <f t="shared" si="44"/>
        <v/>
      </c>
      <c r="AF140" s="5"/>
      <c r="AG140" s="182" t="str">
        <f t="shared" si="45"/>
        <v/>
      </c>
      <c r="AH140" s="183" t="str">
        <f t="shared" si="46"/>
        <v/>
      </c>
      <c r="AI140" s="5"/>
      <c r="AJ140" s="183" t="str">
        <f t="shared" si="47"/>
        <v/>
      </c>
      <c r="AK140" s="183" t="str">
        <f t="shared" si="48"/>
        <v/>
      </c>
      <c r="AL140" s="5"/>
      <c r="AM140" s="183" t="str">
        <f t="shared" si="49"/>
        <v/>
      </c>
      <c r="AN140" s="183" t="str">
        <f t="shared" si="50"/>
        <v/>
      </c>
      <c r="AO140" s="184">
        <f t="shared" si="51"/>
        <v>0</v>
      </c>
      <c r="AP140" s="184">
        <f t="shared" si="52"/>
        <v>0</v>
      </c>
      <c r="AQ140" s="608" t="str">
        <f t="shared" si="53"/>
        <v/>
      </c>
      <c r="AR140" s="185" t="str">
        <f>IF(COUNTIF(K140:Q140,"F")&gt;0,"",IF(AQ140="PASS",'Statement of Marks'!HZ142,""))</f>
        <v/>
      </c>
      <c r="AS140" s="185" t="str">
        <f>IF(AQ140="PASS",'Statement of Marks'!IA142,"")</f>
        <v/>
      </c>
    </row>
    <row r="141" spans="1:45">
      <c r="A141" s="169">
        <f>IF('Statement of Marks'!A143="","",'Statement of Marks'!A143)</f>
        <v>137</v>
      </c>
      <c r="B141" s="169" t="str">
        <f>IF('Statement of Marks'!B143="","",'Statement of Marks'!B143)</f>
        <v/>
      </c>
      <c r="C141" s="169" t="str">
        <f>IF('Statement of Marks'!D143="","",'Statement of Marks'!D143)</f>
        <v/>
      </c>
      <c r="D141" s="170" t="str">
        <f>IF('Statement of Marks'!E143="","",'Statement of Marks'!E143)</f>
        <v/>
      </c>
      <c r="E141" s="171" t="str">
        <f>IF('Statement of Marks'!F143="","",'Statement of Marks'!F143)</f>
        <v/>
      </c>
      <c r="F141" s="171" t="str">
        <f>IF('Statement of Marks'!G143="","",'Statement of Marks'!G143)</f>
        <v/>
      </c>
      <c r="G141" s="171" t="str">
        <f>IF('Statement of Marks'!H143="","",'Statement of Marks'!H143)</f>
        <v/>
      </c>
      <c r="H141" s="172" t="str">
        <f>IF('Statement of Marks'!HS143="","",'Statement of Marks'!HS143)</f>
        <v/>
      </c>
      <c r="I141" s="172" t="str">
        <f>IF('Statement of Marks'!HV143="","",'Statement of Marks'!HV143)</f>
        <v/>
      </c>
      <c r="J141" s="173" t="str">
        <f>IF('Statement of Marks'!HU143="","",'Statement of Marks'!HU143)</f>
        <v/>
      </c>
      <c r="K141" s="181" t="str">
        <f>'Statement of Marks'!GN143</f>
        <v/>
      </c>
      <c r="L141" s="181" t="str">
        <f>'Statement of Marks'!GQ143</f>
        <v/>
      </c>
      <c r="M141" s="181" t="str">
        <f>'Statement of Marks'!GT143</f>
        <v/>
      </c>
      <c r="N141" s="181" t="str">
        <f>'Statement of Marks'!HB143</f>
        <v/>
      </c>
      <c r="O141" s="181" t="str">
        <f>'Statement of Marks'!HE143</f>
        <v/>
      </c>
      <c r="P141" s="181" t="str">
        <f>'Statement of Marks'!HH143</f>
        <v/>
      </c>
      <c r="Q141" s="181" t="str">
        <f>'Statement of Marks'!HK143</f>
        <v/>
      </c>
      <c r="R141" s="173" t="str">
        <f>IF(COUNTIF(K141:Q141,"F")&gt;0,"",CONCATENATE('Statement of Marks'!HO143,'Statement of Marks'!HQ143))</f>
        <v xml:space="preserve">            </v>
      </c>
      <c r="S141" s="174">
        <f t="shared" si="36"/>
        <v>0</v>
      </c>
      <c r="T141" s="5"/>
      <c r="U141" s="182" t="str">
        <f t="shared" si="37"/>
        <v/>
      </c>
      <c r="V141" s="182" t="str">
        <f t="shared" si="38"/>
        <v/>
      </c>
      <c r="W141" s="5"/>
      <c r="X141" s="182" t="str">
        <f t="shared" si="39"/>
        <v/>
      </c>
      <c r="Y141" s="182" t="str">
        <f t="shared" si="40"/>
        <v/>
      </c>
      <c r="Z141" s="5"/>
      <c r="AA141" s="182" t="str">
        <f t="shared" si="41"/>
        <v/>
      </c>
      <c r="AB141" s="183" t="str">
        <f t="shared" si="42"/>
        <v/>
      </c>
      <c r="AC141" s="5"/>
      <c r="AD141" s="182" t="str">
        <f t="shared" si="43"/>
        <v/>
      </c>
      <c r="AE141" s="183" t="str">
        <f t="shared" si="44"/>
        <v/>
      </c>
      <c r="AF141" s="5"/>
      <c r="AG141" s="182" t="str">
        <f t="shared" si="45"/>
        <v/>
      </c>
      <c r="AH141" s="183" t="str">
        <f t="shared" si="46"/>
        <v/>
      </c>
      <c r="AI141" s="5"/>
      <c r="AJ141" s="183" t="str">
        <f t="shared" si="47"/>
        <v/>
      </c>
      <c r="AK141" s="183" t="str">
        <f t="shared" si="48"/>
        <v/>
      </c>
      <c r="AL141" s="5"/>
      <c r="AM141" s="183" t="str">
        <f t="shared" si="49"/>
        <v/>
      </c>
      <c r="AN141" s="183" t="str">
        <f t="shared" si="50"/>
        <v/>
      </c>
      <c r="AO141" s="184">
        <f t="shared" si="51"/>
        <v>0</v>
      </c>
      <c r="AP141" s="184">
        <f t="shared" si="52"/>
        <v>0</v>
      </c>
      <c r="AQ141" s="608" t="str">
        <f t="shared" si="53"/>
        <v/>
      </c>
      <c r="AR141" s="185" t="str">
        <f>IF(COUNTIF(K141:Q141,"F")&gt;0,"",IF(AQ141="PASS",'Statement of Marks'!HZ143,""))</f>
        <v/>
      </c>
      <c r="AS141" s="185" t="str">
        <f>IF(AQ141="PASS",'Statement of Marks'!IA143,"")</f>
        <v/>
      </c>
    </row>
    <row r="142" spans="1:45">
      <c r="A142" s="169">
        <f>IF('Statement of Marks'!A144="","",'Statement of Marks'!A144)</f>
        <v>138</v>
      </c>
      <c r="B142" s="169" t="str">
        <f>IF('Statement of Marks'!B144="","",'Statement of Marks'!B144)</f>
        <v/>
      </c>
      <c r="C142" s="169" t="str">
        <f>IF('Statement of Marks'!D144="","",'Statement of Marks'!D144)</f>
        <v/>
      </c>
      <c r="D142" s="170" t="str">
        <f>IF('Statement of Marks'!E144="","",'Statement of Marks'!E144)</f>
        <v/>
      </c>
      <c r="E142" s="171" t="str">
        <f>IF('Statement of Marks'!F144="","",'Statement of Marks'!F144)</f>
        <v/>
      </c>
      <c r="F142" s="171" t="str">
        <f>IF('Statement of Marks'!G144="","",'Statement of Marks'!G144)</f>
        <v/>
      </c>
      <c r="G142" s="171" t="str">
        <f>IF('Statement of Marks'!H144="","",'Statement of Marks'!H144)</f>
        <v/>
      </c>
      <c r="H142" s="172" t="str">
        <f>IF('Statement of Marks'!HS144="","",'Statement of Marks'!HS144)</f>
        <v/>
      </c>
      <c r="I142" s="172" t="str">
        <f>IF('Statement of Marks'!HV144="","",'Statement of Marks'!HV144)</f>
        <v/>
      </c>
      <c r="J142" s="173" t="str">
        <f>IF('Statement of Marks'!HU144="","",'Statement of Marks'!HU144)</f>
        <v/>
      </c>
      <c r="K142" s="181" t="str">
        <f>'Statement of Marks'!GN144</f>
        <v/>
      </c>
      <c r="L142" s="181" t="str">
        <f>'Statement of Marks'!GQ144</f>
        <v/>
      </c>
      <c r="M142" s="181" t="str">
        <f>'Statement of Marks'!GT144</f>
        <v/>
      </c>
      <c r="N142" s="181" t="str">
        <f>'Statement of Marks'!HB144</f>
        <v/>
      </c>
      <c r="O142" s="181" t="str">
        <f>'Statement of Marks'!HE144</f>
        <v/>
      </c>
      <c r="P142" s="181" t="str">
        <f>'Statement of Marks'!HH144</f>
        <v/>
      </c>
      <c r="Q142" s="181" t="str">
        <f>'Statement of Marks'!HK144</f>
        <v/>
      </c>
      <c r="R142" s="173" t="str">
        <f>IF(COUNTIF(K142:Q142,"F")&gt;0,"",CONCATENATE('Statement of Marks'!HO144,'Statement of Marks'!HQ144))</f>
        <v xml:space="preserve">            </v>
      </c>
      <c r="S142" s="174">
        <f t="shared" si="36"/>
        <v>0</v>
      </c>
      <c r="T142" s="5"/>
      <c r="U142" s="182" t="str">
        <f t="shared" si="37"/>
        <v/>
      </c>
      <c r="V142" s="182" t="str">
        <f t="shared" si="38"/>
        <v/>
      </c>
      <c r="W142" s="5"/>
      <c r="X142" s="182" t="str">
        <f t="shared" si="39"/>
        <v/>
      </c>
      <c r="Y142" s="182" t="str">
        <f t="shared" si="40"/>
        <v/>
      </c>
      <c r="Z142" s="5"/>
      <c r="AA142" s="182" t="str">
        <f t="shared" si="41"/>
        <v/>
      </c>
      <c r="AB142" s="183" t="str">
        <f t="shared" si="42"/>
        <v/>
      </c>
      <c r="AC142" s="5"/>
      <c r="AD142" s="182" t="str">
        <f t="shared" si="43"/>
        <v/>
      </c>
      <c r="AE142" s="183" t="str">
        <f t="shared" si="44"/>
        <v/>
      </c>
      <c r="AF142" s="5"/>
      <c r="AG142" s="182" t="str">
        <f t="shared" si="45"/>
        <v/>
      </c>
      <c r="AH142" s="183" t="str">
        <f t="shared" si="46"/>
        <v/>
      </c>
      <c r="AI142" s="5"/>
      <c r="AJ142" s="183" t="str">
        <f t="shared" si="47"/>
        <v/>
      </c>
      <c r="AK142" s="183" t="str">
        <f t="shared" si="48"/>
        <v/>
      </c>
      <c r="AL142" s="5"/>
      <c r="AM142" s="183" t="str">
        <f t="shared" si="49"/>
        <v/>
      </c>
      <c r="AN142" s="183" t="str">
        <f t="shared" si="50"/>
        <v/>
      </c>
      <c r="AO142" s="184">
        <f t="shared" si="51"/>
        <v>0</v>
      </c>
      <c r="AP142" s="184">
        <f t="shared" si="52"/>
        <v>0</v>
      </c>
      <c r="AQ142" s="608" t="str">
        <f t="shared" si="53"/>
        <v/>
      </c>
      <c r="AR142" s="185" t="str">
        <f>IF(COUNTIF(K142:Q142,"F")&gt;0,"",IF(AQ142="PASS",'Statement of Marks'!HZ144,""))</f>
        <v/>
      </c>
      <c r="AS142" s="185" t="str">
        <f>IF(AQ142="PASS",'Statement of Marks'!IA144,"")</f>
        <v/>
      </c>
    </row>
    <row r="143" spans="1:45">
      <c r="A143" s="169">
        <f>IF('Statement of Marks'!A145="","",'Statement of Marks'!A145)</f>
        <v>139</v>
      </c>
      <c r="B143" s="169" t="str">
        <f>IF('Statement of Marks'!B145="","",'Statement of Marks'!B145)</f>
        <v/>
      </c>
      <c r="C143" s="169" t="str">
        <f>IF('Statement of Marks'!D145="","",'Statement of Marks'!D145)</f>
        <v/>
      </c>
      <c r="D143" s="170" t="str">
        <f>IF('Statement of Marks'!E145="","",'Statement of Marks'!E145)</f>
        <v/>
      </c>
      <c r="E143" s="171" t="str">
        <f>IF('Statement of Marks'!F145="","",'Statement of Marks'!F145)</f>
        <v/>
      </c>
      <c r="F143" s="171" t="str">
        <f>IF('Statement of Marks'!G145="","",'Statement of Marks'!G145)</f>
        <v/>
      </c>
      <c r="G143" s="171" t="str">
        <f>IF('Statement of Marks'!H145="","",'Statement of Marks'!H145)</f>
        <v/>
      </c>
      <c r="H143" s="172" t="str">
        <f>IF('Statement of Marks'!HS145="","",'Statement of Marks'!HS145)</f>
        <v/>
      </c>
      <c r="I143" s="172" t="str">
        <f>IF('Statement of Marks'!HV145="","",'Statement of Marks'!HV145)</f>
        <v/>
      </c>
      <c r="J143" s="173" t="str">
        <f>IF('Statement of Marks'!HU145="","",'Statement of Marks'!HU145)</f>
        <v/>
      </c>
      <c r="K143" s="181" t="str">
        <f>'Statement of Marks'!GN145</f>
        <v/>
      </c>
      <c r="L143" s="181" t="str">
        <f>'Statement of Marks'!GQ145</f>
        <v/>
      </c>
      <c r="M143" s="181" t="str">
        <f>'Statement of Marks'!GT145</f>
        <v/>
      </c>
      <c r="N143" s="181" t="str">
        <f>'Statement of Marks'!HB145</f>
        <v/>
      </c>
      <c r="O143" s="181" t="str">
        <f>'Statement of Marks'!HE145</f>
        <v/>
      </c>
      <c r="P143" s="181" t="str">
        <f>'Statement of Marks'!HH145</f>
        <v/>
      </c>
      <c r="Q143" s="181" t="str">
        <f>'Statement of Marks'!HK145</f>
        <v/>
      </c>
      <c r="R143" s="173" t="str">
        <f>IF(COUNTIF(K143:Q143,"F")&gt;0,"",CONCATENATE('Statement of Marks'!HO145,'Statement of Marks'!HQ145))</f>
        <v xml:space="preserve">            </v>
      </c>
      <c r="S143" s="174">
        <f t="shared" si="36"/>
        <v>0</v>
      </c>
      <c r="T143" s="5"/>
      <c r="U143" s="182" t="str">
        <f t="shared" si="37"/>
        <v/>
      </c>
      <c r="V143" s="182" t="str">
        <f t="shared" si="38"/>
        <v/>
      </c>
      <c r="W143" s="5"/>
      <c r="X143" s="182" t="str">
        <f t="shared" si="39"/>
        <v/>
      </c>
      <c r="Y143" s="182" t="str">
        <f t="shared" si="40"/>
        <v/>
      </c>
      <c r="Z143" s="5"/>
      <c r="AA143" s="182" t="str">
        <f t="shared" si="41"/>
        <v/>
      </c>
      <c r="AB143" s="183" t="str">
        <f t="shared" si="42"/>
        <v/>
      </c>
      <c r="AC143" s="5"/>
      <c r="AD143" s="182" t="str">
        <f t="shared" si="43"/>
        <v/>
      </c>
      <c r="AE143" s="183" t="str">
        <f t="shared" si="44"/>
        <v/>
      </c>
      <c r="AF143" s="5"/>
      <c r="AG143" s="182" t="str">
        <f t="shared" si="45"/>
        <v/>
      </c>
      <c r="AH143" s="183" t="str">
        <f t="shared" si="46"/>
        <v/>
      </c>
      <c r="AI143" s="5"/>
      <c r="AJ143" s="183" t="str">
        <f t="shared" si="47"/>
        <v/>
      </c>
      <c r="AK143" s="183" t="str">
        <f t="shared" si="48"/>
        <v/>
      </c>
      <c r="AL143" s="5"/>
      <c r="AM143" s="183" t="str">
        <f t="shared" si="49"/>
        <v/>
      </c>
      <c r="AN143" s="183" t="str">
        <f t="shared" si="50"/>
        <v/>
      </c>
      <c r="AO143" s="184">
        <f t="shared" si="51"/>
        <v>0</v>
      </c>
      <c r="AP143" s="184">
        <f t="shared" si="52"/>
        <v>0</v>
      </c>
      <c r="AQ143" s="608" t="str">
        <f t="shared" si="53"/>
        <v/>
      </c>
      <c r="AR143" s="185" t="str">
        <f>IF(COUNTIF(K143:Q143,"F")&gt;0,"",IF(AQ143="PASS",'Statement of Marks'!HZ145,""))</f>
        <v/>
      </c>
      <c r="AS143" s="185" t="str">
        <f>IF(AQ143="PASS",'Statement of Marks'!IA145,"")</f>
        <v/>
      </c>
    </row>
    <row r="144" spans="1:45">
      <c r="A144" s="169">
        <f>IF('Statement of Marks'!A146="","",'Statement of Marks'!A146)</f>
        <v>140</v>
      </c>
      <c r="B144" s="169" t="str">
        <f>IF('Statement of Marks'!B146="","",'Statement of Marks'!B146)</f>
        <v/>
      </c>
      <c r="C144" s="169" t="str">
        <f>IF('Statement of Marks'!D146="","",'Statement of Marks'!D146)</f>
        <v/>
      </c>
      <c r="D144" s="170" t="str">
        <f>IF('Statement of Marks'!E146="","",'Statement of Marks'!E146)</f>
        <v/>
      </c>
      <c r="E144" s="171" t="str">
        <f>IF('Statement of Marks'!F146="","",'Statement of Marks'!F146)</f>
        <v/>
      </c>
      <c r="F144" s="171" t="str">
        <f>IF('Statement of Marks'!G146="","",'Statement of Marks'!G146)</f>
        <v/>
      </c>
      <c r="G144" s="171" t="str">
        <f>IF('Statement of Marks'!H146="","",'Statement of Marks'!H146)</f>
        <v/>
      </c>
      <c r="H144" s="172" t="str">
        <f>IF('Statement of Marks'!HS146="","",'Statement of Marks'!HS146)</f>
        <v/>
      </c>
      <c r="I144" s="172" t="str">
        <f>IF('Statement of Marks'!HV146="","",'Statement of Marks'!HV146)</f>
        <v/>
      </c>
      <c r="J144" s="173" t="str">
        <f>IF('Statement of Marks'!HU146="","",'Statement of Marks'!HU146)</f>
        <v/>
      </c>
      <c r="K144" s="181" t="str">
        <f>'Statement of Marks'!GN146</f>
        <v/>
      </c>
      <c r="L144" s="181" t="str">
        <f>'Statement of Marks'!GQ146</f>
        <v/>
      </c>
      <c r="M144" s="181" t="str">
        <f>'Statement of Marks'!GT146</f>
        <v/>
      </c>
      <c r="N144" s="181" t="str">
        <f>'Statement of Marks'!HB146</f>
        <v/>
      </c>
      <c r="O144" s="181" t="str">
        <f>'Statement of Marks'!HE146</f>
        <v/>
      </c>
      <c r="P144" s="181" t="str">
        <f>'Statement of Marks'!HH146</f>
        <v/>
      </c>
      <c r="Q144" s="181" t="str">
        <f>'Statement of Marks'!HK146</f>
        <v/>
      </c>
      <c r="R144" s="173" t="str">
        <f>IF(COUNTIF(K144:Q144,"F")&gt;0,"",CONCATENATE('Statement of Marks'!HO146,'Statement of Marks'!HQ146))</f>
        <v xml:space="preserve">            </v>
      </c>
      <c r="S144" s="174">
        <f t="shared" si="36"/>
        <v>0</v>
      </c>
      <c r="T144" s="5"/>
      <c r="U144" s="182" t="str">
        <f t="shared" si="37"/>
        <v/>
      </c>
      <c r="V144" s="182" t="str">
        <f t="shared" si="38"/>
        <v/>
      </c>
      <c r="W144" s="5"/>
      <c r="X144" s="182" t="str">
        <f t="shared" si="39"/>
        <v/>
      </c>
      <c r="Y144" s="182" t="str">
        <f t="shared" si="40"/>
        <v/>
      </c>
      <c r="Z144" s="5"/>
      <c r="AA144" s="182" t="str">
        <f t="shared" si="41"/>
        <v/>
      </c>
      <c r="AB144" s="183" t="str">
        <f t="shared" si="42"/>
        <v/>
      </c>
      <c r="AC144" s="5"/>
      <c r="AD144" s="182" t="str">
        <f t="shared" si="43"/>
        <v/>
      </c>
      <c r="AE144" s="183" t="str">
        <f t="shared" si="44"/>
        <v/>
      </c>
      <c r="AF144" s="5"/>
      <c r="AG144" s="182" t="str">
        <f t="shared" si="45"/>
        <v/>
      </c>
      <c r="AH144" s="183" t="str">
        <f t="shared" si="46"/>
        <v/>
      </c>
      <c r="AI144" s="5"/>
      <c r="AJ144" s="183" t="str">
        <f t="shared" si="47"/>
        <v/>
      </c>
      <c r="AK144" s="183" t="str">
        <f t="shared" si="48"/>
        <v/>
      </c>
      <c r="AL144" s="5"/>
      <c r="AM144" s="183" t="str">
        <f t="shared" si="49"/>
        <v/>
      </c>
      <c r="AN144" s="183" t="str">
        <f t="shared" si="50"/>
        <v/>
      </c>
      <c r="AO144" s="184">
        <f t="shared" si="51"/>
        <v>0</v>
      </c>
      <c r="AP144" s="184">
        <f t="shared" si="52"/>
        <v>0</v>
      </c>
      <c r="AQ144" s="608" t="str">
        <f t="shared" si="53"/>
        <v/>
      </c>
      <c r="AR144" s="185" t="str">
        <f>IF(COUNTIF(K144:Q144,"F")&gt;0,"",IF(AQ144="PASS",'Statement of Marks'!HZ146,""))</f>
        <v/>
      </c>
      <c r="AS144" s="185" t="str">
        <f>IF(AQ144="PASS",'Statement of Marks'!IA146,"")</f>
        <v/>
      </c>
    </row>
    <row r="145" spans="1:45">
      <c r="A145" s="169">
        <f>IF('Statement of Marks'!A147="","",'Statement of Marks'!A147)</f>
        <v>141</v>
      </c>
      <c r="B145" s="169" t="str">
        <f>IF('Statement of Marks'!B147="","",'Statement of Marks'!B147)</f>
        <v/>
      </c>
      <c r="C145" s="169" t="str">
        <f>IF('Statement of Marks'!D147="","",'Statement of Marks'!D147)</f>
        <v/>
      </c>
      <c r="D145" s="170" t="str">
        <f>IF('Statement of Marks'!E147="","",'Statement of Marks'!E147)</f>
        <v/>
      </c>
      <c r="E145" s="171" t="str">
        <f>IF('Statement of Marks'!F147="","",'Statement of Marks'!F147)</f>
        <v/>
      </c>
      <c r="F145" s="171" t="str">
        <f>IF('Statement of Marks'!G147="","",'Statement of Marks'!G147)</f>
        <v/>
      </c>
      <c r="G145" s="171" t="str">
        <f>IF('Statement of Marks'!H147="","",'Statement of Marks'!H147)</f>
        <v/>
      </c>
      <c r="H145" s="172" t="str">
        <f>IF('Statement of Marks'!HS147="","",'Statement of Marks'!HS147)</f>
        <v/>
      </c>
      <c r="I145" s="172" t="str">
        <f>IF('Statement of Marks'!HV147="","",'Statement of Marks'!HV147)</f>
        <v/>
      </c>
      <c r="J145" s="173" t="str">
        <f>IF('Statement of Marks'!HU147="","",'Statement of Marks'!HU147)</f>
        <v/>
      </c>
      <c r="K145" s="181" t="str">
        <f>'Statement of Marks'!GN147</f>
        <v/>
      </c>
      <c r="L145" s="181" t="str">
        <f>'Statement of Marks'!GQ147</f>
        <v/>
      </c>
      <c r="M145" s="181" t="str">
        <f>'Statement of Marks'!GT147</f>
        <v/>
      </c>
      <c r="N145" s="181" t="str">
        <f>'Statement of Marks'!HB147</f>
        <v/>
      </c>
      <c r="O145" s="181" t="str">
        <f>'Statement of Marks'!HE147</f>
        <v/>
      </c>
      <c r="P145" s="181" t="str">
        <f>'Statement of Marks'!HH147</f>
        <v/>
      </c>
      <c r="Q145" s="181" t="str">
        <f>'Statement of Marks'!HK147</f>
        <v/>
      </c>
      <c r="R145" s="173" t="str">
        <f>IF(COUNTIF(K145:Q145,"F")&gt;0,"",CONCATENATE('Statement of Marks'!HO147,'Statement of Marks'!HQ147))</f>
        <v xml:space="preserve">            </v>
      </c>
      <c r="S145" s="174">
        <f t="shared" si="36"/>
        <v>0</v>
      </c>
      <c r="T145" s="5"/>
      <c r="U145" s="182" t="str">
        <f t="shared" si="37"/>
        <v/>
      </c>
      <c r="V145" s="182" t="str">
        <f t="shared" si="38"/>
        <v/>
      </c>
      <c r="W145" s="5"/>
      <c r="X145" s="182" t="str">
        <f t="shared" si="39"/>
        <v/>
      </c>
      <c r="Y145" s="182" t="str">
        <f t="shared" si="40"/>
        <v/>
      </c>
      <c r="Z145" s="5"/>
      <c r="AA145" s="182" t="str">
        <f t="shared" si="41"/>
        <v/>
      </c>
      <c r="AB145" s="183" t="str">
        <f t="shared" si="42"/>
        <v/>
      </c>
      <c r="AC145" s="5"/>
      <c r="AD145" s="182" t="str">
        <f t="shared" si="43"/>
        <v/>
      </c>
      <c r="AE145" s="183" t="str">
        <f t="shared" si="44"/>
        <v/>
      </c>
      <c r="AF145" s="5"/>
      <c r="AG145" s="182" t="str">
        <f t="shared" si="45"/>
        <v/>
      </c>
      <c r="AH145" s="183" t="str">
        <f t="shared" si="46"/>
        <v/>
      </c>
      <c r="AI145" s="5"/>
      <c r="AJ145" s="183" t="str">
        <f t="shared" si="47"/>
        <v/>
      </c>
      <c r="AK145" s="183" t="str">
        <f t="shared" si="48"/>
        <v/>
      </c>
      <c r="AL145" s="5"/>
      <c r="AM145" s="183" t="str">
        <f t="shared" si="49"/>
        <v/>
      </c>
      <c r="AN145" s="183" t="str">
        <f t="shared" si="50"/>
        <v/>
      </c>
      <c r="AO145" s="184">
        <f t="shared" si="51"/>
        <v>0</v>
      </c>
      <c r="AP145" s="184">
        <f t="shared" si="52"/>
        <v>0</v>
      </c>
      <c r="AQ145" s="608" t="str">
        <f t="shared" si="53"/>
        <v/>
      </c>
      <c r="AR145" s="185" t="str">
        <f>IF(COUNTIF(K145:Q145,"F")&gt;0,"",IF(AQ145="PASS",'Statement of Marks'!HZ147,""))</f>
        <v/>
      </c>
      <c r="AS145" s="185" t="str">
        <f>IF(AQ145="PASS",'Statement of Marks'!IA147,"")</f>
        <v/>
      </c>
    </row>
    <row r="146" spans="1:45">
      <c r="A146" s="169">
        <f>IF('Statement of Marks'!A148="","",'Statement of Marks'!A148)</f>
        <v>142</v>
      </c>
      <c r="B146" s="169" t="str">
        <f>IF('Statement of Marks'!B148="","",'Statement of Marks'!B148)</f>
        <v/>
      </c>
      <c r="C146" s="169" t="str">
        <f>IF('Statement of Marks'!D148="","",'Statement of Marks'!D148)</f>
        <v/>
      </c>
      <c r="D146" s="170" t="str">
        <f>IF('Statement of Marks'!E148="","",'Statement of Marks'!E148)</f>
        <v/>
      </c>
      <c r="E146" s="171" t="str">
        <f>IF('Statement of Marks'!F148="","",'Statement of Marks'!F148)</f>
        <v/>
      </c>
      <c r="F146" s="171" t="str">
        <f>IF('Statement of Marks'!G148="","",'Statement of Marks'!G148)</f>
        <v/>
      </c>
      <c r="G146" s="171" t="str">
        <f>IF('Statement of Marks'!H148="","",'Statement of Marks'!H148)</f>
        <v/>
      </c>
      <c r="H146" s="172" t="str">
        <f>IF('Statement of Marks'!HS148="","",'Statement of Marks'!HS148)</f>
        <v/>
      </c>
      <c r="I146" s="172" t="str">
        <f>IF('Statement of Marks'!HV148="","",'Statement of Marks'!HV148)</f>
        <v/>
      </c>
      <c r="J146" s="173" t="str">
        <f>IF('Statement of Marks'!HU148="","",'Statement of Marks'!HU148)</f>
        <v/>
      </c>
      <c r="K146" s="181" t="str">
        <f>'Statement of Marks'!GN148</f>
        <v/>
      </c>
      <c r="L146" s="181" t="str">
        <f>'Statement of Marks'!GQ148</f>
        <v/>
      </c>
      <c r="M146" s="181" t="str">
        <f>'Statement of Marks'!GT148</f>
        <v/>
      </c>
      <c r="N146" s="181" t="str">
        <f>'Statement of Marks'!HB148</f>
        <v/>
      </c>
      <c r="O146" s="181" t="str">
        <f>'Statement of Marks'!HE148</f>
        <v/>
      </c>
      <c r="P146" s="181" t="str">
        <f>'Statement of Marks'!HH148</f>
        <v/>
      </c>
      <c r="Q146" s="181" t="str">
        <f>'Statement of Marks'!HK148</f>
        <v/>
      </c>
      <c r="R146" s="173" t="str">
        <f>IF(COUNTIF(K146:Q146,"F")&gt;0,"",CONCATENATE('Statement of Marks'!HO148,'Statement of Marks'!HQ148))</f>
        <v xml:space="preserve">            </v>
      </c>
      <c r="S146" s="174">
        <f t="shared" si="36"/>
        <v>0</v>
      </c>
      <c r="T146" s="5"/>
      <c r="U146" s="182" t="str">
        <f t="shared" si="37"/>
        <v/>
      </c>
      <c r="V146" s="182" t="str">
        <f t="shared" si="38"/>
        <v/>
      </c>
      <c r="W146" s="5"/>
      <c r="X146" s="182" t="str">
        <f t="shared" si="39"/>
        <v/>
      </c>
      <c r="Y146" s="182" t="str">
        <f t="shared" si="40"/>
        <v/>
      </c>
      <c r="Z146" s="5"/>
      <c r="AA146" s="182" t="str">
        <f t="shared" si="41"/>
        <v/>
      </c>
      <c r="AB146" s="183" t="str">
        <f t="shared" si="42"/>
        <v/>
      </c>
      <c r="AC146" s="5"/>
      <c r="AD146" s="182" t="str">
        <f t="shared" si="43"/>
        <v/>
      </c>
      <c r="AE146" s="183" t="str">
        <f t="shared" si="44"/>
        <v/>
      </c>
      <c r="AF146" s="5"/>
      <c r="AG146" s="182" t="str">
        <f t="shared" si="45"/>
        <v/>
      </c>
      <c r="AH146" s="183" t="str">
        <f t="shared" si="46"/>
        <v/>
      </c>
      <c r="AI146" s="5"/>
      <c r="AJ146" s="183" t="str">
        <f t="shared" si="47"/>
        <v/>
      </c>
      <c r="AK146" s="183" t="str">
        <f t="shared" si="48"/>
        <v/>
      </c>
      <c r="AL146" s="5"/>
      <c r="AM146" s="183" t="str">
        <f t="shared" si="49"/>
        <v/>
      </c>
      <c r="AN146" s="183" t="str">
        <f t="shared" si="50"/>
        <v/>
      </c>
      <c r="AO146" s="184">
        <f t="shared" si="51"/>
        <v>0</v>
      </c>
      <c r="AP146" s="184">
        <f t="shared" si="52"/>
        <v>0</v>
      </c>
      <c r="AQ146" s="608" t="str">
        <f t="shared" si="53"/>
        <v/>
      </c>
      <c r="AR146" s="185" t="str">
        <f>IF(COUNTIF(K146:Q146,"F")&gt;0,"",IF(AQ146="PASS",'Statement of Marks'!HZ148,""))</f>
        <v/>
      </c>
      <c r="AS146" s="185" t="str">
        <f>IF(AQ146="PASS",'Statement of Marks'!IA148,"")</f>
        <v/>
      </c>
    </row>
    <row r="147" spans="1:45">
      <c r="A147" s="169">
        <f>IF('Statement of Marks'!A149="","",'Statement of Marks'!A149)</f>
        <v>143</v>
      </c>
      <c r="B147" s="169" t="str">
        <f>IF('Statement of Marks'!B149="","",'Statement of Marks'!B149)</f>
        <v/>
      </c>
      <c r="C147" s="169" t="str">
        <f>IF('Statement of Marks'!D149="","",'Statement of Marks'!D149)</f>
        <v/>
      </c>
      <c r="D147" s="170" t="str">
        <f>IF('Statement of Marks'!E149="","",'Statement of Marks'!E149)</f>
        <v/>
      </c>
      <c r="E147" s="171" t="str">
        <f>IF('Statement of Marks'!F149="","",'Statement of Marks'!F149)</f>
        <v/>
      </c>
      <c r="F147" s="171" t="str">
        <f>IF('Statement of Marks'!G149="","",'Statement of Marks'!G149)</f>
        <v/>
      </c>
      <c r="G147" s="171" t="str">
        <f>IF('Statement of Marks'!H149="","",'Statement of Marks'!H149)</f>
        <v/>
      </c>
      <c r="H147" s="172" t="str">
        <f>IF('Statement of Marks'!HS149="","",'Statement of Marks'!HS149)</f>
        <v/>
      </c>
      <c r="I147" s="172" t="str">
        <f>IF('Statement of Marks'!HV149="","",'Statement of Marks'!HV149)</f>
        <v/>
      </c>
      <c r="J147" s="173" t="str">
        <f>IF('Statement of Marks'!HU149="","",'Statement of Marks'!HU149)</f>
        <v/>
      </c>
      <c r="K147" s="181" t="str">
        <f>'Statement of Marks'!GN149</f>
        <v/>
      </c>
      <c r="L147" s="181" t="str">
        <f>'Statement of Marks'!GQ149</f>
        <v/>
      </c>
      <c r="M147" s="181" t="str">
        <f>'Statement of Marks'!GT149</f>
        <v/>
      </c>
      <c r="N147" s="181" t="str">
        <f>'Statement of Marks'!HB149</f>
        <v/>
      </c>
      <c r="O147" s="181" t="str">
        <f>'Statement of Marks'!HE149</f>
        <v/>
      </c>
      <c r="P147" s="181" t="str">
        <f>'Statement of Marks'!HH149</f>
        <v/>
      </c>
      <c r="Q147" s="181" t="str">
        <f>'Statement of Marks'!HK149</f>
        <v/>
      </c>
      <c r="R147" s="173" t="str">
        <f>IF(COUNTIF(K147:Q147,"F")&gt;0,"",CONCATENATE('Statement of Marks'!HO149,'Statement of Marks'!HQ149))</f>
        <v xml:space="preserve">            </v>
      </c>
      <c r="S147" s="174">
        <f t="shared" si="36"/>
        <v>0</v>
      </c>
      <c r="T147" s="5"/>
      <c r="U147" s="182" t="str">
        <f t="shared" si="37"/>
        <v/>
      </c>
      <c r="V147" s="182" t="str">
        <f t="shared" si="38"/>
        <v/>
      </c>
      <c r="W147" s="5"/>
      <c r="X147" s="182" t="str">
        <f t="shared" si="39"/>
        <v/>
      </c>
      <c r="Y147" s="182" t="str">
        <f t="shared" si="40"/>
        <v/>
      </c>
      <c r="Z147" s="5"/>
      <c r="AA147" s="182" t="str">
        <f t="shared" si="41"/>
        <v/>
      </c>
      <c r="AB147" s="183" t="str">
        <f t="shared" si="42"/>
        <v/>
      </c>
      <c r="AC147" s="5"/>
      <c r="AD147" s="182" t="str">
        <f t="shared" si="43"/>
        <v/>
      </c>
      <c r="AE147" s="183" t="str">
        <f t="shared" si="44"/>
        <v/>
      </c>
      <c r="AF147" s="5"/>
      <c r="AG147" s="182" t="str">
        <f t="shared" si="45"/>
        <v/>
      </c>
      <c r="AH147" s="183" t="str">
        <f t="shared" si="46"/>
        <v/>
      </c>
      <c r="AI147" s="5"/>
      <c r="AJ147" s="183" t="str">
        <f t="shared" si="47"/>
        <v/>
      </c>
      <c r="AK147" s="183" t="str">
        <f t="shared" si="48"/>
        <v/>
      </c>
      <c r="AL147" s="5"/>
      <c r="AM147" s="183" t="str">
        <f t="shared" si="49"/>
        <v/>
      </c>
      <c r="AN147" s="183" t="str">
        <f t="shared" si="50"/>
        <v/>
      </c>
      <c r="AO147" s="184">
        <f t="shared" si="51"/>
        <v>0</v>
      </c>
      <c r="AP147" s="184">
        <f t="shared" si="52"/>
        <v>0</v>
      </c>
      <c r="AQ147" s="608" t="str">
        <f t="shared" si="53"/>
        <v/>
      </c>
      <c r="AR147" s="185" t="str">
        <f>IF(COUNTIF(K147:Q147,"F")&gt;0,"",IF(AQ147="PASS",'Statement of Marks'!HZ149,""))</f>
        <v/>
      </c>
      <c r="AS147" s="185" t="str">
        <f>IF(AQ147="PASS",'Statement of Marks'!IA149,"")</f>
        <v/>
      </c>
    </row>
    <row r="148" spans="1:45">
      <c r="A148" s="169">
        <f>IF('Statement of Marks'!A150="","",'Statement of Marks'!A150)</f>
        <v>144</v>
      </c>
      <c r="B148" s="169" t="str">
        <f>IF('Statement of Marks'!B150="","",'Statement of Marks'!B150)</f>
        <v/>
      </c>
      <c r="C148" s="169" t="str">
        <f>IF('Statement of Marks'!D150="","",'Statement of Marks'!D150)</f>
        <v/>
      </c>
      <c r="D148" s="170" t="str">
        <f>IF('Statement of Marks'!E150="","",'Statement of Marks'!E150)</f>
        <v/>
      </c>
      <c r="E148" s="171" t="str">
        <f>IF('Statement of Marks'!F150="","",'Statement of Marks'!F150)</f>
        <v/>
      </c>
      <c r="F148" s="171" t="str">
        <f>IF('Statement of Marks'!G150="","",'Statement of Marks'!G150)</f>
        <v/>
      </c>
      <c r="G148" s="171" t="str">
        <f>IF('Statement of Marks'!H150="","",'Statement of Marks'!H150)</f>
        <v/>
      </c>
      <c r="H148" s="172" t="str">
        <f>IF('Statement of Marks'!HS150="","",'Statement of Marks'!HS150)</f>
        <v/>
      </c>
      <c r="I148" s="172" t="str">
        <f>IF('Statement of Marks'!HV150="","",'Statement of Marks'!HV150)</f>
        <v/>
      </c>
      <c r="J148" s="173" t="str">
        <f>IF('Statement of Marks'!HU150="","",'Statement of Marks'!HU150)</f>
        <v/>
      </c>
      <c r="K148" s="181" t="str">
        <f>'Statement of Marks'!GN150</f>
        <v/>
      </c>
      <c r="L148" s="181" t="str">
        <f>'Statement of Marks'!GQ150</f>
        <v/>
      </c>
      <c r="M148" s="181" t="str">
        <f>'Statement of Marks'!GT150</f>
        <v/>
      </c>
      <c r="N148" s="181" t="str">
        <f>'Statement of Marks'!HB150</f>
        <v/>
      </c>
      <c r="O148" s="181" t="str">
        <f>'Statement of Marks'!HE150</f>
        <v/>
      </c>
      <c r="P148" s="181" t="str">
        <f>'Statement of Marks'!HH150</f>
        <v/>
      </c>
      <c r="Q148" s="181" t="str">
        <f>'Statement of Marks'!HK150</f>
        <v/>
      </c>
      <c r="R148" s="173" t="str">
        <f>IF(COUNTIF(K148:Q148,"F")&gt;0,"",CONCATENATE('Statement of Marks'!HO150,'Statement of Marks'!HQ150))</f>
        <v xml:space="preserve">            </v>
      </c>
      <c r="S148" s="174">
        <f t="shared" si="36"/>
        <v>0</v>
      </c>
      <c r="T148" s="5"/>
      <c r="U148" s="182" t="str">
        <f t="shared" si="37"/>
        <v/>
      </c>
      <c r="V148" s="182" t="str">
        <f t="shared" si="38"/>
        <v/>
      </c>
      <c r="W148" s="5"/>
      <c r="X148" s="182" t="str">
        <f t="shared" si="39"/>
        <v/>
      </c>
      <c r="Y148" s="182" t="str">
        <f t="shared" si="40"/>
        <v/>
      </c>
      <c r="Z148" s="5"/>
      <c r="AA148" s="182" t="str">
        <f t="shared" si="41"/>
        <v/>
      </c>
      <c r="AB148" s="183" t="str">
        <f t="shared" si="42"/>
        <v/>
      </c>
      <c r="AC148" s="5"/>
      <c r="AD148" s="182" t="str">
        <f t="shared" si="43"/>
        <v/>
      </c>
      <c r="AE148" s="183" t="str">
        <f t="shared" si="44"/>
        <v/>
      </c>
      <c r="AF148" s="5"/>
      <c r="AG148" s="182" t="str">
        <f t="shared" si="45"/>
        <v/>
      </c>
      <c r="AH148" s="183" t="str">
        <f t="shared" si="46"/>
        <v/>
      </c>
      <c r="AI148" s="5"/>
      <c r="AJ148" s="183" t="str">
        <f t="shared" si="47"/>
        <v/>
      </c>
      <c r="AK148" s="183" t="str">
        <f t="shared" si="48"/>
        <v/>
      </c>
      <c r="AL148" s="5"/>
      <c r="AM148" s="183" t="str">
        <f t="shared" si="49"/>
        <v/>
      </c>
      <c r="AN148" s="183" t="str">
        <f t="shared" si="50"/>
        <v/>
      </c>
      <c r="AO148" s="184">
        <f t="shared" si="51"/>
        <v>0</v>
      </c>
      <c r="AP148" s="184">
        <f t="shared" si="52"/>
        <v>0</v>
      </c>
      <c r="AQ148" s="608" t="str">
        <f t="shared" si="53"/>
        <v/>
      </c>
      <c r="AR148" s="185" t="str">
        <f>IF(COUNTIF(K148:Q148,"F")&gt;0,"",IF(AQ148="PASS",'Statement of Marks'!HZ150,""))</f>
        <v/>
      </c>
      <c r="AS148" s="185" t="str">
        <f>IF(AQ148="PASS",'Statement of Marks'!IA150,"")</f>
        <v/>
      </c>
    </row>
    <row r="149" spans="1:45">
      <c r="A149" s="169">
        <f>IF('Statement of Marks'!A151="","",'Statement of Marks'!A151)</f>
        <v>145</v>
      </c>
      <c r="B149" s="169" t="str">
        <f>IF('Statement of Marks'!B151="","",'Statement of Marks'!B151)</f>
        <v/>
      </c>
      <c r="C149" s="169" t="str">
        <f>IF('Statement of Marks'!D151="","",'Statement of Marks'!D151)</f>
        <v/>
      </c>
      <c r="D149" s="170" t="str">
        <f>IF('Statement of Marks'!E151="","",'Statement of Marks'!E151)</f>
        <v/>
      </c>
      <c r="E149" s="171" t="str">
        <f>IF('Statement of Marks'!F151="","",'Statement of Marks'!F151)</f>
        <v/>
      </c>
      <c r="F149" s="171" t="str">
        <f>IF('Statement of Marks'!G151="","",'Statement of Marks'!G151)</f>
        <v/>
      </c>
      <c r="G149" s="171" t="str">
        <f>IF('Statement of Marks'!H151="","",'Statement of Marks'!H151)</f>
        <v/>
      </c>
      <c r="H149" s="172" t="str">
        <f>IF('Statement of Marks'!HS151="","",'Statement of Marks'!HS151)</f>
        <v/>
      </c>
      <c r="I149" s="172" t="str">
        <f>IF('Statement of Marks'!HV151="","",'Statement of Marks'!HV151)</f>
        <v/>
      </c>
      <c r="J149" s="173" t="str">
        <f>IF('Statement of Marks'!HU151="","",'Statement of Marks'!HU151)</f>
        <v/>
      </c>
      <c r="K149" s="181" t="str">
        <f>'Statement of Marks'!GN151</f>
        <v/>
      </c>
      <c r="L149" s="181" t="str">
        <f>'Statement of Marks'!GQ151</f>
        <v/>
      </c>
      <c r="M149" s="181" t="str">
        <f>'Statement of Marks'!GT151</f>
        <v/>
      </c>
      <c r="N149" s="181" t="str">
        <f>'Statement of Marks'!HB151</f>
        <v/>
      </c>
      <c r="O149" s="181" t="str">
        <f>'Statement of Marks'!HE151</f>
        <v/>
      </c>
      <c r="P149" s="181" t="str">
        <f>'Statement of Marks'!HH151</f>
        <v/>
      </c>
      <c r="Q149" s="181" t="str">
        <f>'Statement of Marks'!HK151</f>
        <v/>
      </c>
      <c r="R149" s="173" t="str">
        <f>IF(COUNTIF(K149:Q149,"F")&gt;0,"",CONCATENATE('Statement of Marks'!HO151,'Statement of Marks'!HQ151))</f>
        <v xml:space="preserve">            </v>
      </c>
      <c r="S149" s="174">
        <f t="shared" si="36"/>
        <v>0</v>
      </c>
      <c r="T149" s="5"/>
      <c r="U149" s="182" t="str">
        <f t="shared" si="37"/>
        <v/>
      </c>
      <c r="V149" s="182" t="str">
        <f t="shared" si="38"/>
        <v/>
      </c>
      <c r="W149" s="5"/>
      <c r="X149" s="182" t="str">
        <f t="shared" si="39"/>
        <v/>
      </c>
      <c r="Y149" s="182" t="str">
        <f t="shared" si="40"/>
        <v/>
      </c>
      <c r="Z149" s="5"/>
      <c r="AA149" s="182" t="str">
        <f t="shared" si="41"/>
        <v/>
      </c>
      <c r="AB149" s="183" t="str">
        <f t="shared" si="42"/>
        <v/>
      </c>
      <c r="AC149" s="5"/>
      <c r="AD149" s="182" t="str">
        <f t="shared" si="43"/>
        <v/>
      </c>
      <c r="AE149" s="183" t="str">
        <f t="shared" si="44"/>
        <v/>
      </c>
      <c r="AF149" s="5"/>
      <c r="AG149" s="182" t="str">
        <f t="shared" si="45"/>
        <v/>
      </c>
      <c r="AH149" s="183" t="str">
        <f t="shared" si="46"/>
        <v/>
      </c>
      <c r="AI149" s="5"/>
      <c r="AJ149" s="183" t="str">
        <f t="shared" si="47"/>
        <v/>
      </c>
      <c r="AK149" s="183" t="str">
        <f t="shared" si="48"/>
        <v/>
      </c>
      <c r="AL149" s="5"/>
      <c r="AM149" s="183" t="str">
        <f t="shared" si="49"/>
        <v/>
      </c>
      <c r="AN149" s="183" t="str">
        <f t="shared" si="50"/>
        <v/>
      </c>
      <c r="AO149" s="184">
        <f t="shared" si="51"/>
        <v>0</v>
      </c>
      <c r="AP149" s="184">
        <f t="shared" si="52"/>
        <v>0</v>
      </c>
      <c r="AQ149" s="608" t="str">
        <f t="shared" si="53"/>
        <v/>
      </c>
      <c r="AR149" s="185" t="str">
        <f>IF(COUNTIF(K149:Q149,"F")&gt;0,"",IF(AQ149="PASS",'Statement of Marks'!HZ151,""))</f>
        <v/>
      </c>
      <c r="AS149" s="185" t="str">
        <f>IF(AQ149="PASS",'Statement of Marks'!IA151,"")</f>
        <v/>
      </c>
    </row>
    <row r="150" spans="1:45">
      <c r="A150" s="169">
        <f>IF('Statement of Marks'!A152="","",'Statement of Marks'!A152)</f>
        <v>146</v>
      </c>
      <c r="B150" s="169" t="str">
        <f>IF('Statement of Marks'!B152="","",'Statement of Marks'!B152)</f>
        <v/>
      </c>
      <c r="C150" s="169" t="str">
        <f>IF('Statement of Marks'!D152="","",'Statement of Marks'!D152)</f>
        <v/>
      </c>
      <c r="D150" s="170" t="str">
        <f>IF('Statement of Marks'!E152="","",'Statement of Marks'!E152)</f>
        <v/>
      </c>
      <c r="E150" s="171" t="str">
        <f>IF('Statement of Marks'!F152="","",'Statement of Marks'!F152)</f>
        <v/>
      </c>
      <c r="F150" s="171" t="str">
        <f>IF('Statement of Marks'!G152="","",'Statement of Marks'!G152)</f>
        <v/>
      </c>
      <c r="G150" s="171" t="str">
        <f>IF('Statement of Marks'!H152="","",'Statement of Marks'!H152)</f>
        <v/>
      </c>
      <c r="H150" s="172" t="str">
        <f>IF('Statement of Marks'!HS152="","",'Statement of Marks'!HS152)</f>
        <v/>
      </c>
      <c r="I150" s="172" t="str">
        <f>IF('Statement of Marks'!HV152="","",'Statement of Marks'!HV152)</f>
        <v/>
      </c>
      <c r="J150" s="173" t="str">
        <f>IF('Statement of Marks'!HU152="","",'Statement of Marks'!HU152)</f>
        <v/>
      </c>
      <c r="K150" s="181" t="str">
        <f>'Statement of Marks'!GN152</f>
        <v/>
      </c>
      <c r="L150" s="181" t="str">
        <f>'Statement of Marks'!GQ152</f>
        <v/>
      </c>
      <c r="M150" s="181" t="str">
        <f>'Statement of Marks'!GT152</f>
        <v/>
      </c>
      <c r="N150" s="181" t="str">
        <f>'Statement of Marks'!HB152</f>
        <v/>
      </c>
      <c r="O150" s="181" t="str">
        <f>'Statement of Marks'!HE152</f>
        <v/>
      </c>
      <c r="P150" s="181" t="str">
        <f>'Statement of Marks'!HH152</f>
        <v/>
      </c>
      <c r="Q150" s="181" t="str">
        <f>'Statement of Marks'!HK152</f>
        <v/>
      </c>
      <c r="R150" s="173" t="str">
        <f>IF(COUNTIF(K150:Q150,"F")&gt;0,"",CONCATENATE('Statement of Marks'!HO152,'Statement of Marks'!HQ152))</f>
        <v xml:space="preserve">            </v>
      </c>
      <c r="S150" s="174">
        <f t="shared" si="36"/>
        <v>0</v>
      </c>
      <c r="T150" s="5"/>
      <c r="U150" s="182" t="str">
        <f t="shared" si="37"/>
        <v/>
      </c>
      <c r="V150" s="182" t="str">
        <f t="shared" si="38"/>
        <v/>
      </c>
      <c r="W150" s="5"/>
      <c r="X150" s="182" t="str">
        <f t="shared" si="39"/>
        <v/>
      </c>
      <c r="Y150" s="182" t="str">
        <f t="shared" si="40"/>
        <v/>
      </c>
      <c r="Z150" s="5"/>
      <c r="AA150" s="182" t="str">
        <f t="shared" si="41"/>
        <v/>
      </c>
      <c r="AB150" s="183" t="str">
        <f t="shared" si="42"/>
        <v/>
      </c>
      <c r="AC150" s="5"/>
      <c r="AD150" s="182" t="str">
        <f t="shared" si="43"/>
        <v/>
      </c>
      <c r="AE150" s="183" t="str">
        <f t="shared" si="44"/>
        <v/>
      </c>
      <c r="AF150" s="5"/>
      <c r="AG150" s="182" t="str">
        <f t="shared" si="45"/>
        <v/>
      </c>
      <c r="AH150" s="183" t="str">
        <f t="shared" si="46"/>
        <v/>
      </c>
      <c r="AI150" s="5"/>
      <c r="AJ150" s="183" t="str">
        <f t="shared" si="47"/>
        <v/>
      </c>
      <c r="AK150" s="183" t="str">
        <f t="shared" si="48"/>
        <v/>
      </c>
      <c r="AL150" s="5"/>
      <c r="AM150" s="183" t="str">
        <f t="shared" si="49"/>
        <v/>
      </c>
      <c r="AN150" s="183" t="str">
        <f t="shared" si="50"/>
        <v/>
      </c>
      <c r="AO150" s="184">
        <f t="shared" si="51"/>
        <v>0</v>
      </c>
      <c r="AP150" s="184">
        <f t="shared" si="52"/>
        <v>0</v>
      </c>
      <c r="AQ150" s="608" t="str">
        <f t="shared" si="53"/>
        <v/>
      </c>
      <c r="AR150" s="185" t="str">
        <f>IF(COUNTIF(K150:Q150,"F")&gt;0,"",IF(AQ150="PASS",'Statement of Marks'!HZ152,""))</f>
        <v/>
      </c>
      <c r="AS150" s="185" t="str">
        <f>IF(AQ150="PASS",'Statement of Marks'!IA152,"")</f>
        <v/>
      </c>
    </row>
    <row r="151" spans="1:45">
      <c r="A151" s="169">
        <f>IF('Statement of Marks'!A153="","",'Statement of Marks'!A153)</f>
        <v>147</v>
      </c>
      <c r="B151" s="169" t="str">
        <f>IF('Statement of Marks'!B153="","",'Statement of Marks'!B153)</f>
        <v/>
      </c>
      <c r="C151" s="169" t="str">
        <f>IF('Statement of Marks'!D153="","",'Statement of Marks'!D153)</f>
        <v/>
      </c>
      <c r="D151" s="170" t="str">
        <f>IF('Statement of Marks'!E153="","",'Statement of Marks'!E153)</f>
        <v/>
      </c>
      <c r="E151" s="171" t="str">
        <f>IF('Statement of Marks'!F153="","",'Statement of Marks'!F153)</f>
        <v/>
      </c>
      <c r="F151" s="171" t="str">
        <f>IF('Statement of Marks'!G153="","",'Statement of Marks'!G153)</f>
        <v/>
      </c>
      <c r="G151" s="171" t="str">
        <f>IF('Statement of Marks'!H153="","",'Statement of Marks'!H153)</f>
        <v/>
      </c>
      <c r="H151" s="172" t="str">
        <f>IF('Statement of Marks'!HS153="","",'Statement of Marks'!HS153)</f>
        <v/>
      </c>
      <c r="I151" s="172" t="str">
        <f>IF('Statement of Marks'!HV153="","",'Statement of Marks'!HV153)</f>
        <v/>
      </c>
      <c r="J151" s="173" t="str">
        <f>IF('Statement of Marks'!HU153="","",'Statement of Marks'!HU153)</f>
        <v/>
      </c>
      <c r="K151" s="181" t="str">
        <f>'Statement of Marks'!GN153</f>
        <v/>
      </c>
      <c r="L151" s="181" t="str">
        <f>'Statement of Marks'!GQ153</f>
        <v/>
      </c>
      <c r="M151" s="181" t="str">
        <f>'Statement of Marks'!GT153</f>
        <v/>
      </c>
      <c r="N151" s="181" t="str">
        <f>'Statement of Marks'!HB153</f>
        <v/>
      </c>
      <c r="O151" s="181" t="str">
        <f>'Statement of Marks'!HE153</f>
        <v/>
      </c>
      <c r="P151" s="181" t="str">
        <f>'Statement of Marks'!HH153</f>
        <v/>
      </c>
      <c r="Q151" s="181" t="str">
        <f>'Statement of Marks'!HK153</f>
        <v/>
      </c>
      <c r="R151" s="173" t="str">
        <f>IF(COUNTIF(K151:Q151,"F")&gt;0,"",CONCATENATE('Statement of Marks'!HO153,'Statement of Marks'!HQ153))</f>
        <v xml:space="preserve">            </v>
      </c>
      <c r="S151" s="174">
        <f t="shared" si="36"/>
        <v>0</v>
      </c>
      <c r="T151" s="5"/>
      <c r="U151" s="182" t="str">
        <f t="shared" si="37"/>
        <v/>
      </c>
      <c r="V151" s="182" t="str">
        <f t="shared" si="38"/>
        <v/>
      </c>
      <c r="W151" s="5"/>
      <c r="X151" s="182" t="str">
        <f t="shared" si="39"/>
        <v/>
      </c>
      <c r="Y151" s="182" t="str">
        <f t="shared" si="40"/>
        <v/>
      </c>
      <c r="Z151" s="5"/>
      <c r="AA151" s="182" t="str">
        <f t="shared" si="41"/>
        <v/>
      </c>
      <c r="AB151" s="183" t="str">
        <f t="shared" si="42"/>
        <v/>
      </c>
      <c r="AC151" s="5"/>
      <c r="AD151" s="182" t="str">
        <f t="shared" si="43"/>
        <v/>
      </c>
      <c r="AE151" s="183" t="str">
        <f t="shared" si="44"/>
        <v/>
      </c>
      <c r="AF151" s="5"/>
      <c r="AG151" s="182" t="str">
        <f t="shared" si="45"/>
        <v/>
      </c>
      <c r="AH151" s="183" t="str">
        <f t="shared" si="46"/>
        <v/>
      </c>
      <c r="AI151" s="5"/>
      <c r="AJ151" s="183" t="str">
        <f t="shared" si="47"/>
        <v/>
      </c>
      <c r="AK151" s="183" t="str">
        <f t="shared" si="48"/>
        <v/>
      </c>
      <c r="AL151" s="5"/>
      <c r="AM151" s="183" t="str">
        <f t="shared" si="49"/>
        <v/>
      </c>
      <c r="AN151" s="183" t="str">
        <f t="shared" si="50"/>
        <v/>
      </c>
      <c r="AO151" s="184">
        <f t="shared" si="51"/>
        <v>0</v>
      </c>
      <c r="AP151" s="184">
        <f t="shared" si="52"/>
        <v>0</v>
      </c>
      <c r="AQ151" s="608" t="str">
        <f t="shared" si="53"/>
        <v/>
      </c>
      <c r="AR151" s="185" t="str">
        <f>IF(COUNTIF(K151:Q151,"F")&gt;0,"",IF(AQ151="PASS",'Statement of Marks'!HZ153,""))</f>
        <v/>
      </c>
      <c r="AS151" s="185" t="str">
        <f>IF(AQ151="PASS",'Statement of Marks'!IA153,"")</f>
        <v/>
      </c>
    </row>
    <row r="152" spans="1:45">
      <c r="A152" s="169">
        <f>IF('Statement of Marks'!A154="","",'Statement of Marks'!A154)</f>
        <v>148</v>
      </c>
      <c r="B152" s="169" t="str">
        <f>IF('Statement of Marks'!B154="","",'Statement of Marks'!B154)</f>
        <v/>
      </c>
      <c r="C152" s="169" t="str">
        <f>IF('Statement of Marks'!D154="","",'Statement of Marks'!D154)</f>
        <v/>
      </c>
      <c r="D152" s="170" t="str">
        <f>IF('Statement of Marks'!E154="","",'Statement of Marks'!E154)</f>
        <v/>
      </c>
      <c r="E152" s="171" t="str">
        <f>IF('Statement of Marks'!F154="","",'Statement of Marks'!F154)</f>
        <v/>
      </c>
      <c r="F152" s="171" t="str">
        <f>IF('Statement of Marks'!G154="","",'Statement of Marks'!G154)</f>
        <v/>
      </c>
      <c r="G152" s="171" t="str">
        <f>IF('Statement of Marks'!H154="","",'Statement of Marks'!H154)</f>
        <v/>
      </c>
      <c r="H152" s="172" t="str">
        <f>IF('Statement of Marks'!HS154="","",'Statement of Marks'!HS154)</f>
        <v/>
      </c>
      <c r="I152" s="172" t="str">
        <f>IF('Statement of Marks'!HV154="","",'Statement of Marks'!HV154)</f>
        <v/>
      </c>
      <c r="J152" s="173" t="str">
        <f>IF('Statement of Marks'!HU154="","",'Statement of Marks'!HU154)</f>
        <v/>
      </c>
      <c r="K152" s="181" t="str">
        <f>'Statement of Marks'!GN154</f>
        <v/>
      </c>
      <c r="L152" s="181" t="str">
        <f>'Statement of Marks'!GQ154</f>
        <v/>
      </c>
      <c r="M152" s="181" t="str">
        <f>'Statement of Marks'!GT154</f>
        <v/>
      </c>
      <c r="N152" s="181" t="str">
        <f>'Statement of Marks'!HB154</f>
        <v/>
      </c>
      <c r="O152" s="181" t="str">
        <f>'Statement of Marks'!HE154</f>
        <v/>
      </c>
      <c r="P152" s="181" t="str">
        <f>'Statement of Marks'!HH154</f>
        <v/>
      </c>
      <c r="Q152" s="181" t="str">
        <f>'Statement of Marks'!HK154</f>
        <v/>
      </c>
      <c r="R152" s="173" t="str">
        <f>IF(COUNTIF(K152:Q152,"F")&gt;0,"",CONCATENATE('Statement of Marks'!HO154,'Statement of Marks'!HQ154))</f>
        <v xml:space="preserve">            </v>
      </c>
      <c r="S152" s="174">
        <f t="shared" si="36"/>
        <v>0</v>
      </c>
      <c r="T152" s="5"/>
      <c r="U152" s="182" t="str">
        <f t="shared" si="37"/>
        <v/>
      </c>
      <c r="V152" s="182" t="str">
        <f t="shared" si="38"/>
        <v/>
      </c>
      <c r="W152" s="5"/>
      <c r="X152" s="182" t="str">
        <f t="shared" si="39"/>
        <v/>
      </c>
      <c r="Y152" s="182" t="str">
        <f t="shared" si="40"/>
        <v/>
      </c>
      <c r="Z152" s="5"/>
      <c r="AA152" s="182" t="str">
        <f t="shared" si="41"/>
        <v/>
      </c>
      <c r="AB152" s="183" t="str">
        <f t="shared" si="42"/>
        <v/>
      </c>
      <c r="AC152" s="5"/>
      <c r="AD152" s="182" t="str">
        <f t="shared" si="43"/>
        <v/>
      </c>
      <c r="AE152" s="183" t="str">
        <f t="shared" si="44"/>
        <v/>
      </c>
      <c r="AF152" s="5"/>
      <c r="AG152" s="182" t="str">
        <f t="shared" si="45"/>
        <v/>
      </c>
      <c r="AH152" s="183" t="str">
        <f t="shared" si="46"/>
        <v/>
      </c>
      <c r="AI152" s="5"/>
      <c r="AJ152" s="183" t="str">
        <f t="shared" si="47"/>
        <v/>
      </c>
      <c r="AK152" s="183" t="str">
        <f t="shared" si="48"/>
        <v/>
      </c>
      <c r="AL152" s="5"/>
      <c r="AM152" s="183" t="str">
        <f t="shared" si="49"/>
        <v/>
      </c>
      <c r="AN152" s="183" t="str">
        <f t="shared" si="50"/>
        <v/>
      </c>
      <c r="AO152" s="184">
        <f t="shared" si="51"/>
        <v>0</v>
      </c>
      <c r="AP152" s="184">
        <f t="shared" si="52"/>
        <v>0</v>
      </c>
      <c r="AQ152" s="608" t="str">
        <f t="shared" si="53"/>
        <v/>
      </c>
      <c r="AR152" s="185" t="str">
        <f>IF(COUNTIF(K152:Q152,"F")&gt;0,"",IF(AQ152="PASS",'Statement of Marks'!HZ154,""))</f>
        <v/>
      </c>
      <c r="AS152" s="185" t="str">
        <f>IF(AQ152="PASS",'Statement of Marks'!IA154,"")</f>
        <v/>
      </c>
    </row>
    <row r="153" spans="1:45">
      <c r="A153" s="169">
        <f>IF('Statement of Marks'!A155="","",'Statement of Marks'!A155)</f>
        <v>149</v>
      </c>
      <c r="B153" s="169" t="str">
        <f>IF('Statement of Marks'!B155="","",'Statement of Marks'!B155)</f>
        <v/>
      </c>
      <c r="C153" s="169" t="str">
        <f>IF('Statement of Marks'!D155="","",'Statement of Marks'!D155)</f>
        <v/>
      </c>
      <c r="D153" s="170" t="str">
        <f>IF('Statement of Marks'!E155="","",'Statement of Marks'!E155)</f>
        <v/>
      </c>
      <c r="E153" s="171" t="str">
        <f>IF('Statement of Marks'!F155="","",'Statement of Marks'!F155)</f>
        <v/>
      </c>
      <c r="F153" s="171" t="str">
        <f>IF('Statement of Marks'!G155="","",'Statement of Marks'!G155)</f>
        <v/>
      </c>
      <c r="G153" s="171" t="str">
        <f>IF('Statement of Marks'!H155="","",'Statement of Marks'!H155)</f>
        <v/>
      </c>
      <c r="H153" s="172" t="str">
        <f>IF('Statement of Marks'!HS155="","",'Statement of Marks'!HS155)</f>
        <v/>
      </c>
      <c r="I153" s="172" t="str">
        <f>IF('Statement of Marks'!HV155="","",'Statement of Marks'!HV155)</f>
        <v/>
      </c>
      <c r="J153" s="173" t="str">
        <f>IF('Statement of Marks'!HU155="","",'Statement of Marks'!HU155)</f>
        <v/>
      </c>
      <c r="K153" s="181" t="str">
        <f>'Statement of Marks'!GN155</f>
        <v/>
      </c>
      <c r="L153" s="181" t="str">
        <f>'Statement of Marks'!GQ155</f>
        <v/>
      </c>
      <c r="M153" s="181" t="str">
        <f>'Statement of Marks'!GT155</f>
        <v/>
      </c>
      <c r="N153" s="181" t="str">
        <f>'Statement of Marks'!HB155</f>
        <v/>
      </c>
      <c r="O153" s="181" t="str">
        <f>'Statement of Marks'!HE155</f>
        <v/>
      </c>
      <c r="P153" s="181" t="str">
        <f>'Statement of Marks'!HH155</f>
        <v/>
      </c>
      <c r="Q153" s="181" t="str">
        <f>'Statement of Marks'!HK155</f>
        <v/>
      </c>
      <c r="R153" s="173" t="str">
        <f>IF(COUNTIF(K153:Q153,"F")&gt;0,"",CONCATENATE('Statement of Marks'!HO155,'Statement of Marks'!HQ155))</f>
        <v xml:space="preserve">            </v>
      </c>
      <c r="S153" s="174">
        <f t="shared" si="36"/>
        <v>0</v>
      </c>
      <c r="T153" s="5"/>
      <c r="U153" s="182" t="str">
        <f t="shared" si="37"/>
        <v/>
      </c>
      <c r="V153" s="182" t="str">
        <f t="shared" si="38"/>
        <v/>
      </c>
      <c r="W153" s="5"/>
      <c r="X153" s="182" t="str">
        <f t="shared" si="39"/>
        <v/>
      </c>
      <c r="Y153" s="182" t="str">
        <f t="shared" si="40"/>
        <v/>
      </c>
      <c r="Z153" s="5"/>
      <c r="AA153" s="182" t="str">
        <f t="shared" si="41"/>
        <v/>
      </c>
      <c r="AB153" s="183" t="str">
        <f t="shared" si="42"/>
        <v/>
      </c>
      <c r="AC153" s="5"/>
      <c r="AD153" s="182" t="str">
        <f t="shared" si="43"/>
        <v/>
      </c>
      <c r="AE153" s="183" t="str">
        <f t="shared" si="44"/>
        <v/>
      </c>
      <c r="AF153" s="5"/>
      <c r="AG153" s="182" t="str">
        <f t="shared" si="45"/>
        <v/>
      </c>
      <c r="AH153" s="183" t="str">
        <f t="shared" si="46"/>
        <v/>
      </c>
      <c r="AI153" s="5"/>
      <c r="AJ153" s="183" t="str">
        <f t="shared" si="47"/>
        <v/>
      </c>
      <c r="AK153" s="183" t="str">
        <f t="shared" si="48"/>
        <v/>
      </c>
      <c r="AL153" s="5"/>
      <c r="AM153" s="183" t="str">
        <f t="shared" si="49"/>
        <v/>
      </c>
      <c r="AN153" s="183" t="str">
        <f t="shared" si="50"/>
        <v/>
      </c>
      <c r="AO153" s="184">
        <f t="shared" si="51"/>
        <v>0</v>
      </c>
      <c r="AP153" s="184">
        <f t="shared" si="52"/>
        <v>0</v>
      </c>
      <c r="AQ153" s="608" t="str">
        <f t="shared" si="53"/>
        <v/>
      </c>
      <c r="AR153" s="185" t="str">
        <f>IF(COUNTIF(K153:Q153,"F")&gt;0,"",IF(AQ153="PASS",'Statement of Marks'!HZ155,""))</f>
        <v/>
      </c>
      <c r="AS153" s="185" t="str">
        <f>IF(AQ153="PASS",'Statement of Marks'!IA155,"")</f>
        <v/>
      </c>
    </row>
    <row r="154" spans="1:45">
      <c r="A154" s="169">
        <f>IF('Statement of Marks'!A156="","",'Statement of Marks'!A156)</f>
        <v>150</v>
      </c>
      <c r="B154" s="169" t="str">
        <f>IF('Statement of Marks'!B156="","",'Statement of Marks'!B156)</f>
        <v/>
      </c>
      <c r="C154" s="169" t="str">
        <f>IF('Statement of Marks'!D156="","",'Statement of Marks'!D156)</f>
        <v/>
      </c>
      <c r="D154" s="170" t="str">
        <f>IF('Statement of Marks'!E156="","",'Statement of Marks'!E156)</f>
        <v/>
      </c>
      <c r="E154" s="171" t="str">
        <f>IF('Statement of Marks'!F156="","",'Statement of Marks'!F156)</f>
        <v/>
      </c>
      <c r="F154" s="171" t="str">
        <f>IF('Statement of Marks'!G156="","",'Statement of Marks'!G156)</f>
        <v/>
      </c>
      <c r="G154" s="171" t="str">
        <f>IF('Statement of Marks'!H156="","",'Statement of Marks'!H156)</f>
        <v/>
      </c>
      <c r="H154" s="172" t="str">
        <f>IF('Statement of Marks'!HS156="","",'Statement of Marks'!HS156)</f>
        <v/>
      </c>
      <c r="I154" s="172" t="str">
        <f>IF('Statement of Marks'!HV156="","",'Statement of Marks'!HV156)</f>
        <v/>
      </c>
      <c r="J154" s="173" t="str">
        <f>IF('Statement of Marks'!HU156="","",'Statement of Marks'!HU156)</f>
        <v/>
      </c>
      <c r="K154" s="181" t="str">
        <f>'Statement of Marks'!GN156</f>
        <v/>
      </c>
      <c r="L154" s="181" t="str">
        <f>'Statement of Marks'!GQ156</f>
        <v/>
      </c>
      <c r="M154" s="181" t="str">
        <f>'Statement of Marks'!GT156</f>
        <v/>
      </c>
      <c r="N154" s="181" t="str">
        <f>'Statement of Marks'!HB156</f>
        <v/>
      </c>
      <c r="O154" s="181" t="str">
        <f>'Statement of Marks'!HE156</f>
        <v/>
      </c>
      <c r="P154" s="181" t="str">
        <f>'Statement of Marks'!HH156</f>
        <v/>
      </c>
      <c r="Q154" s="181" t="str">
        <f>'Statement of Marks'!HK156</f>
        <v/>
      </c>
      <c r="R154" s="173" t="str">
        <f>IF(COUNTIF(K154:Q154,"F")&gt;0,"",CONCATENATE('Statement of Marks'!HO156,'Statement of Marks'!HQ156))</f>
        <v xml:space="preserve">            </v>
      </c>
      <c r="S154" s="174">
        <f t="shared" si="36"/>
        <v>0</v>
      </c>
      <c r="T154" s="5"/>
      <c r="U154" s="182" t="str">
        <f t="shared" si="37"/>
        <v/>
      </c>
      <c r="V154" s="182" t="str">
        <f t="shared" si="38"/>
        <v/>
      </c>
      <c r="W154" s="5"/>
      <c r="X154" s="182" t="str">
        <f t="shared" si="39"/>
        <v/>
      </c>
      <c r="Y154" s="182" t="str">
        <f t="shared" si="40"/>
        <v/>
      </c>
      <c r="Z154" s="5"/>
      <c r="AA154" s="182" t="str">
        <f t="shared" si="41"/>
        <v/>
      </c>
      <c r="AB154" s="183" t="str">
        <f t="shared" si="42"/>
        <v/>
      </c>
      <c r="AC154" s="5"/>
      <c r="AD154" s="182" t="str">
        <f t="shared" si="43"/>
        <v/>
      </c>
      <c r="AE154" s="183" t="str">
        <f t="shared" si="44"/>
        <v/>
      </c>
      <c r="AF154" s="5"/>
      <c r="AG154" s="182" t="str">
        <f t="shared" si="45"/>
        <v/>
      </c>
      <c r="AH154" s="183" t="str">
        <f t="shared" si="46"/>
        <v/>
      </c>
      <c r="AI154" s="5"/>
      <c r="AJ154" s="183" t="str">
        <f t="shared" si="47"/>
        <v/>
      </c>
      <c r="AK154" s="183" t="str">
        <f t="shared" si="48"/>
        <v/>
      </c>
      <c r="AL154" s="5"/>
      <c r="AM154" s="183" t="str">
        <f t="shared" si="49"/>
        <v/>
      </c>
      <c r="AN154" s="183" t="str">
        <f t="shared" si="50"/>
        <v/>
      </c>
      <c r="AO154" s="184">
        <f t="shared" si="51"/>
        <v>0</v>
      </c>
      <c r="AP154" s="184">
        <f t="shared" si="52"/>
        <v>0</v>
      </c>
      <c r="AQ154" s="608" t="str">
        <f t="shared" si="53"/>
        <v/>
      </c>
      <c r="AR154" s="185" t="str">
        <f>IF(COUNTIF(K154:Q154,"F")&gt;0,"",IF(AQ154="PASS",'Statement of Marks'!HZ156,""))</f>
        <v/>
      </c>
      <c r="AS154" s="185" t="str">
        <f>IF(AQ154="PASS",'Statement of Marks'!IA156,"")</f>
        <v/>
      </c>
    </row>
    <row r="155" spans="1:45">
      <c r="A155" s="169">
        <f>IF('Statement of Marks'!A157="","",'Statement of Marks'!A157)</f>
        <v>151</v>
      </c>
      <c r="B155" s="169" t="str">
        <f>IF('Statement of Marks'!B157="","",'Statement of Marks'!B157)</f>
        <v/>
      </c>
      <c r="C155" s="169" t="str">
        <f>IF('Statement of Marks'!D157="","",'Statement of Marks'!D157)</f>
        <v/>
      </c>
      <c r="D155" s="170" t="str">
        <f>IF('Statement of Marks'!E157="","",'Statement of Marks'!E157)</f>
        <v/>
      </c>
      <c r="E155" s="171" t="str">
        <f>IF('Statement of Marks'!F157="","",'Statement of Marks'!F157)</f>
        <v/>
      </c>
      <c r="F155" s="171" t="str">
        <f>IF('Statement of Marks'!G157="","",'Statement of Marks'!G157)</f>
        <v/>
      </c>
      <c r="G155" s="171" t="str">
        <f>IF('Statement of Marks'!H157="","",'Statement of Marks'!H157)</f>
        <v/>
      </c>
      <c r="H155" s="172" t="str">
        <f>IF('Statement of Marks'!HS157="","",'Statement of Marks'!HS157)</f>
        <v/>
      </c>
      <c r="I155" s="172" t="str">
        <f>IF('Statement of Marks'!HV157="","",'Statement of Marks'!HV157)</f>
        <v/>
      </c>
      <c r="J155" s="173" t="str">
        <f>IF('Statement of Marks'!HU157="","",'Statement of Marks'!HU157)</f>
        <v/>
      </c>
      <c r="K155" s="181" t="str">
        <f>'Statement of Marks'!GN157</f>
        <v/>
      </c>
      <c r="L155" s="181" t="str">
        <f>'Statement of Marks'!GQ157</f>
        <v/>
      </c>
      <c r="M155" s="181" t="str">
        <f>'Statement of Marks'!GT157</f>
        <v/>
      </c>
      <c r="N155" s="181" t="str">
        <f>'Statement of Marks'!HB157</f>
        <v/>
      </c>
      <c r="O155" s="181" t="str">
        <f>'Statement of Marks'!HE157</f>
        <v/>
      </c>
      <c r="P155" s="181" t="str">
        <f>'Statement of Marks'!HH157</f>
        <v/>
      </c>
      <c r="Q155" s="181" t="str">
        <f>'Statement of Marks'!HK157</f>
        <v/>
      </c>
      <c r="R155" s="173" t="str">
        <f>IF(COUNTIF(K155:Q155,"F")&gt;0,"",CONCATENATE('Statement of Marks'!HO157,'Statement of Marks'!HQ157))</f>
        <v xml:space="preserve">            </v>
      </c>
      <c r="S155" s="174">
        <f t="shared" si="36"/>
        <v>0</v>
      </c>
      <c r="T155" s="5"/>
      <c r="U155" s="182" t="str">
        <f t="shared" si="37"/>
        <v/>
      </c>
      <c r="V155" s="182" t="str">
        <f t="shared" si="38"/>
        <v/>
      </c>
      <c r="W155" s="5"/>
      <c r="X155" s="182" t="str">
        <f t="shared" si="39"/>
        <v/>
      </c>
      <c r="Y155" s="182" t="str">
        <f t="shared" si="40"/>
        <v/>
      </c>
      <c r="Z155" s="5"/>
      <c r="AA155" s="182" t="str">
        <f t="shared" si="41"/>
        <v/>
      </c>
      <c r="AB155" s="183" t="str">
        <f t="shared" si="42"/>
        <v/>
      </c>
      <c r="AC155" s="5"/>
      <c r="AD155" s="182" t="str">
        <f t="shared" si="43"/>
        <v/>
      </c>
      <c r="AE155" s="183" t="str">
        <f t="shared" si="44"/>
        <v/>
      </c>
      <c r="AF155" s="5"/>
      <c r="AG155" s="182" t="str">
        <f t="shared" si="45"/>
        <v/>
      </c>
      <c r="AH155" s="183" t="str">
        <f t="shared" si="46"/>
        <v/>
      </c>
      <c r="AI155" s="5"/>
      <c r="AJ155" s="183" t="str">
        <f t="shared" si="47"/>
        <v/>
      </c>
      <c r="AK155" s="183" t="str">
        <f t="shared" si="48"/>
        <v/>
      </c>
      <c r="AL155" s="5"/>
      <c r="AM155" s="183" t="str">
        <f t="shared" si="49"/>
        <v/>
      </c>
      <c r="AN155" s="183" t="str">
        <f t="shared" si="50"/>
        <v/>
      </c>
      <c r="AO155" s="184">
        <f t="shared" si="51"/>
        <v>0</v>
      </c>
      <c r="AP155" s="184">
        <f t="shared" si="52"/>
        <v>0</v>
      </c>
      <c r="AQ155" s="608" t="str">
        <f t="shared" si="53"/>
        <v/>
      </c>
      <c r="AR155" s="185" t="str">
        <f>IF(COUNTIF(K155:Q155,"F")&gt;0,"",IF(AQ155="PASS",'Statement of Marks'!HZ157,""))</f>
        <v/>
      </c>
      <c r="AS155" s="185" t="str">
        <f>IF(AQ155="PASS",'Statement of Marks'!IA157,"")</f>
        <v/>
      </c>
    </row>
    <row r="156" spans="1:45">
      <c r="A156" s="169">
        <f>IF('Statement of Marks'!A158="","",'Statement of Marks'!A158)</f>
        <v>152</v>
      </c>
      <c r="B156" s="169" t="str">
        <f>IF('Statement of Marks'!B158="","",'Statement of Marks'!B158)</f>
        <v/>
      </c>
      <c r="C156" s="169" t="str">
        <f>IF('Statement of Marks'!D158="","",'Statement of Marks'!D158)</f>
        <v/>
      </c>
      <c r="D156" s="170" t="str">
        <f>IF('Statement of Marks'!E158="","",'Statement of Marks'!E158)</f>
        <v/>
      </c>
      <c r="E156" s="171" t="str">
        <f>IF('Statement of Marks'!F158="","",'Statement of Marks'!F158)</f>
        <v/>
      </c>
      <c r="F156" s="171" t="str">
        <f>IF('Statement of Marks'!G158="","",'Statement of Marks'!G158)</f>
        <v/>
      </c>
      <c r="G156" s="171" t="str">
        <f>IF('Statement of Marks'!H158="","",'Statement of Marks'!H158)</f>
        <v/>
      </c>
      <c r="H156" s="172" t="str">
        <f>IF('Statement of Marks'!HS158="","",'Statement of Marks'!HS158)</f>
        <v/>
      </c>
      <c r="I156" s="172" t="str">
        <f>IF('Statement of Marks'!HV158="","",'Statement of Marks'!HV158)</f>
        <v/>
      </c>
      <c r="J156" s="173" t="str">
        <f>IF('Statement of Marks'!HU158="","",'Statement of Marks'!HU158)</f>
        <v/>
      </c>
      <c r="K156" s="181" t="str">
        <f>'Statement of Marks'!GN158</f>
        <v/>
      </c>
      <c r="L156" s="181" t="str">
        <f>'Statement of Marks'!GQ158</f>
        <v/>
      </c>
      <c r="M156" s="181" t="str">
        <f>'Statement of Marks'!GT158</f>
        <v/>
      </c>
      <c r="N156" s="181" t="str">
        <f>'Statement of Marks'!HB158</f>
        <v/>
      </c>
      <c r="O156" s="181" t="str">
        <f>'Statement of Marks'!HE158</f>
        <v/>
      </c>
      <c r="P156" s="181" t="str">
        <f>'Statement of Marks'!HH158</f>
        <v/>
      </c>
      <c r="Q156" s="181" t="str">
        <f>'Statement of Marks'!HK158</f>
        <v/>
      </c>
      <c r="R156" s="173" t="str">
        <f>IF(COUNTIF(K156:Q156,"F")&gt;0,"",CONCATENATE('Statement of Marks'!HO158,'Statement of Marks'!HQ158))</f>
        <v xml:space="preserve">            </v>
      </c>
      <c r="S156" s="174">
        <f t="shared" si="36"/>
        <v>0</v>
      </c>
      <c r="T156" s="5"/>
      <c r="U156" s="182" t="str">
        <f t="shared" si="37"/>
        <v/>
      </c>
      <c r="V156" s="182" t="str">
        <f t="shared" si="38"/>
        <v/>
      </c>
      <c r="W156" s="5"/>
      <c r="X156" s="182" t="str">
        <f t="shared" si="39"/>
        <v/>
      </c>
      <c r="Y156" s="182" t="str">
        <f t="shared" si="40"/>
        <v/>
      </c>
      <c r="Z156" s="5"/>
      <c r="AA156" s="182" t="str">
        <f t="shared" si="41"/>
        <v/>
      </c>
      <c r="AB156" s="183" t="str">
        <f t="shared" si="42"/>
        <v/>
      </c>
      <c r="AC156" s="5"/>
      <c r="AD156" s="182" t="str">
        <f t="shared" si="43"/>
        <v/>
      </c>
      <c r="AE156" s="183" t="str">
        <f t="shared" si="44"/>
        <v/>
      </c>
      <c r="AF156" s="5"/>
      <c r="AG156" s="182" t="str">
        <f t="shared" si="45"/>
        <v/>
      </c>
      <c r="AH156" s="183" t="str">
        <f t="shared" si="46"/>
        <v/>
      </c>
      <c r="AI156" s="5"/>
      <c r="AJ156" s="183" t="str">
        <f t="shared" si="47"/>
        <v/>
      </c>
      <c r="AK156" s="183" t="str">
        <f t="shared" si="48"/>
        <v/>
      </c>
      <c r="AL156" s="5"/>
      <c r="AM156" s="183" t="str">
        <f t="shared" si="49"/>
        <v/>
      </c>
      <c r="AN156" s="183" t="str">
        <f t="shared" si="50"/>
        <v/>
      </c>
      <c r="AO156" s="184">
        <f t="shared" si="51"/>
        <v>0</v>
      </c>
      <c r="AP156" s="184">
        <f t="shared" si="52"/>
        <v>0</v>
      </c>
      <c r="AQ156" s="608" t="str">
        <f t="shared" si="53"/>
        <v/>
      </c>
      <c r="AR156" s="185" t="str">
        <f>IF(COUNTIF(K156:Q156,"F")&gt;0,"",IF(AQ156="PASS",'Statement of Marks'!HZ158,""))</f>
        <v/>
      </c>
      <c r="AS156" s="185" t="str">
        <f>IF(AQ156="PASS",'Statement of Marks'!IA158,"")</f>
        <v/>
      </c>
    </row>
    <row r="157" spans="1:45">
      <c r="A157" s="169">
        <f>IF('Statement of Marks'!A159="","",'Statement of Marks'!A159)</f>
        <v>153</v>
      </c>
      <c r="B157" s="169" t="str">
        <f>IF('Statement of Marks'!B159="","",'Statement of Marks'!B159)</f>
        <v/>
      </c>
      <c r="C157" s="169" t="str">
        <f>IF('Statement of Marks'!D159="","",'Statement of Marks'!D159)</f>
        <v/>
      </c>
      <c r="D157" s="170" t="str">
        <f>IF('Statement of Marks'!E159="","",'Statement of Marks'!E159)</f>
        <v/>
      </c>
      <c r="E157" s="171" t="str">
        <f>IF('Statement of Marks'!F159="","",'Statement of Marks'!F159)</f>
        <v/>
      </c>
      <c r="F157" s="171" t="str">
        <f>IF('Statement of Marks'!G159="","",'Statement of Marks'!G159)</f>
        <v/>
      </c>
      <c r="G157" s="171" t="str">
        <f>IF('Statement of Marks'!H159="","",'Statement of Marks'!H159)</f>
        <v/>
      </c>
      <c r="H157" s="172" t="str">
        <f>IF('Statement of Marks'!HS159="","",'Statement of Marks'!HS159)</f>
        <v/>
      </c>
      <c r="I157" s="172" t="str">
        <f>IF('Statement of Marks'!HV159="","",'Statement of Marks'!HV159)</f>
        <v/>
      </c>
      <c r="J157" s="173" t="str">
        <f>IF('Statement of Marks'!HU159="","",'Statement of Marks'!HU159)</f>
        <v/>
      </c>
      <c r="K157" s="181" t="str">
        <f>'Statement of Marks'!GN159</f>
        <v/>
      </c>
      <c r="L157" s="181" t="str">
        <f>'Statement of Marks'!GQ159</f>
        <v/>
      </c>
      <c r="M157" s="181" t="str">
        <f>'Statement of Marks'!GT159</f>
        <v/>
      </c>
      <c r="N157" s="181" t="str">
        <f>'Statement of Marks'!HB159</f>
        <v/>
      </c>
      <c r="O157" s="181" t="str">
        <f>'Statement of Marks'!HE159</f>
        <v/>
      </c>
      <c r="P157" s="181" t="str">
        <f>'Statement of Marks'!HH159</f>
        <v/>
      </c>
      <c r="Q157" s="181" t="str">
        <f>'Statement of Marks'!HK159</f>
        <v/>
      </c>
      <c r="R157" s="173" t="str">
        <f>IF(COUNTIF(K157:Q157,"F")&gt;0,"",CONCATENATE('Statement of Marks'!HO159,'Statement of Marks'!HQ159))</f>
        <v xml:space="preserve">            </v>
      </c>
      <c r="S157" s="174">
        <f t="shared" si="36"/>
        <v>0</v>
      </c>
      <c r="T157" s="5"/>
      <c r="U157" s="182" t="str">
        <f t="shared" si="37"/>
        <v/>
      </c>
      <c r="V157" s="182" t="str">
        <f t="shared" si="38"/>
        <v/>
      </c>
      <c r="W157" s="5"/>
      <c r="X157" s="182" t="str">
        <f t="shared" si="39"/>
        <v/>
      </c>
      <c r="Y157" s="182" t="str">
        <f t="shared" si="40"/>
        <v/>
      </c>
      <c r="Z157" s="5"/>
      <c r="AA157" s="182" t="str">
        <f t="shared" si="41"/>
        <v/>
      </c>
      <c r="AB157" s="183" t="str">
        <f t="shared" si="42"/>
        <v/>
      </c>
      <c r="AC157" s="5"/>
      <c r="AD157" s="182" t="str">
        <f t="shared" si="43"/>
        <v/>
      </c>
      <c r="AE157" s="183" t="str">
        <f t="shared" si="44"/>
        <v/>
      </c>
      <c r="AF157" s="5"/>
      <c r="AG157" s="182" t="str">
        <f t="shared" si="45"/>
        <v/>
      </c>
      <c r="AH157" s="183" t="str">
        <f t="shared" si="46"/>
        <v/>
      </c>
      <c r="AI157" s="5"/>
      <c r="AJ157" s="183" t="str">
        <f t="shared" si="47"/>
        <v/>
      </c>
      <c r="AK157" s="183" t="str">
        <f t="shared" si="48"/>
        <v/>
      </c>
      <c r="AL157" s="5"/>
      <c r="AM157" s="183" t="str">
        <f t="shared" si="49"/>
        <v/>
      </c>
      <c r="AN157" s="183" t="str">
        <f t="shared" si="50"/>
        <v/>
      </c>
      <c r="AO157" s="184">
        <f t="shared" si="51"/>
        <v>0</v>
      </c>
      <c r="AP157" s="184">
        <f t="shared" si="52"/>
        <v>0</v>
      </c>
      <c r="AQ157" s="608" t="str">
        <f t="shared" si="53"/>
        <v/>
      </c>
      <c r="AR157" s="185" t="str">
        <f>IF(COUNTIF(K157:Q157,"F")&gt;0,"",IF(AQ157="PASS",'Statement of Marks'!HZ159,""))</f>
        <v/>
      </c>
      <c r="AS157" s="185" t="str">
        <f>IF(AQ157="PASS",'Statement of Marks'!IA159,"")</f>
        <v/>
      </c>
    </row>
    <row r="158" spans="1:45">
      <c r="A158" s="169">
        <f>IF('Statement of Marks'!A160="","",'Statement of Marks'!A160)</f>
        <v>154</v>
      </c>
      <c r="B158" s="169" t="str">
        <f>IF('Statement of Marks'!B160="","",'Statement of Marks'!B160)</f>
        <v/>
      </c>
      <c r="C158" s="169" t="str">
        <f>IF('Statement of Marks'!D160="","",'Statement of Marks'!D160)</f>
        <v/>
      </c>
      <c r="D158" s="170" t="str">
        <f>IF('Statement of Marks'!E160="","",'Statement of Marks'!E160)</f>
        <v/>
      </c>
      <c r="E158" s="171" t="str">
        <f>IF('Statement of Marks'!F160="","",'Statement of Marks'!F160)</f>
        <v/>
      </c>
      <c r="F158" s="171" t="str">
        <f>IF('Statement of Marks'!G160="","",'Statement of Marks'!G160)</f>
        <v/>
      </c>
      <c r="G158" s="171" t="str">
        <f>IF('Statement of Marks'!H160="","",'Statement of Marks'!H160)</f>
        <v/>
      </c>
      <c r="H158" s="172" t="str">
        <f>IF('Statement of Marks'!HS160="","",'Statement of Marks'!HS160)</f>
        <v/>
      </c>
      <c r="I158" s="172" t="str">
        <f>IF('Statement of Marks'!HV160="","",'Statement of Marks'!HV160)</f>
        <v/>
      </c>
      <c r="J158" s="173" t="str">
        <f>IF('Statement of Marks'!HU160="","",'Statement of Marks'!HU160)</f>
        <v/>
      </c>
      <c r="K158" s="181" t="str">
        <f>'Statement of Marks'!GN160</f>
        <v/>
      </c>
      <c r="L158" s="181" t="str">
        <f>'Statement of Marks'!GQ160</f>
        <v/>
      </c>
      <c r="M158" s="181" t="str">
        <f>'Statement of Marks'!GT160</f>
        <v/>
      </c>
      <c r="N158" s="181" t="str">
        <f>'Statement of Marks'!HB160</f>
        <v/>
      </c>
      <c r="O158" s="181" t="str">
        <f>'Statement of Marks'!HE160</f>
        <v/>
      </c>
      <c r="P158" s="181" t="str">
        <f>'Statement of Marks'!HH160</f>
        <v/>
      </c>
      <c r="Q158" s="181" t="str">
        <f>'Statement of Marks'!HK160</f>
        <v/>
      </c>
      <c r="R158" s="173" t="str">
        <f>IF(COUNTIF(K158:Q158,"F")&gt;0,"",CONCATENATE('Statement of Marks'!HO160,'Statement of Marks'!HQ160))</f>
        <v xml:space="preserve">            </v>
      </c>
      <c r="S158" s="174">
        <f t="shared" si="36"/>
        <v>0</v>
      </c>
      <c r="T158" s="5"/>
      <c r="U158" s="182" t="str">
        <f t="shared" si="37"/>
        <v/>
      </c>
      <c r="V158" s="182" t="str">
        <f t="shared" si="38"/>
        <v/>
      </c>
      <c r="W158" s="5"/>
      <c r="X158" s="182" t="str">
        <f t="shared" si="39"/>
        <v/>
      </c>
      <c r="Y158" s="182" t="str">
        <f t="shared" si="40"/>
        <v/>
      </c>
      <c r="Z158" s="5"/>
      <c r="AA158" s="182" t="str">
        <f t="shared" si="41"/>
        <v/>
      </c>
      <c r="AB158" s="183" t="str">
        <f t="shared" si="42"/>
        <v/>
      </c>
      <c r="AC158" s="5"/>
      <c r="AD158" s="182" t="str">
        <f t="shared" si="43"/>
        <v/>
      </c>
      <c r="AE158" s="183" t="str">
        <f t="shared" si="44"/>
        <v/>
      </c>
      <c r="AF158" s="5"/>
      <c r="AG158" s="182" t="str">
        <f t="shared" si="45"/>
        <v/>
      </c>
      <c r="AH158" s="183" t="str">
        <f t="shared" si="46"/>
        <v/>
      </c>
      <c r="AI158" s="5"/>
      <c r="AJ158" s="183" t="str">
        <f t="shared" si="47"/>
        <v/>
      </c>
      <c r="AK158" s="183" t="str">
        <f t="shared" si="48"/>
        <v/>
      </c>
      <c r="AL158" s="5"/>
      <c r="AM158" s="183" t="str">
        <f t="shared" si="49"/>
        <v/>
      </c>
      <c r="AN158" s="183" t="str">
        <f t="shared" si="50"/>
        <v/>
      </c>
      <c r="AO158" s="184">
        <f t="shared" si="51"/>
        <v>0</v>
      </c>
      <c r="AP158" s="184">
        <f t="shared" si="52"/>
        <v>0</v>
      </c>
      <c r="AQ158" s="608" t="str">
        <f t="shared" si="53"/>
        <v/>
      </c>
      <c r="AR158" s="185" t="str">
        <f>IF(COUNTIF(K158:Q158,"F")&gt;0,"",IF(AQ158="PASS",'Statement of Marks'!HZ160,""))</f>
        <v/>
      </c>
      <c r="AS158" s="185" t="str">
        <f>IF(AQ158="PASS",'Statement of Marks'!IA160,"")</f>
        <v/>
      </c>
    </row>
    <row r="159" spans="1:45">
      <c r="A159" s="169">
        <f>IF('Statement of Marks'!A161="","",'Statement of Marks'!A161)</f>
        <v>155</v>
      </c>
      <c r="B159" s="169" t="str">
        <f>IF('Statement of Marks'!B161="","",'Statement of Marks'!B161)</f>
        <v/>
      </c>
      <c r="C159" s="169" t="str">
        <f>IF('Statement of Marks'!D161="","",'Statement of Marks'!D161)</f>
        <v/>
      </c>
      <c r="D159" s="170" t="str">
        <f>IF('Statement of Marks'!E161="","",'Statement of Marks'!E161)</f>
        <v/>
      </c>
      <c r="E159" s="171" t="str">
        <f>IF('Statement of Marks'!F161="","",'Statement of Marks'!F161)</f>
        <v/>
      </c>
      <c r="F159" s="171" t="str">
        <f>IF('Statement of Marks'!G161="","",'Statement of Marks'!G161)</f>
        <v/>
      </c>
      <c r="G159" s="171" t="str">
        <f>IF('Statement of Marks'!H161="","",'Statement of Marks'!H161)</f>
        <v/>
      </c>
      <c r="H159" s="172" t="str">
        <f>IF('Statement of Marks'!HS161="","",'Statement of Marks'!HS161)</f>
        <v/>
      </c>
      <c r="I159" s="172" t="str">
        <f>IF('Statement of Marks'!HV161="","",'Statement of Marks'!HV161)</f>
        <v/>
      </c>
      <c r="J159" s="173" t="str">
        <f>IF('Statement of Marks'!HU161="","",'Statement of Marks'!HU161)</f>
        <v/>
      </c>
      <c r="K159" s="181" t="str">
        <f>'Statement of Marks'!GN161</f>
        <v/>
      </c>
      <c r="L159" s="181" t="str">
        <f>'Statement of Marks'!GQ161</f>
        <v/>
      </c>
      <c r="M159" s="181" t="str">
        <f>'Statement of Marks'!GT161</f>
        <v/>
      </c>
      <c r="N159" s="181" t="str">
        <f>'Statement of Marks'!HB161</f>
        <v/>
      </c>
      <c r="O159" s="181" t="str">
        <f>'Statement of Marks'!HE161</f>
        <v/>
      </c>
      <c r="P159" s="181" t="str">
        <f>'Statement of Marks'!HH161</f>
        <v/>
      </c>
      <c r="Q159" s="181" t="str">
        <f>'Statement of Marks'!HK161</f>
        <v/>
      </c>
      <c r="R159" s="173" t="str">
        <f>IF(COUNTIF(K159:Q159,"F")&gt;0,"",CONCATENATE('Statement of Marks'!HO161,'Statement of Marks'!HQ161))</f>
        <v xml:space="preserve">            </v>
      </c>
      <c r="S159" s="174">
        <f t="shared" si="36"/>
        <v>0</v>
      </c>
      <c r="T159" s="5"/>
      <c r="U159" s="182" t="str">
        <f t="shared" si="37"/>
        <v/>
      </c>
      <c r="V159" s="182" t="str">
        <f t="shared" si="38"/>
        <v/>
      </c>
      <c r="W159" s="5"/>
      <c r="X159" s="182" t="str">
        <f t="shared" si="39"/>
        <v/>
      </c>
      <c r="Y159" s="182" t="str">
        <f t="shared" si="40"/>
        <v/>
      </c>
      <c r="Z159" s="5"/>
      <c r="AA159" s="182" t="str">
        <f t="shared" si="41"/>
        <v/>
      </c>
      <c r="AB159" s="183" t="str">
        <f t="shared" si="42"/>
        <v/>
      </c>
      <c r="AC159" s="5"/>
      <c r="AD159" s="182" t="str">
        <f t="shared" si="43"/>
        <v/>
      </c>
      <c r="AE159" s="183" t="str">
        <f t="shared" si="44"/>
        <v/>
      </c>
      <c r="AF159" s="5"/>
      <c r="AG159" s="182" t="str">
        <f t="shared" si="45"/>
        <v/>
      </c>
      <c r="AH159" s="183" t="str">
        <f t="shared" si="46"/>
        <v/>
      </c>
      <c r="AI159" s="5"/>
      <c r="AJ159" s="183" t="str">
        <f t="shared" si="47"/>
        <v/>
      </c>
      <c r="AK159" s="183" t="str">
        <f t="shared" si="48"/>
        <v/>
      </c>
      <c r="AL159" s="5"/>
      <c r="AM159" s="183" t="str">
        <f t="shared" si="49"/>
        <v/>
      </c>
      <c r="AN159" s="183" t="str">
        <f t="shared" si="50"/>
        <v/>
      </c>
      <c r="AO159" s="184">
        <f t="shared" si="51"/>
        <v>0</v>
      </c>
      <c r="AP159" s="184">
        <f t="shared" si="52"/>
        <v>0</v>
      </c>
      <c r="AQ159" s="608" t="str">
        <f t="shared" si="53"/>
        <v/>
      </c>
      <c r="AR159" s="185" t="str">
        <f>IF(COUNTIF(K159:Q159,"F")&gt;0,"",IF(AQ159="PASS",'Statement of Marks'!HZ161,""))</f>
        <v/>
      </c>
      <c r="AS159" s="185" t="str">
        <f>IF(AQ159="PASS",'Statement of Marks'!IA161,"")</f>
        <v/>
      </c>
    </row>
    <row r="160" spans="1:45">
      <c r="A160" s="169">
        <f>IF('Statement of Marks'!A162="","",'Statement of Marks'!A162)</f>
        <v>156</v>
      </c>
      <c r="B160" s="169" t="str">
        <f>IF('Statement of Marks'!B162="","",'Statement of Marks'!B162)</f>
        <v/>
      </c>
      <c r="C160" s="169" t="str">
        <f>IF('Statement of Marks'!D162="","",'Statement of Marks'!D162)</f>
        <v/>
      </c>
      <c r="D160" s="170" t="str">
        <f>IF('Statement of Marks'!E162="","",'Statement of Marks'!E162)</f>
        <v/>
      </c>
      <c r="E160" s="171" t="str">
        <f>IF('Statement of Marks'!F162="","",'Statement of Marks'!F162)</f>
        <v/>
      </c>
      <c r="F160" s="171" t="str">
        <f>IF('Statement of Marks'!G162="","",'Statement of Marks'!G162)</f>
        <v/>
      </c>
      <c r="G160" s="171" t="str">
        <f>IF('Statement of Marks'!H162="","",'Statement of Marks'!H162)</f>
        <v/>
      </c>
      <c r="H160" s="172" t="str">
        <f>IF('Statement of Marks'!HS162="","",'Statement of Marks'!HS162)</f>
        <v/>
      </c>
      <c r="I160" s="172" t="str">
        <f>IF('Statement of Marks'!HV162="","",'Statement of Marks'!HV162)</f>
        <v/>
      </c>
      <c r="J160" s="173" t="str">
        <f>IF('Statement of Marks'!HU162="","",'Statement of Marks'!HU162)</f>
        <v/>
      </c>
      <c r="K160" s="181" t="str">
        <f>'Statement of Marks'!GN162</f>
        <v/>
      </c>
      <c r="L160" s="181" t="str">
        <f>'Statement of Marks'!GQ162</f>
        <v/>
      </c>
      <c r="M160" s="181" t="str">
        <f>'Statement of Marks'!GT162</f>
        <v/>
      </c>
      <c r="N160" s="181" t="str">
        <f>'Statement of Marks'!HB162</f>
        <v/>
      </c>
      <c r="O160" s="181" t="str">
        <f>'Statement of Marks'!HE162</f>
        <v/>
      </c>
      <c r="P160" s="181" t="str">
        <f>'Statement of Marks'!HH162</f>
        <v/>
      </c>
      <c r="Q160" s="181" t="str">
        <f>'Statement of Marks'!HK162</f>
        <v/>
      </c>
      <c r="R160" s="173" t="str">
        <f>IF(COUNTIF(K160:Q160,"F")&gt;0,"",CONCATENATE('Statement of Marks'!HO162,'Statement of Marks'!HQ162))</f>
        <v xml:space="preserve">            </v>
      </c>
      <c r="S160" s="174">
        <f t="shared" si="36"/>
        <v>0</v>
      </c>
      <c r="T160" s="5"/>
      <c r="U160" s="182" t="str">
        <f t="shared" si="37"/>
        <v/>
      </c>
      <c r="V160" s="182" t="str">
        <f t="shared" si="38"/>
        <v/>
      </c>
      <c r="W160" s="5"/>
      <c r="X160" s="182" t="str">
        <f t="shared" si="39"/>
        <v/>
      </c>
      <c r="Y160" s="182" t="str">
        <f t="shared" si="40"/>
        <v/>
      </c>
      <c r="Z160" s="5"/>
      <c r="AA160" s="182" t="str">
        <f t="shared" si="41"/>
        <v/>
      </c>
      <c r="AB160" s="183" t="str">
        <f t="shared" si="42"/>
        <v/>
      </c>
      <c r="AC160" s="5"/>
      <c r="AD160" s="182" t="str">
        <f t="shared" si="43"/>
        <v/>
      </c>
      <c r="AE160" s="183" t="str">
        <f t="shared" si="44"/>
        <v/>
      </c>
      <c r="AF160" s="5"/>
      <c r="AG160" s="182" t="str">
        <f t="shared" si="45"/>
        <v/>
      </c>
      <c r="AH160" s="183" t="str">
        <f t="shared" si="46"/>
        <v/>
      </c>
      <c r="AI160" s="5"/>
      <c r="AJ160" s="183" t="str">
        <f t="shared" si="47"/>
        <v/>
      </c>
      <c r="AK160" s="183" t="str">
        <f t="shared" si="48"/>
        <v/>
      </c>
      <c r="AL160" s="5"/>
      <c r="AM160" s="183" t="str">
        <f t="shared" si="49"/>
        <v/>
      </c>
      <c r="AN160" s="183" t="str">
        <f t="shared" si="50"/>
        <v/>
      </c>
      <c r="AO160" s="184">
        <f t="shared" si="51"/>
        <v>0</v>
      </c>
      <c r="AP160" s="184">
        <f t="shared" si="52"/>
        <v>0</v>
      </c>
      <c r="AQ160" s="608" t="str">
        <f t="shared" si="53"/>
        <v/>
      </c>
      <c r="AR160" s="185" t="str">
        <f>IF(COUNTIF(K160:Q160,"F")&gt;0,"",IF(AQ160="PASS",'Statement of Marks'!HZ162,""))</f>
        <v/>
      </c>
      <c r="AS160" s="185" t="str">
        <f>IF(AQ160="PASS",'Statement of Marks'!IA162,"")</f>
        <v/>
      </c>
    </row>
    <row r="161" spans="1:45">
      <c r="A161" s="169">
        <f>IF('Statement of Marks'!A163="","",'Statement of Marks'!A163)</f>
        <v>157</v>
      </c>
      <c r="B161" s="169" t="str">
        <f>IF('Statement of Marks'!B163="","",'Statement of Marks'!B163)</f>
        <v/>
      </c>
      <c r="C161" s="169" t="str">
        <f>IF('Statement of Marks'!D163="","",'Statement of Marks'!D163)</f>
        <v/>
      </c>
      <c r="D161" s="170" t="str">
        <f>IF('Statement of Marks'!E163="","",'Statement of Marks'!E163)</f>
        <v/>
      </c>
      <c r="E161" s="171" t="str">
        <f>IF('Statement of Marks'!F163="","",'Statement of Marks'!F163)</f>
        <v/>
      </c>
      <c r="F161" s="171" t="str">
        <f>IF('Statement of Marks'!G163="","",'Statement of Marks'!G163)</f>
        <v/>
      </c>
      <c r="G161" s="171" t="str">
        <f>IF('Statement of Marks'!H163="","",'Statement of Marks'!H163)</f>
        <v/>
      </c>
      <c r="H161" s="172" t="str">
        <f>IF('Statement of Marks'!HS163="","",'Statement of Marks'!HS163)</f>
        <v/>
      </c>
      <c r="I161" s="172" t="str">
        <f>IF('Statement of Marks'!HV163="","",'Statement of Marks'!HV163)</f>
        <v/>
      </c>
      <c r="J161" s="173" t="str">
        <f>IF('Statement of Marks'!HU163="","",'Statement of Marks'!HU163)</f>
        <v/>
      </c>
      <c r="K161" s="181" t="str">
        <f>'Statement of Marks'!GN163</f>
        <v/>
      </c>
      <c r="L161" s="181" t="str">
        <f>'Statement of Marks'!GQ163</f>
        <v/>
      </c>
      <c r="M161" s="181" t="str">
        <f>'Statement of Marks'!GT163</f>
        <v/>
      </c>
      <c r="N161" s="181" t="str">
        <f>'Statement of Marks'!HB163</f>
        <v/>
      </c>
      <c r="O161" s="181" t="str">
        <f>'Statement of Marks'!HE163</f>
        <v/>
      </c>
      <c r="P161" s="181" t="str">
        <f>'Statement of Marks'!HH163</f>
        <v/>
      </c>
      <c r="Q161" s="181" t="str">
        <f>'Statement of Marks'!HK163</f>
        <v/>
      </c>
      <c r="R161" s="173" t="str">
        <f>IF(COUNTIF(K161:Q161,"F")&gt;0,"",CONCATENATE('Statement of Marks'!HO163,'Statement of Marks'!HQ163))</f>
        <v xml:space="preserve">            </v>
      </c>
      <c r="S161" s="174">
        <f t="shared" si="36"/>
        <v>0</v>
      </c>
      <c r="T161" s="5"/>
      <c r="U161" s="182" t="str">
        <f t="shared" si="37"/>
        <v/>
      </c>
      <c r="V161" s="182" t="str">
        <f t="shared" si="38"/>
        <v/>
      </c>
      <c r="W161" s="5"/>
      <c r="X161" s="182" t="str">
        <f t="shared" si="39"/>
        <v/>
      </c>
      <c r="Y161" s="182" t="str">
        <f t="shared" si="40"/>
        <v/>
      </c>
      <c r="Z161" s="5"/>
      <c r="AA161" s="182" t="str">
        <f t="shared" si="41"/>
        <v/>
      </c>
      <c r="AB161" s="183" t="str">
        <f t="shared" si="42"/>
        <v/>
      </c>
      <c r="AC161" s="5"/>
      <c r="AD161" s="182" t="str">
        <f t="shared" si="43"/>
        <v/>
      </c>
      <c r="AE161" s="183" t="str">
        <f t="shared" si="44"/>
        <v/>
      </c>
      <c r="AF161" s="5"/>
      <c r="AG161" s="182" t="str">
        <f t="shared" si="45"/>
        <v/>
      </c>
      <c r="AH161" s="183" t="str">
        <f t="shared" si="46"/>
        <v/>
      </c>
      <c r="AI161" s="5"/>
      <c r="AJ161" s="183" t="str">
        <f t="shared" si="47"/>
        <v/>
      </c>
      <c r="AK161" s="183" t="str">
        <f t="shared" si="48"/>
        <v/>
      </c>
      <c r="AL161" s="5"/>
      <c r="AM161" s="183" t="str">
        <f t="shared" si="49"/>
        <v/>
      </c>
      <c r="AN161" s="183" t="str">
        <f t="shared" si="50"/>
        <v/>
      </c>
      <c r="AO161" s="184">
        <f t="shared" si="51"/>
        <v>0</v>
      </c>
      <c r="AP161" s="184">
        <f t="shared" si="52"/>
        <v>0</v>
      </c>
      <c r="AQ161" s="608" t="str">
        <f t="shared" si="53"/>
        <v/>
      </c>
      <c r="AR161" s="185" t="str">
        <f>IF(COUNTIF(K161:Q161,"F")&gt;0,"",IF(AQ161="PASS",'Statement of Marks'!HZ163,""))</f>
        <v/>
      </c>
      <c r="AS161" s="185" t="str">
        <f>IF(AQ161="PASS",'Statement of Marks'!IA163,"")</f>
        <v/>
      </c>
    </row>
    <row r="162" spans="1:45">
      <c r="A162" s="169">
        <f>IF('Statement of Marks'!A164="","",'Statement of Marks'!A164)</f>
        <v>158</v>
      </c>
      <c r="B162" s="169" t="str">
        <f>IF('Statement of Marks'!B164="","",'Statement of Marks'!B164)</f>
        <v/>
      </c>
      <c r="C162" s="169" t="str">
        <f>IF('Statement of Marks'!D164="","",'Statement of Marks'!D164)</f>
        <v/>
      </c>
      <c r="D162" s="170" t="str">
        <f>IF('Statement of Marks'!E164="","",'Statement of Marks'!E164)</f>
        <v/>
      </c>
      <c r="E162" s="171" t="str">
        <f>IF('Statement of Marks'!F164="","",'Statement of Marks'!F164)</f>
        <v/>
      </c>
      <c r="F162" s="171" t="str">
        <f>IF('Statement of Marks'!G164="","",'Statement of Marks'!G164)</f>
        <v/>
      </c>
      <c r="G162" s="171" t="str">
        <f>IF('Statement of Marks'!H164="","",'Statement of Marks'!H164)</f>
        <v/>
      </c>
      <c r="H162" s="172" t="str">
        <f>IF('Statement of Marks'!HS164="","",'Statement of Marks'!HS164)</f>
        <v/>
      </c>
      <c r="I162" s="172" t="str">
        <f>IF('Statement of Marks'!HV164="","",'Statement of Marks'!HV164)</f>
        <v/>
      </c>
      <c r="J162" s="173" t="str">
        <f>IF('Statement of Marks'!HU164="","",'Statement of Marks'!HU164)</f>
        <v/>
      </c>
      <c r="K162" s="181" t="str">
        <f>'Statement of Marks'!GN164</f>
        <v/>
      </c>
      <c r="L162" s="181" t="str">
        <f>'Statement of Marks'!GQ164</f>
        <v/>
      </c>
      <c r="M162" s="181" t="str">
        <f>'Statement of Marks'!GT164</f>
        <v/>
      </c>
      <c r="N162" s="181" t="str">
        <f>'Statement of Marks'!HB164</f>
        <v/>
      </c>
      <c r="O162" s="181" t="str">
        <f>'Statement of Marks'!HE164</f>
        <v/>
      </c>
      <c r="P162" s="181" t="str">
        <f>'Statement of Marks'!HH164</f>
        <v/>
      </c>
      <c r="Q162" s="181" t="str">
        <f>'Statement of Marks'!HK164</f>
        <v/>
      </c>
      <c r="R162" s="173" t="str">
        <f>IF(COUNTIF(K162:Q162,"F")&gt;0,"",CONCATENATE('Statement of Marks'!HO164,'Statement of Marks'!HQ164))</f>
        <v xml:space="preserve">            </v>
      </c>
      <c r="S162" s="174">
        <f t="shared" si="36"/>
        <v>0</v>
      </c>
      <c r="T162" s="5"/>
      <c r="U162" s="182" t="str">
        <f t="shared" si="37"/>
        <v/>
      </c>
      <c r="V162" s="182" t="str">
        <f t="shared" si="38"/>
        <v/>
      </c>
      <c r="W162" s="5"/>
      <c r="X162" s="182" t="str">
        <f t="shared" si="39"/>
        <v/>
      </c>
      <c r="Y162" s="182" t="str">
        <f t="shared" si="40"/>
        <v/>
      </c>
      <c r="Z162" s="5"/>
      <c r="AA162" s="182" t="str">
        <f t="shared" si="41"/>
        <v/>
      </c>
      <c r="AB162" s="183" t="str">
        <f t="shared" si="42"/>
        <v/>
      </c>
      <c r="AC162" s="5"/>
      <c r="AD162" s="182" t="str">
        <f t="shared" si="43"/>
        <v/>
      </c>
      <c r="AE162" s="183" t="str">
        <f t="shared" si="44"/>
        <v/>
      </c>
      <c r="AF162" s="5"/>
      <c r="AG162" s="182" t="str">
        <f t="shared" si="45"/>
        <v/>
      </c>
      <c r="AH162" s="183" t="str">
        <f t="shared" si="46"/>
        <v/>
      </c>
      <c r="AI162" s="5"/>
      <c r="AJ162" s="183" t="str">
        <f t="shared" si="47"/>
        <v/>
      </c>
      <c r="AK162" s="183" t="str">
        <f t="shared" si="48"/>
        <v/>
      </c>
      <c r="AL162" s="5"/>
      <c r="AM162" s="183" t="str">
        <f t="shared" si="49"/>
        <v/>
      </c>
      <c r="AN162" s="183" t="str">
        <f t="shared" si="50"/>
        <v/>
      </c>
      <c r="AO162" s="184">
        <f t="shared" si="51"/>
        <v>0</v>
      </c>
      <c r="AP162" s="184">
        <f t="shared" si="52"/>
        <v>0</v>
      </c>
      <c r="AQ162" s="608" t="str">
        <f t="shared" si="53"/>
        <v/>
      </c>
      <c r="AR162" s="185" t="str">
        <f>IF(COUNTIF(K162:Q162,"F")&gt;0,"",IF(AQ162="PASS",'Statement of Marks'!HZ164,""))</f>
        <v/>
      </c>
      <c r="AS162" s="185" t="str">
        <f>IF(AQ162="PASS",'Statement of Marks'!IA164,"")</f>
        <v/>
      </c>
    </row>
    <row r="163" spans="1:45">
      <c r="A163" s="169">
        <f>IF('Statement of Marks'!A165="","",'Statement of Marks'!A165)</f>
        <v>159</v>
      </c>
      <c r="B163" s="169" t="str">
        <f>IF('Statement of Marks'!B165="","",'Statement of Marks'!B165)</f>
        <v/>
      </c>
      <c r="C163" s="169" t="str">
        <f>IF('Statement of Marks'!D165="","",'Statement of Marks'!D165)</f>
        <v/>
      </c>
      <c r="D163" s="170" t="str">
        <f>IF('Statement of Marks'!E165="","",'Statement of Marks'!E165)</f>
        <v/>
      </c>
      <c r="E163" s="171" t="str">
        <f>IF('Statement of Marks'!F165="","",'Statement of Marks'!F165)</f>
        <v/>
      </c>
      <c r="F163" s="171" t="str">
        <f>IF('Statement of Marks'!G165="","",'Statement of Marks'!G165)</f>
        <v/>
      </c>
      <c r="G163" s="171" t="str">
        <f>IF('Statement of Marks'!H165="","",'Statement of Marks'!H165)</f>
        <v/>
      </c>
      <c r="H163" s="172" t="str">
        <f>IF('Statement of Marks'!HS165="","",'Statement of Marks'!HS165)</f>
        <v/>
      </c>
      <c r="I163" s="172" t="str">
        <f>IF('Statement of Marks'!HV165="","",'Statement of Marks'!HV165)</f>
        <v/>
      </c>
      <c r="J163" s="173" t="str">
        <f>IF('Statement of Marks'!HU165="","",'Statement of Marks'!HU165)</f>
        <v/>
      </c>
      <c r="K163" s="181" t="str">
        <f>'Statement of Marks'!GN165</f>
        <v/>
      </c>
      <c r="L163" s="181" t="str">
        <f>'Statement of Marks'!GQ165</f>
        <v/>
      </c>
      <c r="M163" s="181" t="str">
        <f>'Statement of Marks'!GT165</f>
        <v/>
      </c>
      <c r="N163" s="181" t="str">
        <f>'Statement of Marks'!HB165</f>
        <v/>
      </c>
      <c r="O163" s="181" t="str">
        <f>'Statement of Marks'!HE165</f>
        <v/>
      </c>
      <c r="P163" s="181" t="str">
        <f>'Statement of Marks'!HH165</f>
        <v/>
      </c>
      <c r="Q163" s="181" t="str">
        <f>'Statement of Marks'!HK165</f>
        <v/>
      </c>
      <c r="R163" s="173" t="str">
        <f>IF(COUNTIF(K163:Q163,"F")&gt;0,"",CONCATENATE('Statement of Marks'!HO165,'Statement of Marks'!HQ165))</f>
        <v xml:space="preserve">            </v>
      </c>
      <c r="S163" s="174">
        <f t="shared" si="36"/>
        <v>0</v>
      </c>
      <c r="T163" s="5"/>
      <c r="U163" s="182" t="str">
        <f t="shared" si="37"/>
        <v/>
      </c>
      <c r="V163" s="182" t="str">
        <f t="shared" si="38"/>
        <v/>
      </c>
      <c r="W163" s="5"/>
      <c r="X163" s="182" t="str">
        <f t="shared" si="39"/>
        <v/>
      </c>
      <c r="Y163" s="182" t="str">
        <f t="shared" si="40"/>
        <v/>
      </c>
      <c r="Z163" s="5"/>
      <c r="AA163" s="182" t="str">
        <f t="shared" si="41"/>
        <v/>
      </c>
      <c r="AB163" s="183" t="str">
        <f t="shared" si="42"/>
        <v/>
      </c>
      <c r="AC163" s="5"/>
      <c r="AD163" s="182" t="str">
        <f t="shared" si="43"/>
        <v/>
      </c>
      <c r="AE163" s="183" t="str">
        <f t="shared" si="44"/>
        <v/>
      </c>
      <c r="AF163" s="5"/>
      <c r="AG163" s="182" t="str">
        <f t="shared" si="45"/>
        <v/>
      </c>
      <c r="AH163" s="183" t="str">
        <f t="shared" si="46"/>
        <v/>
      </c>
      <c r="AI163" s="5"/>
      <c r="AJ163" s="183" t="str">
        <f t="shared" si="47"/>
        <v/>
      </c>
      <c r="AK163" s="183" t="str">
        <f t="shared" si="48"/>
        <v/>
      </c>
      <c r="AL163" s="5"/>
      <c r="AM163" s="183" t="str">
        <f t="shared" si="49"/>
        <v/>
      </c>
      <c r="AN163" s="183" t="str">
        <f t="shared" si="50"/>
        <v/>
      </c>
      <c r="AO163" s="184">
        <f t="shared" si="51"/>
        <v>0</v>
      </c>
      <c r="AP163" s="184">
        <f t="shared" si="52"/>
        <v>0</v>
      </c>
      <c r="AQ163" s="608" t="str">
        <f t="shared" si="53"/>
        <v/>
      </c>
      <c r="AR163" s="185" t="str">
        <f>IF(COUNTIF(K163:Q163,"F")&gt;0,"",IF(AQ163="PASS",'Statement of Marks'!HZ165,""))</f>
        <v/>
      </c>
      <c r="AS163" s="185" t="str">
        <f>IF(AQ163="PASS",'Statement of Marks'!IA165,"")</f>
        <v/>
      </c>
    </row>
    <row r="164" spans="1:45">
      <c r="A164" s="169">
        <f>IF('Statement of Marks'!A166="","",'Statement of Marks'!A166)</f>
        <v>160</v>
      </c>
      <c r="B164" s="169" t="str">
        <f>IF('Statement of Marks'!B166="","",'Statement of Marks'!B166)</f>
        <v/>
      </c>
      <c r="C164" s="169" t="str">
        <f>IF('Statement of Marks'!D166="","",'Statement of Marks'!D166)</f>
        <v/>
      </c>
      <c r="D164" s="170" t="str">
        <f>IF('Statement of Marks'!E166="","",'Statement of Marks'!E166)</f>
        <v/>
      </c>
      <c r="E164" s="171" t="str">
        <f>IF('Statement of Marks'!F166="","",'Statement of Marks'!F166)</f>
        <v/>
      </c>
      <c r="F164" s="171" t="str">
        <f>IF('Statement of Marks'!G166="","",'Statement of Marks'!G166)</f>
        <v/>
      </c>
      <c r="G164" s="171" t="str">
        <f>IF('Statement of Marks'!H166="","",'Statement of Marks'!H166)</f>
        <v/>
      </c>
      <c r="H164" s="172" t="str">
        <f>IF('Statement of Marks'!HS166="","",'Statement of Marks'!HS166)</f>
        <v/>
      </c>
      <c r="I164" s="172" t="str">
        <f>IF('Statement of Marks'!HV166="","",'Statement of Marks'!HV166)</f>
        <v/>
      </c>
      <c r="J164" s="173" t="str">
        <f>IF('Statement of Marks'!HU166="","",'Statement of Marks'!HU166)</f>
        <v/>
      </c>
      <c r="K164" s="181" t="str">
        <f>'Statement of Marks'!GN166</f>
        <v/>
      </c>
      <c r="L164" s="181" t="str">
        <f>'Statement of Marks'!GQ166</f>
        <v/>
      </c>
      <c r="M164" s="181" t="str">
        <f>'Statement of Marks'!GT166</f>
        <v/>
      </c>
      <c r="N164" s="181" t="str">
        <f>'Statement of Marks'!HB166</f>
        <v/>
      </c>
      <c r="O164" s="181" t="str">
        <f>'Statement of Marks'!HE166</f>
        <v/>
      </c>
      <c r="P164" s="181" t="str">
        <f>'Statement of Marks'!HH166</f>
        <v/>
      </c>
      <c r="Q164" s="181" t="str">
        <f>'Statement of Marks'!HK166</f>
        <v/>
      </c>
      <c r="R164" s="173" t="str">
        <f>IF(COUNTIF(K164:Q164,"F")&gt;0,"",CONCATENATE('Statement of Marks'!HO166,'Statement of Marks'!HQ166))</f>
        <v xml:space="preserve">            </v>
      </c>
      <c r="S164" s="174">
        <f t="shared" si="36"/>
        <v>0</v>
      </c>
      <c r="T164" s="5"/>
      <c r="U164" s="182" t="str">
        <f t="shared" si="37"/>
        <v/>
      </c>
      <c r="V164" s="182" t="str">
        <f t="shared" si="38"/>
        <v/>
      </c>
      <c r="W164" s="5"/>
      <c r="X164" s="182" t="str">
        <f t="shared" si="39"/>
        <v/>
      </c>
      <c r="Y164" s="182" t="str">
        <f t="shared" si="40"/>
        <v/>
      </c>
      <c r="Z164" s="5"/>
      <c r="AA164" s="182" t="str">
        <f t="shared" si="41"/>
        <v/>
      </c>
      <c r="AB164" s="183" t="str">
        <f t="shared" si="42"/>
        <v/>
      </c>
      <c r="AC164" s="5"/>
      <c r="AD164" s="182" t="str">
        <f t="shared" si="43"/>
        <v/>
      </c>
      <c r="AE164" s="183" t="str">
        <f t="shared" si="44"/>
        <v/>
      </c>
      <c r="AF164" s="5"/>
      <c r="AG164" s="182" t="str">
        <f t="shared" si="45"/>
        <v/>
      </c>
      <c r="AH164" s="183" t="str">
        <f t="shared" si="46"/>
        <v/>
      </c>
      <c r="AI164" s="5"/>
      <c r="AJ164" s="183" t="str">
        <f t="shared" si="47"/>
        <v/>
      </c>
      <c r="AK164" s="183" t="str">
        <f t="shared" si="48"/>
        <v/>
      </c>
      <c r="AL164" s="5"/>
      <c r="AM164" s="183" t="str">
        <f t="shared" si="49"/>
        <v/>
      </c>
      <c r="AN164" s="183" t="str">
        <f t="shared" si="50"/>
        <v/>
      </c>
      <c r="AO164" s="184">
        <f t="shared" si="51"/>
        <v>0</v>
      </c>
      <c r="AP164" s="184">
        <f t="shared" si="52"/>
        <v>0</v>
      </c>
      <c r="AQ164" s="608" t="str">
        <f t="shared" si="53"/>
        <v/>
      </c>
      <c r="AR164" s="185" t="str">
        <f>IF(COUNTIF(K164:Q164,"F")&gt;0,"",IF(AQ164="PASS",'Statement of Marks'!HZ166,""))</f>
        <v/>
      </c>
      <c r="AS164" s="185" t="str">
        <f>IF(AQ164="PASS",'Statement of Marks'!IA166,"")</f>
        <v/>
      </c>
    </row>
    <row r="165" spans="1:45">
      <c r="A165" s="169">
        <f>IF('Statement of Marks'!A167="","",'Statement of Marks'!A167)</f>
        <v>161</v>
      </c>
      <c r="B165" s="169" t="str">
        <f>IF('Statement of Marks'!B167="","",'Statement of Marks'!B167)</f>
        <v/>
      </c>
      <c r="C165" s="169" t="str">
        <f>IF('Statement of Marks'!D167="","",'Statement of Marks'!D167)</f>
        <v/>
      </c>
      <c r="D165" s="170" t="str">
        <f>IF('Statement of Marks'!E167="","",'Statement of Marks'!E167)</f>
        <v/>
      </c>
      <c r="E165" s="171" t="str">
        <f>IF('Statement of Marks'!F167="","",'Statement of Marks'!F167)</f>
        <v/>
      </c>
      <c r="F165" s="171" t="str">
        <f>IF('Statement of Marks'!G167="","",'Statement of Marks'!G167)</f>
        <v/>
      </c>
      <c r="G165" s="171" t="str">
        <f>IF('Statement of Marks'!H167="","",'Statement of Marks'!H167)</f>
        <v/>
      </c>
      <c r="H165" s="172" t="str">
        <f>IF('Statement of Marks'!HS167="","",'Statement of Marks'!HS167)</f>
        <v/>
      </c>
      <c r="I165" s="172" t="str">
        <f>IF('Statement of Marks'!HV167="","",'Statement of Marks'!HV167)</f>
        <v/>
      </c>
      <c r="J165" s="173" t="str">
        <f>IF('Statement of Marks'!HU167="","",'Statement of Marks'!HU167)</f>
        <v/>
      </c>
      <c r="K165" s="181" t="str">
        <f>'Statement of Marks'!GN167</f>
        <v/>
      </c>
      <c r="L165" s="181" t="str">
        <f>'Statement of Marks'!GQ167</f>
        <v/>
      </c>
      <c r="M165" s="181" t="str">
        <f>'Statement of Marks'!GT167</f>
        <v/>
      </c>
      <c r="N165" s="181" t="str">
        <f>'Statement of Marks'!HB167</f>
        <v/>
      </c>
      <c r="O165" s="181" t="str">
        <f>'Statement of Marks'!HE167</f>
        <v/>
      </c>
      <c r="P165" s="181" t="str">
        <f>'Statement of Marks'!HH167</f>
        <v/>
      </c>
      <c r="Q165" s="181" t="str">
        <f>'Statement of Marks'!HK167</f>
        <v/>
      </c>
      <c r="R165" s="173" t="str">
        <f>IF(COUNTIF(K165:Q165,"F")&gt;0,"",CONCATENATE('Statement of Marks'!HO167,'Statement of Marks'!HQ167))</f>
        <v xml:space="preserve">            </v>
      </c>
      <c r="S165" s="174">
        <f t="shared" si="36"/>
        <v>0</v>
      </c>
      <c r="T165" s="5"/>
      <c r="U165" s="182" t="str">
        <f t="shared" si="37"/>
        <v/>
      </c>
      <c r="V165" s="182" t="str">
        <f t="shared" si="38"/>
        <v/>
      </c>
      <c r="W165" s="5"/>
      <c r="X165" s="182" t="str">
        <f t="shared" si="39"/>
        <v/>
      </c>
      <c r="Y165" s="182" t="str">
        <f t="shared" si="40"/>
        <v/>
      </c>
      <c r="Z165" s="5"/>
      <c r="AA165" s="182" t="str">
        <f t="shared" si="41"/>
        <v/>
      </c>
      <c r="AB165" s="183" t="str">
        <f t="shared" si="42"/>
        <v/>
      </c>
      <c r="AC165" s="5"/>
      <c r="AD165" s="182" t="str">
        <f t="shared" si="43"/>
        <v/>
      </c>
      <c r="AE165" s="183" t="str">
        <f t="shared" si="44"/>
        <v/>
      </c>
      <c r="AF165" s="5"/>
      <c r="AG165" s="182" t="str">
        <f t="shared" si="45"/>
        <v/>
      </c>
      <c r="AH165" s="183" t="str">
        <f t="shared" si="46"/>
        <v/>
      </c>
      <c r="AI165" s="5"/>
      <c r="AJ165" s="183" t="str">
        <f t="shared" si="47"/>
        <v/>
      </c>
      <c r="AK165" s="183" t="str">
        <f t="shared" si="48"/>
        <v/>
      </c>
      <c r="AL165" s="5"/>
      <c r="AM165" s="183" t="str">
        <f t="shared" si="49"/>
        <v/>
      </c>
      <c r="AN165" s="183" t="str">
        <f t="shared" si="50"/>
        <v/>
      </c>
      <c r="AO165" s="184">
        <f t="shared" si="51"/>
        <v>0</v>
      </c>
      <c r="AP165" s="184">
        <f t="shared" si="52"/>
        <v>0</v>
      </c>
      <c r="AQ165" s="608" t="str">
        <f t="shared" si="53"/>
        <v/>
      </c>
      <c r="AR165" s="185" t="str">
        <f>IF(COUNTIF(K165:Q165,"F")&gt;0,"",IF(AQ165="PASS",'Statement of Marks'!HZ167,""))</f>
        <v/>
      </c>
      <c r="AS165" s="185" t="str">
        <f>IF(AQ165="PASS",'Statement of Marks'!IA167,"")</f>
        <v/>
      </c>
    </row>
    <row r="166" spans="1:45">
      <c r="A166" s="169">
        <f>IF('Statement of Marks'!A168="","",'Statement of Marks'!A168)</f>
        <v>162</v>
      </c>
      <c r="B166" s="169" t="str">
        <f>IF('Statement of Marks'!B168="","",'Statement of Marks'!B168)</f>
        <v/>
      </c>
      <c r="C166" s="169" t="str">
        <f>IF('Statement of Marks'!D168="","",'Statement of Marks'!D168)</f>
        <v/>
      </c>
      <c r="D166" s="170" t="str">
        <f>IF('Statement of Marks'!E168="","",'Statement of Marks'!E168)</f>
        <v/>
      </c>
      <c r="E166" s="171" t="str">
        <f>IF('Statement of Marks'!F168="","",'Statement of Marks'!F168)</f>
        <v/>
      </c>
      <c r="F166" s="171" t="str">
        <f>IF('Statement of Marks'!G168="","",'Statement of Marks'!G168)</f>
        <v/>
      </c>
      <c r="G166" s="171" t="str">
        <f>IF('Statement of Marks'!H168="","",'Statement of Marks'!H168)</f>
        <v/>
      </c>
      <c r="H166" s="172" t="str">
        <f>IF('Statement of Marks'!HS168="","",'Statement of Marks'!HS168)</f>
        <v/>
      </c>
      <c r="I166" s="172" t="str">
        <f>IF('Statement of Marks'!HV168="","",'Statement of Marks'!HV168)</f>
        <v/>
      </c>
      <c r="J166" s="173" t="str">
        <f>IF('Statement of Marks'!HU168="","",'Statement of Marks'!HU168)</f>
        <v/>
      </c>
      <c r="K166" s="181" t="str">
        <f>'Statement of Marks'!GN168</f>
        <v/>
      </c>
      <c r="L166" s="181" t="str">
        <f>'Statement of Marks'!GQ168</f>
        <v/>
      </c>
      <c r="M166" s="181" t="str">
        <f>'Statement of Marks'!GT168</f>
        <v/>
      </c>
      <c r="N166" s="181" t="str">
        <f>'Statement of Marks'!HB168</f>
        <v/>
      </c>
      <c r="O166" s="181" t="str">
        <f>'Statement of Marks'!HE168</f>
        <v/>
      </c>
      <c r="P166" s="181" t="str">
        <f>'Statement of Marks'!HH168</f>
        <v/>
      </c>
      <c r="Q166" s="181" t="str">
        <f>'Statement of Marks'!HK168</f>
        <v/>
      </c>
      <c r="R166" s="173" t="str">
        <f>IF(COUNTIF(K166:Q166,"F")&gt;0,"",CONCATENATE('Statement of Marks'!HO168,'Statement of Marks'!HQ168))</f>
        <v xml:space="preserve">            </v>
      </c>
      <c r="S166" s="174">
        <f t="shared" si="36"/>
        <v>0</v>
      </c>
      <c r="T166" s="5"/>
      <c r="U166" s="182" t="str">
        <f t="shared" si="37"/>
        <v/>
      </c>
      <c r="V166" s="182" t="str">
        <f t="shared" si="38"/>
        <v/>
      </c>
      <c r="W166" s="5"/>
      <c r="X166" s="182" t="str">
        <f t="shared" si="39"/>
        <v/>
      </c>
      <c r="Y166" s="182" t="str">
        <f t="shared" si="40"/>
        <v/>
      </c>
      <c r="Z166" s="5"/>
      <c r="AA166" s="182" t="str">
        <f t="shared" si="41"/>
        <v/>
      </c>
      <c r="AB166" s="183" t="str">
        <f t="shared" si="42"/>
        <v/>
      </c>
      <c r="AC166" s="5"/>
      <c r="AD166" s="182" t="str">
        <f t="shared" si="43"/>
        <v/>
      </c>
      <c r="AE166" s="183" t="str">
        <f t="shared" si="44"/>
        <v/>
      </c>
      <c r="AF166" s="5"/>
      <c r="AG166" s="182" t="str">
        <f t="shared" si="45"/>
        <v/>
      </c>
      <c r="AH166" s="183" t="str">
        <f t="shared" si="46"/>
        <v/>
      </c>
      <c r="AI166" s="5"/>
      <c r="AJ166" s="183" t="str">
        <f t="shared" si="47"/>
        <v/>
      </c>
      <c r="AK166" s="183" t="str">
        <f t="shared" si="48"/>
        <v/>
      </c>
      <c r="AL166" s="5"/>
      <c r="AM166" s="183" t="str">
        <f t="shared" si="49"/>
        <v/>
      </c>
      <c r="AN166" s="183" t="str">
        <f t="shared" si="50"/>
        <v/>
      </c>
      <c r="AO166" s="184">
        <f t="shared" si="51"/>
        <v>0</v>
      </c>
      <c r="AP166" s="184">
        <f t="shared" si="52"/>
        <v>0</v>
      </c>
      <c r="AQ166" s="608" t="str">
        <f t="shared" si="53"/>
        <v/>
      </c>
      <c r="AR166" s="185" t="str">
        <f>IF(COUNTIF(K166:Q166,"F")&gt;0,"",IF(AQ166="PASS",'Statement of Marks'!HZ168,""))</f>
        <v/>
      </c>
      <c r="AS166" s="185" t="str">
        <f>IF(AQ166="PASS",'Statement of Marks'!IA168,"")</f>
        <v/>
      </c>
    </row>
    <row r="167" spans="1:45">
      <c r="A167" s="169">
        <f>IF('Statement of Marks'!A169="","",'Statement of Marks'!A169)</f>
        <v>163</v>
      </c>
      <c r="B167" s="169" t="str">
        <f>IF('Statement of Marks'!B169="","",'Statement of Marks'!B169)</f>
        <v/>
      </c>
      <c r="C167" s="169" t="str">
        <f>IF('Statement of Marks'!D169="","",'Statement of Marks'!D169)</f>
        <v/>
      </c>
      <c r="D167" s="170" t="str">
        <f>IF('Statement of Marks'!E169="","",'Statement of Marks'!E169)</f>
        <v/>
      </c>
      <c r="E167" s="171" t="str">
        <f>IF('Statement of Marks'!F169="","",'Statement of Marks'!F169)</f>
        <v/>
      </c>
      <c r="F167" s="171" t="str">
        <f>IF('Statement of Marks'!G169="","",'Statement of Marks'!G169)</f>
        <v/>
      </c>
      <c r="G167" s="171" t="str">
        <f>IF('Statement of Marks'!H169="","",'Statement of Marks'!H169)</f>
        <v/>
      </c>
      <c r="H167" s="172" t="str">
        <f>IF('Statement of Marks'!HS169="","",'Statement of Marks'!HS169)</f>
        <v/>
      </c>
      <c r="I167" s="172" t="str">
        <f>IF('Statement of Marks'!HV169="","",'Statement of Marks'!HV169)</f>
        <v/>
      </c>
      <c r="J167" s="173" t="str">
        <f>IF('Statement of Marks'!HU169="","",'Statement of Marks'!HU169)</f>
        <v/>
      </c>
      <c r="K167" s="181" t="str">
        <f>'Statement of Marks'!GN169</f>
        <v/>
      </c>
      <c r="L167" s="181" t="str">
        <f>'Statement of Marks'!GQ169</f>
        <v/>
      </c>
      <c r="M167" s="181" t="str">
        <f>'Statement of Marks'!GT169</f>
        <v/>
      </c>
      <c r="N167" s="181" t="str">
        <f>'Statement of Marks'!HB169</f>
        <v/>
      </c>
      <c r="O167" s="181" t="str">
        <f>'Statement of Marks'!HE169</f>
        <v/>
      </c>
      <c r="P167" s="181" t="str">
        <f>'Statement of Marks'!HH169</f>
        <v/>
      </c>
      <c r="Q167" s="181" t="str">
        <f>'Statement of Marks'!HK169</f>
        <v/>
      </c>
      <c r="R167" s="173" t="str">
        <f>IF(COUNTIF(K167:Q167,"F")&gt;0,"",CONCATENATE('Statement of Marks'!HO169,'Statement of Marks'!HQ169))</f>
        <v xml:space="preserve">            </v>
      </c>
      <c r="S167" s="174">
        <f t="shared" si="36"/>
        <v>0</v>
      </c>
      <c r="T167" s="5"/>
      <c r="U167" s="182" t="str">
        <f t="shared" si="37"/>
        <v/>
      </c>
      <c r="V167" s="182" t="str">
        <f t="shared" si="38"/>
        <v/>
      </c>
      <c r="W167" s="5"/>
      <c r="X167" s="182" t="str">
        <f t="shared" si="39"/>
        <v/>
      </c>
      <c r="Y167" s="182" t="str">
        <f t="shared" si="40"/>
        <v/>
      </c>
      <c r="Z167" s="5"/>
      <c r="AA167" s="182" t="str">
        <f t="shared" si="41"/>
        <v/>
      </c>
      <c r="AB167" s="183" t="str">
        <f t="shared" si="42"/>
        <v/>
      </c>
      <c r="AC167" s="5"/>
      <c r="AD167" s="182" t="str">
        <f t="shared" si="43"/>
        <v/>
      </c>
      <c r="AE167" s="183" t="str">
        <f t="shared" si="44"/>
        <v/>
      </c>
      <c r="AF167" s="5"/>
      <c r="AG167" s="182" t="str">
        <f t="shared" si="45"/>
        <v/>
      </c>
      <c r="AH167" s="183" t="str">
        <f t="shared" si="46"/>
        <v/>
      </c>
      <c r="AI167" s="5"/>
      <c r="AJ167" s="183" t="str">
        <f t="shared" si="47"/>
        <v/>
      </c>
      <c r="AK167" s="183" t="str">
        <f t="shared" si="48"/>
        <v/>
      </c>
      <c r="AL167" s="5"/>
      <c r="AM167" s="183" t="str">
        <f t="shared" si="49"/>
        <v/>
      </c>
      <c r="AN167" s="183" t="str">
        <f t="shared" si="50"/>
        <v/>
      </c>
      <c r="AO167" s="184">
        <f t="shared" si="51"/>
        <v>0</v>
      </c>
      <c r="AP167" s="184">
        <f t="shared" si="52"/>
        <v>0</v>
      </c>
      <c r="AQ167" s="608" t="str">
        <f t="shared" si="53"/>
        <v/>
      </c>
      <c r="AR167" s="185" t="str">
        <f>IF(COUNTIF(K167:Q167,"F")&gt;0,"",IF(AQ167="PASS",'Statement of Marks'!HZ169,""))</f>
        <v/>
      </c>
      <c r="AS167" s="185" t="str">
        <f>IF(AQ167="PASS",'Statement of Marks'!IA169,"")</f>
        <v/>
      </c>
    </row>
    <row r="168" spans="1:45">
      <c r="A168" s="169">
        <f>IF('Statement of Marks'!A170="","",'Statement of Marks'!A170)</f>
        <v>164</v>
      </c>
      <c r="B168" s="169" t="str">
        <f>IF('Statement of Marks'!B170="","",'Statement of Marks'!B170)</f>
        <v/>
      </c>
      <c r="C168" s="169" t="str">
        <f>IF('Statement of Marks'!D170="","",'Statement of Marks'!D170)</f>
        <v/>
      </c>
      <c r="D168" s="170" t="str">
        <f>IF('Statement of Marks'!E170="","",'Statement of Marks'!E170)</f>
        <v/>
      </c>
      <c r="E168" s="171" t="str">
        <f>IF('Statement of Marks'!F170="","",'Statement of Marks'!F170)</f>
        <v/>
      </c>
      <c r="F168" s="171" t="str">
        <f>IF('Statement of Marks'!G170="","",'Statement of Marks'!G170)</f>
        <v/>
      </c>
      <c r="G168" s="171" t="str">
        <f>IF('Statement of Marks'!H170="","",'Statement of Marks'!H170)</f>
        <v/>
      </c>
      <c r="H168" s="172" t="str">
        <f>IF('Statement of Marks'!HS170="","",'Statement of Marks'!HS170)</f>
        <v/>
      </c>
      <c r="I168" s="172" t="str">
        <f>IF('Statement of Marks'!HV170="","",'Statement of Marks'!HV170)</f>
        <v/>
      </c>
      <c r="J168" s="173" t="str">
        <f>IF('Statement of Marks'!HU170="","",'Statement of Marks'!HU170)</f>
        <v/>
      </c>
      <c r="K168" s="181" t="str">
        <f>'Statement of Marks'!GN170</f>
        <v/>
      </c>
      <c r="L168" s="181" t="str">
        <f>'Statement of Marks'!GQ170</f>
        <v/>
      </c>
      <c r="M168" s="181" t="str">
        <f>'Statement of Marks'!GT170</f>
        <v/>
      </c>
      <c r="N168" s="181" t="str">
        <f>'Statement of Marks'!HB170</f>
        <v/>
      </c>
      <c r="O168" s="181" t="str">
        <f>'Statement of Marks'!HE170</f>
        <v/>
      </c>
      <c r="P168" s="181" t="str">
        <f>'Statement of Marks'!HH170</f>
        <v/>
      </c>
      <c r="Q168" s="181" t="str">
        <f>'Statement of Marks'!HK170</f>
        <v/>
      </c>
      <c r="R168" s="173" t="str">
        <f>IF(COUNTIF(K168:Q168,"F")&gt;0,"",CONCATENATE('Statement of Marks'!HO170,'Statement of Marks'!HQ170))</f>
        <v xml:space="preserve">            </v>
      </c>
      <c r="S168" s="174">
        <f t="shared" si="36"/>
        <v>0</v>
      </c>
      <c r="T168" s="5"/>
      <c r="U168" s="182" t="str">
        <f t="shared" si="37"/>
        <v/>
      </c>
      <c r="V168" s="182" t="str">
        <f t="shared" si="38"/>
        <v/>
      </c>
      <c r="W168" s="5"/>
      <c r="X168" s="182" t="str">
        <f t="shared" si="39"/>
        <v/>
      </c>
      <c r="Y168" s="182" t="str">
        <f t="shared" si="40"/>
        <v/>
      </c>
      <c r="Z168" s="5"/>
      <c r="AA168" s="182" t="str">
        <f t="shared" si="41"/>
        <v/>
      </c>
      <c r="AB168" s="183" t="str">
        <f t="shared" si="42"/>
        <v/>
      </c>
      <c r="AC168" s="5"/>
      <c r="AD168" s="182" t="str">
        <f t="shared" si="43"/>
        <v/>
      </c>
      <c r="AE168" s="183" t="str">
        <f t="shared" si="44"/>
        <v/>
      </c>
      <c r="AF168" s="5"/>
      <c r="AG168" s="182" t="str">
        <f t="shared" si="45"/>
        <v/>
      </c>
      <c r="AH168" s="183" t="str">
        <f t="shared" si="46"/>
        <v/>
      </c>
      <c r="AI168" s="5"/>
      <c r="AJ168" s="183" t="str">
        <f t="shared" si="47"/>
        <v/>
      </c>
      <c r="AK168" s="183" t="str">
        <f t="shared" si="48"/>
        <v/>
      </c>
      <c r="AL168" s="5"/>
      <c r="AM168" s="183" t="str">
        <f t="shared" si="49"/>
        <v/>
      </c>
      <c r="AN168" s="183" t="str">
        <f t="shared" si="50"/>
        <v/>
      </c>
      <c r="AO168" s="184">
        <f t="shared" si="51"/>
        <v>0</v>
      </c>
      <c r="AP168" s="184">
        <f t="shared" si="52"/>
        <v>0</v>
      </c>
      <c r="AQ168" s="608" t="str">
        <f t="shared" si="53"/>
        <v/>
      </c>
      <c r="AR168" s="185" t="str">
        <f>IF(COUNTIF(K168:Q168,"F")&gt;0,"",IF(AQ168="PASS",'Statement of Marks'!HZ170,""))</f>
        <v/>
      </c>
      <c r="AS168" s="185" t="str">
        <f>IF(AQ168="PASS",'Statement of Marks'!IA170,"")</f>
        <v/>
      </c>
    </row>
    <row r="169" spans="1:45">
      <c r="A169" s="169">
        <f>IF('Statement of Marks'!A171="","",'Statement of Marks'!A171)</f>
        <v>165</v>
      </c>
      <c r="B169" s="169" t="str">
        <f>IF('Statement of Marks'!B171="","",'Statement of Marks'!B171)</f>
        <v/>
      </c>
      <c r="C169" s="169" t="str">
        <f>IF('Statement of Marks'!D171="","",'Statement of Marks'!D171)</f>
        <v/>
      </c>
      <c r="D169" s="170" t="str">
        <f>IF('Statement of Marks'!E171="","",'Statement of Marks'!E171)</f>
        <v/>
      </c>
      <c r="E169" s="171" t="str">
        <f>IF('Statement of Marks'!F171="","",'Statement of Marks'!F171)</f>
        <v/>
      </c>
      <c r="F169" s="171" t="str">
        <f>IF('Statement of Marks'!G171="","",'Statement of Marks'!G171)</f>
        <v/>
      </c>
      <c r="G169" s="171" t="str">
        <f>IF('Statement of Marks'!H171="","",'Statement of Marks'!H171)</f>
        <v/>
      </c>
      <c r="H169" s="172" t="str">
        <f>IF('Statement of Marks'!HS171="","",'Statement of Marks'!HS171)</f>
        <v/>
      </c>
      <c r="I169" s="172" t="str">
        <f>IF('Statement of Marks'!HV171="","",'Statement of Marks'!HV171)</f>
        <v/>
      </c>
      <c r="J169" s="173" t="str">
        <f>IF('Statement of Marks'!HU171="","",'Statement of Marks'!HU171)</f>
        <v/>
      </c>
      <c r="K169" s="181" t="str">
        <f>'Statement of Marks'!GN171</f>
        <v/>
      </c>
      <c r="L169" s="181" t="str">
        <f>'Statement of Marks'!GQ171</f>
        <v/>
      </c>
      <c r="M169" s="181" t="str">
        <f>'Statement of Marks'!GT171</f>
        <v/>
      </c>
      <c r="N169" s="181" t="str">
        <f>'Statement of Marks'!HB171</f>
        <v/>
      </c>
      <c r="O169" s="181" t="str">
        <f>'Statement of Marks'!HE171</f>
        <v/>
      </c>
      <c r="P169" s="181" t="str">
        <f>'Statement of Marks'!HH171</f>
        <v/>
      </c>
      <c r="Q169" s="181" t="str">
        <f>'Statement of Marks'!HK171</f>
        <v/>
      </c>
      <c r="R169" s="173" t="str">
        <f>IF(COUNTIF(K169:Q169,"F")&gt;0,"",CONCATENATE('Statement of Marks'!HO171,'Statement of Marks'!HQ171))</f>
        <v xml:space="preserve">            </v>
      </c>
      <c r="S169" s="174">
        <f t="shared" si="36"/>
        <v>0</v>
      </c>
      <c r="T169" s="5"/>
      <c r="U169" s="182" t="str">
        <f t="shared" si="37"/>
        <v/>
      </c>
      <c r="V169" s="182" t="str">
        <f t="shared" si="38"/>
        <v/>
      </c>
      <c r="W169" s="5"/>
      <c r="X169" s="182" t="str">
        <f t="shared" si="39"/>
        <v/>
      </c>
      <c r="Y169" s="182" t="str">
        <f t="shared" si="40"/>
        <v/>
      </c>
      <c r="Z169" s="5"/>
      <c r="AA169" s="182" t="str">
        <f t="shared" si="41"/>
        <v/>
      </c>
      <c r="AB169" s="183" t="str">
        <f t="shared" si="42"/>
        <v/>
      </c>
      <c r="AC169" s="5"/>
      <c r="AD169" s="182" t="str">
        <f t="shared" si="43"/>
        <v/>
      </c>
      <c r="AE169" s="183" t="str">
        <f t="shared" si="44"/>
        <v/>
      </c>
      <c r="AF169" s="5"/>
      <c r="AG169" s="182" t="str">
        <f t="shared" si="45"/>
        <v/>
      </c>
      <c r="AH169" s="183" t="str">
        <f t="shared" si="46"/>
        <v/>
      </c>
      <c r="AI169" s="5"/>
      <c r="AJ169" s="183" t="str">
        <f t="shared" si="47"/>
        <v/>
      </c>
      <c r="AK169" s="183" t="str">
        <f t="shared" si="48"/>
        <v/>
      </c>
      <c r="AL169" s="5"/>
      <c r="AM169" s="183" t="str">
        <f t="shared" si="49"/>
        <v/>
      </c>
      <c r="AN169" s="183" t="str">
        <f t="shared" si="50"/>
        <v/>
      </c>
      <c r="AO169" s="184">
        <f t="shared" si="51"/>
        <v>0</v>
      </c>
      <c r="AP169" s="184">
        <f t="shared" si="52"/>
        <v>0</v>
      </c>
      <c r="AQ169" s="608" t="str">
        <f t="shared" si="53"/>
        <v/>
      </c>
      <c r="AR169" s="185" t="str">
        <f>IF(COUNTIF(K169:Q169,"F")&gt;0,"",IF(AQ169="PASS",'Statement of Marks'!HZ171,""))</f>
        <v/>
      </c>
      <c r="AS169" s="185" t="str">
        <f>IF(AQ169="PASS",'Statement of Marks'!IA171,"")</f>
        <v/>
      </c>
    </row>
    <row r="170" spans="1:45">
      <c r="A170" s="169">
        <f>IF('Statement of Marks'!A172="","",'Statement of Marks'!A172)</f>
        <v>166</v>
      </c>
      <c r="B170" s="169" t="str">
        <f>IF('Statement of Marks'!B172="","",'Statement of Marks'!B172)</f>
        <v/>
      </c>
      <c r="C170" s="169" t="str">
        <f>IF('Statement of Marks'!D172="","",'Statement of Marks'!D172)</f>
        <v/>
      </c>
      <c r="D170" s="170" t="str">
        <f>IF('Statement of Marks'!E172="","",'Statement of Marks'!E172)</f>
        <v/>
      </c>
      <c r="E170" s="171" t="str">
        <f>IF('Statement of Marks'!F172="","",'Statement of Marks'!F172)</f>
        <v/>
      </c>
      <c r="F170" s="171" t="str">
        <f>IF('Statement of Marks'!G172="","",'Statement of Marks'!G172)</f>
        <v/>
      </c>
      <c r="G170" s="171" t="str">
        <f>IF('Statement of Marks'!H172="","",'Statement of Marks'!H172)</f>
        <v/>
      </c>
      <c r="H170" s="172" t="str">
        <f>IF('Statement of Marks'!HS172="","",'Statement of Marks'!HS172)</f>
        <v/>
      </c>
      <c r="I170" s="172" t="str">
        <f>IF('Statement of Marks'!HV172="","",'Statement of Marks'!HV172)</f>
        <v/>
      </c>
      <c r="J170" s="173" t="str">
        <f>IF('Statement of Marks'!HU172="","",'Statement of Marks'!HU172)</f>
        <v/>
      </c>
      <c r="K170" s="181" t="str">
        <f>'Statement of Marks'!GN172</f>
        <v/>
      </c>
      <c r="L170" s="181" t="str">
        <f>'Statement of Marks'!GQ172</f>
        <v/>
      </c>
      <c r="M170" s="181" t="str">
        <f>'Statement of Marks'!GT172</f>
        <v/>
      </c>
      <c r="N170" s="181" t="str">
        <f>'Statement of Marks'!HB172</f>
        <v/>
      </c>
      <c r="O170" s="181" t="str">
        <f>'Statement of Marks'!HE172</f>
        <v/>
      </c>
      <c r="P170" s="181" t="str">
        <f>'Statement of Marks'!HH172</f>
        <v/>
      </c>
      <c r="Q170" s="181" t="str">
        <f>'Statement of Marks'!HK172</f>
        <v/>
      </c>
      <c r="R170" s="173" t="str">
        <f>IF(COUNTIF(K170:Q170,"F")&gt;0,"",CONCATENATE('Statement of Marks'!HO172,'Statement of Marks'!HQ172))</f>
        <v xml:space="preserve">            </v>
      </c>
      <c r="S170" s="174">
        <f t="shared" si="36"/>
        <v>0</v>
      </c>
      <c r="T170" s="5"/>
      <c r="U170" s="182" t="str">
        <f t="shared" si="37"/>
        <v/>
      </c>
      <c r="V170" s="182" t="str">
        <f t="shared" si="38"/>
        <v/>
      </c>
      <c r="W170" s="5"/>
      <c r="X170" s="182" t="str">
        <f t="shared" si="39"/>
        <v/>
      </c>
      <c r="Y170" s="182" t="str">
        <f t="shared" si="40"/>
        <v/>
      </c>
      <c r="Z170" s="5"/>
      <c r="AA170" s="182" t="str">
        <f t="shared" si="41"/>
        <v/>
      </c>
      <c r="AB170" s="183" t="str">
        <f t="shared" si="42"/>
        <v/>
      </c>
      <c r="AC170" s="5"/>
      <c r="AD170" s="182" t="str">
        <f t="shared" si="43"/>
        <v/>
      </c>
      <c r="AE170" s="183" t="str">
        <f t="shared" si="44"/>
        <v/>
      </c>
      <c r="AF170" s="5"/>
      <c r="AG170" s="182" t="str">
        <f t="shared" si="45"/>
        <v/>
      </c>
      <c r="AH170" s="183" t="str">
        <f t="shared" si="46"/>
        <v/>
      </c>
      <c r="AI170" s="5"/>
      <c r="AJ170" s="183" t="str">
        <f t="shared" si="47"/>
        <v/>
      </c>
      <c r="AK170" s="183" t="str">
        <f t="shared" si="48"/>
        <v/>
      </c>
      <c r="AL170" s="5"/>
      <c r="AM170" s="183" t="str">
        <f t="shared" si="49"/>
        <v/>
      </c>
      <c r="AN170" s="183" t="str">
        <f t="shared" si="50"/>
        <v/>
      </c>
      <c r="AO170" s="184">
        <f t="shared" si="51"/>
        <v>0</v>
      </c>
      <c r="AP170" s="184">
        <f t="shared" si="52"/>
        <v>0</v>
      </c>
      <c r="AQ170" s="608" t="str">
        <f t="shared" si="53"/>
        <v/>
      </c>
      <c r="AR170" s="185" t="str">
        <f>IF(COUNTIF(K170:Q170,"F")&gt;0,"",IF(AQ170="PASS",'Statement of Marks'!HZ172,""))</f>
        <v/>
      </c>
      <c r="AS170" s="185" t="str">
        <f>IF(AQ170="PASS",'Statement of Marks'!IA172,"")</f>
        <v/>
      </c>
    </row>
    <row r="171" spans="1:45">
      <c r="A171" s="169">
        <f>IF('Statement of Marks'!A173="","",'Statement of Marks'!A173)</f>
        <v>167</v>
      </c>
      <c r="B171" s="169" t="str">
        <f>IF('Statement of Marks'!B173="","",'Statement of Marks'!B173)</f>
        <v/>
      </c>
      <c r="C171" s="169" t="str">
        <f>IF('Statement of Marks'!D173="","",'Statement of Marks'!D173)</f>
        <v/>
      </c>
      <c r="D171" s="170" t="str">
        <f>IF('Statement of Marks'!E173="","",'Statement of Marks'!E173)</f>
        <v/>
      </c>
      <c r="E171" s="171" t="str">
        <f>IF('Statement of Marks'!F173="","",'Statement of Marks'!F173)</f>
        <v/>
      </c>
      <c r="F171" s="171" t="str">
        <f>IF('Statement of Marks'!G173="","",'Statement of Marks'!G173)</f>
        <v/>
      </c>
      <c r="G171" s="171" t="str">
        <f>IF('Statement of Marks'!H173="","",'Statement of Marks'!H173)</f>
        <v/>
      </c>
      <c r="H171" s="172" t="str">
        <f>IF('Statement of Marks'!HS173="","",'Statement of Marks'!HS173)</f>
        <v/>
      </c>
      <c r="I171" s="172" t="str">
        <f>IF('Statement of Marks'!HV173="","",'Statement of Marks'!HV173)</f>
        <v/>
      </c>
      <c r="J171" s="173" t="str">
        <f>IF('Statement of Marks'!HU173="","",'Statement of Marks'!HU173)</f>
        <v/>
      </c>
      <c r="K171" s="181" t="str">
        <f>'Statement of Marks'!GN173</f>
        <v/>
      </c>
      <c r="L171" s="181" t="str">
        <f>'Statement of Marks'!GQ173</f>
        <v/>
      </c>
      <c r="M171" s="181" t="str">
        <f>'Statement of Marks'!GT173</f>
        <v/>
      </c>
      <c r="N171" s="181" t="str">
        <f>'Statement of Marks'!HB173</f>
        <v/>
      </c>
      <c r="O171" s="181" t="str">
        <f>'Statement of Marks'!HE173</f>
        <v/>
      </c>
      <c r="P171" s="181" t="str">
        <f>'Statement of Marks'!HH173</f>
        <v/>
      </c>
      <c r="Q171" s="181" t="str">
        <f>'Statement of Marks'!HK173</f>
        <v/>
      </c>
      <c r="R171" s="173" t="str">
        <f>IF(COUNTIF(K171:Q171,"F")&gt;0,"",CONCATENATE('Statement of Marks'!HO173,'Statement of Marks'!HQ173))</f>
        <v xml:space="preserve">            </v>
      </c>
      <c r="S171" s="174">
        <f t="shared" si="36"/>
        <v>0</v>
      </c>
      <c r="T171" s="5"/>
      <c r="U171" s="182" t="str">
        <f t="shared" si="37"/>
        <v/>
      </c>
      <c r="V171" s="182" t="str">
        <f t="shared" si="38"/>
        <v/>
      </c>
      <c r="W171" s="5"/>
      <c r="X171" s="182" t="str">
        <f t="shared" si="39"/>
        <v/>
      </c>
      <c r="Y171" s="182" t="str">
        <f t="shared" si="40"/>
        <v/>
      </c>
      <c r="Z171" s="5"/>
      <c r="AA171" s="182" t="str">
        <f t="shared" si="41"/>
        <v/>
      </c>
      <c r="AB171" s="183" t="str">
        <f t="shared" si="42"/>
        <v/>
      </c>
      <c r="AC171" s="5"/>
      <c r="AD171" s="182" t="str">
        <f t="shared" si="43"/>
        <v/>
      </c>
      <c r="AE171" s="183" t="str">
        <f t="shared" si="44"/>
        <v/>
      </c>
      <c r="AF171" s="5"/>
      <c r="AG171" s="182" t="str">
        <f t="shared" si="45"/>
        <v/>
      </c>
      <c r="AH171" s="183" t="str">
        <f t="shared" si="46"/>
        <v/>
      </c>
      <c r="AI171" s="5"/>
      <c r="AJ171" s="183" t="str">
        <f t="shared" si="47"/>
        <v/>
      </c>
      <c r="AK171" s="183" t="str">
        <f t="shared" si="48"/>
        <v/>
      </c>
      <c r="AL171" s="5"/>
      <c r="AM171" s="183" t="str">
        <f t="shared" si="49"/>
        <v/>
      </c>
      <c r="AN171" s="183" t="str">
        <f t="shared" si="50"/>
        <v/>
      </c>
      <c r="AO171" s="184">
        <f t="shared" si="51"/>
        <v>0</v>
      </c>
      <c r="AP171" s="184">
        <f t="shared" si="52"/>
        <v>0</v>
      </c>
      <c r="AQ171" s="608" t="str">
        <f t="shared" si="53"/>
        <v/>
      </c>
      <c r="AR171" s="185" t="str">
        <f>IF(COUNTIF(K171:Q171,"F")&gt;0,"",IF(AQ171="PASS",'Statement of Marks'!HZ173,""))</f>
        <v/>
      </c>
      <c r="AS171" s="185" t="str">
        <f>IF(AQ171="PASS",'Statement of Marks'!IA173,"")</f>
        <v/>
      </c>
    </row>
    <row r="172" spans="1:45">
      <c r="A172" s="169">
        <f>IF('Statement of Marks'!A174="","",'Statement of Marks'!A174)</f>
        <v>168</v>
      </c>
      <c r="B172" s="169" t="str">
        <f>IF('Statement of Marks'!B174="","",'Statement of Marks'!B174)</f>
        <v/>
      </c>
      <c r="C172" s="169" t="str">
        <f>IF('Statement of Marks'!D174="","",'Statement of Marks'!D174)</f>
        <v/>
      </c>
      <c r="D172" s="170" t="str">
        <f>IF('Statement of Marks'!E174="","",'Statement of Marks'!E174)</f>
        <v/>
      </c>
      <c r="E172" s="171" t="str">
        <f>IF('Statement of Marks'!F174="","",'Statement of Marks'!F174)</f>
        <v/>
      </c>
      <c r="F172" s="171" t="str">
        <f>IF('Statement of Marks'!G174="","",'Statement of Marks'!G174)</f>
        <v/>
      </c>
      <c r="G172" s="171" t="str">
        <f>IF('Statement of Marks'!H174="","",'Statement of Marks'!H174)</f>
        <v/>
      </c>
      <c r="H172" s="172" t="str">
        <f>IF('Statement of Marks'!HS174="","",'Statement of Marks'!HS174)</f>
        <v/>
      </c>
      <c r="I172" s="172" t="str">
        <f>IF('Statement of Marks'!HV174="","",'Statement of Marks'!HV174)</f>
        <v/>
      </c>
      <c r="J172" s="173" t="str">
        <f>IF('Statement of Marks'!HU174="","",'Statement of Marks'!HU174)</f>
        <v/>
      </c>
      <c r="K172" s="181" t="str">
        <f>'Statement of Marks'!GN174</f>
        <v/>
      </c>
      <c r="L172" s="181" t="str">
        <f>'Statement of Marks'!GQ174</f>
        <v/>
      </c>
      <c r="M172" s="181" t="str">
        <f>'Statement of Marks'!GT174</f>
        <v/>
      </c>
      <c r="N172" s="181" t="str">
        <f>'Statement of Marks'!HB174</f>
        <v/>
      </c>
      <c r="O172" s="181" t="str">
        <f>'Statement of Marks'!HE174</f>
        <v/>
      </c>
      <c r="P172" s="181" t="str">
        <f>'Statement of Marks'!HH174</f>
        <v/>
      </c>
      <c r="Q172" s="181" t="str">
        <f>'Statement of Marks'!HK174</f>
        <v/>
      </c>
      <c r="R172" s="173" t="str">
        <f>IF(COUNTIF(K172:Q172,"F")&gt;0,"",CONCATENATE('Statement of Marks'!HO174,'Statement of Marks'!HQ174))</f>
        <v xml:space="preserve">            </v>
      </c>
      <c r="S172" s="174">
        <f t="shared" si="36"/>
        <v>0</v>
      </c>
      <c r="T172" s="5"/>
      <c r="U172" s="182" t="str">
        <f t="shared" si="37"/>
        <v/>
      </c>
      <c r="V172" s="182" t="str">
        <f t="shared" si="38"/>
        <v/>
      </c>
      <c r="W172" s="5"/>
      <c r="X172" s="182" t="str">
        <f t="shared" si="39"/>
        <v/>
      </c>
      <c r="Y172" s="182" t="str">
        <f t="shared" si="40"/>
        <v/>
      </c>
      <c r="Z172" s="5"/>
      <c r="AA172" s="182" t="str">
        <f t="shared" si="41"/>
        <v/>
      </c>
      <c r="AB172" s="183" t="str">
        <f t="shared" si="42"/>
        <v/>
      </c>
      <c r="AC172" s="5"/>
      <c r="AD172" s="182" t="str">
        <f t="shared" si="43"/>
        <v/>
      </c>
      <c r="AE172" s="183" t="str">
        <f t="shared" si="44"/>
        <v/>
      </c>
      <c r="AF172" s="5"/>
      <c r="AG172" s="182" t="str">
        <f t="shared" si="45"/>
        <v/>
      </c>
      <c r="AH172" s="183" t="str">
        <f t="shared" si="46"/>
        <v/>
      </c>
      <c r="AI172" s="5"/>
      <c r="AJ172" s="183" t="str">
        <f t="shared" si="47"/>
        <v/>
      </c>
      <c r="AK172" s="183" t="str">
        <f t="shared" si="48"/>
        <v/>
      </c>
      <c r="AL172" s="5"/>
      <c r="AM172" s="183" t="str">
        <f t="shared" si="49"/>
        <v/>
      </c>
      <c r="AN172" s="183" t="str">
        <f t="shared" si="50"/>
        <v/>
      </c>
      <c r="AO172" s="184">
        <f t="shared" si="51"/>
        <v>0</v>
      </c>
      <c r="AP172" s="184">
        <f t="shared" si="52"/>
        <v>0</v>
      </c>
      <c r="AQ172" s="608" t="str">
        <f t="shared" si="53"/>
        <v/>
      </c>
      <c r="AR172" s="185" t="str">
        <f>IF(COUNTIF(K172:Q172,"F")&gt;0,"",IF(AQ172="PASS",'Statement of Marks'!HZ174,""))</f>
        <v/>
      </c>
      <c r="AS172" s="185" t="str">
        <f>IF(AQ172="PASS",'Statement of Marks'!IA174,"")</f>
        <v/>
      </c>
    </row>
    <row r="173" spans="1:45">
      <c r="A173" s="169">
        <f>IF('Statement of Marks'!A175="","",'Statement of Marks'!A175)</f>
        <v>169</v>
      </c>
      <c r="B173" s="169" t="str">
        <f>IF('Statement of Marks'!B175="","",'Statement of Marks'!B175)</f>
        <v/>
      </c>
      <c r="C173" s="169" t="str">
        <f>IF('Statement of Marks'!D175="","",'Statement of Marks'!D175)</f>
        <v/>
      </c>
      <c r="D173" s="170" t="str">
        <f>IF('Statement of Marks'!E175="","",'Statement of Marks'!E175)</f>
        <v/>
      </c>
      <c r="E173" s="171" t="str">
        <f>IF('Statement of Marks'!F175="","",'Statement of Marks'!F175)</f>
        <v/>
      </c>
      <c r="F173" s="171" t="str">
        <f>IF('Statement of Marks'!G175="","",'Statement of Marks'!G175)</f>
        <v/>
      </c>
      <c r="G173" s="171" t="str">
        <f>IF('Statement of Marks'!H175="","",'Statement of Marks'!H175)</f>
        <v/>
      </c>
      <c r="H173" s="172" t="str">
        <f>IF('Statement of Marks'!HS175="","",'Statement of Marks'!HS175)</f>
        <v/>
      </c>
      <c r="I173" s="172" t="str">
        <f>IF('Statement of Marks'!HV175="","",'Statement of Marks'!HV175)</f>
        <v/>
      </c>
      <c r="J173" s="173" t="str">
        <f>IF('Statement of Marks'!HU175="","",'Statement of Marks'!HU175)</f>
        <v/>
      </c>
      <c r="K173" s="181" t="str">
        <f>'Statement of Marks'!GN175</f>
        <v/>
      </c>
      <c r="L173" s="181" t="str">
        <f>'Statement of Marks'!GQ175</f>
        <v/>
      </c>
      <c r="M173" s="181" t="str">
        <f>'Statement of Marks'!GT175</f>
        <v/>
      </c>
      <c r="N173" s="181" t="str">
        <f>'Statement of Marks'!HB175</f>
        <v/>
      </c>
      <c r="O173" s="181" t="str">
        <f>'Statement of Marks'!HE175</f>
        <v/>
      </c>
      <c r="P173" s="181" t="str">
        <f>'Statement of Marks'!HH175</f>
        <v/>
      </c>
      <c r="Q173" s="181" t="str">
        <f>'Statement of Marks'!HK175</f>
        <v/>
      </c>
      <c r="R173" s="173" t="str">
        <f>IF(COUNTIF(K173:Q173,"F")&gt;0,"",CONCATENATE('Statement of Marks'!HO175,'Statement of Marks'!HQ175))</f>
        <v xml:space="preserve">            </v>
      </c>
      <c r="S173" s="174">
        <f t="shared" si="36"/>
        <v>0</v>
      </c>
      <c r="T173" s="5"/>
      <c r="U173" s="182" t="str">
        <f t="shared" si="37"/>
        <v/>
      </c>
      <c r="V173" s="182" t="str">
        <f t="shared" si="38"/>
        <v/>
      </c>
      <c r="W173" s="5"/>
      <c r="X173" s="182" t="str">
        <f t="shared" si="39"/>
        <v/>
      </c>
      <c r="Y173" s="182" t="str">
        <f t="shared" si="40"/>
        <v/>
      </c>
      <c r="Z173" s="5"/>
      <c r="AA173" s="182" t="str">
        <f t="shared" si="41"/>
        <v/>
      </c>
      <c r="AB173" s="183" t="str">
        <f t="shared" si="42"/>
        <v/>
      </c>
      <c r="AC173" s="5"/>
      <c r="AD173" s="182" t="str">
        <f t="shared" si="43"/>
        <v/>
      </c>
      <c r="AE173" s="183" t="str">
        <f t="shared" si="44"/>
        <v/>
      </c>
      <c r="AF173" s="5"/>
      <c r="AG173" s="182" t="str">
        <f t="shared" si="45"/>
        <v/>
      </c>
      <c r="AH173" s="183" t="str">
        <f t="shared" si="46"/>
        <v/>
      </c>
      <c r="AI173" s="5"/>
      <c r="AJ173" s="183" t="str">
        <f t="shared" si="47"/>
        <v/>
      </c>
      <c r="AK173" s="183" t="str">
        <f t="shared" si="48"/>
        <v/>
      </c>
      <c r="AL173" s="5"/>
      <c r="AM173" s="183" t="str">
        <f t="shared" si="49"/>
        <v/>
      </c>
      <c r="AN173" s="183" t="str">
        <f t="shared" si="50"/>
        <v/>
      </c>
      <c r="AO173" s="184">
        <f t="shared" si="51"/>
        <v>0</v>
      </c>
      <c r="AP173" s="184">
        <f t="shared" si="52"/>
        <v>0</v>
      </c>
      <c r="AQ173" s="608" t="str">
        <f t="shared" si="53"/>
        <v/>
      </c>
      <c r="AR173" s="185" t="str">
        <f>IF(COUNTIF(K173:Q173,"F")&gt;0,"",IF(AQ173="PASS",'Statement of Marks'!HZ175,""))</f>
        <v/>
      </c>
      <c r="AS173" s="185" t="str">
        <f>IF(AQ173="PASS",'Statement of Marks'!IA175,"")</f>
        <v/>
      </c>
    </row>
    <row r="174" spans="1:45">
      <c r="A174" s="169">
        <f>IF('Statement of Marks'!A176="","",'Statement of Marks'!A176)</f>
        <v>170</v>
      </c>
      <c r="B174" s="169" t="str">
        <f>IF('Statement of Marks'!B176="","",'Statement of Marks'!B176)</f>
        <v/>
      </c>
      <c r="C174" s="169" t="str">
        <f>IF('Statement of Marks'!D176="","",'Statement of Marks'!D176)</f>
        <v/>
      </c>
      <c r="D174" s="170" t="str">
        <f>IF('Statement of Marks'!E176="","",'Statement of Marks'!E176)</f>
        <v/>
      </c>
      <c r="E174" s="171" t="str">
        <f>IF('Statement of Marks'!F176="","",'Statement of Marks'!F176)</f>
        <v/>
      </c>
      <c r="F174" s="171" t="str">
        <f>IF('Statement of Marks'!G176="","",'Statement of Marks'!G176)</f>
        <v/>
      </c>
      <c r="G174" s="171" t="str">
        <f>IF('Statement of Marks'!H176="","",'Statement of Marks'!H176)</f>
        <v/>
      </c>
      <c r="H174" s="172" t="str">
        <f>IF('Statement of Marks'!HS176="","",'Statement of Marks'!HS176)</f>
        <v/>
      </c>
      <c r="I174" s="172" t="str">
        <f>IF('Statement of Marks'!HV176="","",'Statement of Marks'!HV176)</f>
        <v/>
      </c>
      <c r="J174" s="173" t="str">
        <f>IF('Statement of Marks'!HU176="","",'Statement of Marks'!HU176)</f>
        <v/>
      </c>
      <c r="K174" s="181" t="str">
        <f>'Statement of Marks'!GN176</f>
        <v/>
      </c>
      <c r="L174" s="181" t="str">
        <f>'Statement of Marks'!GQ176</f>
        <v/>
      </c>
      <c r="M174" s="181" t="str">
        <f>'Statement of Marks'!GT176</f>
        <v/>
      </c>
      <c r="N174" s="181" t="str">
        <f>'Statement of Marks'!HB176</f>
        <v/>
      </c>
      <c r="O174" s="181" t="str">
        <f>'Statement of Marks'!HE176</f>
        <v/>
      </c>
      <c r="P174" s="181" t="str">
        <f>'Statement of Marks'!HH176</f>
        <v/>
      </c>
      <c r="Q174" s="181" t="str">
        <f>'Statement of Marks'!HK176</f>
        <v/>
      </c>
      <c r="R174" s="173" t="str">
        <f>IF(COUNTIF(K174:Q174,"F")&gt;0,"",CONCATENATE('Statement of Marks'!HO176,'Statement of Marks'!HQ176))</f>
        <v xml:space="preserve">            </v>
      </c>
      <c r="S174" s="174">
        <f t="shared" si="36"/>
        <v>0</v>
      </c>
      <c r="T174" s="5"/>
      <c r="U174" s="182" t="str">
        <f t="shared" si="37"/>
        <v/>
      </c>
      <c r="V174" s="182" t="str">
        <f t="shared" si="38"/>
        <v/>
      </c>
      <c r="W174" s="5"/>
      <c r="X174" s="182" t="str">
        <f t="shared" si="39"/>
        <v/>
      </c>
      <c r="Y174" s="182" t="str">
        <f t="shared" si="40"/>
        <v/>
      </c>
      <c r="Z174" s="5"/>
      <c r="AA174" s="182" t="str">
        <f t="shared" si="41"/>
        <v/>
      </c>
      <c r="AB174" s="183" t="str">
        <f t="shared" si="42"/>
        <v/>
      </c>
      <c r="AC174" s="5"/>
      <c r="AD174" s="182" t="str">
        <f t="shared" si="43"/>
        <v/>
      </c>
      <c r="AE174" s="183" t="str">
        <f t="shared" si="44"/>
        <v/>
      </c>
      <c r="AF174" s="5"/>
      <c r="AG174" s="182" t="str">
        <f t="shared" si="45"/>
        <v/>
      </c>
      <c r="AH174" s="183" t="str">
        <f t="shared" si="46"/>
        <v/>
      </c>
      <c r="AI174" s="5"/>
      <c r="AJ174" s="183" t="str">
        <f t="shared" si="47"/>
        <v/>
      </c>
      <c r="AK174" s="183" t="str">
        <f t="shared" si="48"/>
        <v/>
      </c>
      <c r="AL174" s="5"/>
      <c r="AM174" s="183" t="str">
        <f t="shared" si="49"/>
        <v/>
      </c>
      <c r="AN174" s="183" t="str">
        <f t="shared" si="50"/>
        <v/>
      </c>
      <c r="AO174" s="184">
        <f t="shared" si="51"/>
        <v>0</v>
      </c>
      <c r="AP174" s="184">
        <f t="shared" si="52"/>
        <v>0</v>
      </c>
      <c r="AQ174" s="608" t="str">
        <f t="shared" si="53"/>
        <v/>
      </c>
      <c r="AR174" s="185" t="str">
        <f>IF(COUNTIF(K174:Q174,"F")&gt;0,"",IF(AQ174="PASS",'Statement of Marks'!HZ176,""))</f>
        <v/>
      </c>
      <c r="AS174" s="185" t="str">
        <f>IF(AQ174="PASS",'Statement of Marks'!IA176,"")</f>
        <v/>
      </c>
    </row>
    <row r="175" spans="1:45">
      <c r="A175" s="169">
        <f>IF('Statement of Marks'!A177="","",'Statement of Marks'!A177)</f>
        <v>171</v>
      </c>
      <c r="B175" s="169" t="str">
        <f>IF('Statement of Marks'!B177="","",'Statement of Marks'!B177)</f>
        <v/>
      </c>
      <c r="C175" s="169" t="str">
        <f>IF('Statement of Marks'!D177="","",'Statement of Marks'!D177)</f>
        <v/>
      </c>
      <c r="D175" s="170" t="str">
        <f>IF('Statement of Marks'!E177="","",'Statement of Marks'!E177)</f>
        <v/>
      </c>
      <c r="E175" s="171" t="str">
        <f>IF('Statement of Marks'!F177="","",'Statement of Marks'!F177)</f>
        <v/>
      </c>
      <c r="F175" s="171" t="str">
        <f>IF('Statement of Marks'!G177="","",'Statement of Marks'!G177)</f>
        <v/>
      </c>
      <c r="G175" s="171" t="str">
        <f>IF('Statement of Marks'!H177="","",'Statement of Marks'!H177)</f>
        <v/>
      </c>
      <c r="H175" s="172" t="str">
        <f>IF('Statement of Marks'!HS177="","",'Statement of Marks'!HS177)</f>
        <v/>
      </c>
      <c r="I175" s="172" t="str">
        <f>IF('Statement of Marks'!HV177="","",'Statement of Marks'!HV177)</f>
        <v/>
      </c>
      <c r="J175" s="173" t="str">
        <f>IF('Statement of Marks'!HU177="","",'Statement of Marks'!HU177)</f>
        <v/>
      </c>
      <c r="K175" s="181" t="str">
        <f>'Statement of Marks'!GN177</f>
        <v/>
      </c>
      <c r="L175" s="181" t="str">
        <f>'Statement of Marks'!GQ177</f>
        <v/>
      </c>
      <c r="M175" s="181" t="str">
        <f>'Statement of Marks'!GT177</f>
        <v/>
      </c>
      <c r="N175" s="181" t="str">
        <f>'Statement of Marks'!HB177</f>
        <v/>
      </c>
      <c r="O175" s="181" t="str">
        <f>'Statement of Marks'!HE177</f>
        <v/>
      </c>
      <c r="P175" s="181" t="str">
        <f>'Statement of Marks'!HH177</f>
        <v/>
      </c>
      <c r="Q175" s="181" t="str">
        <f>'Statement of Marks'!HK177</f>
        <v/>
      </c>
      <c r="R175" s="173" t="str">
        <f>IF(COUNTIF(K175:Q175,"F")&gt;0,"",CONCATENATE('Statement of Marks'!HO177,'Statement of Marks'!HQ177))</f>
        <v xml:space="preserve">            </v>
      </c>
      <c r="S175" s="174">
        <f t="shared" si="36"/>
        <v>0</v>
      </c>
      <c r="T175" s="5"/>
      <c r="U175" s="182" t="str">
        <f t="shared" si="37"/>
        <v/>
      </c>
      <c r="V175" s="182" t="str">
        <f t="shared" si="38"/>
        <v/>
      </c>
      <c r="W175" s="5"/>
      <c r="X175" s="182" t="str">
        <f t="shared" si="39"/>
        <v/>
      </c>
      <c r="Y175" s="182" t="str">
        <f t="shared" si="40"/>
        <v/>
      </c>
      <c r="Z175" s="5"/>
      <c r="AA175" s="182" t="str">
        <f t="shared" si="41"/>
        <v/>
      </c>
      <c r="AB175" s="183" t="str">
        <f t="shared" si="42"/>
        <v/>
      </c>
      <c r="AC175" s="5"/>
      <c r="AD175" s="182" t="str">
        <f t="shared" si="43"/>
        <v/>
      </c>
      <c r="AE175" s="183" t="str">
        <f t="shared" si="44"/>
        <v/>
      </c>
      <c r="AF175" s="5"/>
      <c r="AG175" s="182" t="str">
        <f t="shared" si="45"/>
        <v/>
      </c>
      <c r="AH175" s="183" t="str">
        <f t="shared" si="46"/>
        <v/>
      </c>
      <c r="AI175" s="5"/>
      <c r="AJ175" s="183" t="str">
        <f t="shared" si="47"/>
        <v/>
      </c>
      <c r="AK175" s="183" t="str">
        <f t="shared" si="48"/>
        <v/>
      </c>
      <c r="AL175" s="5"/>
      <c r="AM175" s="183" t="str">
        <f t="shared" si="49"/>
        <v/>
      </c>
      <c r="AN175" s="183" t="str">
        <f t="shared" si="50"/>
        <v/>
      </c>
      <c r="AO175" s="184">
        <f t="shared" si="51"/>
        <v>0</v>
      </c>
      <c r="AP175" s="184">
        <f t="shared" si="52"/>
        <v>0</v>
      </c>
      <c r="AQ175" s="608" t="str">
        <f t="shared" si="53"/>
        <v/>
      </c>
      <c r="AR175" s="185" t="str">
        <f>IF(COUNTIF(K175:Q175,"F")&gt;0,"",IF(AQ175="PASS",'Statement of Marks'!HZ177,""))</f>
        <v/>
      </c>
      <c r="AS175" s="185" t="str">
        <f>IF(AQ175="PASS",'Statement of Marks'!IA177,"")</f>
        <v/>
      </c>
    </row>
    <row r="176" spans="1:45">
      <c r="A176" s="169">
        <f>IF('Statement of Marks'!A178="","",'Statement of Marks'!A178)</f>
        <v>172</v>
      </c>
      <c r="B176" s="169" t="str">
        <f>IF('Statement of Marks'!B178="","",'Statement of Marks'!B178)</f>
        <v/>
      </c>
      <c r="C176" s="169" t="str">
        <f>IF('Statement of Marks'!D178="","",'Statement of Marks'!D178)</f>
        <v/>
      </c>
      <c r="D176" s="170" t="str">
        <f>IF('Statement of Marks'!E178="","",'Statement of Marks'!E178)</f>
        <v/>
      </c>
      <c r="E176" s="171" t="str">
        <f>IF('Statement of Marks'!F178="","",'Statement of Marks'!F178)</f>
        <v/>
      </c>
      <c r="F176" s="171" t="str">
        <f>IF('Statement of Marks'!G178="","",'Statement of Marks'!G178)</f>
        <v/>
      </c>
      <c r="G176" s="171" t="str">
        <f>IF('Statement of Marks'!H178="","",'Statement of Marks'!H178)</f>
        <v/>
      </c>
      <c r="H176" s="172" t="str">
        <f>IF('Statement of Marks'!HS178="","",'Statement of Marks'!HS178)</f>
        <v/>
      </c>
      <c r="I176" s="172" t="str">
        <f>IF('Statement of Marks'!HV178="","",'Statement of Marks'!HV178)</f>
        <v/>
      </c>
      <c r="J176" s="173" t="str">
        <f>IF('Statement of Marks'!HU178="","",'Statement of Marks'!HU178)</f>
        <v/>
      </c>
      <c r="K176" s="181" t="str">
        <f>'Statement of Marks'!GN178</f>
        <v/>
      </c>
      <c r="L176" s="181" t="str">
        <f>'Statement of Marks'!GQ178</f>
        <v/>
      </c>
      <c r="M176" s="181" t="str">
        <f>'Statement of Marks'!GT178</f>
        <v/>
      </c>
      <c r="N176" s="181" t="str">
        <f>'Statement of Marks'!HB178</f>
        <v/>
      </c>
      <c r="O176" s="181" t="str">
        <f>'Statement of Marks'!HE178</f>
        <v/>
      </c>
      <c r="P176" s="181" t="str">
        <f>'Statement of Marks'!HH178</f>
        <v/>
      </c>
      <c r="Q176" s="181" t="str">
        <f>'Statement of Marks'!HK178</f>
        <v/>
      </c>
      <c r="R176" s="173" t="str">
        <f>IF(COUNTIF(K176:Q176,"F")&gt;0,"",CONCATENATE('Statement of Marks'!HO178,'Statement of Marks'!HQ178))</f>
        <v xml:space="preserve">            </v>
      </c>
      <c r="S176" s="174">
        <f t="shared" si="36"/>
        <v>0</v>
      </c>
      <c r="T176" s="5"/>
      <c r="U176" s="182" t="str">
        <f t="shared" si="37"/>
        <v/>
      </c>
      <c r="V176" s="182" t="str">
        <f t="shared" si="38"/>
        <v/>
      </c>
      <c r="W176" s="5"/>
      <c r="X176" s="182" t="str">
        <f t="shared" si="39"/>
        <v/>
      </c>
      <c r="Y176" s="182" t="str">
        <f t="shared" si="40"/>
        <v/>
      </c>
      <c r="Z176" s="5"/>
      <c r="AA176" s="182" t="str">
        <f t="shared" si="41"/>
        <v/>
      </c>
      <c r="AB176" s="183" t="str">
        <f t="shared" si="42"/>
        <v/>
      </c>
      <c r="AC176" s="5"/>
      <c r="AD176" s="182" t="str">
        <f t="shared" si="43"/>
        <v/>
      </c>
      <c r="AE176" s="183" t="str">
        <f t="shared" si="44"/>
        <v/>
      </c>
      <c r="AF176" s="5"/>
      <c r="AG176" s="182" t="str">
        <f t="shared" si="45"/>
        <v/>
      </c>
      <c r="AH176" s="183" t="str">
        <f t="shared" si="46"/>
        <v/>
      </c>
      <c r="AI176" s="5"/>
      <c r="AJ176" s="183" t="str">
        <f t="shared" si="47"/>
        <v/>
      </c>
      <c r="AK176" s="183" t="str">
        <f t="shared" si="48"/>
        <v/>
      </c>
      <c r="AL176" s="5"/>
      <c r="AM176" s="183" t="str">
        <f t="shared" si="49"/>
        <v/>
      </c>
      <c r="AN176" s="183" t="str">
        <f t="shared" si="50"/>
        <v/>
      </c>
      <c r="AO176" s="184">
        <f t="shared" si="51"/>
        <v>0</v>
      </c>
      <c r="AP176" s="184">
        <f t="shared" si="52"/>
        <v>0</v>
      </c>
      <c r="AQ176" s="608" t="str">
        <f t="shared" si="53"/>
        <v/>
      </c>
      <c r="AR176" s="185" t="str">
        <f>IF(COUNTIF(K176:Q176,"F")&gt;0,"",IF(AQ176="PASS",'Statement of Marks'!HZ178,""))</f>
        <v/>
      </c>
      <c r="AS176" s="185" t="str">
        <f>IF(AQ176="PASS",'Statement of Marks'!IA178,"")</f>
        <v/>
      </c>
    </row>
    <row r="177" spans="1:45">
      <c r="A177" s="169">
        <f>IF('Statement of Marks'!A179="","",'Statement of Marks'!A179)</f>
        <v>173</v>
      </c>
      <c r="B177" s="169" t="str">
        <f>IF('Statement of Marks'!B179="","",'Statement of Marks'!B179)</f>
        <v/>
      </c>
      <c r="C177" s="169" t="str">
        <f>IF('Statement of Marks'!D179="","",'Statement of Marks'!D179)</f>
        <v/>
      </c>
      <c r="D177" s="170" t="str">
        <f>IF('Statement of Marks'!E179="","",'Statement of Marks'!E179)</f>
        <v/>
      </c>
      <c r="E177" s="171" t="str">
        <f>IF('Statement of Marks'!F179="","",'Statement of Marks'!F179)</f>
        <v/>
      </c>
      <c r="F177" s="171" t="str">
        <f>IF('Statement of Marks'!G179="","",'Statement of Marks'!G179)</f>
        <v/>
      </c>
      <c r="G177" s="171" t="str">
        <f>IF('Statement of Marks'!H179="","",'Statement of Marks'!H179)</f>
        <v/>
      </c>
      <c r="H177" s="172" t="str">
        <f>IF('Statement of Marks'!HS179="","",'Statement of Marks'!HS179)</f>
        <v/>
      </c>
      <c r="I177" s="172" t="str">
        <f>IF('Statement of Marks'!HV179="","",'Statement of Marks'!HV179)</f>
        <v/>
      </c>
      <c r="J177" s="173" t="str">
        <f>IF('Statement of Marks'!HU179="","",'Statement of Marks'!HU179)</f>
        <v/>
      </c>
      <c r="K177" s="181" t="str">
        <f>'Statement of Marks'!GN179</f>
        <v/>
      </c>
      <c r="L177" s="181" t="str">
        <f>'Statement of Marks'!GQ179</f>
        <v/>
      </c>
      <c r="M177" s="181" t="str">
        <f>'Statement of Marks'!GT179</f>
        <v/>
      </c>
      <c r="N177" s="181" t="str">
        <f>'Statement of Marks'!HB179</f>
        <v/>
      </c>
      <c r="O177" s="181" t="str">
        <f>'Statement of Marks'!HE179</f>
        <v/>
      </c>
      <c r="P177" s="181" t="str">
        <f>'Statement of Marks'!HH179</f>
        <v/>
      </c>
      <c r="Q177" s="181" t="str">
        <f>'Statement of Marks'!HK179</f>
        <v/>
      </c>
      <c r="R177" s="173" t="str">
        <f>IF(COUNTIF(K177:Q177,"F")&gt;0,"",CONCATENATE('Statement of Marks'!HO179,'Statement of Marks'!HQ179))</f>
        <v xml:space="preserve">            </v>
      </c>
      <c r="S177" s="174">
        <f t="shared" si="36"/>
        <v>0</v>
      </c>
      <c r="T177" s="5"/>
      <c r="U177" s="182" t="str">
        <f t="shared" si="37"/>
        <v/>
      </c>
      <c r="V177" s="182" t="str">
        <f t="shared" si="38"/>
        <v/>
      </c>
      <c r="W177" s="5"/>
      <c r="X177" s="182" t="str">
        <f t="shared" si="39"/>
        <v/>
      </c>
      <c r="Y177" s="182" t="str">
        <f t="shared" si="40"/>
        <v/>
      </c>
      <c r="Z177" s="5"/>
      <c r="AA177" s="182" t="str">
        <f t="shared" si="41"/>
        <v/>
      </c>
      <c r="AB177" s="183" t="str">
        <f t="shared" si="42"/>
        <v/>
      </c>
      <c r="AC177" s="5"/>
      <c r="AD177" s="182" t="str">
        <f t="shared" si="43"/>
        <v/>
      </c>
      <c r="AE177" s="183" t="str">
        <f t="shared" si="44"/>
        <v/>
      </c>
      <c r="AF177" s="5"/>
      <c r="AG177" s="182" t="str">
        <f t="shared" si="45"/>
        <v/>
      </c>
      <c r="AH177" s="183" t="str">
        <f t="shared" si="46"/>
        <v/>
      </c>
      <c r="AI177" s="5"/>
      <c r="AJ177" s="183" t="str">
        <f t="shared" si="47"/>
        <v/>
      </c>
      <c r="AK177" s="183" t="str">
        <f t="shared" si="48"/>
        <v/>
      </c>
      <c r="AL177" s="5"/>
      <c r="AM177" s="183" t="str">
        <f t="shared" si="49"/>
        <v/>
      </c>
      <c r="AN177" s="183" t="str">
        <f t="shared" si="50"/>
        <v/>
      </c>
      <c r="AO177" s="184">
        <f t="shared" si="51"/>
        <v>0</v>
      </c>
      <c r="AP177" s="184">
        <f t="shared" si="52"/>
        <v>0</v>
      </c>
      <c r="AQ177" s="608" t="str">
        <f t="shared" si="53"/>
        <v/>
      </c>
      <c r="AR177" s="185" t="str">
        <f>IF(COUNTIF(K177:Q177,"F")&gt;0,"",IF(AQ177="PASS",'Statement of Marks'!HZ179,""))</f>
        <v/>
      </c>
      <c r="AS177" s="185" t="str">
        <f>IF(AQ177="PASS",'Statement of Marks'!IA179,"")</f>
        <v/>
      </c>
    </row>
    <row r="178" spans="1:45">
      <c r="A178" s="169">
        <f>IF('Statement of Marks'!A180="","",'Statement of Marks'!A180)</f>
        <v>174</v>
      </c>
      <c r="B178" s="169" t="str">
        <f>IF('Statement of Marks'!B180="","",'Statement of Marks'!B180)</f>
        <v/>
      </c>
      <c r="C178" s="169" t="str">
        <f>IF('Statement of Marks'!D180="","",'Statement of Marks'!D180)</f>
        <v/>
      </c>
      <c r="D178" s="170" t="str">
        <f>IF('Statement of Marks'!E180="","",'Statement of Marks'!E180)</f>
        <v/>
      </c>
      <c r="E178" s="171" t="str">
        <f>IF('Statement of Marks'!F180="","",'Statement of Marks'!F180)</f>
        <v/>
      </c>
      <c r="F178" s="171" t="str">
        <f>IF('Statement of Marks'!G180="","",'Statement of Marks'!G180)</f>
        <v/>
      </c>
      <c r="G178" s="171" t="str">
        <f>IF('Statement of Marks'!H180="","",'Statement of Marks'!H180)</f>
        <v/>
      </c>
      <c r="H178" s="172" t="str">
        <f>IF('Statement of Marks'!HS180="","",'Statement of Marks'!HS180)</f>
        <v/>
      </c>
      <c r="I178" s="172" t="str">
        <f>IF('Statement of Marks'!HV180="","",'Statement of Marks'!HV180)</f>
        <v/>
      </c>
      <c r="J178" s="173" t="str">
        <f>IF('Statement of Marks'!HU180="","",'Statement of Marks'!HU180)</f>
        <v/>
      </c>
      <c r="K178" s="181" t="str">
        <f>'Statement of Marks'!GN180</f>
        <v/>
      </c>
      <c r="L178" s="181" t="str">
        <f>'Statement of Marks'!GQ180</f>
        <v/>
      </c>
      <c r="M178" s="181" t="str">
        <f>'Statement of Marks'!GT180</f>
        <v/>
      </c>
      <c r="N178" s="181" t="str">
        <f>'Statement of Marks'!HB180</f>
        <v/>
      </c>
      <c r="O178" s="181" t="str">
        <f>'Statement of Marks'!HE180</f>
        <v/>
      </c>
      <c r="P178" s="181" t="str">
        <f>'Statement of Marks'!HH180</f>
        <v/>
      </c>
      <c r="Q178" s="181" t="str">
        <f>'Statement of Marks'!HK180</f>
        <v/>
      </c>
      <c r="R178" s="173" t="str">
        <f>IF(COUNTIF(K178:Q178,"F")&gt;0,"",CONCATENATE('Statement of Marks'!HO180,'Statement of Marks'!HQ180))</f>
        <v xml:space="preserve">            </v>
      </c>
      <c r="S178" s="174">
        <f t="shared" si="36"/>
        <v>0</v>
      </c>
      <c r="T178" s="5"/>
      <c r="U178" s="182" t="str">
        <f t="shared" si="37"/>
        <v/>
      </c>
      <c r="V178" s="182" t="str">
        <f t="shared" si="38"/>
        <v/>
      </c>
      <c r="W178" s="5"/>
      <c r="X178" s="182" t="str">
        <f t="shared" si="39"/>
        <v/>
      </c>
      <c r="Y178" s="182" t="str">
        <f t="shared" si="40"/>
        <v/>
      </c>
      <c r="Z178" s="5"/>
      <c r="AA178" s="182" t="str">
        <f t="shared" si="41"/>
        <v/>
      </c>
      <c r="AB178" s="183" t="str">
        <f t="shared" si="42"/>
        <v/>
      </c>
      <c r="AC178" s="5"/>
      <c r="AD178" s="182" t="str">
        <f t="shared" si="43"/>
        <v/>
      </c>
      <c r="AE178" s="183" t="str">
        <f t="shared" si="44"/>
        <v/>
      </c>
      <c r="AF178" s="5"/>
      <c r="AG178" s="182" t="str">
        <f t="shared" si="45"/>
        <v/>
      </c>
      <c r="AH178" s="183" t="str">
        <f t="shared" si="46"/>
        <v/>
      </c>
      <c r="AI178" s="5"/>
      <c r="AJ178" s="183" t="str">
        <f t="shared" si="47"/>
        <v/>
      </c>
      <c r="AK178" s="183" t="str">
        <f t="shared" si="48"/>
        <v/>
      </c>
      <c r="AL178" s="5"/>
      <c r="AM178" s="183" t="str">
        <f t="shared" si="49"/>
        <v/>
      </c>
      <c r="AN178" s="183" t="str">
        <f t="shared" si="50"/>
        <v/>
      </c>
      <c r="AO178" s="184">
        <f t="shared" si="51"/>
        <v>0</v>
      </c>
      <c r="AP178" s="184">
        <f t="shared" si="52"/>
        <v>0</v>
      </c>
      <c r="AQ178" s="608" t="str">
        <f t="shared" si="53"/>
        <v/>
      </c>
      <c r="AR178" s="185" t="str">
        <f>IF(COUNTIF(K178:Q178,"F")&gt;0,"",IF(AQ178="PASS",'Statement of Marks'!HZ180,""))</f>
        <v/>
      </c>
      <c r="AS178" s="185" t="str">
        <f>IF(AQ178="PASS",'Statement of Marks'!IA180,"")</f>
        <v/>
      </c>
    </row>
    <row r="179" spans="1:45">
      <c r="A179" s="169">
        <f>IF('Statement of Marks'!A181="","",'Statement of Marks'!A181)</f>
        <v>175</v>
      </c>
      <c r="B179" s="169" t="str">
        <f>IF('Statement of Marks'!B181="","",'Statement of Marks'!B181)</f>
        <v/>
      </c>
      <c r="C179" s="169" t="str">
        <f>IF('Statement of Marks'!D181="","",'Statement of Marks'!D181)</f>
        <v/>
      </c>
      <c r="D179" s="170" t="str">
        <f>IF('Statement of Marks'!E181="","",'Statement of Marks'!E181)</f>
        <v/>
      </c>
      <c r="E179" s="171" t="str">
        <f>IF('Statement of Marks'!F181="","",'Statement of Marks'!F181)</f>
        <v/>
      </c>
      <c r="F179" s="171" t="str">
        <f>IF('Statement of Marks'!G181="","",'Statement of Marks'!G181)</f>
        <v/>
      </c>
      <c r="G179" s="171" t="str">
        <f>IF('Statement of Marks'!H181="","",'Statement of Marks'!H181)</f>
        <v/>
      </c>
      <c r="H179" s="172" t="str">
        <f>IF('Statement of Marks'!HS181="","",'Statement of Marks'!HS181)</f>
        <v/>
      </c>
      <c r="I179" s="172" t="str">
        <f>IF('Statement of Marks'!HV181="","",'Statement of Marks'!HV181)</f>
        <v/>
      </c>
      <c r="J179" s="173" t="str">
        <f>IF('Statement of Marks'!HU181="","",'Statement of Marks'!HU181)</f>
        <v/>
      </c>
      <c r="K179" s="181" t="str">
        <f>'Statement of Marks'!GN181</f>
        <v/>
      </c>
      <c r="L179" s="181" t="str">
        <f>'Statement of Marks'!GQ181</f>
        <v/>
      </c>
      <c r="M179" s="181" t="str">
        <f>'Statement of Marks'!GT181</f>
        <v/>
      </c>
      <c r="N179" s="181" t="str">
        <f>'Statement of Marks'!HB181</f>
        <v/>
      </c>
      <c r="O179" s="181" t="str">
        <f>'Statement of Marks'!HE181</f>
        <v/>
      </c>
      <c r="P179" s="181" t="str">
        <f>'Statement of Marks'!HH181</f>
        <v/>
      </c>
      <c r="Q179" s="181" t="str">
        <f>'Statement of Marks'!HK181</f>
        <v/>
      </c>
      <c r="R179" s="173" t="str">
        <f>IF(COUNTIF(K179:Q179,"F")&gt;0,"",CONCATENATE('Statement of Marks'!HO181,'Statement of Marks'!HQ181))</f>
        <v xml:space="preserve">            </v>
      </c>
      <c r="S179" s="174">
        <f t="shared" si="36"/>
        <v>0</v>
      </c>
      <c r="T179" s="5"/>
      <c r="U179" s="182" t="str">
        <f t="shared" si="37"/>
        <v/>
      </c>
      <c r="V179" s="182" t="str">
        <f t="shared" si="38"/>
        <v/>
      </c>
      <c r="W179" s="5"/>
      <c r="X179" s="182" t="str">
        <f t="shared" si="39"/>
        <v/>
      </c>
      <c r="Y179" s="182" t="str">
        <f t="shared" si="40"/>
        <v/>
      </c>
      <c r="Z179" s="5"/>
      <c r="AA179" s="182" t="str">
        <f t="shared" si="41"/>
        <v/>
      </c>
      <c r="AB179" s="183" t="str">
        <f t="shared" si="42"/>
        <v/>
      </c>
      <c r="AC179" s="5"/>
      <c r="AD179" s="182" t="str">
        <f t="shared" si="43"/>
        <v/>
      </c>
      <c r="AE179" s="183" t="str">
        <f t="shared" si="44"/>
        <v/>
      </c>
      <c r="AF179" s="5"/>
      <c r="AG179" s="182" t="str">
        <f t="shared" si="45"/>
        <v/>
      </c>
      <c r="AH179" s="183" t="str">
        <f t="shared" si="46"/>
        <v/>
      </c>
      <c r="AI179" s="5"/>
      <c r="AJ179" s="183" t="str">
        <f t="shared" si="47"/>
        <v/>
      </c>
      <c r="AK179" s="183" t="str">
        <f t="shared" si="48"/>
        <v/>
      </c>
      <c r="AL179" s="5"/>
      <c r="AM179" s="183" t="str">
        <f t="shared" si="49"/>
        <v/>
      </c>
      <c r="AN179" s="183" t="str">
        <f t="shared" si="50"/>
        <v/>
      </c>
      <c r="AO179" s="184">
        <f t="shared" si="51"/>
        <v>0</v>
      </c>
      <c r="AP179" s="184">
        <f t="shared" si="52"/>
        <v>0</v>
      </c>
      <c r="AQ179" s="608" t="str">
        <f t="shared" si="53"/>
        <v/>
      </c>
      <c r="AR179" s="185" t="str">
        <f>IF(COUNTIF(K179:Q179,"F")&gt;0,"",IF(AQ179="PASS",'Statement of Marks'!HZ181,""))</f>
        <v/>
      </c>
      <c r="AS179" s="185" t="str">
        <f>IF(AQ179="PASS",'Statement of Marks'!IA181,"")</f>
        <v/>
      </c>
    </row>
    <row r="180" spans="1:45">
      <c r="A180" s="169">
        <f>IF('Statement of Marks'!A182="","",'Statement of Marks'!A182)</f>
        <v>176</v>
      </c>
      <c r="B180" s="169" t="str">
        <f>IF('Statement of Marks'!B182="","",'Statement of Marks'!B182)</f>
        <v/>
      </c>
      <c r="C180" s="169" t="str">
        <f>IF('Statement of Marks'!D182="","",'Statement of Marks'!D182)</f>
        <v/>
      </c>
      <c r="D180" s="170" t="str">
        <f>IF('Statement of Marks'!E182="","",'Statement of Marks'!E182)</f>
        <v/>
      </c>
      <c r="E180" s="171" t="str">
        <f>IF('Statement of Marks'!F182="","",'Statement of Marks'!F182)</f>
        <v/>
      </c>
      <c r="F180" s="171" t="str">
        <f>IF('Statement of Marks'!G182="","",'Statement of Marks'!G182)</f>
        <v/>
      </c>
      <c r="G180" s="171" t="str">
        <f>IF('Statement of Marks'!H182="","",'Statement of Marks'!H182)</f>
        <v/>
      </c>
      <c r="H180" s="172" t="str">
        <f>IF('Statement of Marks'!HS182="","",'Statement of Marks'!HS182)</f>
        <v/>
      </c>
      <c r="I180" s="172" t="str">
        <f>IF('Statement of Marks'!HV182="","",'Statement of Marks'!HV182)</f>
        <v/>
      </c>
      <c r="J180" s="173" t="str">
        <f>IF('Statement of Marks'!HU182="","",'Statement of Marks'!HU182)</f>
        <v/>
      </c>
      <c r="K180" s="181" t="str">
        <f>'Statement of Marks'!GN182</f>
        <v/>
      </c>
      <c r="L180" s="181" t="str">
        <f>'Statement of Marks'!GQ182</f>
        <v/>
      </c>
      <c r="M180" s="181" t="str">
        <f>'Statement of Marks'!GT182</f>
        <v/>
      </c>
      <c r="N180" s="181" t="str">
        <f>'Statement of Marks'!HB182</f>
        <v/>
      </c>
      <c r="O180" s="181" t="str">
        <f>'Statement of Marks'!HE182</f>
        <v/>
      </c>
      <c r="P180" s="181" t="str">
        <f>'Statement of Marks'!HH182</f>
        <v/>
      </c>
      <c r="Q180" s="181" t="str">
        <f>'Statement of Marks'!HK182</f>
        <v/>
      </c>
      <c r="R180" s="173" t="str">
        <f>IF(COUNTIF(K180:Q180,"F")&gt;0,"",CONCATENATE('Statement of Marks'!HO182,'Statement of Marks'!HQ182))</f>
        <v xml:space="preserve">            </v>
      </c>
      <c r="S180" s="174">
        <f t="shared" si="36"/>
        <v>0</v>
      </c>
      <c r="T180" s="5"/>
      <c r="U180" s="182" t="str">
        <f t="shared" si="37"/>
        <v/>
      </c>
      <c r="V180" s="182" t="str">
        <f t="shared" si="38"/>
        <v/>
      </c>
      <c r="W180" s="5"/>
      <c r="X180" s="182" t="str">
        <f t="shared" si="39"/>
        <v/>
      </c>
      <c r="Y180" s="182" t="str">
        <f t="shared" si="40"/>
        <v/>
      </c>
      <c r="Z180" s="5"/>
      <c r="AA180" s="182" t="str">
        <f t="shared" si="41"/>
        <v/>
      </c>
      <c r="AB180" s="183" t="str">
        <f t="shared" si="42"/>
        <v/>
      </c>
      <c r="AC180" s="5"/>
      <c r="AD180" s="182" t="str">
        <f t="shared" si="43"/>
        <v/>
      </c>
      <c r="AE180" s="183" t="str">
        <f t="shared" si="44"/>
        <v/>
      </c>
      <c r="AF180" s="5"/>
      <c r="AG180" s="182" t="str">
        <f t="shared" si="45"/>
        <v/>
      </c>
      <c r="AH180" s="183" t="str">
        <f t="shared" si="46"/>
        <v/>
      </c>
      <c r="AI180" s="5"/>
      <c r="AJ180" s="183" t="str">
        <f t="shared" si="47"/>
        <v/>
      </c>
      <c r="AK180" s="183" t="str">
        <f t="shared" si="48"/>
        <v/>
      </c>
      <c r="AL180" s="5"/>
      <c r="AM180" s="183" t="str">
        <f t="shared" si="49"/>
        <v/>
      </c>
      <c r="AN180" s="183" t="str">
        <f t="shared" si="50"/>
        <v/>
      </c>
      <c r="AO180" s="184">
        <f t="shared" si="51"/>
        <v>0</v>
      </c>
      <c r="AP180" s="184">
        <f t="shared" si="52"/>
        <v>0</v>
      </c>
      <c r="AQ180" s="608" t="str">
        <f t="shared" si="53"/>
        <v/>
      </c>
      <c r="AR180" s="185" t="str">
        <f>IF(COUNTIF(K180:Q180,"F")&gt;0,"",IF(AQ180="PASS",'Statement of Marks'!HZ182,""))</f>
        <v/>
      </c>
      <c r="AS180" s="185" t="str">
        <f>IF(AQ180="PASS",'Statement of Marks'!IA182,"")</f>
        <v/>
      </c>
    </row>
    <row r="181" spans="1:45">
      <c r="A181" s="169">
        <f>IF('Statement of Marks'!A183="","",'Statement of Marks'!A183)</f>
        <v>177</v>
      </c>
      <c r="B181" s="169" t="str">
        <f>IF('Statement of Marks'!B183="","",'Statement of Marks'!B183)</f>
        <v/>
      </c>
      <c r="C181" s="169" t="str">
        <f>IF('Statement of Marks'!D183="","",'Statement of Marks'!D183)</f>
        <v/>
      </c>
      <c r="D181" s="170" t="str">
        <f>IF('Statement of Marks'!E183="","",'Statement of Marks'!E183)</f>
        <v/>
      </c>
      <c r="E181" s="171" t="str">
        <f>IF('Statement of Marks'!F183="","",'Statement of Marks'!F183)</f>
        <v/>
      </c>
      <c r="F181" s="171" t="str">
        <f>IF('Statement of Marks'!G183="","",'Statement of Marks'!G183)</f>
        <v/>
      </c>
      <c r="G181" s="171" t="str">
        <f>IF('Statement of Marks'!H183="","",'Statement of Marks'!H183)</f>
        <v/>
      </c>
      <c r="H181" s="172" t="str">
        <f>IF('Statement of Marks'!HS183="","",'Statement of Marks'!HS183)</f>
        <v/>
      </c>
      <c r="I181" s="172" t="str">
        <f>IF('Statement of Marks'!HV183="","",'Statement of Marks'!HV183)</f>
        <v/>
      </c>
      <c r="J181" s="173" t="str">
        <f>IF('Statement of Marks'!HU183="","",'Statement of Marks'!HU183)</f>
        <v/>
      </c>
      <c r="K181" s="181" t="str">
        <f>'Statement of Marks'!GN183</f>
        <v/>
      </c>
      <c r="L181" s="181" t="str">
        <f>'Statement of Marks'!GQ183</f>
        <v/>
      </c>
      <c r="M181" s="181" t="str">
        <f>'Statement of Marks'!GT183</f>
        <v/>
      </c>
      <c r="N181" s="181" t="str">
        <f>'Statement of Marks'!HB183</f>
        <v/>
      </c>
      <c r="O181" s="181" t="str">
        <f>'Statement of Marks'!HE183</f>
        <v/>
      </c>
      <c r="P181" s="181" t="str">
        <f>'Statement of Marks'!HH183</f>
        <v/>
      </c>
      <c r="Q181" s="181" t="str">
        <f>'Statement of Marks'!HK183</f>
        <v/>
      </c>
      <c r="R181" s="173" t="str">
        <f>IF(COUNTIF(K181:Q181,"F")&gt;0,"",CONCATENATE('Statement of Marks'!HO183,'Statement of Marks'!HQ183))</f>
        <v xml:space="preserve">            </v>
      </c>
      <c r="S181" s="174">
        <f t="shared" si="36"/>
        <v>0</v>
      </c>
      <c r="T181" s="5"/>
      <c r="U181" s="182" t="str">
        <f t="shared" si="37"/>
        <v/>
      </c>
      <c r="V181" s="182" t="str">
        <f t="shared" si="38"/>
        <v/>
      </c>
      <c r="W181" s="5"/>
      <c r="X181" s="182" t="str">
        <f t="shared" si="39"/>
        <v/>
      </c>
      <c r="Y181" s="182" t="str">
        <f t="shared" si="40"/>
        <v/>
      </c>
      <c r="Z181" s="5"/>
      <c r="AA181" s="182" t="str">
        <f t="shared" si="41"/>
        <v/>
      </c>
      <c r="AB181" s="183" t="str">
        <f t="shared" si="42"/>
        <v/>
      </c>
      <c r="AC181" s="5"/>
      <c r="AD181" s="182" t="str">
        <f t="shared" si="43"/>
        <v/>
      </c>
      <c r="AE181" s="183" t="str">
        <f t="shared" si="44"/>
        <v/>
      </c>
      <c r="AF181" s="5"/>
      <c r="AG181" s="182" t="str">
        <f t="shared" si="45"/>
        <v/>
      </c>
      <c r="AH181" s="183" t="str">
        <f t="shared" si="46"/>
        <v/>
      </c>
      <c r="AI181" s="5"/>
      <c r="AJ181" s="183" t="str">
        <f t="shared" si="47"/>
        <v/>
      </c>
      <c r="AK181" s="183" t="str">
        <f t="shared" si="48"/>
        <v/>
      </c>
      <c r="AL181" s="5"/>
      <c r="AM181" s="183" t="str">
        <f t="shared" si="49"/>
        <v/>
      </c>
      <c r="AN181" s="183" t="str">
        <f t="shared" si="50"/>
        <v/>
      </c>
      <c r="AO181" s="184">
        <f t="shared" si="51"/>
        <v>0</v>
      </c>
      <c r="AP181" s="184">
        <f t="shared" si="52"/>
        <v>0</v>
      </c>
      <c r="AQ181" s="608" t="str">
        <f t="shared" si="53"/>
        <v/>
      </c>
      <c r="AR181" s="185" t="str">
        <f>IF(COUNTIF(K181:Q181,"F")&gt;0,"",IF(AQ181="PASS",'Statement of Marks'!HZ183,""))</f>
        <v/>
      </c>
      <c r="AS181" s="185" t="str">
        <f>IF(AQ181="PASS",'Statement of Marks'!IA183,"")</f>
        <v/>
      </c>
    </row>
    <row r="182" spans="1:45">
      <c r="A182" s="169">
        <f>IF('Statement of Marks'!A184="","",'Statement of Marks'!A184)</f>
        <v>178</v>
      </c>
      <c r="B182" s="169" t="str">
        <f>IF('Statement of Marks'!B184="","",'Statement of Marks'!B184)</f>
        <v/>
      </c>
      <c r="C182" s="169" t="str">
        <f>IF('Statement of Marks'!D184="","",'Statement of Marks'!D184)</f>
        <v/>
      </c>
      <c r="D182" s="170" t="str">
        <f>IF('Statement of Marks'!E184="","",'Statement of Marks'!E184)</f>
        <v/>
      </c>
      <c r="E182" s="171" t="str">
        <f>IF('Statement of Marks'!F184="","",'Statement of Marks'!F184)</f>
        <v/>
      </c>
      <c r="F182" s="171" t="str">
        <f>IF('Statement of Marks'!G184="","",'Statement of Marks'!G184)</f>
        <v/>
      </c>
      <c r="G182" s="171" t="str">
        <f>IF('Statement of Marks'!H184="","",'Statement of Marks'!H184)</f>
        <v/>
      </c>
      <c r="H182" s="172" t="str">
        <f>IF('Statement of Marks'!HS184="","",'Statement of Marks'!HS184)</f>
        <v/>
      </c>
      <c r="I182" s="172" t="str">
        <f>IF('Statement of Marks'!HV184="","",'Statement of Marks'!HV184)</f>
        <v/>
      </c>
      <c r="J182" s="173" t="str">
        <f>IF('Statement of Marks'!HU184="","",'Statement of Marks'!HU184)</f>
        <v/>
      </c>
      <c r="K182" s="181" t="str">
        <f>'Statement of Marks'!GN184</f>
        <v/>
      </c>
      <c r="L182" s="181" t="str">
        <f>'Statement of Marks'!GQ184</f>
        <v/>
      </c>
      <c r="M182" s="181" t="str">
        <f>'Statement of Marks'!GT184</f>
        <v/>
      </c>
      <c r="N182" s="181" t="str">
        <f>'Statement of Marks'!HB184</f>
        <v/>
      </c>
      <c r="O182" s="181" t="str">
        <f>'Statement of Marks'!HE184</f>
        <v/>
      </c>
      <c r="P182" s="181" t="str">
        <f>'Statement of Marks'!HH184</f>
        <v/>
      </c>
      <c r="Q182" s="181" t="str">
        <f>'Statement of Marks'!HK184</f>
        <v/>
      </c>
      <c r="R182" s="173" t="str">
        <f>IF(COUNTIF(K182:Q182,"F")&gt;0,"",CONCATENATE('Statement of Marks'!HO184,'Statement of Marks'!HQ184))</f>
        <v xml:space="preserve">            </v>
      </c>
      <c r="S182" s="174">
        <f t="shared" si="36"/>
        <v>0</v>
      </c>
      <c r="T182" s="5"/>
      <c r="U182" s="182" t="str">
        <f t="shared" si="37"/>
        <v/>
      </c>
      <c r="V182" s="182" t="str">
        <f t="shared" si="38"/>
        <v/>
      </c>
      <c r="W182" s="5"/>
      <c r="X182" s="182" t="str">
        <f t="shared" si="39"/>
        <v/>
      </c>
      <c r="Y182" s="182" t="str">
        <f t="shared" si="40"/>
        <v/>
      </c>
      <c r="Z182" s="5"/>
      <c r="AA182" s="182" t="str">
        <f t="shared" si="41"/>
        <v/>
      </c>
      <c r="AB182" s="183" t="str">
        <f t="shared" si="42"/>
        <v/>
      </c>
      <c r="AC182" s="5"/>
      <c r="AD182" s="182" t="str">
        <f t="shared" si="43"/>
        <v/>
      </c>
      <c r="AE182" s="183" t="str">
        <f t="shared" si="44"/>
        <v/>
      </c>
      <c r="AF182" s="5"/>
      <c r="AG182" s="182" t="str">
        <f t="shared" si="45"/>
        <v/>
      </c>
      <c r="AH182" s="183" t="str">
        <f t="shared" si="46"/>
        <v/>
      </c>
      <c r="AI182" s="5"/>
      <c r="AJ182" s="183" t="str">
        <f t="shared" si="47"/>
        <v/>
      </c>
      <c r="AK182" s="183" t="str">
        <f t="shared" si="48"/>
        <v/>
      </c>
      <c r="AL182" s="5"/>
      <c r="AM182" s="183" t="str">
        <f t="shared" si="49"/>
        <v/>
      </c>
      <c r="AN182" s="183" t="str">
        <f t="shared" si="50"/>
        <v/>
      </c>
      <c r="AO182" s="184">
        <f t="shared" si="51"/>
        <v>0</v>
      </c>
      <c r="AP182" s="184">
        <f t="shared" si="52"/>
        <v>0</v>
      </c>
      <c r="AQ182" s="608" t="str">
        <f t="shared" si="53"/>
        <v/>
      </c>
      <c r="AR182" s="185" t="str">
        <f>IF(COUNTIF(K182:Q182,"F")&gt;0,"",IF(AQ182="PASS",'Statement of Marks'!HZ184,""))</f>
        <v/>
      </c>
      <c r="AS182" s="185" t="str">
        <f>IF(AQ182="PASS",'Statement of Marks'!IA184,"")</f>
        <v/>
      </c>
    </row>
    <row r="183" spans="1:45">
      <c r="A183" s="169">
        <f>IF('Statement of Marks'!A185="","",'Statement of Marks'!A185)</f>
        <v>179</v>
      </c>
      <c r="B183" s="169" t="str">
        <f>IF('Statement of Marks'!B185="","",'Statement of Marks'!B185)</f>
        <v/>
      </c>
      <c r="C183" s="169" t="str">
        <f>IF('Statement of Marks'!D185="","",'Statement of Marks'!D185)</f>
        <v/>
      </c>
      <c r="D183" s="170" t="str">
        <f>IF('Statement of Marks'!E185="","",'Statement of Marks'!E185)</f>
        <v/>
      </c>
      <c r="E183" s="171" t="str">
        <f>IF('Statement of Marks'!F185="","",'Statement of Marks'!F185)</f>
        <v/>
      </c>
      <c r="F183" s="171" t="str">
        <f>IF('Statement of Marks'!G185="","",'Statement of Marks'!G185)</f>
        <v/>
      </c>
      <c r="G183" s="171" t="str">
        <f>IF('Statement of Marks'!H185="","",'Statement of Marks'!H185)</f>
        <v/>
      </c>
      <c r="H183" s="172" t="str">
        <f>IF('Statement of Marks'!HS185="","",'Statement of Marks'!HS185)</f>
        <v/>
      </c>
      <c r="I183" s="172" t="str">
        <f>IF('Statement of Marks'!HV185="","",'Statement of Marks'!HV185)</f>
        <v/>
      </c>
      <c r="J183" s="173" t="str">
        <f>IF('Statement of Marks'!HU185="","",'Statement of Marks'!HU185)</f>
        <v/>
      </c>
      <c r="K183" s="181" t="str">
        <f>'Statement of Marks'!GN185</f>
        <v/>
      </c>
      <c r="L183" s="181" t="str">
        <f>'Statement of Marks'!GQ185</f>
        <v/>
      </c>
      <c r="M183" s="181" t="str">
        <f>'Statement of Marks'!GT185</f>
        <v/>
      </c>
      <c r="N183" s="181" t="str">
        <f>'Statement of Marks'!HB185</f>
        <v/>
      </c>
      <c r="O183" s="181" t="str">
        <f>'Statement of Marks'!HE185</f>
        <v/>
      </c>
      <c r="P183" s="181" t="str">
        <f>'Statement of Marks'!HH185</f>
        <v/>
      </c>
      <c r="Q183" s="181" t="str">
        <f>'Statement of Marks'!HK185</f>
        <v/>
      </c>
      <c r="R183" s="173" t="str">
        <f>IF(COUNTIF(K183:Q183,"F")&gt;0,"",CONCATENATE('Statement of Marks'!HO185,'Statement of Marks'!HQ185))</f>
        <v xml:space="preserve">            </v>
      </c>
      <c r="S183" s="174">
        <f t="shared" si="36"/>
        <v>0</v>
      </c>
      <c r="T183" s="5"/>
      <c r="U183" s="182" t="str">
        <f t="shared" si="37"/>
        <v/>
      </c>
      <c r="V183" s="182" t="str">
        <f t="shared" si="38"/>
        <v/>
      </c>
      <c r="W183" s="5"/>
      <c r="X183" s="182" t="str">
        <f t="shared" si="39"/>
        <v/>
      </c>
      <c r="Y183" s="182" t="str">
        <f t="shared" si="40"/>
        <v/>
      </c>
      <c r="Z183" s="5"/>
      <c r="AA183" s="182" t="str">
        <f t="shared" si="41"/>
        <v/>
      </c>
      <c r="AB183" s="183" t="str">
        <f t="shared" si="42"/>
        <v/>
      </c>
      <c r="AC183" s="5"/>
      <c r="AD183" s="182" t="str">
        <f t="shared" si="43"/>
        <v/>
      </c>
      <c r="AE183" s="183" t="str">
        <f t="shared" si="44"/>
        <v/>
      </c>
      <c r="AF183" s="5"/>
      <c r="AG183" s="182" t="str">
        <f t="shared" si="45"/>
        <v/>
      </c>
      <c r="AH183" s="183" t="str">
        <f t="shared" si="46"/>
        <v/>
      </c>
      <c r="AI183" s="5"/>
      <c r="AJ183" s="183" t="str">
        <f t="shared" si="47"/>
        <v/>
      </c>
      <c r="AK183" s="183" t="str">
        <f t="shared" si="48"/>
        <v/>
      </c>
      <c r="AL183" s="5"/>
      <c r="AM183" s="183" t="str">
        <f t="shared" si="49"/>
        <v/>
      </c>
      <c r="AN183" s="183" t="str">
        <f t="shared" si="50"/>
        <v/>
      </c>
      <c r="AO183" s="184">
        <f t="shared" si="51"/>
        <v>0</v>
      </c>
      <c r="AP183" s="184">
        <f t="shared" si="52"/>
        <v>0</v>
      </c>
      <c r="AQ183" s="608" t="str">
        <f t="shared" si="53"/>
        <v/>
      </c>
      <c r="AR183" s="185" t="str">
        <f>IF(COUNTIF(K183:Q183,"F")&gt;0,"",IF(AQ183="PASS",'Statement of Marks'!HZ185,""))</f>
        <v/>
      </c>
      <c r="AS183" s="185" t="str">
        <f>IF(AQ183="PASS",'Statement of Marks'!IA185,"")</f>
        <v/>
      </c>
    </row>
    <row r="184" spans="1:45">
      <c r="A184" s="169">
        <f>IF('Statement of Marks'!A186="","",'Statement of Marks'!A186)</f>
        <v>180</v>
      </c>
      <c r="B184" s="169" t="str">
        <f>IF('Statement of Marks'!B186="","",'Statement of Marks'!B186)</f>
        <v/>
      </c>
      <c r="C184" s="169" t="str">
        <f>IF('Statement of Marks'!D186="","",'Statement of Marks'!D186)</f>
        <v/>
      </c>
      <c r="D184" s="170" t="str">
        <f>IF('Statement of Marks'!E186="","",'Statement of Marks'!E186)</f>
        <v/>
      </c>
      <c r="E184" s="171" t="str">
        <f>IF('Statement of Marks'!F186="","",'Statement of Marks'!F186)</f>
        <v/>
      </c>
      <c r="F184" s="171" t="str">
        <f>IF('Statement of Marks'!G186="","",'Statement of Marks'!G186)</f>
        <v/>
      </c>
      <c r="G184" s="171" t="str">
        <f>IF('Statement of Marks'!H186="","",'Statement of Marks'!H186)</f>
        <v/>
      </c>
      <c r="H184" s="172" t="str">
        <f>IF('Statement of Marks'!HS186="","",'Statement of Marks'!HS186)</f>
        <v/>
      </c>
      <c r="I184" s="172" t="str">
        <f>IF('Statement of Marks'!HV186="","",'Statement of Marks'!HV186)</f>
        <v/>
      </c>
      <c r="J184" s="173" t="str">
        <f>IF('Statement of Marks'!HU186="","",'Statement of Marks'!HU186)</f>
        <v/>
      </c>
      <c r="K184" s="181" t="str">
        <f>'Statement of Marks'!GN186</f>
        <v/>
      </c>
      <c r="L184" s="181" t="str">
        <f>'Statement of Marks'!GQ186</f>
        <v/>
      </c>
      <c r="M184" s="181" t="str">
        <f>'Statement of Marks'!GT186</f>
        <v/>
      </c>
      <c r="N184" s="181" t="str">
        <f>'Statement of Marks'!HB186</f>
        <v/>
      </c>
      <c r="O184" s="181" t="str">
        <f>'Statement of Marks'!HE186</f>
        <v/>
      </c>
      <c r="P184" s="181" t="str">
        <f>'Statement of Marks'!HH186</f>
        <v/>
      </c>
      <c r="Q184" s="181" t="str">
        <f>'Statement of Marks'!HK186</f>
        <v/>
      </c>
      <c r="R184" s="173" t="str">
        <f>IF(COUNTIF(K184:Q184,"F")&gt;0,"",CONCATENATE('Statement of Marks'!HO186,'Statement of Marks'!HQ186))</f>
        <v xml:space="preserve">            </v>
      </c>
      <c r="S184" s="174">
        <f t="shared" si="36"/>
        <v>0</v>
      </c>
      <c r="T184" s="5"/>
      <c r="U184" s="182" t="str">
        <f t="shared" si="37"/>
        <v/>
      </c>
      <c r="V184" s="182" t="str">
        <f t="shared" si="38"/>
        <v/>
      </c>
      <c r="W184" s="5"/>
      <c r="X184" s="182" t="str">
        <f t="shared" si="39"/>
        <v/>
      </c>
      <c r="Y184" s="182" t="str">
        <f t="shared" si="40"/>
        <v/>
      </c>
      <c r="Z184" s="5"/>
      <c r="AA184" s="182" t="str">
        <f t="shared" si="41"/>
        <v/>
      </c>
      <c r="AB184" s="183" t="str">
        <f t="shared" si="42"/>
        <v/>
      </c>
      <c r="AC184" s="5"/>
      <c r="AD184" s="182" t="str">
        <f t="shared" si="43"/>
        <v/>
      </c>
      <c r="AE184" s="183" t="str">
        <f t="shared" si="44"/>
        <v/>
      </c>
      <c r="AF184" s="5"/>
      <c r="AG184" s="182" t="str">
        <f t="shared" si="45"/>
        <v/>
      </c>
      <c r="AH184" s="183" t="str">
        <f t="shared" si="46"/>
        <v/>
      </c>
      <c r="AI184" s="5"/>
      <c r="AJ184" s="183" t="str">
        <f t="shared" si="47"/>
        <v/>
      </c>
      <c r="AK184" s="183" t="str">
        <f t="shared" si="48"/>
        <v/>
      </c>
      <c r="AL184" s="5"/>
      <c r="AM184" s="183" t="str">
        <f t="shared" si="49"/>
        <v/>
      </c>
      <c r="AN184" s="183" t="str">
        <f t="shared" si="50"/>
        <v/>
      </c>
      <c r="AO184" s="184">
        <f t="shared" si="51"/>
        <v>0</v>
      </c>
      <c r="AP184" s="184">
        <f t="shared" si="52"/>
        <v>0</v>
      </c>
      <c r="AQ184" s="608" t="str">
        <f t="shared" si="53"/>
        <v/>
      </c>
      <c r="AR184" s="185" t="str">
        <f>IF(COUNTIF(K184:Q184,"F")&gt;0,"",IF(AQ184="PASS",'Statement of Marks'!HZ186,""))</f>
        <v/>
      </c>
      <c r="AS184" s="185" t="str">
        <f>IF(AQ184="PASS",'Statement of Marks'!IA186,"")</f>
        <v/>
      </c>
    </row>
    <row r="185" spans="1:45">
      <c r="A185" s="169">
        <f>IF('Statement of Marks'!A187="","",'Statement of Marks'!A187)</f>
        <v>181</v>
      </c>
      <c r="B185" s="169" t="str">
        <f>IF('Statement of Marks'!B187="","",'Statement of Marks'!B187)</f>
        <v/>
      </c>
      <c r="C185" s="169" t="str">
        <f>IF('Statement of Marks'!D187="","",'Statement of Marks'!D187)</f>
        <v/>
      </c>
      <c r="D185" s="170" t="str">
        <f>IF('Statement of Marks'!E187="","",'Statement of Marks'!E187)</f>
        <v/>
      </c>
      <c r="E185" s="171" t="str">
        <f>IF('Statement of Marks'!F187="","",'Statement of Marks'!F187)</f>
        <v/>
      </c>
      <c r="F185" s="171" t="str">
        <f>IF('Statement of Marks'!G187="","",'Statement of Marks'!G187)</f>
        <v/>
      </c>
      <c r="G185" s="171" t="str">
        <f>IF('Statement of Marks'!H187="","",'Statement of Marks'!H187)</f>
        <v/>
      </c>
      <c r="H185" s="172" t="str">
        <f>IF('Statement of Marks'!HS187="","",'Statement of Marks'!HS187)</f>
        <v/>
      </c>
      <c r="I185" s="172" t="str">
        <f>IF('Statement of Marks'!HV187="","",'Statement of Marks'!HV187)</f>
        <v/>
      </c>
      <c r="J185" s="173" t="str">
        <f>IF('Statement of Marks'!HU187="","",'Statement of Marks'!HU187)</f>
        <v/>
      </c>
      <c r="K185" s="181" t="str">
        <f>'Statement of Marks'!GN187</f>
        <v/>
      </c>
      <c r="L185" s="181" t="str">
        <f>'Statement of Marks'!GQ187</f>
        <v/>
      </c>
      <c r="M185" s="181" t="str">
        <f>'Statement of Marks'!GT187</f>
        <v/>
      </c>
      <c r="N185" s="181" t="str">
        <f>'Statement of Marks'!HB187</f>
        <v/>
      </c>
      <c r="O185" s="181" t="str">
        <f>'Statement of Marks'!HE187</f>
        <v/>
      </c>
      <c r="P185" s="181" t="str">
        <f>'Statement of Marks'!HH187</f>
        <v/>
      </c>
      <c r="Q185" s="181" t="str">
        <f>'Statement of Marks'!HK187</f>
        <v/>
      </c>
      <c r="R185" s="173" t="str">
        <f>IF(COUNTIF(K185:Q185,"F")&gt;0,"",CONCATENATE('Statement of Marks'!HO187,'Statement of Marks'!HQ187))</f>
        <v xml:space="preserve">            </v>
      </c>
      <c r="S185" s="174">
        <f t="shared" si="36"/>
        <v>0</v>
      </c>
      <c r="T185" s="5"/>
      <c r="U185" s="182" t="str">
        <f t="shared" si="37"/>
        <v/>
      </c>
      <c r="V185" s="182" t="str">
        <f t="shared" si="38"/>
        <v/>
      </c>
      <c r="W185" s="5"/>
      <c r="X185" s="182" t="str">
        <f t="shared" si="39"/>
        <v/>
      </c>
      <c r="Y185" s="182" t="str">
        <f t="shared" si="40"/>
        <v/>
      </c>
      <c r="Z185" s="5"/>
      <c r="AA185" s="182" t="str">
        <f t="shared" si="41"/>
        <v/>
      </c>
      <c r="AB185" s="183" t="str">
        <f t="shared" si="42"/>
        <v/>
      </c>
      <c r="AC185" s="5"/>
      <c r="AD185" s="182" t="str">
        <f t="shared" si="43"/>
        <v/>
      </c>
      <c r="AE185" s="183" t="str">
        <f t="shared" si="44"/>
        <v/>
      </c>
      <c r="AF185" s="5"/>
      <c r="AG185" s="182" t="str">
        <f t="shared" si="45"/>
        <v/>
      </c>
      <c r="AH185" s="183" t="str">
        <f t="shared" si="46"/>
        <v/>
      </c>
      <c r="AI185" s="5"/>
      <c r="AJ185" s="183" t="str">
        <f t="shared" si="47"/>
        <v/>
      </c>
      <c r="AK185" s="183" t="str">
        <f t="shared" si="48"/>
        <v/>
      </c>
      <c r="AL185" s="5"/>
      <c r="AM185" s="183" t="str">
        <f t="shared" si="49"/>
        <v/>
      </c>
      <c r="AN185" s="183" t="str">
        <f t="shared" si="50"/>
        <v/>
      </c>
      <c r="AO185" s="184">
        <f t="shared" si="51"/>
        <v>0</v>
      </c>
      <c r="AP185" s="184">
        <f t="shared" si="52"/>
        <v>0</v>
      </c>
      <c r="AQ185" s="608" t="str">
        <f t="shared" si="53"/>
        <v/>
      </c>
      <c r="AR185" s="185" t="str">
        <f>IF(COUNTIF(K185:Q185,"F")&gt;0,"",IF(AQ185="PASS",'Statement of Marks'!HZ187,""))</f>
        <v/>
      </c>
      <c r="AS185" s="185" t="str">
        <f>IF(AQ185="PASS",'Statement of Marks'!IA187,"")</f>
        <v/>
      </c>
    </row>
    <row r="186" spans="1:45">
      <c r="A186" s="169">
        <f>IF('Statement of Marks'!A188="","",'Statement of Marks'!A188)</f>
        <v>182</v>
      </c>
      <c r="B186" s="169" t="str">
        <f>IF('Statement of Marks'!B188="","",'Statement of Marks'!B188)</f>
        <v/>
      </c>
      <c r="C186" s="169" t="str">
        <f>IF('Statement of Marks'!D188="","",'Statement of Marks'!D188)</f>
        <v/>
      </c>
      <c r="D186" s="170" t="str">
        <f>IF('Statement of Marks'!E188="","",'Statement of Marks'!E188)</f>
        <v/>
      </c>
      <c r="E186" s="171" t="str">
        <f>IF('Statement of Marks'!F188="","",'Statement of Marks'!F188)</f>
        <v/>
      </c>
      <c r="F186" s="171" t="str">
        <f>IF('Statement of Marks'!G188="","",'Statement of Marks'!G188)</f>
        <v/>
      </c>
      <c r="G186" s="171" t="str">
        <f>IF('Statement of Marks'!H188="","",'Statement of Marks'!H188)</f>
        <v/>
      </c>
      <c r="H186" s="172" t="str">
        <f>IF('Statement of Marks'!HS188="","",'Statement of Marks'!HS188)</f>
        <v/>
      </c>
      <c r="I186" s="172" t="str">
        <f>IF('Statement of Marks'!HV188="","",'Statement of Marks'!HV188)</f>
        <v/>
      </c>
      <c r="J186" s="173" t="str">
        <f>IF('Statement of Marks'!HU188="","",'Statement of Marks'!HU188)</f>
        <v/>
      </c>
      <c r="K186" s="181" t="str">
        <f>'Statement of Marks'!GN188</f>
        <v/>
      </c>
      <c r="L186" s="181" t="str">
        <f>'Statement of Marks'!GQ188</f>
        <v/>
      </c>
      <c r="M186" s="181" t="str">
        <f>'Statement of Marks'!GT188</f>
        <v/>
      </c>
      <c r="N186" s="181" t="str">
        <f>'Statement of Marks'!HB188</f>
        <v/>
      </c>
      <c r="O186" s="181" t="str">
        <f>'Statement of Marks'!HE188</f>
        <v/>
      </c>
      <c r="P186" s="181" t="str">
        <f>'Statement of Marks'!HH188</f>
        <v/>
      </c>
      <c r="Q186" s="181" t="str">
        <f>'Statement of Marks'!HK188</f>
        <v/>
      </c>
      <c r="R186" s="173" t="str">
        <f>IF(COUNTIF(K186:Q186,"F")&gt;0,"",CONCATENATE('Statement of Marks'!HO188,'Statement of Marks'!HQ188))</f>
        <v xml:space="preserve">            </v>
      </c>
      <c r="S186" s="174">
        <f t="shared" si="36"/>
        <v>0</v>
      </c>
      <c r="T186" s="5"/>
      <c r="U186" s="182" t="str">
        <f t="shared" si="37"/>
        <v/>
      </c>
      <c r="V186" s="182" t="str">
        <f t="shared" si="38"/>
        <v/>
      </c>
      <c r="W186" s="5"/>
      <c r="X186" s="182" t="str">
        <f t="shared" si="39"/>
        <v/>
      </c>
      <c r="Y186" s="182" t="str">
        <f t="shared" si="40"/>
        <v/>
      </c>
      <c r="Z186" s="5"/>
      <c r="AA186" s="182" t="str">
        <f t="shared" si="41"/>
        <v/>
      </c>
      <c r="AB186" s="183" t="str">
        <f t="shared" si="42"/>
        <v/>
      </c>
      <c r="AC186" s="5"/>
      <c r="AD186" s="182" t="str">
        <f t="shared" si="43"/>
        <v/>
      </c>
      <c r="AE186" s="183" t="str">
        <f t="shared" si="44"/>
        <v/>
      </c>
      <c r="AF186" s="5"/>
      <c r="AG186" s="182" t="str">
        <f t="shared" si="45"/>
        <v/>
      </c>
      <c r="AH186" s="183" t="str">
        <f t="shared" si="46"/>
        <v/>
      </c>
      <c r="AI186" s="5"/>
      <c r="AJ186" s="183" t="str">
        <f t="shared" si="47"/>
        <v/>
      </c>
      <c r="AK186" s="183" t="str">
        <f t="shared" si="48"/>
        <v/>
      </c>
      <c r="AL186" s="5"/>
      <c r="AM186" s="183" t="str">
        <f t="shared" si="49"/>
        <v/>
      </c>
      <c r="AN186" s="183" t="str">
        <f t="shared" si="50"/>
        <v/>
      </c>
      <c r="AO186" s="184">
        <f t="shared" si="51"/>
        <v>0</v>
      </c>
      <c r="AP186" s="184">
        <f t="shared" si="52"/>
        <v>0</v>
      </c>
      <c r="AQ186" s="608" t="str">
        <f t="shared" si="53"/>
        <v/>
      </c>
      <c r="AR186" s="185" t="str">
        <f>IF(COUNTIF(K186:Q186,"F")&gt;0,"",IF(AQ186="PASS",'Statement of Marks'!HZ188,""))</f>
        <v/>
      </c>
      <c r="AS186" s="185" t="str">
        <f>IF(AQ186="PASS",'Statement of Marks'!IA188,"")</f>
        <v/>
      </c>
    </row>
    <row r="187" spans="1:45">
      <c r="A187" s="169">
        <f>IF('Statement of Marks'!A189="","",'Statement of Marks'!A189)</f>
        <v>183</v>
      </c>
      <c r="B187" s="169" t="str">
        <f>IF('Statement of Marks'!B189="","",'Statement of Marks'!B189)</f>
        <v/>
      </c>
      <c r="C187" s="169" t="str">
        <f>IF('Statement of Marks'!D189="","",'Statement of Marks'!D189)</f>
        <v/>
      </c>
      <c r="D187" s="170" t="str">
        <f>IF('Statement of Marks'!E189="","",'Statement of Marks'!E189)</f>
        <v/>
      </c>
      <c r="E187" s="171" t="str">
        <f>IF('Statement of Marks'!F189="","",'Statement of Marks'!F189)</f>
        <v/>
      </c>
      <c r="F187" s="171" t="str">
        <f>IF('Statement of Marks'!G189="","",'Statement of Marks'!G189)</f>
        <v/>
      </c>
      <c r="G187" s="171" t="str">
        <f>IF('Statement of Marks'!H189="","",'Statement of Marks'!H189)</f>
        <v/>
      </c>
      <c r="H187" s="172" t="str">
        <f>IF('Statement of Marks'!HS189="","",'Statement of Marks'!HS189)</f>
        <v/>
      </c>
      <c r="I187" s="172" t="str">
        <f>IF('Statement of Marks'!HV189="","",'Statement of Marks'!HV189)</f>
        <v/>
      </c>
      <c r="J187" s="173" t="str">
        <f>IF('Statement of Marks'!HU189="","",'Statement of Marks'!HU189)</f>
        <v/>
      </c>
      <c r="K187" s="181" t="str">
        <f>'Statement of Marks'!GN189</f>
        <v/>
      </c>
      <c r="L187" s="181" t="str">
        <f>'Statement of Marks'!GQ189</f>
        <v/>
      </c>
      <c r="M187" s="181" t="str">
        <f>'Statement of Marks'!GT189</f>
        <v/>
      </c>
      <c r="N187" s="181" t="str">
        <f>'Statement of Marks'!HB189</f>
        <v/>
      </c>
      <c r="O187" s="181" t="str">
        <f>'Statement of Marks'!HE189</f>
        <v/>
      </c>
      <c r="P187" s="181" t="str">
        <f>'Statement of Marks'!HH189</f>
        <v/>
      </c>
      <c r="Q187" s="181" t="str">
        <f>'Statement of Marks'!HK189</f>
        <v/>
      </c>
      <c r="R187" s="173" t="str">
        <f>IF(COUNTIF(K187:Q187,"F")&gt;0,"",CONCATENATE('Statement of Marks'!HO189,'Statement of Marks'!HQ189))</f>
        <v xml:space="preserve">            </v>
      </c>
      <c r="S187" s="174">
        <f t="shared" si="36"/>
        <v>0</v>
      </c>
      <c r="T187" s="5"/>
      <c r="U187" s="182" t="str">
        <f t="shared" si="37"/>
        <v/>
      </c>
      <c r="V187" s="182" t="str">
        <f t="shared" si="38"/>
        <v/>
      </c>
      <c r="W187" s="5"/>
      <c r="X187" s="182" t="str">
        <f t="shared" si="39"/>
        <v/>
      </c>
      <c r="Y187" s="182" t="str">
        <f t="shared" si="40"/>
        <v/>
      </c>
      <c r="Z187" s="5"/>
      <c r="AA187" s="182" t="str">
        <f t="shared" si="41"/>
        <v/>
      </c>
      <c r="AB187" s="183" t="str">
        <f t="shared" si="42"/>
        <v/>
      </c>
      <c r="AC187" s="5"/>
      <c r="AD187" s="182" t="str">
        <f t="shared" si="43"/>
        <v/>
      </c>
      <c r="AE187" s="183" t="str">
        <f t="shared" si="44"/>
        <v/>
      </c>
      <c r="AF187" s="5"/>
      <c r="AG187" s="182" t="str">
        <f t="shared" si="45"/>
        <v/>
      </c>
      <c r="AH187" s="183" t="str">
        <f t="shared" si="46"/>
        <v/>
      </c>
      <c r="AI187" s="5"/>
      <c r="AJ187" s="183" t="str">
        <f t="shared" si="47"/>
        <v/>
      </c>
      <c r="AK187" s="183" t="str">
        <f t="shared" si="48"/>
        <v/>
      </c>
      <c r="AL187" s="5"/>
      <c r="AM187" s="183" t="str">
        <f t="shared" si="49"/>
        <v/>
      </c>
      <c r="AN187" s="183" t="str">
        <f t="shared" si="50"/>
        <v/>
      </c>
      <c r="AO187" s="184">
        <f t="shared" si="51"/>
        <v>0</v>
      </c>
      <c r="AP187" s="184">
        <f t="shared" si="52"/>
        <v>0</v>
      </c>
      <c r="AQ187" s="608" t="str">
        <f t="shared" si="53"/>
        <v/>
      </c>
      <c r="AR187" s="185" t="str">
        <f>IF(COUNTIF(K187:Q187,"F")&gt;0,"",IF(AQ187="PASS",'Statement of Marks'!HZ189,""))</f>
        <v/>
      </c>
      <c r="AS187" s="185" t="str">
        <f>IF(AQ187="PASS",'Statement of Marks'!IA189,"")</f>
        <v/>
      </c>
    </row>
    <row r="188" spans="1:45">
      <c r="A188" s="169">
        <f>IF('Statement of Marks'!A190="","",'Statement of Marks'!A190)</f>
        <v>184</v>
      </c>
      <c r="B188" s="169" t="str">
        <f>IF('Statement of Marks'!B190="","",'Statement of Marks'!B190)</f>
        <v/>
      </c>
      <c r="C188" s="169" t="str">
        <f>IF('Statement of Marks'!D190="","",'Statement of Marks'!D190)</f>
        <v/>
      </c>
      <c r="D188" s="170" t="str">
        <f>IF('Statement of Marks'!E190="","",'Statement of Marks'!E190)</f>
        <v/>
      </c>
      <c r="E188" s="171" t="str">
        <f>IF('Statement of Marks'!F190="","",'Statement of Marks'!F190)</f>
        <v/>
      </c>
      <c r="F188" s="171" t="str">
        <f>IF('Statement of Marks'!G190="","",'Statement of Marks'!G190)</f>
        <v/>
      </c>
      <c r="G188" s="171" t="str">
        <f>IF('Statement of Marks'!H190="","",'Statement of Marks'!H190)</f>
        <v/>
      </c>
      <c r="H188" s="172" t="str">
        <f>IF('Statement of Marks'!HS190="","",'Statement of Marks'!HS190)</f>
        <v/>
      </c>
      <c r="I188" s="172" t="str">
        <f>IF('Statement of Marks'!HV190="","",'Statement of Marks'!HV190)</f>
        <v/>
      </c>
      <c r="J188" s="173" t="str">
        <f>IF('Statement of Marks'!HU190="","",'Statement of Marks'!HU190)</f>
        <v/>
      </c>
      <c r="K188" s="181" t="str">
        <f>'Statement of Marks'!GN190</f>
        <v/>
      </c>
      <c r="L188" s="181" t="str">
        <f>'Statement of Marks'!GQ190</f>
        <v/>
      </c>
      <c r="M188" s="181" t="str">
        <f>'Statement of Marks'!GT190</f>
        <v/>
      </c>
      <c r="N188" s="181" t="str">
        <f>'Statement of Marks'!HB190</f>
        <v/>
      </c>
      <c r="O188" s="181" t="str">
        <f>'Statement of Marks'!HE190</f>
        <v/>
      </c>
      <c r="P188" s="181" t="str">
        <f>'Statement of Marks'!HH190</f>
        <v/>
      </c>
      <c r="Q188" s="181" t="str">
        <f>'Statement of Marks'!HK190</f>
        <v/>
      </c>
      <c r="R188" s="173" t="str">
        <f>IF(COUNTIF(K188:Q188,"F")&gt;0,"",CONCATENATE('Statement of Marks'!HO190,'Statement of Marks'!HQ190))</f>
        <v xml:space="preserve">            </v>
      </c>
      <c r="S188" s="174">
        <f t="shared" si="36"/>
        <v>0</v>
      </c>
      <c r="T188" s="5"/>
      <c r="U188" s="182" t="str">
        <f t="shared" si="37"/>
        <v/>
      </c>
      <c r="V188" s="182" t="str">
        <f t="shared" si="38"/>
        <v/>
      </c>
      <c r="W188" s="5"/>
      <c r="X188" s="182" t="str">
        <f t="shared" si="39"/>
        <v/>
      </c>
      <c r="Y188" s="182" t="str">
        <f t="shared" si="40"/>
        <v/>
      </c>
      <c r="Z188" s="5"/>
      <c r="AA188" s="182" t="str">
        <f t="shared" si="41"/>
        <v/>
      </c>
      <c r="AB188" s="183" t="str">
        <f t="shared" si="42"/>
        <v/>
      </c>
      <c r="AC188" s="5"/>
      <c r="AD188" s="182" t="str">
        <f t="shared" si="43"/>
        <v/>
      </c>
      <c r="AE188" s="183" t="str">
        <f t="shared" si="44"/>
        <v/>
      </c>
      <c r="AF188" s="5"/>
      <c r="AG188" s="182" t="str">
        <f t="shared" si="45"/>
        <v/>
      </c>
      <c r="AH188" s="183" t="str">
        <f t="shared" si="46"/>
        <v/>
      </c>
      <c r="AI188" s="5"/>
      <c r="AJ188" s="183" t="str">
        <f t="shared" si="47"/>
        <v/>
      </c>
      <c r="AK188" s="183" t="str">
        <f t="shared" si="48"/>
        <v/>
      </c>
      <c r="AL188" s="5"/>
      <c r="AM188" s="183" t="str">
        <f t="shared" si="49"/>
        <v/>
      </c>
      <c r="AN188" s="183" t="str">
        <f t="shared" si="50"/>
        <v/>
      </c>
      <c r="AO188" s="184">
        <f t="shared" si="51"/>
        <v>0</v>
      </c>
      <c r="AP188" s="184">
        <f t="shared" si="52"/>
        <v>0</v>
      </c>
      <c r="AQ188" s="608" t="str">
        <f t="shared" si="53"/>
        <v/>
      </c>
      <c r="AR188" s="185" t="str">
        <f>IF(COUNTIF(K188:Q188,"F")&gt;0,"",IF(AQ188="PASS",'Statement of Marks'!HZ190,""))</f>
        <v/>
      </c>
      <c r="AS188" s="185" t="str">
        <f>IF(AQ188="PASS",'Statement of Marks'!IA190,"")</f>
        <v/>
      </c>
    </row>
    <row r="189" spans="1:45">
      <c r="A189" s="169">
        <f>IF('Statement of Marks'!A191="","",'Statement of Marks'!A191)</f>
        <v>185</v>
      </c>
      <c r="B189" s="169" t="str">
        <f>IF('Statement of Marks'!B191="","",'Statement of Marks'!B191)</f>
        <v/>
      </c>
      <c r="C189" s="169" t="str">
        <f>IF('Statement of Marks'!D191="","",'Statement of Marks'!D191)</f>
        <v/>
      </c>
      <c r="D189" s="170" t="str">
        <f>IF('Statement of Marks'!E191="","",'Statement of Marks'!E191)</f>
        <v/>
      </c>
      <c r="E189" s="171" t="str">
        <f>IF('Statement of Marks'!F191="","",'Statement of Marks'!F191)</f>
        <v/>
      </c>
      <c r="F189" s="171" t="str">
        <f>IF('Statement of Marks'!G191="","",'Statement of Marks'!G191)</f>
        <v/>
      </c>
      <c r="G189" s="171" t="str">
        <f>IF('Statement of Marks'!H191="","",'Statement of Marks'!H191)</f>
        <v/>
      </c>
      <c r="H189" s="172" t="str">
        <f>IF('Statement of Marks'!HS191="","",'Statement of Marks'!HS191)</f>
        <v/>
      </c>
      <c r="I189" s="172" t="str">
        <f>IF('Statement of Marks'!HV191="","",'Statement of Marks'!HV191)</f>
        <v/>
      </c>
      <c r="J189" s="173" t="str">
        <f>IF('Statement of Marks'!HU191="","",'Statement of Marks'!HU191)</f>
        <v/>
      </c>
      <c r="K189" s="181" t="str">
        <f>'Statement of Marks'!GN191</f>
        <v/>
      </c>
      <c r="L189" s="181" t="str">
        <f>'Statement of Marks'!GQ191</f>
        <v/>
      </c>
      <c r="M189" s="181" t="str">
        <f>'Statement of Marks'!GT191</f>
        <v/>
      </c>
      <c r="N189" s="181" t="str">
        <f>'Statement of Marks'!HB191</f>
        <v/>
      </c>
      <c r="O189" s="181" t="str">
        <f>'Statement of Marks'!HE191</f>
        <v/>
      </c>
      <c r="P189" s="181" t="str">
        <f>'Statement of Marks'!HH191</f>
        <v/>
      </c>
      <c r="Q189" s="181" t="str">
        <f>'Statement of Marks'!HK191</f>
        <v/>
      </c>
      <c r="R189" s="173" t="str">
        <f>IF(COUNTIF(K189:Q189,"F")&gt;0,"",CONCATENATE('Statement of Marks'!HO191,'Statement of Marks'!HQ191))</f>
        <v xml:space="preserve">            </v>
      </c>
      <c r="S189" s="174">
        <f t="shared" si="36"/>
        <v>0</v>
      </c>
      <c r="T189" s="5"/>
      <c r="U189" s="182" t="str">
        <f t="shared" si="37"/>
        <v/>
      </c>
      <c r="V189" s="182" t="str">
        <f t="shared" si="38"/>
        <v/>
      </c>
      <c r="W189" s="5"/>
      <c r="X189" s="182" t="str">
        <f t="shared" si="39"/>
        <v/>
      </c>
      <c r="Y189" s="182" t="str">
        <f t="shared" si="40"/>
        <v/>
      </c>
      <c r="Z189" s="5"/>
      <c r="AA189" s="182" t="str">
        <f t="shared" si="41"/>
        <v/>
      </c>
      <c r="AB189" s="183" t="str">
        <f t="shared" si="42"/>
        <v/>
      </c>
      <c r="AC189" s="5"/>
      <c r="AD189" s="182" t="str">
        <f t="shared" si="43"/>
        <v/>
      </c>
      <c r="AE189" s="183" t="str">
        <f t="shared" si="44"/>
        <v/>
      </c>
      <c r="AF189" s="5"/>
      <c r="AG189" s="182" t="str">
        <f t="shared" si="45"/>
        <v/>
      </c>
      <c r="AH189" s="183" t="str">
        <f t="shared" si="46"/>
        <v/>
      </c>
      <c r="AI189" s="5"/>
      <c r="AJ189" s="183" t="str">
        <f t="shared" si="47"/>
        <v/>
      </c>
      <c r="AK189" s="183" t="str">
        <f t="shared" si="48"/>
        <v/>
      </c>
      <c r="AL189" s="5"/>
      <c r="AM189" s="183" t="str">
        <f t="shared" si="49"/>
        <v/>
      </c>
      <c r="AN189" s="183" t="str">
        <f t="shared" si="50"/>
        <v/>
      </c>
      <c r="AO189" s="184">
        <f t="shared" si="51"/>
        <v>0</v>
      </c>
      <c r="AP189" s="184">
        <f t="shared" si="52"/>
        <v>0</v>
      </c>
      <c r="AQ189" s="608" t="str">
        <f t="shared" si="53"/>
        <v/>
      </c>
      <c r="AR189" s="185" t="str">
        <f>IF(COUNTIF(K189:Q189,"F")&gt;0,"",IF(AQ189="PASS",'Statement of Marks'!HZ191,""))</f>
        <v/>
      </c>
      <c r="AS189" s="185" t="str">
        <f>IF(AQ189="PASS",'Statement of Marks'!IA191,"")</f>
        <v/>
      </c>
    </row>
    <row r="190" spans="1:45">
      <c r="A190" s="169">
        <f>IF('Statement of Marks'!A192="","",'Statement of Marks'!A192)</f>
        <v>186</v>
      </c>
      <c r="B190" s="169" t="str">
        <f>IF('Statement of Marks'!B192="","",'Statement of Marks'!B192)</f>
        <v/>
      </c>
      <c r="C190" s="169" t="str">
        <f>IF('Statement of Marks'!D192="","",'Statement of Marks'!D192)</f>
        <v/>
      </c>
      <c r="D190" s="170" t="str">
        <f>IF('Statement of Marks'!E192="","",'Statement of Marks'!E192)</f>
        <v/>
      </c>
      <c r="E190" s="171" t="str">
        <f>IF('Statement of Marks'!F192="","",'Statement of Marks'!F192)</f>
        <v/>
      </c>
      <c r="F190" s="171" t="str">
        <f>IF('Statement of Marks'!G192="","",'Statement of Marks'!G192)</f>
        <v/>
      </c>
      <c r="G190" s="171" t="str">
        <f>IF('Statement of Marks'!H192="","",'Statement of Marks'!H192)</f>
        <v/>
      </c>
      <c r="H190" s="172" t="str">
        <f>IF('Statement of Marks'!HS192="","",'Statement of Marks'!HS192)</f>
        <v/>
      </c>
      <c r="I190" s="172" t="str">
        <f>IF('Statement of Marks'!HV192="","",'Statement of Marks'!HV192)</f>
        <v/>
      </c>
      <c r="J190" s="173" t="str">
        <f>IF('Statement of Marks'!HU192="","",'Statement of Marks'!HU192)</f>
        <v/>
      </c>
      <c r="K190" s="181" t="str">
        <f>'Statement of Marks'!GN192</f>
        <v/>
      </c>
      <c r="L190" s="181" t="str">
        <f>'Statement of Marks'!GQ192</f>
        <v/>
      </c>
      <c r="M190" s="181" t="str">
        <f>'Statement of Marks'!GT192</f>
        <v/>
      </c>
      <c r="N190" s="181" t="str">
        <f>'Statement of Marks'!HB192</f>
        <v/>
      </c>
      <c r="O190" s="181" t="str">
        <f>'Statement of Marks'!HE192</f>
        <v/>
      </c>
      <c r="P190" s="181" t="str">
        <f>'Statement of Marks'!HH192</f>
        <v/>
      </c>
      <c r="Q190" s="181" t="str">
        <f>'Statement of Marks'!HK192</f>
        <v/>
      </c>
      <c r="R190" s="173" t="str">
        <f>IF(COUNTIF(K190:Q190,"F")&gt;0,"",CONCATENATE('Statement of Marks'!HO192,'Statement of Marks'!HQ192))</f>
        <v xml:space="preserve">            </v>
      </c>
      <c r="S190" s="174">
        <f t="shared" si="36"/>
        <v>0</v>
      </c>
      <c r="T190" s="5"/>
      <c r="U190" s="182" t="str">
        <f t="shared" si="37"/>
        <v/>
      </c>
      <c r="V190" s="182" t="str">
        <f t="shared" si="38"/>
        <v/>
      </c>
      <c r="W190" s="5"/>
      <c r="X190" s="182" t="str">
        <f t="shared" si="39"/>
        <v/>
      </c>
      <c r="Y190" s="182" t="str">
        <f t="shared" si="40"/>
        <v/>
      </c>
      <c r="Z190" s="5"/>
      <c r="AA190" s="182" t="str">
        <f t="shared" si="41"/>
        <v/>
      </c>
      <c r="AB190" s="183" t="str">
        <f t="shared" si="42"/>
        <v/>
      </c>
      <c r="AC190" s="5"/>
      <c r="AD190" s="182" t="str">
        <f t="shared" si="43"/>
        <v/>
      </c>
      <c r="AE190" s="183" t="str">
        <f t="shared" si="44"/>
        <v/>
      </c>
      <c r="AF190" s="5"/>
      <c r="AG190" s="182" t="str">
        <f t="shared" si="45"/>
        <v/>
      </c>
      <c r="AH190" s="183" t="str">
        <f t="shared" si="46"/>
        <v/>
      </c>
      <c r="AI190" s="5"/>
      <c r="AJ190" s="183" t="str">
        <f t="shared" si="47"/>
        <v/>
      </c>
      <c r="AK190" s="183" t="str">
        <f t="shared" si="48"/>
        <v/>
      </c>
      <c r="AL190" s="5"/>
      <c r="AM190" s="183" t="str">
        <f t="shared" si="49"/>
        <v/>
      </c>
      <c r="AN190" s="183" t="str">
        <f t="shared" si="50"/>
        <v/>
      </c>
      <c r="AO190" s="184">
        <f t="shared" si="51"/>
        <v>0</v>
      </c>
      <c r="AP190" s="184">
        <f t="shared" si="52"/>
        <v>0</v>
      </c>
      <c r="AQ190" s="608" t="str">
        <f t="shared" si="53"/>
        <v/>
      </c>
      <c r="AR190" s="185" t="str">
        <f>IF(COUNTIF(K190:Q190,"F")&gt;0,"",IF(AQ190="PASS",'Statement of Marks'!HZ192,""))</f>
        <v/>
      </c>
      <c r="AS190" s="185" t="str">
        <f>IF(AQ190="PASS",'Statement of Marks'!IA192,"")</f>
        <v/>
      </c>
    </row>
    <row r="191" spans="1:45">
      <c r="A191" s="169">
        <f>IF('Statement of Marks'!A193="","",'Statement of Marks'!A193)</f>
        <v>187</v>
      </c>
      <c r="B191" s="169" t="str">
        <f>IF('Statement of Marks'!B193="","",'Statement of Marks'!B193)</f>
        <v/>
      </c>
      <c r="C191" s="169" t="str">
        <f>IF('Statement of Marks'!D193="","",'Statement of Marks'!D193)</f>
        <v/>
      </c>
      <c r="D191" s="170" t="str">
        <f>IF('Statement of Marks'!E193="","",'Statement of Marks'!E193)</f>
        <v/>
      </c>
      <c r="E191" s="171" t="str">
        <f>IF('Statement of Marks'!F193="","",'Statement of Marks'!F193)</f>
        <v/>
      </c>
      <c r="F191" s="171" t="str">
        <f>IF('Statement of Marks'!G193="","",'Statement of Marks'!G193)</f>
        <v/>
      </c>
      <c r="G191" s="171" t="str">
        <f>IF('Statement of Marks'!H193="","",'Statement of Marks'!H193)</f>
        <v/>
      </c>
      <c r="H191" s="172" t="str">
        <f>IF('Statement of Marks'!HS193="","",'Statement of Marks'!HS193)</f>
        <v/>
      </c>
      <c r="I191" s="172" t="str">
        <f>IF('Statement of Marks'!HV193="","",'Statement of Marks'!HV193)</f>
        <v/>
      </c>
      <c r="J191" s="173" t="str">
        <f>IF('Statement of Marks'!HU193="","",'Statement of Marks'!HU193)</f>
        <v/>
      </c>
      <c r="K191" s="181" t="str">
        <f>'Statement of Marks'!GN193</f>
        <v/>
      </c>
      <c r="L191" s="181" t="str">
        <f>'Statement of Marks'!GQ193</f>
        <v/>
      </c>
      <c r="M191" s="181" t="str">
        <f>'Statement of Marks'!GT193</f>
        <v/>
      </c>
      <c r="N191" s="181" t="str">
        <f>'Statement of Marks'!HB193</f>
        <v/>
      </c>
      <c r="O191" s="181" t="str">
        <f>'Statement of Marks'!HE193</f>
        <v/>
      </c>
      <c r="P191" s="181" t="str">
        <f>'Statement of Marks'!HH193</f>
        <v/>
      </c>
      <c r="Q191" s="181" t="str">
        <f>'Statement of Marks'!HK193</f>
        <v/>
      </c>
      <c r="R191" s="173" t="str">
        <f>IF(COUNTIF(K191:Q191,"F")&gt;0,"",CONCATENATE('Statement of Marks'!HO193,'Statement of Marks'!HQ193))</f>
        <v xml:space="preserve">            </v>
      </c>
      <c r="S191" s="174">
        <f t="shared" si="36"/>
        <v>0</v>
      </c>
      <c r="T191" s="5"/>
      <c r="U191" s="182" t="str">
        <f t="shared" si="37"/>
        <v/>
      </c>
      <c r="V191" s="182" t="str">
        <f t="shared" si="38"/>
        <v/>
      </c>
      <c r="W191" s="5"/>
      <c r="X191" s="182" t="str">
        <f t="shared" si="39"/>
        <v/>
      </c>
      <c r="Y191" s="182" t="str">
        <f t="shared" si="40"/>
        <v/>
      </c>
      <c r="Z191" s="5"/>
      <c r="AA191" s="182" t="str">
        <f t="shared" si="41"/>
        <v/>
      </c>
      <c r="AB191" s="183" t="str">
        <f t="shared" si="42"/>
        <v/>
      </c>
      <c r="AC191" s="5"/>
      <c r="AD191" s="182" t="str">
        <f t="shared" si="43"/>
        <v/>
      </c>
      <c r="AE191" s="183" t="str">
        <f t="shared" si="44"/>
        <v/>
      </c>
      <c r="AF191" s="5"/>
      <c r="AG191" s="182" t="str">
        <f t="shared" si="45"/>
        <v/>
      </c>
      <c r="AH191" s="183" t="str">
        <f t="shared" si="46"/>
        <v/>
      </c>
      <c r="AI191" s="5"/>
      <c r="AJ191" s="183" t="str">
        <f t="shared" si="47"/>
        <v/>
      </c>
      <c r="AK191" s="183" t="str">
        <f t="shared" si="48"/>
        <v/>
      </c>
      <c r="AL191" s="5"/>
      <c r="AM191" s="183" t="str">
        <f t="shared" si="49"/>
        <v/>
      </c>
      <c r="AN191" s="183" t="str">
        <f t="shared" si="50"/>
        <v/>
      </c>
      <c r="AO191" s="184">
        <f t="shared" si="51"/>
        <v>0</v>
      </c>
      <c r="AP191" s="184">
        <f t="shared" si="52"/>
        <v>0</v>
      </c>
      <c r="AQ191" s="608" t="str">
        <f t="shared" si="53"/>
        <v/>
      </c>
      <c r="AR191" s="185" t="str">
        <f>IF(COUNTIF(K191:Q191,"F")&gt;0,"",IF(AQ191="PASS",'Statement of Marks'!HZ193,""))</f>
        <v/>
      </c>
      <c r="AS191" s="185" t="str">
        <f>IF(AQ191="PASS",'Statement of Marks'!IA193,"")</f>
        <v/>
      </c>
    </row>
    <row r="192" spans="1:45">
      <c r="A192" s="169">
        <f>IF('Statement of Marks'!A194="","",'Statement of Marks'!A194)</f>
        <v>188</v>
      </c>
      <c r="B192" s="169" t="str">
        <f>IF('Statement of Marks'!B194="","",'Statement of Marks'!B194)</f>
        <v/>
      </c>
      <c r="C192" s="169" t="str">
        <f>IF('Statement of Marks'!D194="","",'Statement of Marks'!D194)</f>
        <v/>
      </c>
      <c r="D192" s="170" t="str">
        <f>IF('Statement of Marks'!E194="","",'Statement of Marks'!E194)</f>
        <v/>
      </c>
      <c r="E192" s="171" t="str">
        <f>IF('Statement of Marks'!F194="","",'Statement of Marks'!F194)</f>
        <v/>
      </c>
      <c r="F192" s="171" t="str">
        <f>IF('Statement of Marks'!G194="","",'Statement of Marks'!G194)</f>
        <v/>
      </c>
      <c r="G192" s="171" t="str">
        <f>IF('Statement of Marks'!H194="","",'Statement of Marks'!H194)</f>
        <v/>
      </c>
      <c r="H192" s="172" t="str">
        <f>IF('Statement of Marks'!HS194="","",'Statement of Marks'!HS194)</f>
        <v/>
      </c>
      <c r="I192" s="172" t="str">
        <f>IF('Statement of Marks'!HV194="","",'Statement of Marks'!HV194)</f>
        <v/>
      </c>
      <c r="J192" s="173" t="str">
        <f>IF('Statement of Marks'!HU194="","",'Statement of Marks'!HU194)</f>
        <v/>
      </c>
      <c r="K192" s="181" t="str">
        <f>'Statement of Marks'!GN194</f>
        <v/>
      </c>
      <c r="L192" s="181" t="str">
        <f>'Statement of Marks'!GQ194</f>
        <v/>
      </c>
      <c r="M192" s="181" t="str">
        <f>'Statement of Marks'!GT194</f>
        <v/>
      </c>
      <c r="N192" s="181" t="str">
        <f>'Statement of Marks'!HB194</f>
        <v/>
      </c>
      <c r="O192" s="181" t="str">
        <f>'Statement of Marks'!HE194</f>
        <v/>
      </c>
      <c r="P192" s="181" t="str">
        <f>'Statement of Marks'!HH194</f>
        <v/>
      </c>
      <c r="Q192" s="181" t="str">
        <f>'Statement of Marks'!HK194</f>
        <v/>
      </c>
      <c r="R192" s="173" t="str">
        <f>IF(COUNTIF(K192:Q192,"F")&gt;0,"",CONCATENATE('Statement of Marks'!HO194,'Statement of Marks'!HQ194))</f>
        <v xml:space="preserve">            </v>
      </c>
      <c r="S192" s="174">
        <f t="shared" si="36"/>
        <v>0</v>
      </c>
      <c r="T192" s="5"/>
      <c r="U192" s="182" t="str">
        <f t="shared" si="37"/>
        <v/>
      </c>
      <c r="V192" s="182" t="str">
        <f t="shared" si="38"/>
        <v/>
      </c>
      <c r="W192" s="5"/>
      <c r="X192" s="182" t="str">
        <f t="shared" si="39"/>
        <v/>
      </c>
      <c r="Y192" s="182" t="str">
        <f t="shared" si="40"/>
        <v/>
      </c>
      <c r="Z192" s="5"/>
      <c r="AA192" s="182" t="str">
        <f t="shared" si="41"/>
        <v/>
      </c>
      <c r="AB192" s="183" t="str">
        <f t="shared" si="42"/>
        <v/>
      </c>
      <c r="AC192" s="5"/>
      <c r="AD192" s="182" t="str">
        <f t="shared" si="43"/>
        <v/>
      </c>
      <c r="AE192" s="183" t="str">
        <f t="shared" si="44"/>
        <v/>
      </c>
      <c r="AF192" s="5"/>
      <c r="AG192" s="182" t="str">
        <f t="shared" si="45"/>
        <v/>
      </c>
      <c r="AH192" s="183" t="str">
        <f t="shared" si="46"/>
        <v/>
      </c>
      <c r="AI192" s="5"/>
      <c r="AJ192" s="183" t="str">
        <f t="shared" si="47"/>
        <v/>
      </c>
      <c r="AK192" s="183" t="str">
        <f t="shared" si="48"/>
        <v/>
      </c>
      <c r="AL192" s="5"/>
      <c r="AM192" s="183" t="str">
        <f t="shared" si="49"/>
        <v/>
      </c>
      <c r="AN192" s="183" t="str">
        <f t="shared" si="50"/>
        <v/>
      </c>
      <c r="AO192" s="184">
        <f t="shared" si="51"/>
        <v>0</v>
      </c>
      <c r="AP192" s="184">
        <f t="shared" si="52"/>
        <v>0</v>
      </c>
      <c r="AQ192" s="608" t="str">
        <f t="shared" si="53"/>
        <v/>
      </c>
      <c r="AR192" s="185" t="str">
        <f>IF(COUNTIF(K192:Q192,"F")&gt;0,"",IF(AQ192="PASS",'Statement of Marks'!HZ194,""))</f>
        <v/>
      </c>
      <c r="AS192" s="185" t="str">
        <f>IF(AQ192="PASS",'Statement of Marks'!IA194,"")</f>
        <v/>
      </c>
    </row>
    <row r="193" spans="1:45">
      <c r="A193" s="169">
        <f>IF('Statement of Marks'!A195="","",'Statement of Marks'!A195)</f>
        <v>189</v>
      </c>
      <c r="B193" s="169" t="str">
        <f>IF('Statement of Marks'!B195="","",'Statement of Marks'!B195)</f>
        <v/>
      </c>
      <c r="C193" s="169" t="str">
        <f>IF('Statement of Marks'!D195="","",'Statement of Marks'!D195)</f>
        <v/>
      </c>
      <c r="D193" s="170" t="str">
        <f>IF('Statement of Marks'!E195="","",'Statement of Marks'!E195)</f>
        <v/>
      </c>
      <c r="E193" s="171" t="str">
        <f>IF('Statement of Marks'!F195="","",'Statement of Marks'!F195)</f>
        <v/>
      </c>
      <c r="F193" s="171" t="str">
        <f>IF('Statement of Marks'!G195="","",'Statement of Marks'!G195)</f>
        <v/>
      </c>
      <c r="G193" s="171" t="str">
        <f>IF('Statement of Marks'!H195="","",'Statement of Marks'!H195)</f>
        <v/>
      </c>
      <c r="H193" s="172" t="str">
        <f>IF('Statement of Marks'!HS195="","",'Statement of Marks'!HS195)</f>
        <v/>
      </c>
      <c r="I193" s="172" t="str">
        <f>IF('Statement of Marks'!HV195="","",'Statement of Marks'!HV195)</f>
        <v/>
      </c>
      <c r="J193" s="173" t="str">
        <f>IF('Statement of Marks'!HU195="","",'Statement of Marks'!HU195)</f>
        <v/>
      </c>
      <c r="K193" s="181" t="str">
        <f>'Statement of Marks'!GN195</f>
        <v/>
      </c>
      <c r="L193" s="181" t="str">
        <f>'Statement of Marks'!GQ195</f>
        <v/>
      </c>
      <c r="M193" s="181" t="str">
        <f>'Statement of Marks'!GT195</f>
        <v/>
      </c>
      <c r="N193" s="181" t="str">
        <f>'Statement of Marks'!HB195</f>
        <v/>
      </c>
      <c r="O193" s="181" t="str">
        <f>'Statement of Marks'!HE195</f>
        <v/>
      </c>
      <c r="P193" s="181" t="str">
        <f>'Statement of Marks'!HH195</f>
        <v/>
      </c>
      <c r="Q193" s="181" t="str">
        <f>'Statement of Marks'!HK195</f>
        <v/>
      </c>
      <c r="R193" s="173" t="str">
        <f>IF(COUNTIF(K193:Q193,"F")&gt;0,"",CONCATENATE('Statement of Marks'!HO195,'Statement of Marks'!HQ195))</f>
        <v xml:space="preserve">            </v>
      </c>
      <c r="S193" s="174">
        <f t="shared" si="36"/>
        <v>0</v>
      </c>
      <c r="T193" s="5"/>
      <c r="U193" s="182" t="str">
        <f t="shared" si="37"/>
        <v/>
      </c>
      <c r="V193" s="182" t="str">
        <f t="shared" si="38"/>
        <v/>
      </c>
      <c r="W193" s="5"/>
      <c r="X193" s="182" t="str">
        <f t="shared" si="39"/>
        <v/>
      </c>
      <c r="Y193" s="182" t="str">
        <f t="shared" si="40"/>
        <v/>
      </c>
      <c r="Z193" s="5"/>
      <c r="AA193" s="182" t="str">
        <f t="shared" si="41"/>
        <v/>
      </c>
      <c r="AB193" s="183" t="str">
        <f t="shared" si="42"/>
        <v/>
      </c>
      <c r="AC193" s="5"/>
      <c r="AD193" s="182" t="str">
        <f t="shared" si="43"/>
        <v/>
      </c>
      <c r="AE193" s="183" t="str">
        <f t="shared" si="44"/>
        <v/>
      </c>
      <c r="AF193" s="5"/>
      <c r="AG193" s="182" t="str">
        <f t="shared" si="45"/>
        <v/>
      </c>
      <c r="AH193" s="183" t="str">
        <f t="shared" si="46"/>
        <v/>
      </c>
      <c r="AI193" s="5"/>
      <c r="AJ193" s="183" t="str">
        <f t="shared" si="47"/>
        <v/>
      </c>
      <c r="AK193" s="183" t="str">
        <f t="shared" si="48"/>
        <v/>
      </c>
      <c r="AL193" s="5"/>
      <c r="AM193" s="183" t="str">
        <f t="shared" si="49"/>
        <v/>
      </c>
      <c r="AN193" s="183" t="str">
        <f t="shared" si="50"/>
        <v/>
      </c>
      <c r="AO193" s="184">
        <f t="shared" si="51"/>
        <v>0</v>
      </c>
      <c r="AP193" s="184">
        <f t="shared" si="52"/>
        <v>0</v>
      </c>
      <c r="AQ193" s="608" t="str">
        <f t="shared" si="53"/>
        <v/>
      </c>
      <c r="AR193" s="185" t="str">
        <f>IF(COUNTIF(K193:Q193,"F")&gt;0,"",IF(AQ193="PASS",'Statement of Marks'!HZ195,""))</f>
        <v/>
      </c>
      <c r="AS193" s="185" t="str">
        <f>IF(AQ193="PASS",'Statement of Marks'!IA195,"")</f>
        <v/>
      </c>
    </row>
    <row r="194" spans="1:45">
      <c r="A194" s="169">
        <f>IF('Statement of Marks'!A196="","",'Statement of Marks'!A196)</f>
        <v>190</v>
      </c>
      <c r="B194" s="169" t="str">
        <f>IF('Statement of Marks'!B196="","",'Statement of Marks'!B196)</f>
        <v/>
      </c>
      <c r="C194" s="169" t="str">
        <f>IF('Statement of Marks'!D196="","",'Statement of Marks'!D196)</f>
        <v/>
      </c>
      <c r="D194" s="170" t="str">
        <f>IF('Statement of Marks'!E196="","",'Statement of Marks'!E196)</f>
        <v/>
      </c>
      <c r="E194" s="171" t="str">
        <f>IF('Statement of Marks'!F196="","",'Statement of Marks'!F196)</f>
        <v/>
      </c>
      <c r="F194" s="171" t="str">
        <f>IF('Statement of Marks'!G196="","",'Statement of Marks'!G196)</f>
        <v/>
      </c>
      <c r="G194" s="171" t="str">
        <f>IF('Statement of Marks'!H196="","",'Statement of Marks'!H196)</f>
        <v/>
      </c>
      <c r="H194" s="172" t="str">
        <f>IF('Statement of Marks'!HS196="","",'Statement of Marks'!HS196)</f>
        <v/>
      </c>
      <c r="I194" s="172" t="str">
        <f>IF('Statement of Marks'!HV196="","",'Statement of Marks'!HV196)</f>
        <v/>
      </c>
      <c r="J194" s="173" t="str">
        <f>IF('Statement of Marks'!HU196="","",'Statement of Marks'!HU196)</f>
        <v/>
      </c>
      <c r="K194" s="181" t="str">
        <f>'Statement of Marks'!GN196</f>
        <v/>
      </c>
      <c r="L194" s="181" t="str">
        <f>'Statement of Marks'!GQ196</f>
        <v/>
      </c>
      <c r="M194" s="181" t="str">
        <f>'Statement of Marks'!GT196</f>
        <v/>
      </c>
      <c r="N194" s="181" t="str">
        <f>'Statement of Marks'!HB196</f>
        <v/>
      </c>
      <c r="O194" s="181" t="str">
        <f>'Statement of Marks'!HE196</f>
        <v/>
      </c>
      <c r="P194" s="181" t="str">
        <f>'Statement of Marks'!HH196</f>
        <v/>
      </c>
      <c r="Q194" s="181" t="str">
        <f>'Statement of Marks'!HK196</f>
        <v/>
      </c>
      <c r="R194" s="173" t="str">
        <f>IF(COUNTIF(K194:Q194,"F")&gt;0,"",CONCATENATE('Statement of Marks'!HO196,'Statement of Marks'!HQ196))</f>
        <v xml:space="preserve">            </v>
      </c>
      <c r="S194" s="174">
        <f t="shared" si="36"/>
        <v>0</v>
      </c>
      <c r="T194" s="5"/>
      <c r="U194" s="182" t="str">
        <f t="shared" si="37"/>
        <v/>
      </c>
      <c r="V194" s="182" t="str">
        <f t="shared" si="38"/>
        <v/>
      </c>
      <c r="W194" s="5"/>
      <c r="X194" s="182" t="str">
        <f t="shared" si="39"/>
        <v/>
      </c>
      <c r="Y194" s="182" t="str">
        <f t="shared" si="40"/>
        <v/>
      </c>
      <c r="Z194" s="5"/>
      <c r="AA194" s="182" t="str">
        <f t="shared" si="41"/>
        <v/>
      </c>
      <c r="AB194" s="183" t="str">
        <f t="shared" si="42"/>
        <v/>
      </c>
      <c r="AC194" s="5"/>
      <c r="AD194" s="182" t="str">
        <f t="shared" si="43"/>
        <v/>
      </c>
      <c r="AE194" s="183" t="str">
        <f t="shared" si="44"/>
        <v/>
      </c>
      <c r="AF194" s="5"/>
      <c r="AG194" s="182" t="str">
        <f t="shared" si="45"/>
        <v/>
      </c>
      <c r="AH194" s="183" t="str">
        <f t="shared" si="46"/>
        <v/>
      </c>
      <c r="AI194" s="5"/>
      <c r="AJ194" s="183" t="str">
        <f t="shared" si="47"/>
        <v/>
      </c>
      <c r="AK194" s="183" t="str">
        <f t="shared" si="48"/>
        <v/>
      </c>
      <c r="AL194" s="5"/>
      <c r="AM194" s="183" t="str">
        <f t="shared" si="49"/>
        <v/>
      </c>
      <c r="AN194" s="183" t="str">
        <f t="shared" si="50"/>
        <v/>
      </c>
      <c r="AO194" s="184">
        <f t="shared" si="51"/>
        <v>0</v>
      </c>
      <c r="AP194" s="184">
        <f t="shared" si="52"/>
        <v>0</v>
      </c>
      <c r="AQ194" s="608" t="str">
        <f t="shared" si="53"/>
        <v/>
      </c>
      <c r="AR194" s="185" t="str">
        <f>IF(COUNTIF(K194:Q194,"F")&gt;0,"",IF(AQ194="PASS",'Statement of Marks'!HZ196,""))</f>
        <v/>
      </c>
      <c r="AS194" s="185" t="str">
        <f>IF(AQ194="PASS",'Statement of Marks'!IA196,"")</f>
        <v/>
      </c>
    </row>
    <row r="195" spans="1:45">
      <c r="A195" s="169">
        <f>IF('Statement of Marks'!A197="","",'Statement of Marks'!A197)</f>
        <v>191</v>
      </c>
      <c r="B195" s="169" t="str">
        <f>IF('Statement of Marks'!B197="","",'Statement of Marks'!B197)</f>
        <v/>
      </c>
      <c r="C195" s="169" t="str">
        <f>IF('Statement of Marks'!D197="","",'Statement of Marks'!D197)</f>
        <v/>
      </c>
      <c r="D195" s="170" t="str">
        <f>IF('Statement of Marks'!E197="","",'Statement of Marks'!E197)</f>
        <v/>
      </c>
      <c r="E195" s="171" t="str">
        <f>IF('Statement of Marks'!F197="","",'Statement of Marks'!F197)</f>
        <v/>
      </c>
      <c r="F195" s="171" t="str">
        <f>IF('Statement of Marks'!G197="","",'Statement of Marks'!G197)</f>
        <v/>
      </c>
      <c r="G195" s="171" t="str">
        <f>IF('Statement of Marks'!H197="","",'Statement of Marks'!H197)</f>
        <v/>
      </c>
      <c r="H195" s="172" t="str">
        <f>IF('Statement of Marks'!HS197="","",'Statement of Marks'!HS197)</f>
        <v/>
      </c>
      <c r="I195" s="172" t="str">
        <f>IF('Statement of Marks'!HV197="","",'Statement of Marks'!HV197)</f>
        <v/>
      </c>
      <c r="J195" s="173" t="str">
        <f>IF('Statement of Marks'!HU197="","",'Statement of Marks'!HU197)</f>
        <v/>
      </c>
      <c r="K195" s="181" t="str">
        <f>'Statement of Marks'!GN197</f>
        <v/>
      </c>
      <c r="L195" s="181" t="str">
        <f>'Statement of Marks'!GQ197</f>
        <v/>
      </c>
      <c r="M195" s="181" t="str">
        <f>'Statement of Marks'!GT197</f>
        <v/>
      </c>
      <c r="N195" s="181" t="str">
        <f>'Statement of Marks'!HB197</f>
        <v/>
      </c>
      <c r="O195" s="181" t="str">
        <f>'Statement of Marks'!HE197</f>
        <v/>
      </c>
      <c r="P195" s="181" t="str">
        <f>'Statement of Marks'!HH197</f>
        <v/>
      </c>
      <c r="Q195" s="181" t="str">
        <f>'Statement of Marks'!HK197</f>
        <v/>
      </c>
      <c r="R195" s="173" t="str">
        <f>IF(COUNTIF(K195:Q195,"F")&gt;0,"",CONCATENATE('Statement of Marks'!HO197,'Statement of Marks'!HQ197))</f>
        <v xml:space="preserve">            </v>
      </c>
      <c r="S195" s="174">
        <f t="shared" si="36"/>
        <v>0</v>
      </c>
      <c r="T195" s="5"/>
      <c r="U195" s="182" t="str">
        <f t="shared" si="37"/>
        <v/>
      </c>
      <c r="V195" s="182" t="str">
        <f t="shared" si="38"/>
        <v/>
      </c>
      <c r="W195" s="5"/>
      <c r="X195" s="182" t="str">
        <f t="shared" si="39"/>
        <v/>
      </c>
      <c r="Y195" s="182" t="str">
        <f t="shared" si="40"/>
        <v/>
      </c>
      <c r="Z195" s="5"/>
      <c r="AA195" s="182" t="str">
        <f t="shared" si="41"/>
        <v/>
      </c>
      <c r="AB195" s="183" t="str">
        <f t="shared" si="42"/>
        <v/>
      </c>
      <c r="AC195" s="5"/>
      <c r="AD195" s="182" t="str">
        <f t="shared" si="43"/>
        <v/>
      </c>
      <c r="AE195" s="183" t="str">
        <f t="shared" si="44"/>
        <v/>
      </c>
      <c r="AF195" s="5"/>
      <c r="AG195" s="182" t="str">
        <f t="shared" si="45"/>
        <v/>
      </c>
      <c r="AH195" s="183" t="str">
        <f t="shared" si="46"/>
        <v/>
      </c>
      <c r="AI195" s="5"/>
      <c r="AJ195" s="183" t="str">
        <f t="shared" si="47"/>
        <v/>
      </c>
      <c r="AK195" s="183" t="str">
        <f t="shared" si="48"/>
        <v/>
      </c>
      <c r="AL195" s="5"/>
      <c r="AM195" s="183" t="str">
        <f t="shared" si="49"/>
        <v/>
      </c>
      <c r="AN195" s="183" t="str">
        <f t="shared" si="50"/>
        <v/>
      </c>
      <c r="AO195" s="184">
        <f t="shared" si="51"/>
        <v>0</v>
      </c>
      <c r="AP195" s="184">
        <f t="shared" si="52"/>
        <v>0</v>
      </c>
      <c r="AQ195" s="608" t="str">
        <f t="shared" si="53"/>
        <v/>
      </c>
      <c r="AR195" s="185" t="str">
        <f>IF(COUNTIF(K195:Q195,"F")&gt;0,"",IF(AQ195="PASS",'Statement of Marks'!HZ197,""))</f>
        <v/>
      </c>
      <c r="AS195" s="185" t="str">
        <f>IF(AQ195="PASS",'Statement of Marks'!IA197,"")</f>
        <v/>
      </c>
    </row>
    <row r="196" spans="1:45">
      <c r="A196" s="169">
        <f>IF('Statement of Marks'!A198="","",'Statement of Marks'!A198)</f>
        <v>192</v>
      </c>
      <c r="B196" s="169" t="str">
        <f>IF('Statement of Marks'!B198="","",'Statement of Marks'!B198)</f>
        <v/>
      </c>
      <c r="C196" s="169" t="str">
        <f>IF('Statement of Marks'!D198="","",'Statement of Marks'!D198)</f>
        <v/>
      </c>
      <c r="D196" s="170" t="str">
        <f>IF('Statement of Marks'!E198="","",'Statement of Marks'!E198)</f>
        <v/>
      </c>
      <c r="E196" s="171" t="str">
        <f>IF('Statement of Marks'!F198="","",'Statement of Marks'!F198)</f>
        <v/>
      </c>
      <c r="F196" s="171" t="str">
        <f>IF('Statement of Marks'!G198="","",'Statement of Marks'!G198)</f>
        <v/>
      </c>
      <c r="G196" s="171" t="str">
        <f>IF('Statement of Marks'!H198="","",'Statement of Marks'!H198)</f>
        <v/>
      </c>
      <c r="H196" s="172" t="str">
        <f>IF('Statement of Marks'!HS198="","",'Statement of Marks'!HS198)</f>
        <v/>
      </c>
      <c r="I196" s="172" t="str">
        <f>IF('Statement of Marks'!HV198="","",'Statement of Marks'!HV198)</f>
        <v/>
      </c>
      <c r="J196" s="173" t="str">
        <f>IF('Statement of Marks'!HU198="","",'Statement of Marks'!HU198)</f>
        <v/>
      </c>
      <c r="K196" s="181" t="str">
        <f>'Statement of Marks'!GN198</f>
        <v/>
      </c>
      <c r="L196" s="181" t="str">
        <f>'Statement of Marks'!GQ198</f>
        <v/>
      </c>
      <c r="M196" s="181" t="str">
        <f>'Statement of Marks'!GT198</f>
        <v/>
      </c>
      <c r="N196" s="181" t="str">
        <f>'Statement of Marks'!HB198</f>
        <v/>
      </c>
      <c r="O196" s="181" t="str">
        <f>'Statement of Marks'!HE198</f>
        <v/>
      </c>
      <c r="P196" s="181" t="str">
        <f>'Statement of Marks'!HH198</f>
        <v/>
      </c>
      <c r="Q196" s="181" t="str">
        <f>'Statement of Marks'!HK198</f>
        <v/>
      </c>
      <c r="R196" s="173" t="str">
        <f>IF(COUNTIF(K196:Q196,"F")&gt;0,"",CONCATENATE('Statement of Marks'!HO198,'Statement of Marks'!HQ198))</f>
        <v xml:space="preserve">            </v>
      </c>
      <c r="S196" s="174">
        <f t="shared" si="36"/>
        <v>0</v>
      </c>
      <c r="T196" s="5"/>
      <c r="U196" s="182" t="str">
        <f t="shared" si="37"/>
        <v/>
      </c>
      <c r="V196" s="182" t="str">
        <f t="shared" si="38"/>
        <v/>
      </c>
      <c r="W196" s="5"/>
      <c r="X196" s="182" t="str">
        <f t="shared" si="39"/>
        <v/>
      </c>
      <c r="Y196" s="182" t="str">
        <f t="shared" si="40"/>
        <v/>
      </c>
      <c r="Z196" s="5"/>
      <c r="AA196" s="182" t="str">
        <f t="shared" si="41"/>
        <v/>
      </c>
      <c r="AB196" s="183" t="str">
        <f t="shared" si="42"/>
        <v/>
      </c>
      <c r="AC196" s="5"/>
      <c r="AD196" s="182" t="str">
        <f t="shared" si="43"/>
        <v/>
      </c>
      <c r="AE196" s="183" t="str">
        <f t="shared" si="44"/>
        <v/>
      </c>
      <c r="AF196" s="5"/>
      <c r="AG196" s="182" t="str">
        <f t="shared" si="45"/>
        <v/>
      </c>
      <c r="AH196" s="183" t="str">
        <f t="shared" si="46"/>
        <v/>
      </c>
      <c r="AI196" s="5"/>
      <c r="AJ196" s="183" t="str">
        <f t="shared" si="47"/>
        <v/>
      </c>
      <c r="AK196" s="183" t="str">
        <f t="shared" si="48"/>
        <v/>
      </c>
      <c r="AL196" s="5"/>
      <c r="AM196" s="183" t="str">
        <f t="shared" si="49"/>
        <v/>
      </c>
      <c r="AN196" s="183" t="str">
        <f t="shared" si="50"/>
        <v/>
      </c>
      <c r="AO196" s="184">
        <f t="shared" si="51"/>
        <v>0</v>
      </c>
      <c r="AP196" s="184">
        <f t="shared" si="52"/>
        <v>0</v>
      </c>
      <c r="AQ196" s="608" t="str">
        <f t="shared" si="53"/>
        <v/>
      </c>
      <c r="AR196" s="185" t="str">
        <f>IF(COUNTIF(K196:Q196,"F")&gt;0,"",IF(AQ196="PASS",'Statement of Marks'!HZ198,""))</f>
        <v/>
      </c>
      <c r="AS196" s="185" t="str">
        <f>IF(AQ196="PASS",'Statement of Marks'!IA198,"")</f>
        <v/>
      </c>
    </row>
    <row r="197" spans="1:45">
      <c r="A197" s="169">
        <f>IF('Statement of Marks'!A199="","",'Statement of Marks'!A199)</f>
        <v>193</v>
      </c>
      <c r="B197" s="169" t="str">
        <f>IF('Statement of Marks'!B199="","",'Statement of Marks'!B199)</f>
        <v/>
      </c>
      <c r="C197" s="169" t="str">
        <f>IF('Statement of Marks'!D199="","",'Statement of Marks'!D199)</f>
        <v/>
      </c>
      <c r="D197" s="170" t="str">
        <f>IF('Statement of Marks'!E199="","",'Statement of Marks'!E199)</f>
        <v/>
      </c>
      <c r="E197" s="171" t="str">
        <f>IF('Statement of Marks'!F199="","",'Statement of Marks'!F199)</f>
        <v/>
      </c>
      <c r="F197" s="171" t="str">
        <f>IF('Statement of Marks'!G199="","",'Statement of Marks'!G199)</f>
        <v/>
      </c>
      <c r="G197" s="171" t="str">
        <f>IF('Statement of Marks'!H199="","",'Statement of Marks'!H199)</f>
        <v/>
      </c>
      <c r="H197" s="172" t="str">
        <f>IF('Statement of Marks'!HS199="","",'Statement of Marks'!HS199)</f>
        <v/>
      </c>
      <c r="I197" s="172" t="str">
        <f>IF('Statement of Marks'!HV199="","",'Statement of Marks'!HV199)</f>
        <v/>
      </c>
      <c r="J197" s="173" t="str">
        <f>IF('Statement of Marks'!HU199="","",'Statement of Marks'!HU199)</f>
        <v/>
      </c>
      <c r="K197" s="181" t="str">
        <f>'Statement of Marks'!GN199</f>
        <v/>
      </c>
      <c r="L197" s="181" t="str">
        <f>'Statement of Marks'!GQ199</f>
        <v/>
      </c>
      <c r="M197" s="181" t="str">
        <f>'Statement of Marks'!GT199</f>
        <v/>
      </c>
      <c r="N197" s="181" t="str">
        <f>'Statement of Marks'!HB199</f>
        <v/>
      </c>
      <c r="O197" s="181" t="str">
        <f>'Statement of Marks'!HE199</f>
        <v/>
      </c>
      <c r="P197" s="181" t="str">
        <f>'Statement of Marks'!HH199</f>
        <v/>
      </c>
      <c r="Q197" s="181" t="str">
        <f>'Statement of Marks'!HK199</f>
        <v/>
      </c>
      <c r="R197" s="173" t="str">
        <f>IF(COUNTIF(K197:Q197,"F")&gt;0,"",CONCATENATE('Statement of Marks'!HO199,'Statement of Marks'!HQ199))</f>
        <v xml:space="preserve">            </v>
      </c>
      <c r="S197" s="174">
        <f t="shared" si="36"/>
        <v>0</v>
      </c>
      <c r="T197" s="5"/>
      <c r="U197" s="182" t="str">
        <f t="shared" si="37"/>
        <v/>
      </c>
      <c r="V197" s="182" t="str">
        <f t="shared" si="38"/>
        <v/>
      </c>
      <c r="W197" s="5"/>
      <c r="X197" s="182" t="str">
        <f t="shared" si="39"/>
        <v/>
      </c>
      <c r="Y197" s="182" t="str">
        <f t="shared" si="40"/>
        <v/>
      </c>
      <c r="Z197" s="5"/>
      <c r="AA197" s="182" t="str">
        <f t="shared" si="41"/>
        <v/>
      </c>
      <c r="AB197" s="183" t="str">
        <f t="shared" si="42"/>
        <v/>
      </c>
      <c r="AC197" s="5"/>
      <c r="AD197" s="182" t="str">
        <f t="shared" si="43"/>
        <v/>
      </c>
      <c r="AE197" s="183" t="str">
        <f t="shared" si="44"/>
        <v/>
      </c>
      <c r="AF197" s="5"/>
      <c r="AG197" s="182" t="str">
        <f t="shared" si="45"/>
        <v/>
      </c>
      <c r="AH197" s="183" t="str">
        <f t="shared" si="46"/>
        <v/>
      </c>
      <c r="AI197" s="5"/>
      <c r="AJ197" s="183" t="str">
        <f t="shared" si="47"/>
        <v/>
      </c>
      <c r="AK197" s="183" t="str">
        <f t="shared" si="48"/>
        <v/>
      </c>
      <c r="AL197" s="5"/>
      <c r="AM197" s="183" t="str">
        <f t="shared" si="49"/>
        <v/>
      </c>
      <c r="AN197" s="183" t="str">
        <f t="shared" si="50"/>
        <v/>
      </c>
      <c r="AO197" s="184">
        <f t="shared" si="51"/>
        <v>0</v>
      </c>
      <c r="AP197" s="184">
        <f t="shared" si="52"/>
        <v>0</v>
      </c>
      <c r="AQ197" s="608" t="str">
        <f t="shared" si="53"/>
        <v/>
      </c>
      <c r="AR197" s="185" t="str">
        <f>IF(COUNTIF(K197:Q197,"F")&gt;0,"",IF(AQ197="PASS",'Statement of Marks'!HZ199,""))</f>
        <v/>
      </c>
      <c r="AS197" s="185" t="str">
        <f>IF(AQ197="PASS",'Statement of Marks'!IA199,"")</f>
        <v/>
      </c>
    </row>
    <row r="198" spans="1:45">
      <c r="A198" s="169">
        <f>IF('Statement of Marks'!A200="","",'Statement of Marks'!A200)</f>
        <v>194</v>
      </c>
      <c r="B198" s="169" t="str">
        <f>IF('Statement of Marks'!B200="","",'Statement of Marks'!B200)</f>
        <v/>
      </c>
      <c r="C198" s="169" t="str">
        <f>IF('Statement of Marks'!D200="","",'Statement of Marks'!D200)</f>
        <v/>
      </c>
      <c r="D198" s="170" t="str">
        <f>IF('Statement of Marks'!E200="","",'Statement of Marks'!E200)</f>
        <v/>
      </c>
      <c r="E198" s="171" t="str">
        <f>IF('Statement of Marks'!F200="","",'Statement of Marks'!F200)</f>
        <v/>
      </c>
      <c r="F198" s="171" t="str">
        <f>IF('Statement of Marks'!G200="","",'Statement of Marks'!G200)</f>
        <v/>
      </c>
      <c r="G198" s="171" t="str">
        <f>IF('Statement of Marks'!H200="","",'Statement of Marks'!H200)</f>
        <v/>
      </c>
      <c r="H198" s="172" t="str">
        <f>IF('Statement of Marks'!HS200="","",'Statement of Marks'!HS200)</f>
        <v/>
      </c>
      <c r="I198" s="172" t="str">
        <f>IF('Statement of Marks'!HV200="","",'Statement of Marks'!HV200)</f>
        <v/>
      </c>
      <c r="J198" s="173" t="str">
        <f>IF('Statement of Marks'!HU200="","",'Statement of Marks'!HU200)</f>
        <v/>
      </c>
      <c r="K198" s="181" t="str">
        <f>'Statement of Marks'!GN200</f>
        <v/>
      </c>
      <c r="L198" s="181" t="str">
        <f>'Statement of Marks'!GQ200</f>
        <v/>
      </c>
      <c r="M198" s="181" t="str">
        <f>'Statement of Marks'!GT200</f>
        <v/>
      </c>
      <c r="N198" s="181" t="str">
        <f>'Statement of Marks'!HB200</f>
        <v/>
      </c>
      <c r="O198" s="181" t="str">
        <f>'Statement of Marks'!HE200</f>
        <v/>
      </c>
      <c r="P198" s="181" t="str">
        <f>'Statement of Marks'!HH200</f>
        <v/>
      </c>
      <c r="Q198" s="181" t="str">
        <f>'Statement of Marks'!HK200</f>
        <v/>
      </c>
      <c r="R198" s="173" t="str">
        <f>IF(COUNTIF(K198:Q198,"F")&gt;0,"",CONCATENATE('Statement of Marks'!HO200,'Statement of Marks'!HQ200))</f>
        <v xml:space="preserve">            </v>
      </c>
      <c r="S198" s="174">
        <f t="shared" ref="S198:S204" si="54">IF(COUNTIF(K198:Q198,"F")&gt;0,"",COUNTIF(K198:Q198,"S")+COUNTIF(K198:Q198,"RE")+COUNTIF(K198:Q198,"REP"))</f>
        <v>0</v>
      </c>
      <c r="T198" s="5"/>
      <c r="U198" s="182" t="str">
        <f t="shared" ref="U198:U204" si="55">IF(T198="","",IF(OR(T198="AB",K198="RE"),T198,IF(AND(K198="S"),ROUNDUP(T198,0),)))</f>
        <v/>
      </c>
      <c r="V198" s="182" t="str">
        <f t="shared" ref="V198:V204" si="56">IF(T198="","",IF(OR(T198="AB",T198&lt;36%*$T$4),"F","P"))</f>
        <v/>
      </c>
      <c r="W198" s="5"/>
      <c r="X198" s="182" t="str">
        <f t="shared" ref="X198:X204" si="57">IF(W198="","",IF(OR(W198="AB",L198="RE"),W198,IF(AND(L198="S"),ROUNDUP(W198,0),)))</f>
        <v/>
      </c>
      <c r="Y198" s="182" t="str">
        <f t="shared" ref="Y198:Y204" si="58">IF(W198="","",IF(OR(W198="AB",W198&lt;36%*$W$4),"F","P"))</f>
        <v/>
      </c>
      <c r="Z198" s="5"/>
      <c r="AA198" s="182" t="str">
        <f t="shared" ref="AA198:AA203" si="59">IF(Z198="","",IF(OR(Z198="AB",M198="RE"),Z198,IF(AND(M198="S"),ROUNDUP(Z198,0),)))</f>
        <v/>
      </c>
      <c r="AB198" s="183" t="str">
        <f t="shared" ref="AB198:AB203" si="60">IF(Z198="","",IF(OR(Z198="AB",Z198&lt;36%*$Z$4),"F","P"))</f>
        <v/>
      </c>
      <c r="AC198" s="5"/>
      <c r="AD198" s="182" t="str">
        <f t="shared" ref="AD198:AD204" si="61">IF(AC198="","",IF(OR(AC198="AB",N198="RE"),AC198,IF(AND(N198="S"),ROUNDUP(AC198,0),)))</f>
        <v/>
      </c>
      <c r="AE198" s="183" t="str">
        <f t="shared" ref="AE198:AE204" si="62">IF(AC198="","",IF(OR(AC198="AB",AC198&lt;36%*$AC$4),"F","P"))</f>
        <v/>
      </c>
      <c r="AF198" s="5"/>
      <c r="AG198" s="182" t="str">
        <f t="shared" ref="AG198:AG204" si="63">IF(AF198="","",IF(OR(AF198="AB",O198="RE"),AF198,IF(AND(O198="S"),ROUNDUP(AF198,0),)))</f>
        <v/>
      </c>
      <c r="AH198" s="183" t="str">
        <f t="shared" ref="AH198:AH204" si="64">IF(AF198="","",IF(OR(AF198="AB",AF198&lt;36%*$AF$4),"F","P"))</f>
        <v/>
      </c>
      <c r="AI198" s="5"/>
      <c r="AJ198" s="183" t="str">
        <f t="shared" ref="AJ198:AJ204" si="65">IF(AI198="","",IF(OR(AI198="AB",P198="RE"),AI198,IF(AND(P198="S"),ROUNDUP(AI198,0),)))</f>
        <v/>
      </c>
      <c r="AK198" s="183" t="str">
        <f t="shared" ref="AK198:AK204" si="66">IF(AI198="","",IF(OR(AI198="AB",AI198&lt;36%*$AI$4),"F","P"))</f>
        <v/>
      </c>
      <c r="AL198" s="5"/>
      <c r="AM198" s="183" t="str">
        <f t="shared" ref="AM198:AM204" si="67">IF(AL198="","",IF(OR(AL198="AB",Q198="RE"),AL198,IF(AND(Q198="S"),ROUNDUP(AL198,0),)))</f>
        <v/>
      </c>
      <c r="AN198" s="183" t="str">
        <f t="shared" ref="AN198:AN204" si="68">IF(AL198="","",IF(OR(AL198="AB",AL198&lt;36%*$AL$4),"F","P"))</f>
        <v/>
      </c>
      <c r="AO198" s="184">
        <f t="shared" ref="AO198:AO204" si="69">IF(COUNTIF(K198:Q198,"F")&gt;0,"",COUNTA(T198,W198,Z198,AC198,AF198,AI198,AL198))</f>
        <v>0</v>
      </c>
      <c r="AP198" s="184">
        <f t="shared" ref="AP198:AP204" si="70">IF(COUNTIF(K198:Q198,"F")&gt;0,"",COUNTIF(T198:AN198,"P"))</f>
        <v>0</v>
      </c>
      <c r="AQ198" s="608" t="str">
        <f t="shared" ref="AQ198:AQ204" si="71">IF(AND(T198="",W198="",Z198="",AC198="",AF198="",AI198="",AL198=""),"",IF(COUNTIF(K198:Q198,"F")&gt;0,"",IF(S198=0,"",IF(S198&gt;AO198,H198,IF(S198&gt;AP198,"FAIL","PASS")))))</f>
        <v/>
      </c>
      <c r="AR198" s="185" t="str">
        <f>IF(COUNTIF(K198:Q198,"F")&gt;0,"",IF(AQ198="PASS",'Statement of Marks'!HZ200,""))</f>
        <v/>
      </c>
      <c r="AS198" s="185" t="str">
        <f>IF(AQ198="PASS",'Statement of Marks'!IA200,"")</f>
        <v/>
      </c>
    </row>
    <row r="199" spans="1:45">
      <c r="A199" s="169">
        <f>IF('Statement of Marks'!A201="","",'Statement of Marks'!A201)</f>
        <v>195</v>
      </c>
      <c r="B199" s="169" t="str">
        <f>IF('Statement of Marks'!B201="","",'Statement of Marks'!B201)</f>
        <v/>
      </c>
      <c r="C199" s="169" t="str">
        <f>IF('Statement of Marks'!D201="","",'Statement of Marks'!D201)</f>
        <v/>
      </c>
      <c r="D199" s="170" t="str">
        <f>IF('Statement of Marks'!E201="","",'Statement of Marks'!E201)</f>
        <v/>
      </c>
      <c r="E199" s="171" t="str">
        <f>IF('Statement of Marks'!F201="","",'Statement of Marks'!F201)</f>
        <v/>
      </c>
      <c r="F199" s="171" t="str">
        <f>IF('Statement of Marks'!G201="","",'Statement of Marks'!G201)</f>
        <v/>
      </c>
      <c r="G199" s="171" t="str">
        <f>IF('Statement of Marks'!H201="","",'Statement of Marks'!H201)</f>
        <v/>
      </c>
      <c r="H199" s="172" t="str">
        <f>IF('Statement of Marks'!HS201="","",'Statement of Marks'!HS201)</f>
        <v/>
      </c>
      <c r="I199" s="172" t="str">
        <f>IF('Statement of Marks'!HV201="","",'Statement of Marks'!HV201)</f>
        <v/>
      </c>
      <c r="J199" s="173" t="str">
        <f>IF('Statement of Marks'!HU201="","",'Statement of Marks'!HU201)</f>
        <v/>
      </c>
      <c r="K199" s="181" t="str">
        <f>'Statement of Marks'!GN201</f>
        <v/>
      </c>
      <c r="L199" s="181" t="str">
        <f>'Statement of Marks'!GQ201</f>
        <v/>
      </c>
      <c r="M199" s="181" t="str">
        <f>'Statement of Marks'!GT201</f>
        <v/>
      </c>
      <c r="N199" s="181" t="str">
        <f>'Statement of Marks'!HB201</f>
        <v/>
      </c>
      <c r="O199" s="181" t="str">
        <f>'Statement of Marks'!HE201</f>
        <v/>
      </c>
      <c r="P199" s="181" t="str">
        <f>'Statement of Marks'!HH201</f>
        <v/>
      </c>
      <c r="Q199" s="181" t="str">
        <f>'Statement of Marks'!HK201</f>
        <v/>
      </c>
      <c r="R199" s="173" t="str">
        <f>IF(COUNTIF(K199:Q199,"F")&gt;0,"",CONCATENATE('Statement of Marks'!HO201,'Statement of Marks'!HQ201))</f>
        <v xml:space="preserve">            </v>
      </c>
      <c r="S199" s="174">
        <f t="shared" si="54"/>
        <v>0</v>
      </c>
      <c r="T199" s="5"/>
      <c r="U199" s="182" t="str">
        <f t="shared" si="55"/>
        <v/>
      </c>
      <c r="V199" s="182" t="str">
        <f t="shared" si="56"/>
        <v/>
      </c>
      <c r="W199" s="5"/>
      <c r="X199" s="182" t="str">
        <f t="shared" si="57"/>
        <v/>
      </c>
      <c r="Y199" s="182" t="str">
        <f t="shared" si="58"/>
        <v/>
      </c>
      <c r="Z199" s="5"/>
      <c r="AA199" s="182" t="str">
        <f t="shared" si="59"/>
        <v/>
      </c>
      <c r="AB199" s="183" t="str">
        <f t="shared" si="60"/>
        <v/>
      </c>
      <c r="AC199" s="5"/>
      <c r="AD199" s="182" t="str">
        <f t="shared" si="61"/>
        <v/>
      </c>
      <c r="AE199" s="183" t="str">
        <f t="shared" si="62"/>
        <v/>
      </c>
      <c r="AF199" s="5"/>
      <c r="AG199" s="182" t="str">
        <f t="shared" si="63"/>
        <v/>
      </c>
      <c r="AH199" s="183" t="str">
        <f t="shared" si="64"/>
        <v/>
      </c>
      <c r="AI199" s="5"/>
      <c r="AJ199" s="183" t="str">
        <f t="shared" si="65"/>
        <v/>
      </c>
      <c r="AK199" s="183" t="str">
        <f t="shared" si="66"/>
        <v/>
      </c>
      <c r="AL199" s="5"/>
      <c r="AM199" s="183" t="str">
        <f t="shared" si="67"/>
        <v/>
      </c>
      <c r="AN199" s="183" t="str">
        <f t="shared" si="68"/>
        <v/>
      </c>
      <c r="AO199" s="184">
        <f t="shared" si="69"/>
        <v>0</v>
      </c>
      <c r="AP199" s="184">
        <f t="shared" si="70"/>
        <v>0</v>
      </c>
      <c r="AQ199" s="608" t="str">
        <f t="shared" si="71"/>
        <v/>
      </c>
      <c r="AR199" s="185" t="str">
        <f>IF(COUNTIF(K199:Q199,"F")&gt;0,"",IF(AQ199="PASS",'Statement of Marks'!HZ201,""))</f>
        <v/>
      </c>
      <c r="AS199" s="185" t="str">
        <f>IF(AQ199="PASS",'Statement of Marks'!IA201,"")</f>
        <v/>
      </c>
    </row>
    <row r="200" spans="1:45">
      <c r="A200" s="169">
        <f>IF('Statement of Marks'!A202="","",'Statement of Marks'!A202)</f>
        <v>196</v>
      </c>
      <c r="B200" s="169" t="str">
        <f>IF('Statement of Marks'!B202="","",'Statement of Marks'!B202)</f>
        <v/>
      </c>
      <c r="C200" s="169" t="str">
        <f>IF('Statement of Marks'!D202="","",'Statement of Marks'!D202)</f>
        <v/>
      </c>
      <c r="D200" s="170" t="str">
        <f>IF('Statement of Marks'!E202="","",'Statement of Marks'!E202)</f>
        <v/>
      </c>
      <c r="E200" s="171" t="str">
        <f>IF('Statement of Marks'!F202="","",'Statement of Marks'!F202)</f>
        <v/>
      </c>
      <c r="F200" s="171" t="str">
        <f>IF('Statement of Marks'!G202="","",'Statement of Marks'!G202)</f>
        <v/>
      </c>
      <c r="G200" s="171" t="str">
        <f>IF('Statement of Marks'!H202="","",'Statement of Marks'!H202)</f>
        <v/>
      </c>
      <c r="H200" s="172" t="str">
        <f>IF('Statement of Marks'!HS202="","",'Statement of Marks'!HS202)</f>
        <v/>
      </c>
      <c r="I200" s="172" t="str">
        <f>IF('Statement of Marks'!HV202="","",'Statement of Marks'!HV202)</f>
        <v/>
      </c>
      <c r="J200" s="173" t="str">
        <f>IF('Statement of Marks'!HU202="","",'Statement of Marks'!HU202)</f>
        <v/>
      </c>
      <c r="K200" s="181" t="str">
        <f>'Statement of Marks'!GN202</f>
        <v/>
      </c>
      <c r="L200" s="181" t="str">
        <f>'Statement of Marks'!GQ202</f>
        <v/>
      </c>
      <c r="M200" s="181" t="str">
        <f>'Statement of Marks'!GT202</f>
        <v/>
      </c>
      <c r="N200" s="181" t="str">
        <f>'Statement of Marks'!HB202</f>
        <v/>
      </c>
      <c r="O200" s="181" t="str">
        <f>'Statement of Marks'!HE202</f>
        <v/>
      </c>
      <c r="P200" s="181" t="str">
        <f>'Statement of Marks'!HH202</f>
        <v/>
      </c>
      <c r="Q200" s="181" t="str">
        <f>'Statement of Marks'!HK202</f>
        <v/>
      </c>
      <c r="R200" s="173" t="str">
        <f>IF(COUNTIF(K200:Q200,"F")&gt;0,"",CONCATENATE('Statement of Marks'!HO202,'Statement of Marks'!HQ202))</f>
        <v xml:space="preserve">            </v>
      </c>
      <c r="S200" s="174">
        <f t="shared" si="54"/>
        <v>0</v>
      </c>
      <c r="T200" s="5"/>
      <c r="U200" s="182" t="str">
        <f t="shared" si="55"/>
        <v/>
      </c>
      <c r="V200" s="182" t="str">
        <f t="shared" si="56"/>
        <v/>
      </c>
      <c r="W200" s="5"/>
      <c r="X200" s="182" t="str">
        <f t="shared" si="57"/>
        <v/>
      </c>
      <c r="Y200" s="182" t="str">
        <f t="shared" si="58"/>
        <v/>
      </c>
      <c r="Z200" s="5"/>
      <c r="AA200" s="182" t="str">
        <f t="shared" si="59"/>
        <v/>
      </c>
      <c r="AB200" s="183" t="str">
        <f t="shared" si="60"/>
        <v/>
      </c>
      <c r="AC200" s="5"/>
      <c r="AD200" s="182" t="str">
        <f t="shared" si="61"/>
        <v/>
      </c>
      <c r="AE200" s="183" t="str">
        <f t="shared" si="62"/>
        <v/>
      </c>
      <c r="AF200" s="5"/>
      <c r="AG200" s="182" t="str">
        <f t="shared" si="63"/>
        <v/>
      </c>
      <c r="AH200" s="183" t="str">
        <f t="shared" si="64"/>
        <v/>
      </c>
      <c r="AI200" s="5"/>
      <c r="AJ200" s="183" t="str">
        <f t="shared" si="65"/>
        <v/>
      </c>
      <c r="AK200" s="183" t="str">
        <f t="shared" si="66"/>
        <v/>
      </c>
      <c r="AL200" s="5"/>
      <c r="AM200" s="183" t="str">
        <f t="shared" si="67"/>
        <v/>
      </c>
      <c r="AN200" s="183" t="str">
        <f t="shared" si="68"/>
        <v/>
      </c>
      <c r="AO200" s="184">
        <f t="shared" si="69"/>
        <v>0</v>
      </c>
      <c r="AP200" s="184">
        <f t="shared" si="70"/>
        <v>0</v>
      </c>
      <c r="AQ200" s="608" t="str">
        <f t="shared" si="71"/>
        <v/>
      </c>
      <c r="AR200" s="185" t="str">
        <f>IF(COUNTIF(K200:Q200,"F")&gt;0,"",IF(AQ200="PASS",'Statement of Marks'!HZ202,""))</f>
        <v/>
      </c>
      <c r="AS200" s="185" t="str">
        <f>IF(AQ200="PASS",'Statement of Marks'!IA202,"")</f>
        <v/>
      </c>
    </row>
    <row r="201" spans="1:45">
      <c r="A201" s="169">
        <f>IF('Statement of Marks'!A203="","",'Statement of Marks'!A203)</f>
        <v>197</v>
      </c>
      <c r="B201" s="169" t="str">
        <f>IF('Statement of Marks'!B203="","",'Statement of Marks'!B203)</f>
        <v/>
      </c>
      <c r="C201" s="169" t="str">
        <f>IF('Statement of Marks'!D203="","",'Statement of Marks'!D203)</f>
        <v/>
      </c>
      <c r="D201" s="170" t="str">
        <f>IF('Statement of Marks'!E203="","",'Statement of Marks'!E203)</f>
        <v/>
      </c>
      <c r="E201" s="171" t="str">
        <f>IF('Statement of Marks'!F203="","",'Statement of Marks'!F203)</f>
        <v/>
      </c>
      <c r="F201" s="171" t="str">
        <f>IF('Statement of Marks'!G203="","",'Statement of Marks'!G203)</f>
        <v/>
      </c>
      <c r="G201" s="171" t="str">
        <f>IF('Statement of Marks'!H203="","",'Statement of Marks'!H203)</f>
        <v/>
      </c>
      <c r="H201" s="172" t="str">
        <f>IF('Statement of Marks'!HS203="","",'Statement of Marks'!HS203)</f>
        <v/>
      </c>
      <c r="I201" s="172" t="str">
        <f>IF('Statement of Marks'!HV203="","",'Statement of Marks'!HV203)</f>
        <v/>
      </c>
      <c r="J201" s="173" t="str">
        <f>IF('Statement of Marks'!HU203="","",'Statement of Marks'!HU203)</f>
        <v/>
      </c>
      <c r="K201" s="181" t="str">
        <f>'Statement of Marks'!GN203</f>
        <v/>
      </c>
      <c r="L201" s="181" t="str">
        <f>'Statement of Marks'!GQ203</f>
        <v/>
      </c>
      <c r="M201" s="181" t="str">
        <f>'Statement of Marks'!GT203</f>
        <v/>
      </c>
      <c r="N201" s="181" t="str">
        <f>'Statement of Marks'!HB203</f>
        <v/>
      </c>
      <c r="O201" s="181" t="str">
        <f>'Statement of Marks'!HE203</f>
        <v/>
      </c>
      <c r="P201" s="181" t="str">
        <f>'Statement of Marks'!HH203</f>
        <v/>
      </c>
      <c r="Q201" s="181" t="str">
        <f>'Statement of Marks'!HK203</f>
        <v/>
      </c>
      <c r="R201" s="173" t="str">
        <f>IF(COUNTIF(K201:Q201,"F")&gt;0,"",CONCATENATE('Statement of Marks'!HO203,'Statement of Marks'!HQ203))</f>
        <v xml:space="preserve">            </v>
      </c>
      <c r="S201" s="174">
        <f t="shared" si="54"/>
        <v>0</v>
      </c>
      <c r="T201" s="5"/>
      <c r="U201" s="182" t="str">
        <f t="shared" si="55"/>
        <v/>
      </c>
      <c r="V201" s="182" t="str">
        <f t="shared" si="56"/>
        <v/>
      </c>
      <c r="W201" s="5"/>
      <c r="X201" s="182" t="str">
        <f t="shared" si="57"/>
        <v/>
      </c>
      <c r="Y201" s="182" t="str">
        <f t="shared" si="58"/>
        <v/>
      </c>
      <c r="Z201" s="5"/>
      <c r="AA201" s="182" t="str">
        <f t="shared" si="59"/>
        <v/>
      </c>
      <c r="AB201" s="183" t="str">
        <f t="shared" si="60"/>
        <v/>
      </c>
      <c r="AC201" s="5"/>
      <c r="AD201" s="182" t="str">
        <f t="shared" si="61"/>
        <v/>
      </c>
      <c r="AE201" s="183" t="str">
        <f t="shared" si="62"/>
        <v/>
      </c>
      <c r="AF201" s="5"/>
      <c r="AG201" s="182" t="str">
        <f t="shared" si="63"/>
        <v/>
      </c>
      <c r="AH201" s="183" t="str">
        <f t="shared" si="64"/>
        <v/>
      </c>
      <c r="AI201" s="5"/>
      <c r="AJ201" s="183" t="str">
        <f t="shared" si="65"/>
        <v/>
      </c>
      <c r="AK201" s="183" t="str">
        <f t="shared" si="66"/>
        <v/>
      </c>
      <c r="AL201" s="5"/>
      <c r="AM201" s="183" t="str">
        <f t="shared" si="67"/>
        <v/>
      </c>
      <c r="AN201" s="183" t="str">
        <f t="shared" si="68"/>
        <v/>
      </c>
      <c r="AO201" s="184">
        <f t="shared" si="69"/>
        <v>0</v>
      </c>
      <c r="AP201" s="184">
        <f t="shared" si="70"/>
        <v>0</v>
      </c>
      <c r="AQ201" s="608" t="str">
        <f t="shared" si="71"/>
        <v/>
      </c>
      <c r="AR201" s="185" t="str">
        <f>IF(COUNTIF(K201:Q201,"F")&gt;0,"",IF(AQ201="PASS",'Statement of Marks'!HZ203,""))</f>
        <v/>
      </c>
      <c r="AS201" s="185" t="str">
        <f>IF(AQ201="PASS",'Statement of Marks'!IA203,"")</f>
        <v/>
      </c>
    </row>
    <row r="202" spans="1:45">
      <c r="A202" s="169">
        <f>IF('Statement of Marks'!A204="","",'Statement of Marks'!A204)</f>
        <v>198</v>
      </c>
      <c r="B202" s="169" t="str">
        <f>IF('Statement of Marks'!B204="","",'Statement of Marks'!B204)</f>
        <v/>
      </c>
      <c r="C202" s="169" t="str">
        <f>IF('Statement of Marks'!D204="","",'Statement of Marks'!D204)</f>
        <v/>
      </c>
      <c r="D202" s="170" t="str">
        <f>IF('Statement of Marks'!E204="","",'Statement of Marks'!E204)</f>
        <v/>
      </c>
      <c r="E202" s="171" t="str">
        <f>IF('Statement of Marks'!F204="","",'Statement of Marks'!F204)</f>
        <v/>
      </c>
      <c r="F202" s="171" t="str">
        <f>IF('Statement of Marks'!G204="","",'Statement of Marks'!G204)</f>
        <v/>
      </c>
      <c r="G202" s="171" t="str">
        <f>IF('Statement of Marks'!H204="","",'Statement of Marks'!H204)</f>
        <v/>
      </c>
      <c r="H202" s="172" t="str">
        <f>IF('Statement of Marks'!HS204="","",'Statement of Marks'!HS204)</f>
        <v/>
      </c>
      <c r="I202" s="172" t="str">
        <f>IF('Statement of Marks'!HV204="","",'Statement of Marks'!HV204)</f>
        <v/>
      </c>
      <c r="J202" s="173" t="str">
        <f>IF('Statement of Marks'!HU204="","",'Statement of Marks'!HU204)</f>
        <v/>
      </c>
      <c r="K202" s="181" t="str">
        <f>'Statement of Marks'!GN204</f>
        <v/>
      </c>
      <c r="L202" s="181" t="str">
        <f>'Statement of Marks'!GQ204</f>
        <v/>
      </c>
      <c r="M202" s="181" t="str">
        <f>'Statement of Marks'!GT204</f>
        <v/>
      </c>
      <c r="N202" s="181" t="str">
        <f>'Statement of Marks'!HB204</f>
        <v/>
      </c>
      <c r="O202" s="181" t="str">
        <f>'Statement of Marks'!HE204</f>
        <v/>
      </c>
      <c r="P202" s="181" t="str">
        <f>'Statement of Marks'!HH204</f>
        <v/>
      </c>
      <c r="Q202" s="181" t="str">
        <f>'Statement of Marks'!HK204</f>
        <v/>
      </c>
      <c r="R202" s="173" t="str">
        <f>IF(COUNTIF(K202:Q202,"F")&gt;0,"",CONCATENATE('Statement of Marks'!HO204,'Statement of Marks'!HQ204))</f>
        <v xml:space="preserve">            </v>
      </c>
      <c r="S202" s="174">
        <f t="shared" si="54"/>
        <v>0</v>
      </c>
      <c r="T202" s="5"/>
      <c r="U202" s="182" t="str">
        <f t="shared" si="55"/>
        <v/>
      </c>
      <c r="V202" s="182" t="str">
        <f t="shared" si="56"/>
        <v/>
      </c>
      <c r="W202" s="5"/>
      <c r="X202" s="182" t="str">
        <f t="shared" si="57"/>
        <v/>
      </c>
      <c r="Y202" s="182" t="str">
        <f t="shared" si="58"/>
        <v/>
      </c>
      <c r="Z202" s="5"/>
      <c r="AA202" s="182" t="str">
        <f t="shared" si="59"/>
        <v/>
      </c>
      <c r="AB202" s="183" t="str">
        <f t="shared" si="60"/>
        <v/>
      </c>
      <c r="AC202" s="5"/>
      <c r="AD202" s="182" t="str">
        <f t="shared" si="61"/>
        <v/>
      </c>
      <c r="AE202" s="183" t="str">
        <f t="shared" si="62"/>
        <v/>
      </c>
      <c r="AF202" s="5"/>
      <c r="AG202" s="182" t="str">
        <f t="shared" si="63"/>
        <v/>
      </c>
      <c r="AH202" s="183" t="str">
        <f t="shared" si="64"/>
        <v/>
      </c>
      <c r="AI202" s="5"/>
      <c r="AJ202" s="183" t="str">
        <f t="shared" si="65"/>
        <v/>
      </c>
      <c r="AK202" s="183" t="str">
        <f t="shared" si="66"/>
        <v/>
      </c>
      <c r="AL202" s="5"/>
      <c r="AM202" s="183" t="str">
        <f t="shared" si="67"/>
        <v/>
      </c>
      <c r="AN202" s="183" t="str">
        <f t="shared" si="68"/>
        <v/>
      </c>
      <c r="AO202" s="184">
        <f t="shared" si="69"/>
        <v>0</v>
      </c>
      <c r="AP202" s="184">
        <f t="shared" si="70"/>
        <v>0</v>
      </c>
      <c r="AQ202" s="608" t="str">
        <f t="shared" si="71"/>
        <v/>
      </c>
      <c r="AR202" s="185" t="str">
        <f>IF(COUNTIF(K202:Q202,"F")&gt;0,"",IF(AQ202="PASS",'Statement of Marks'!HZ204,""))</f>
        <v/>
      </c>
      <c r="AS202" s="185" t="str">
        <f>IF(AQ202="PASS",'Statement of Marks'!IA204,"")</f>
        <v/>
      </c>
    </row>
    <row r="203" spans="1:45">
      <c r="A203" s="169">
        <f>IF('Statement of Marks'!A205="","",'Statement of Marks'!A205)</f>
        <v>199</v>
      </c>
      <c r="B203" s="169" t="str">
        <f>IF('Statement of Marks'!B205="","",'Statement of Marks'!B205)</f>
        <v/>
      </c>
      <c r="C203" s="169" t="str">
        <f>IF('Statement of Marks'!D205="","",'Statement of Marks'!D205)</f>
        <v/>
      </c>
      <c r="D203" s="170" t="str">
        <f>IF('Statement of Marks'!E205="","",'Statement of Marks'!E205)</f>
        <v/>
      </c>
      <c r="E203" s="171" t="str">
        <f>IF('Statement of Marks'!F205="","",'Statement of Marks'!F205)</f>
        <v/>
      </c>
      <c r="F203" s="171" t="str">
        <f>IF('Statement of Marks'!G205="","",'Statement of Marks'!G205)</f>
        <v/>
      </c>
      <c r="G203" s="171" t="str">
        <f>IF('Statement of Marks'!H205="","",'Statement of Marks'!H205)</f>
        <v/>
      </c>
      <c r="H203" s="172" t="str">
        <f>IF('Statement of Marks'!HS205="","",'Statement of Marks'!HS205)</f>
        <v/>
      </c>
      <c r="I203" s="172" t="str">
        <f>IF('Statement of Marks'!HV205="","",'Statement of Marks'!HV205)</f>
        <v/>
      </c>
      <c r="J203" s="173" t="str">
        <f>IF('Statement of Marks'!HU205="","",'Statement of Marks'!HU205)</f>
        <v/>
      </c>
      <c r="K203" s="181" t="str">
        <f>'Statement of Marks'!GN205</f>
        <v/>
      </c>
      <c r="L203" s="181" t="str">
        <f>'Statement of Marks'!GQ205</f>
        <v/>
      </c>
      <c r="M203" s="181" t="str">
        <f>'Statement of Marks'!GT205</f>
        <v/>
      </c>
      <c r="N203" s="181" t="str">
        <f>'Statement of Marks'!HB205</f>
        <v/>
      </c>
      <c r="O203" s="181" t="str">
        <f>'Statement of Marks'!HE205</f>
        <v/>
      </c>
      <c r="P203" s="181" t="str">
        <f>'Statement of Marks'!HH205</f>
        <v/>
      </c>
      <c r="Q203" s="181" t="str">
        <f>'Statement of Marks'!HK205</f>
        <v/>
      </c>
      <c r="R203" s="173" t="str">
        <f>IF(COUNTIF(K203:Q203,"F")&gt;0,"",CONCATENATE('Statement of Marks'!HO205,'Statement of Marks'!HQ205))</f>
        <v xml:space="preserve">            </v>
      </c>
      <c r="S203" s="174">
        <f t="shared" si="54"/>
        <v>0</v>
      </c>
      <c r="T203" s="5"/>
      <c r="U203" s="182" t="str">
        <f t="shared" si="55"/>
        <v/>
      </c>
      <c r="V203" s="182" t="str">
        <f t="shared" si="56"/>
        <v/>
      </c>
      <c r="W203" s="5"/>
      <c r="X203" s="182" t="str">
        <f t="shared" si="57"/>
        <v/>
      </c>
      <c r="Y203" s="182" t="str">
        <f t="shared" si="58"/>
        <v/>
      </c>
      <c r="Z203" s="5"/>
      <c r="AA203" s="182" t="str">
        <f t="shared" si="59"/>
        <v/>
      </c>
      <c r="AB203" s="183" t="str">
        <f t="shared" si="60"/>
        <v/>
      </c>
      <c r="AC203" s="5"/>
      <c r="AD203" s="182" t="str">
        <f t="shared" si="61"/>
        <v/>
      </c>
      <c r="AE203" s="183" t="str">
        <f t="shared" si="62"/>
        <v/>
      </c>
      <c r="AF203" s="5"/>
      <c r="AG203" s="182" t="str">
        <f t="shared" si="63"/>
        <v/>
      </c>
      <c r="AH203" s="183" t="str">
        <f t="shared" si="64"/>
        <v/>
      </c>
      <c r="AI203" s="5"/>
      <c r="AJ203" s="183" t="str">
        <f t="shared" si="65"/>
        <v/>
      </c>
      <c r="AK203" s="183" t="str">
        <f t="shared" si="66"/>
        <v/>
      </c>
      <c r="AL203" s="5"/>
      <c r="AM203" s="183" t="str">
        <f t="shared" si="67"/>
        <v/>
      </c>
      <c r="AN203" s="183" t="str">
        <f t="shared" si="68"/>
        <v/>
      </c>
      <c r="AO203" s="184">
        <f t="shared" si="69"/>
        <v>0</v>
      </c>
      <c r="AP203" s="184">
        <f t="shared" si="70"/>
        <v>0</v>
      </c>
      <c r="AQ203" s="608" t="str">
        <f t="shared" si="71"/>
        <v/>
      </c>
      <c r="AR203" s="185" t="str">
        <f>IF(COUNTIF(K203:Q203,"F")&gt;0,"",IF(AQ203="PASS",'Statement of Marks'!HZ205,""))</f>
        <v/>
      </c>
      <c r="AS203" s="185" t="str">
        <f>IF(AQ203="PASS",'Statement of Marks'!IA205,"")</f>
        <v/>
      </c>
    </row>
    <row r="204" spans="1:45">
      <c r="A204" s="169">
        <f>IF('Statement of Marks'!A206="","",'Statement of Marks'!A206)</f>
        <v>200</v>
      </c>
      <c r="B204" s="169" t="str">
        <f>IF('Statement of Marks'!B206="","",'Statement of Marks'!B206)</f>
        <v/>
      </c>
      <c r="C204" s="169" t="str">
        <f>IF('Statement of Marks'!D206="","",'Statement of Marks'!D206)</f>
        <v/>
      </c>
      <c r="D204" s="170" t="str">
        <f>IF('Statement of Marks'!E206="","",'Statement of Marks'!E206)</f>
        <v/>
      </c>
      <c r="E204" s="171" t="str">
        <f>IF('Statement of Marks'!F206="","",'Statement of Marks'!F206)</f>
        <v/>
      </c>
      <c r="F204" s="171" t="str">
        <f>IF('Statement of Marks'!G206="","",'Statement of Marks'!G206)</f>
        <v/>
      </c>
      <c r="G204" s="171" t="str">
        <f>IF('Statement of Marks'!H206="","",'Statement of Marks'!H206)</f>
        <v/>
      </c>
      <c r="H204" s="172" t="str">
        <f>IF('Statement of Marks'!HS206="","",'Statement of Marks'!HS206)</f>
        <v/>
      </c>
      <c r="I204" s="172" t="str">
        <f>IF('Statement of Marks'!HV206="","",'Statement of Marks'!HV206)</f>
        <v/>
      </c>
      <c r="J204" s="173" t="str">
        <f>IF('Statement of Marks'!HU206="","",'Statement of Marks'!HU206)</f>
        <v/>
      </c>
      <c r="K204" s="181" t="str">
        <f>'Statement of Marks'!GN206</f>
        <v/>
      </c>
      <c r="L204" s="181" t="str">
        <f>'Statement of Marks'!GQ206</f>
        <v/>
      </c>
      <c r="M204" s="181" t="str">
        <f>'Statement of Marks'!GT206</f>
        <v/>
      </c>
      <c r="N204" s="181" t="str">
        <f>'Statement of Marks'!HB206</f>
        <v/>
      </c>
      <c r="O204" s="181" t="str">
        <f>'Statement of Marks'!HE206</f>
        <v/>
      </c>
      <c r="P204" s="181" t="str">
        <f>'Statement of Marks'!HH206</f>
        <v/>
      </c>
      <c r="Q204" s="181" t="str">
        <f>'Statement of Marks'!HK206</f>
        <v/>
      </c>
      <c r="R204" s="173" t="str">
        <f>IF(COUNTIF(K204:Q204,"F")&gt;0,"",CONCATENATE('Statement of Marks'!HO206,'Statement of Marks'!HQ206))</f>
        <v xml:space="preserve">            </v>
      </c>
      <c r="S204" s="174">
        <f t="shared" si="54"/>
        <v>0</v>
      </c>
      <c r="T204" s="5"/>
      <c r="U204" s="182" t="str">
        <f t="shared" si="55"/>
        <v/>
      </c>
      <c r="V204" s="182" t="str">
        <f t="shared" si="56"/>
        <v/>
      </c>
      <c r="W204" s="5"/>
      <c r="X204" s="182" t="str">
        <f t="shared" si="57"/>
        <v/>
      </c>
      <c r="Y204" s="182" t="str">
        <f t="shared" si="58"/>
        <v/>
      </c>
      <c r="Z204" s="5"/>
      <c r="AA204" s="182" t="str">
        <f>IF(Z204="","",IF(OR(Z204="AB",M204="RE"),Z204,IF(AND(M204="S"),ROUNDUP(Z204,0),)))</f>
        <v/>
      </c>
      <c r="AB204" s="183" t="str">
        <f>IF(Z204="","",IF(OR(Z204="AB",Z204&lt;36%*$Z$4),"F","P"))</f>
        <v/>
      </c>
      <c r="AC204" s="5"/>
      <c r="AD204" s="182" t="str">
        <f t="shared" si="61"/>
        <v/>
      </c>
      <c r="AE204" s="183" t="str">
        <f t="shared" si="62"/>
        <v/>
      </c>
      <c r="AF204" s="5"/>
      <c r="AG204" s="182" t="str">
        <f t="shared" si="63"/>
        <v/>
      </c>
      <c r="AH204" s="183" t="str">
        <f t="shared" si="64"/>
        <v/>
      </c>
      <c r="AI204" s="5"/>
      <c r="AJ204" s="183" t="str">
        <f t="shared" si="65"/>
        <v/>
      </c>
      <c r="AK204" s="183" t="str">
        <f t="shared" si="66"/>
        <v/>
      </c>
      <c r="AL204" s="5"/>
      <c r="AM204" s="183" t="str">
        <f t="shared" si="67"/>
        <v/>
      </c>
      <c r="AN204" s="183" t="str">
        <f t="shared" si="68"/>
        <v/>
      </c>
      <c r="AO204" s="184">
        <f t="shared" si="69"/>
        <v>0</v>
      </c>
      <c r="AP204" s="184">
        <f t="shared" si="70"/>
        <v>0</v>
      </c>
      <c r="AQ204" s="608" t="str">
        <f t="shared" si="71"/>
        <v/>
      </c>
      <c r="AR204" s="185" t="str">
        <f>IF(COUNTIF(K204:Q204,"F")&gt;0,"",IF(AQ204="PASS",'Statement of Marks'!HZ206,""))</f>
        <v/>
      </c>
      <c r="AS204" s="185" t="str">
        <f>IF(AQ204="PASS",'Statement of Marks'!IA206,"")</f>
        <v/>
      </c>
    </row>
    <row r="205" spans="1:45" ht="15.75">
      <c r="A205" s="1374"/>
      <c r="B205" s="1375"/>
      <c r="C205" s="1375"/>
      <c r="D205" s="1375"/>
      <c r="E205" s="1375"/>
      <c r="F205" s="1375"/>
      <c r="G205" s="1375"/>
      <c r="H205" s="1375"/>
      <c r="I205" s="1375"/>
      <c r="J205" s="1375"/>
      <c r="K205" s="1375"/>
      <c r="L205" s="1375"/>
      <c r="M205" s="1375"/>
      <c r="N205" s="1375"/>
      <c r="O205" s="1375"/>
      <c r="P205" s="1375"/>
      <c r="Q205" s="1375"/>
      <c r="R205" s="1375"/>
      <c r="S205" s="1375"/>
      <c r="T205" s="1375"/>
      <c r="U205" s="1375"/>
      <c r="V205" s="1375"/>
      <c r="W205" s="1375"/>
      <c r="X205" s="1375"/>
      <c r="Y205" s="1375"/>
      <c r="Z205" s="1375"/>
      <c r="AA205" s="1375"/>
      <c r="AB205" s="1375"/>
      <c r="AC205" s="1375"/>
      <c r="AD205" s="1375"/>
      <c r="AE205" s="1375"/>
      <c r="AF205" s="1375"/>
      <c r="AG205" s="1375"/>
      <c r="AH205" s="1375"/>
      <c r="AI205" s="1375"/>
      <c r="AJ205" s="1375"/>
      <c r="AK205" s="1375"/>
      <c r="AL205" s="1375"/>
      <c r="AM205" s="1375"/>
      <c r="AN205" s="1375"/>
      <c r="AO205" s="1375"/>
      <c r="AP205" s="1375"/>
      <c r="AQ205" s="1375"/>
      <c r="AR205" s="1375"/>
      <c r="AS205" s="1375"/>
    </row>
    <row r="206" spans="1:45" ht="18.75">
      <c r="A206" s="187"/>
      <c r="B206" s="1365" t="str">
        <f>IF('School Profile'!$D$12="Hindi","विवरण","Details")</f>
        <v>विवरण</v>
      </c>
      <c r="C206" s="1365"/>
      <c r="D206" s="1365"/>
      <c r="E206" s="613" t="str">
        <f>IF('School Profile'!$D$12="Hindi","मुख्य परीक्षा","Main Exam")</f>
        <v>मुख्य परीक्षा</v>
      </c>
      <c r="F206" s="613" t="str">
        <f>IF('School Profile'!$D$12="Hindi","पूरक परीक्षा","Supp. Exam")</f>
        <v>पूरक परीक्षा</v>
      </c>
      <c r="G206" s="613" t="str">
        <f>IF('School Profile'!$D$12="Hindi","अंतिम परिणाम","Final Result")</f>
        <v>अंतिम परिणाम</v>
      </c>
      <c r="H206" s="1361"/>
      <c r="I206" s="1364" t="str">
        <f>IF('School Profile'!$D$12="Hindi","कुल प्रविष्ट","Total appeared")</f>
        <v>कुल प्रविष्ट</v>
      </c>
      <c r="J206" s="1364"/>
      <c r="K206" s="615">
        <f>SUM(K211,K213,K214,K215)</f>
        <v>30</v>
      </c>
      <c r="L206" s="615">
        <f t="shared" ref="L206:Q206" si="72">SUM(L211,L213,L214,L215)</f>
        <v>31</v>
      </c>
      <c r="M206" s="615">
        <f t="shared" si="72"/>
        <v>31</v>
      </c>
      <c r="N206" s="615">
        <f t="shared" si="72"/>
        <v>31</v>
      </c>
      <c r="O206" s="615">
        <f t="shared" si="72"/>
        <v>31</v>
      </c>
      <c r="P206" s="615">
        <f>SUM(P211,P213,P214,P215)</f>
        <v>31</v>
      </c>
      <c r="Q206" s="615">
        <f t="shared" si="72"/>
        <v>3</v>
      </c>
      <c r="R206" s="1371" t="str">
        <f>IF('School Profile'!$D$12="Hindi","हस्ताक्षर कक्षाध्यापक","Signature of the class teacher")</f>
        <v>हस्ताक्षर कक्षाध्यापक</v>
      </c>
      <c r="S206" s="1373" t="str">
        <f>CONCATENATE("( ",UPPER('School Profile'!D18)," )")</f>
        <v>( YOGESH )</v>
      </c>
      <c r="T206" s="1373"/>
      <c r="U206" s="1373"/>
      <c r="V206" s="1373"/>
      <c r="W206" s="1373"/>
      <c r="X206" s="1373"/>
      <c r="Y206" s="1373"/>
      <c r="Z206" s="188"/>
      <c r="AA206" s="188"/>
      <c r="AB206" s="188"/>
      <c r="AC206" s="188"/>
      <c r="AD206" s="188"/>
      <c r="AE206" s="188"/>
      <c r="AF206" s="188"/>
      <c r="AG206" s="188"/>
      <c r="AH206" s="188"/>
      <c r="AI206" s="188"/>
      <c r="AJ206" s="188"/>
      <c r="AK206" s="188"/>
      <c r="AL206" s="188"/>
      <c r="AM206" s="188"/>
      <c r="AN206" s="188"/>
      <c r="AO206" s="188"/>
      <c r="AP206" s="188"/>
      <c r="AQ206" s="188"/>
      <c r="AR206" s="188"/>
      <c r="AS206" s="189"/>
    </row>
    <row r="207" spans="1:45" ht="18.75">
      <c r="A207" s="190"/>
      <c r="B207" s="1351" t="str">
        <f>IF('School Profile'!$D$12="Hindi","कुल प्रविष्ट","Total appeared")</f>
        <v>कुल प्रविष्ट</v>
      </c>
      <c r="C207" s="1351"/>
      <c r="D207" s="1351"/>
      <c r="E207" s="191">
        <f>COUNTA(B5:B204)-COUNTIF(B5:B204,"0")-COUNTIF(B5:B204,"blank")-COUNTIF(B5:B204,"")-COUNTIF(B5:B204,"NSO")</f>
        <v>31</v>
      </c>
      <c r="F207" s="192">
        <f>COUNTIF(H5:H204,"SUPPLEMENTARY")</f>
        <v>1</v>
      </c>
      <c r="G207" s="191">
        <f>E207</f>
        <v>31</v>
      </c>
      <c r="H207" s="1362"/>
      <c r="I207" s="1351" t="str">
        <f>IF('School Profile'!$D$12="Hindi","विशेष योग्यता","Distinction Marks")</f>
        <v>विशेष योग्यता</v>
      </c>
      <c r="J207" s="1351"/>
      <c r="K207" s="193">
        <f>COUNTIF(K5:K204,"D")</f>
        <v>0</v>
      </c>
      <c r="L207" s="193">
        <f>COUNTIF(L5:L204,"D")</f>
        <v>27</v>
      </c>
      <c r="M207" s="193">
        <f>COUNTIF(M5:M204,"D")</f>
        <v>2</v>
      </c>
      <c r="N207" s="193">
        <f t="shared" ref="N207" si="73">COUNTIF(N5:N204,"D")</f>
        <v>1</v>
      </c>
      <c r="O207" s="193">
        <f>COUNTIF(O5:O204,"D")</f>
        <v>0</v>
      </c>
      <c r="P207" s="193">
        <f>COUNTIF(P5:P204,"D")</f>
        <v>0</v>
      </c>
      <c r="Q207" s="193">
        <f>COUNTIF(Q5:Q204,"D")</f>
        <v>2</v>
      </c>
      <c r="R207" s="1352"/>
      <c r="S207" s="1353"/>
      <c r="T207" s="1353"/>
      <c r="U207" s="1353"/>
      <c r="V207" s="1353"/>
      <c r="W207" s="1353"/>
      <c r="X207" s="1353"/>
      <c r="Y207" s="1353"/>
      <c r="Z207" s="194"/>
      <c r="AA207" s="194"/>
      <c r="AB207" s="194"/>
      <c r="AC207" s="194"/>
      <c r="AD207" s="194"/>
      <c r="AE207" s="194"/>
      <c r="AF207" s="194"/>
      <c r="AG207" s="194"/>
      <c r="AH207" s="194"/>
      <c r="AI207" s="194"/>
      <c r="AJ207" s="194"/>
      <c r="AK207" s="194"/>
      <c r="AL207" s="194"/>
      <c r="AM207" s="194"/>
      <c r="AN207" s="194"/>
      <c r="AO207" s="194"/>
      <c r="AP207" s="194"/>
      <c r="AQ207" s="194"/>
      <c r="AR207" s="194"/>
      <c r="AS207" s="195"/>
    </row>
    <row r="208" spans="1:45" ht="18.75">
      <c r="A208" s="190"/>
      <c r="B208" s="1351" t="str">
        <f>IF('School Profile'!$D$12="Hindi","प्रथम श्रेणी","1st Div.")</f>
        <v>प्रथम श्रेणी</v>
      </c>
      <c r="C208" s="1351"/>
      <c r="D208" s="1351"/>
      <c r="E208" s="196">
        <f>COUNTIF(I5:I204,"1st")</f>
        <v>23</v>
      </c>
      <c r="F208" s="196">
        <f>COUNTIF(AS5:AS204,"I")</f>
        <v>1</v>
      </c>
      <c r="G208" s="197">
        <f>SUM(E208,F208)</f>
        <v>24</v>
      </c>
      <c r="H208" s="1362"/>
      <c r="I208" s="1351" t="str">
        <f>IF('School Profile'!$D$12="Hindi","प्रथम श्रेणी","1st Div.")</f>
        <v>प्रथम श्रेणी</v>
      </c>
      <c r="J208" s="1351"/>
      <c r="K208" s="198">
        <f>COUNTIF(K5:K204,"I")</f>
        <v>22</v>
      </c>
      <c r="L208" s="198">
        <f t="shared" ref="L208:P208" si="74">COUNTIF(L5:L204,"I")</f>
        <v>3</v>
      </c>
      <c r="M208" s="198">
        <f t="shared" si="74"/>
        <v>1</v>
      </c>
      <c r="N208" s="198">
        <f t="shared" si="74"/>
        <v>1</v>
      </c>
      <c r="O208" s="198">
        <f t="shared" si="74"/>
        <v>1</v>
      </c>
      <c r="P208" s="198">
        <f t="shared" si="74"/>
        <v>3</v>
      </c>
      <c r="Q208" s="198">
        <f>COUNTIF(Q5:Q204,"I")</f>
        <v>0</v>
      </c>
      <c r="R208" s="1352"/>
      <c r="S208" s="1353"/>
      <c r="T208" s="1353"/>
      <c r="U208" s="1353"/>
      <c r="V208" s="1353"/>
      <c r="W208" s="1353"/>
      <c r="X208" s="1353"/>
      <c r="Y208" s="1353"/>
      <c r="Z208" s="194"/>
      <c r="AA208" s="194"/>
      <c r="AB208" s="194"/>
      <c r="AC208" s="194"/>
      <c r="AD208" s="194"/>
      <c r="AE208" s="194"/>
      <c r="AF208" s="194"/>
      <c r="AG208" s="194"/>
      <c r="AH208" s="194"/>
      <c r="AI208" s="194"/>
      <c r="AJ208" s="194"/>
      <c r="AK208" s="194"/>
      <c r="AL208" s="194"/>
      <c r="AM208" s="194"/>
      <c r="AN208" s="194"/>
      <c r="AO208" s="194"/>
      <c r="AP208" s="194"/>
      <c r="AQ208" s="194"/>
      <c r="AR208" s="194"/>
      <c r="AS208" s="195"/>
    </row>
    <row r="209" spans="1:45" ht="18.75">
      <c r="A209" s="199"/>
      <c r="B209" s="1351" t="str">
        <f>IF('School Profile'!$D$12="Hindi","द्वितीय श्रेणी","2nd Div.")</f>
        <v>द्वितीय श्रेणी</v>
      </c>
      <c r="C209" s="1351"/>
      <c r="D209" s="1351"/>
      <c r="E209" s="193">
        <f>COUNTIF(I5:I204,"2nd")</f>
        <v>5</v>
      </c>
      <c r="F209" s="193">
        <f>COUNTIF(AS5:AS204,"II")</f>
        <v>0</v>
      </c>
      <c r="G209" s="197">
        <f t="shared" ref="G209:G210" si="75">SUM(E209,F209)</f>
        <v>5</v>
      </c>
      <c r="H209" s="1362"/>
      <c r="I209" s="1351" t="str">
        <f>IF('School Profile'!$D$12="Hindi","द्वितीय श्रेणी","2nd Div.")</f>
        <v>द्वितीय श्रेणी</v>
      </c>
      <c r="J209" s="1351"/>
      <c r="K209" s="198">
        <f>COUNTIF(K5:K204,"II")</f>
        <v>7</v>
      </c>
      <c r="L209" s="198">
        <f t="shared" ref="L209:P209" si="76">COUNTIF(L5:L204,"II")</f>
        <v>0</v>
      </c>
      <c r="M209" s="198">
        <f t="shared" si="76"/>
        <v>28</v>
      </c>
      <c r="N209" s="198">
        <f t="shared" si="76"/>
        <v>22</v>
      </c>
      <c r="O209" s="198">
        <f t="shared" si="76"/>
        <v>29</v>
      </c>
      <c r="P209" s="198">
        <f t="shared" si="76"/>
        <v>28</v>
      </c>
      <c r="Q209" s="198">
        <f>COUNTIF(Q5:Q204,"II")</f>
        <v>1</v>
      </c>
      <c r="R209" s="1352" t="str">
        <f>IF('School Profile'!$D$12="Hindi","हस्ताक्षर जांचकर्ता","Signature of the checker")</f>
        <v>हस्ताक्षर जांचकर्ता</v>
      </c>
      <c r="S209" s="1353" t="str">
        <f>CONCATENATE("( ",UPPER('School Profile'!D16)," )")</f>
        <v>( RAKESH KUMAR )</v>
      </c>
      <c r="T209" s="1353"/>
      <c r="U209" s="1353"/>
      <c r="V209" s="1353"/>
      <c r="W209" s="1353"/>
      <c r="X209" s="1353"/>
      <c r="Y209" s="1353"/>
      <c r="Z209" s="194"/>
      <c r="AA209" s="194"/>
      <c r="AB209" s="194"/>
      <c r="AC209" s="194"/>
      <c r="AD209" s="194"/>
      <c r="AE209" s="194"/>
      <c r="AF209" s="194"/>
      <c r="AG209" s="194"/>
      <c r="AH209" s="194"/>
      <c r="AI209" s="194"/>
      <c r="AJ209" s="194"/>
      <c r="AK209" s="194"/>
      <c r="AL209" s="194"/>
      <c r="AM209" s="194"/>
      <c r="AN209" s="194"/>
      <c r="AO209" s="194"/>
      <c r="AP209" s="194"/>
      <c r="AQ209" s="194"/>
      <c r="AR209" s="194"/>
      <c r="AS209" s="195"/>
    </row>
    <row r="210" spans="1:45" ht="18.75">
      <c r="A210" s="200"/>
      <c r="B210" s="1351" t="str">
        <f>IF('School Profile'!$D$12="Hindi","तृतीय श्रेणी","3rd Div.")</f>
        <v>तृतीय श्रेणी</v>
      </c>
      <c r="C210" s="1351"/>
      <c r="D210" s="1351"/>
      <c r="E210" s="192">
        <f>COUNTIF(I5:I204,"3rd")</f>
        <v>0</v>
      </c>
      <c r="F210" s="196">
        <f>COUNTIF(AS5:AS204,"III")</f>
        <v>0</v>
      </c>
      <c r="G210" s="197">
        <f t="shared" si="75"/>
        <v>0</v>
      </c>
      <c r="H210" s="1362"/>
      <c r="I210" s="1351" t="str">
        <f>IF('School Profile'!$D$12="Hindi","तृतीय श्रेणी","3rd Div.")</f>
        <v>तृतीय श्रेणी</v>
      </c>
      <c r="J210" s="1351"/>
      <c r="K210" s="201">
        <f>COUNTIF(K5:K204,"III")+COUNTIF(K5:K204,"G")</f>
        <v>0</v>
      </c>
      <c r="L210" s="201">
        <f t="shared" ref="L210:P210" si="77">COUNTIF(L5:L204,"III")+COUNTIF(L5:L204,"G")</f>
        <v>1</v>
      </c>
      <c r="M210" s="201">
        <f t="shared" si="77"/>
        <v>0</v>
      </c>
      <c r="N210" s="201">
        <f t="shared" si="77"/>
        <v>6</v>
      </c>
      <c r="O210" s="201">
        <f t="shared" si="77"/>
        <v>1</v>
      </c>
      <c r="P210" s="201">
        <f t="shared" si="77"/>
        <v>0</v>
      </c>
      <c r="Q210" s="201">
        <f>COUNTIF(Q5:Q204,"III")+COUNTIF(Q5:Q204,"G")</f>
        <v>0</v>
      </c>
      <c r="R210" s="1352"/>
      <c r="S210" s="1353"/>
      <c r="T210" s="1353"/>
      <c r="U210" s="1353"/>
      <c r="V210" s="1353"/>
      <c r="W210" s="1353"/>
      <c r="X210" s="1353"/>
      <c r="Y210" s="1353"/>
      <c r="Z210" s="194"/>
      <c r="AA210" s="194"/>
      <c r="AB210" s="194"/>
      <c r="AC210" s="194"/>
      <c r="AD210" s="194"/>
      <c r="AE210" s="194"/>
      <c r="AF210" s="194"/>
      <c r="AG210" s="194"/>
      <c r="AH210" s="194"/>
      <c r="AI210" s="194"/>
      <c r="AJ210" s="194"/>
      <c r="AK210" s="194"/>
      <c r="AL210" s="194"/>
      <c r="AM210" s="194"/>
      <c r="AN210" s="194"/>
      <c r="AO210" s="194"/>
      <c r="AP210" s="194"/>
      <c r="AQ210" s="194"/>
      <c r="AR210" s="194"/>
      <c r="AS210" s="195"/>
    </row>
    <row r="211" spans="1:45" ht="18.75" customHeight="1">
      <c r="A211" s="202"/>
      <c r="B211" s="1351" t="str">
        <f>IF('School Profile'!$D$12="Hindi","उतीर्ण","Pass")</f>
        <v>उतीर्ण</v>
      </c>
      <c r="C211" s="1351"/>
      <c r="D211" s="1351"/>
      <c r="E211" s="191">
        <f>COUNTIF(H5:H204,"PASS")+COUNTIF(H5:H204,"BY GRACE PASS")</f>
        <v>28</v>
      </c>
      <c r="F211" s="203">
        <f>COUNTIF(AQ5:AQ204,"PASS")</f>
        <v>1</v>
      </c>
      <c r="G211" s="197">
        <f>SUM(E211,F211)</f>
        <v>29</v>
      </c>
      <c r="H211" s="1362"/>
      <c r="I211" s="1351" t="str">
        <f>IF('School Profile'!$D$12="Hindi","उतीर्ण","Pass")</f>
        <v>उतीर्ण</v>
      </c>
      <c r="J211" s="1351"/>
      <c r="K211" s="201">
        <f>SUM(K207,K208,K209,K210)</f>
        <v>29</v>
      </c>
      <c r="L211" s="201">
        <f t="shared" ref="L211:P211" si="78">SUM(L207,L208,L209,L210)</f>
        <v>31</v>
      </c>
      <c r="M211" s="201">
        <f t="shared" si="78"/>
        <v>31</v>
      </c>
      <c r="N211" s="201">
        <f t="shared" si="78"/>
        <v>30</v>
      </c>
      <c r="O211" s="201">
        <f t="shared" si="78"/>
        <v>31</v>
      </c>
      <c r="P211" s="201">
        <f t="shared" si="78"/>
        <v>31</v>
      </c>
      <c r="Q211" s="201">
        <f>SUM(Q207,Q208,Q209,Q210)</f>
        <v>3</v>
      </c>
      <c r="R211" s="1352"/>
      <c r="S211" s="1353"/>
      <c r="T211" s="1353"/>
      <c r="U211" s="1353"/>
      <c r="V211" s="1353"/>
      <c r="W211" s="1353"/>
      <c r="X211" s="1353"/>
      <c r="Y211" s="1353"/>
      <c r="Z211" s="194"/>
      <c r="AA211" s="194"/>
      <c r="AB211" s="194"/>
      <c r="AC211" s="194"/>
      <c r="AD211" s="194"/>
      <c r="AE211" s="194"/>
      <c r="AF211" s="194"/>
      <c r="AG211" s="194"/>
      <c r="AH211" s="194"/>
      <c r="AI211" s="194"/>
      <c r="AJ211" s="194"/>
      <c r="AK211" s="194"/>
      <c r="AL211" s="194"/>
      <c r="AM211" s="194"/>
      <c r="AN211" s="194"/>
      <c r="AO211" s="194"/>
      <c r="AP211" s="194"/>
      <c r="AQ211" s="194"/>
      <c r="AR211" s="194"/>
      <c r="AS211" s="195"/>
    </row>
    <row r="212" spans="1:45" ht="33.75" customHeight="1">
      <c r="A212" s="202"/>
      <c r="B212" s="1351" t="str">
        <f>IF('School Profile'!$D$12="Hindi","उतीर्ण प्रतिशत","Pass %")</f>
        <v>उतीर्ण प्रतिशत</v>
      </c>
      <c r="C212" s="1351"/>
      <c r="D212" s="1351"/>
      <c r="E212" s="614">
        <f>IF(E207=0,"",E211/E207*100)</f>
        <v>90.322580645161281</v>
      </c>
      <c r="F212" s="614">
        <f>IF(F207=0,"",F211/F207*100)</f>
        <v>100</v>
      </c>
      <c r="G212" s="614">
        <f>IF(G207=0,"",G211/G207*100)</f>
        <v>93.548387096774192</v>
      </c>
      <c r="H212" s="1362"/>
      <c r="I212" s="1351" t="str">
        <f>IF('School Profile'!$D$12="Hindi","उतीर्ण प्रतिशत","Pass %")</f>
        <v>उतीर्ण प्रतिशत</v>
      </c>
      <c r="J212" s="1351"/>
      <c r="K212" s="205">
        <f>IF(K206=0,"",K211/K206*100)</f>
        <v>96.666666666666671</v>
      </c>
      <c r="L212" s="205">
        <f t="shared" ref="L212:Q212" si="79">IF(L206=0,"",L211/L206*100)</f>
        <v>100</v>
      </c>
      <c r="M212" s="205">
        <f t="shared" si="79"/>
        <v>100</v>
      </c>
      <c r="N212" s="205">
        <f>IF(N206=0,"",N211/N206*100)</f>
        <v>96.774193548387103</v>
      </c>
      <c r="O212" s="205">
        <f t="shared" si="79"/>
        <v>100</v>
      </c>
      <c r="P212" s="205">
        <f t="shared" si="79"/>
        <v>100</v>
      </c>
      <c r="Q212" s="205">
        <f t="shared" si="79"/>
        <v>100</v>
      </c>
      <c r="R212" s="1352" t="str">
        <f>IF('School Profile'!$D$12="Hindi","हस्ताक्षर परीक्षा प्रभारी","Signature of the exam. Incharge")</f>
        <v>हस्ताक्षर परीक्षा प्रभारी</v>
      </c>
      <c r="S212" s="1353" t="str">
        <f>CONCATENATE("( ",UPPER('School Profile'!D15)," )")</f>
        <v>( HEERALAL JAT )</v>
      </c>
      <c r="T212" s="1353"/>
      <c r="U212" s="1353"/>
      <c r="V212" s="1353"/>
      <c r="W212" s="1353"/>
      <c r="X212" s="1353"/>
      <c r="Y212" s="1353"/>
      <c r="Z212" s="194"/>
      <c r="AA212" s="194"/>
      <c r="AB212" s="194"/>
      <c r="AC212" s="194"/>
      <c r="AD212" s="194"/>
      <c r="AE212" s="194"/>
      <c r="AF212" s="194"/>
      <c r="AG212" s="194"/>
      <c r="AH212" s="194"/>
      <c r="AI212" s="194"/>
      <c r="AJ212" s="194"/>
      <c r="AK212" s="194"/>
      <c r="AL212" s="194"/>
      <c r="AM212" s="194"/>
      <c r="AN212" s="194"/>
      <c r="AO212" s="194"/>
      <c r="AP212" s="194"/>
      <c r="AQ212" s="194"/>
      <c r="AR212" s="194"/>
      <c r="AS212" s="195"/>
    </row>
    <row r="213" spans="1:45" ht="18.75">
      <c r="A213" s="202"/>
      <c r="B213" s="1351" t="str">
        <f>IF('School Profile'!$D$12="Hindi","अनुतीर्ण","Failed")</f>
        <v>अनुतीर्ण</v>
      </c>
      <c r="C213" s="1351"/>
      <c r="D213" s="1351"/>
      <c r="E213" s="206">
        <f>COUNTIF(H5:H204,"FAIL")</f>
        <v>2</v>
      </c>
      <c r="F213" s="207">
        <f>COUNTIF(AQ5:AQ204,"FAIL")</f>
        <v>0</v>
      </c>
      <c r="G213" s="208">
        <f>E213</f>
        <v>2</v>
      </c>
      <c r="H213" s="1362"/>
      <c r="I213" s="1351" t="str">
        <f>IF('School Profile'!$D$12="Hindi","पूरक","Supp.")</f>
        <v>पूरक</v>
      </c>
      <c r="J213" s="1351"/>
      <c r="K213" s="209">
        <f t="shared" ref="K213" si="80">COUNTIF(K5:K204,"S")</f>
        <v>0</v>
      </c>
      <c r="L213" s="209">
        <f t="shared" ref="L213:Q213" si="81">COUNTIF(L5:L204,"S")</f>
        <v>0</v>
      </c>
      <c r="M213" s="209">
        <f t="shared" si="81"/>
        <v>0</v>
      </c>
      <c r="N213" s="209">
        <f t="shared" si="81"/>
        <v>1</v>
      </c>
      <c r="O213" s="209">
        <f t="shared" si="81"/>
        <v>0</v>
      </c>
      <c r="P213" s="209">
        <f t="shared" si="81"/>
        <v>0</v>
      </c>
      <c r="Q213" s="209">
        <f t="shared" si="81"/>
        <v>0</v>
      </c>
      <c r="R213" s="1352"/>
      <c r="S213" s="1353"/>
      <c r="T213" s="1353"/>
      <c r="U213" s="1353"/>
      <c r="V213" s="1353"/>
      <c r="W213" s="1353"/>
      <c r="X213" s="1353"/>
      <c r="Y213" s="1353"/>
      <c r="Z213" s="194"/>
      <c r="AA213" s="194"/>
      <c r="AB213" s="194"/>
      <c r="AC213" s="194"/>
      <c r="AD213" s="194"/>
      <c r="AE213" s="194"/>
      <c r="AF213" s="194"/>
      <c r="AG213" s="194"/>
      <c r="AH213" s="194"/>
      <c r="AI213" s="194"/>
      <c r="AJ213" s="194"/>
      <c r="AK213" s="194"/>
      <c r="AL213" s="194"/>
      <c r="AM213" s="194"/>
      <c r="AN213" s="194"/>
      <c r="AO213" s="194"/>
      <c r="AP213" s="194"/>
      <c r="AQ213" s="194"/>
      <c r="AR213" s="194"/>
      <c r="AS213" s="195"/>
    </row>
    <row r="214" spans="1:45" ht="18.75" customHeight="1">
      <c r="A214" s="202"/>
      <c r="B214" s="1351" t="str">
        <f>IF('School Profile'!$D$12="Hindi","पूरक","Supp.")</f>
        <v>पूरक</v>
      </c>
      <c r="C214" s="1351"/>
      <c r="D214" s="1354"/>
      <c r="E214" s="210">
        <f>COUNTIF(H5:H204,"SUPPLEMENTARY")</f>
        <v>1</v>
      </c>
      <c r="F214" s="211">
        <f>COUNTIF(AQ5:AQ204,"SUPPLEMENTARY")</f>
        <v>0</v>
      </c>
      <c r="G214" s="211">
        <f>F214</f>
        <v>0</v>
      </c>
      <c r="H214" s="1362"/>
      <c r="I214" s="1351" t="str">
        <f>IF('School Profile'!$D$12="Hindi","अनुतीर्ण","Failed")</f>
        <v>अनुतीर्ण</v>
      </c>
      <c r="J214" s="1351"/>
      <c r="K214" s="209">
        <f t="shared" ref="K214" si="82">COUNTIF(K5:K204,"F")</f>
        <v>1</v>
      </c>
      <c r="L214" s="209">
        <f t="shared" ref="L214:P214" si="83">COUNTIF(L5:L204,"F")</f>
        <v>0</v>
      </c>
      <c r="M214" s="209">
        <f t="shared" si="83"/>
        <v>0</v>
      </c>
      <c r="N214" s="209">
        <f t="shared" si="83"/>
        <v>0</v>
      </c>
      <c r="O214" s="209">
        <f t="shared" si="83"/>
        <v>0</v>
      </c>
      <c r="P214" s="209">
        <f t="shared" si="83"/>
        <v>0</v>
      </c>
      <c r="Q214" s="209">
        <f>COUNTIF(Q5:Q204,"F")</f>
        <v>0</v>
      </c>
      <c r="R214" s="1352" t="str">
        <f>IF('School Profile'!$D$12="Hindi","हस्ताक्षर संस्था प्रधान","Head of Institute's Signature")</f>
        <v>हस्ताक्षर संस्था प्रधान</v>
      </c>
      <c r="S214" s="1353" t="str">
        <f>CONCATENATE("( ",UPPER('School Profile'!D14)," )")</f>
        <v>( USHA PALIYA )</v>
      </c>
      <c r="T214" s="1353"/>
      <c r="U214" s="1353"/>
      <c r="V214" s="1353"/>
      <c r="W214" s="1353"/>
      <c r="X214" s="1353"/>
      <c r="Y214" s="1353"/>
      <c r="Z214" s="194"/>
      <c r="AA214" s="194"/>
      <c r="AB214" s="194"/>
      <c r="AC214" s="194"/>
      <c r="AD214" s="194"/>
      <c r="AE214" s="194"/>
      <c r="AF214" s="194"/>
      <c r="AG214" s="194"/>
      <c r="AH214" s="194"/>
      <c r="AI214" s="194"/>
      <c r="AJ214" s="194"/>
      <c r="AK214" s="194"/>
      <c r="AL214" s="194"/>
      <c r="AM214" s="194"/>
      <c r="AN214" s="194"/>
      <c r="AO214" s="194"/>
      <c r="AP214" s="194"/>
      <c r="AQ214" s="194"/>
      <c r="AR214" s="194"/>
      <c r="AS214" s="195"/>
    </row>
    <row r="215" spans="1:45" ht="18.75" customHeight="1">
      <c r="A215" s="190"/>
      <c r="B215" s="1354" t="str">
        <f>IF('School Profile'!$D$12="Hindi","पूरक परीक्षा परिणाम घोषित दिनांक :-","Date of Supplementary result declaration :-")</f>
        <v>पूरक परीक्षा परिणाम घोषित दिनांक :-</v>
      </c>
      <c r="C215" s="1355"/>
      <c r="D215" s="1355"/>
      <c r="E215" s="1356"/>
      <c r="F215" s="1357"/>
      <c r="G215" s="212">
        <f>'School Profile'!D19</f>
        <v>45845</v>
      </c>
      <c r="H215" s="1363"/>
      <c r="I215" s="1351" t="str">
        <f>IF('School Profile'!$D$12="Hindi","पुनः परीक्षा","Re-Exam")</f>
        <v>पुनः परीक्षा</v>
      </c>
      <c r="J215" s="1351"/>
      <c r="K215" s="209">
        <f t="shared" ref="K215" si="84">COUNTIF(K5:K204,"RE")</f>
        <v>0</v>
      </c>
      <c r="L215" s="209">
        <f t="shared" ref="L215:Q215" si="85">COUNTIF(L5:L204,"RE")</f>
        <v>0</v>
      </c>
      <c r="M215" s="209">
        <f t="shared" si="85"/>
        <v>0</v>
      </c>
      <c r="N215" s="209">
        <f>COUNTIF(N5:N204,"RE")</f>
        <v>0</v>
      </c>
      <c r="O215" s="209">
        <f t="shared" si="85"/>
        <v>0</v>
      </c>
      <c r="P215" s="209">
        <f t="shared" si="85"/>
        <v>0</v>
      </c>
      <c r="Q215" s="209">
        <f t="shared" si="85"/>
        <v>0</v>
      </c>
      <c r="R215" s="1352"/>
      <c r="S215" s="1353"/>
      <c r="T215" s="1353"/>
      <c r="U215" s="1353"/>
      <c r="V215" s="1353"/>
      <c r="W215" s="1353"/>
      <c r="X215" s="1353"/>
      <c r="Y215" s="1353"/>
      <c r="Z215" s="21"/>
      <c r="AA215" s="21"/>
      <c r="AB215" s="21"/>
      <c r="AC215" s="21"/>
      <c r="AD215" s="1350"/>
      <c r="AE215" s="1350"/>
      <c r="AF215" s="1350"/>
      <c r="AG215" s="1350"/>
      <c r="AH215" s="21"/>
      <c r="AI215" s="21"/>
      <c r="AJ215" s="21"/>
      <c r="AK215" s="21"/>
      <c r="AL215" s="21"/>
      <c r="AM215" s="21"/>
      <c r="AN215" s="21"/>
      <c r="AO215" s="21"/>
      <c r="AP215" s="21"/>
      <c r="AQ215" s="21"/>
      <c r="AR215" s="21"/>
      <c r="AS215" s="213"/>
    </row>
    <row r="216" spans="1:45" ht="18.75" customHeight="1">
      <c r="A216" s="190"/>
      <c r="B216" s="1358"/>
      <c r="C216" s="1359"/>
      <c r="D216" s="1359"/>
      <c r="E216" s="1359"/>
      <c r="F216" s="1359"/>
      <c r="G216" s="1359"/>
      <c r="H216" s="1360"/>
      <c r="I216" s="1351" t="str">
        <f>IF('School Profile'!$D$12="Hindi","अनुपस्थित","Absent")</f>
        <v>अनुपस्थित</v>
      </c>
      <c r="J216" s="1351"/>
      <c r="K216" s="209">
        <f t="shared" ref="K216" si="86">COUNTIF(K5:K204,"AB")</f>
        <v>1</v>
      </c>
      <c r="L216" s="209">
        <f t="shared" ref="L216:Q216" si="87">COUNTIF(L5:L204,"AB")</f>
        <v>0</v>
      </c>
      <c r="M216" s="209">
        <f t="shared" si="87"/>
        <v>0</v>
      </c>
      <c r="N216" s="209">
        <f t="shared" si="87"/>
        <v>0</v>
      </c>
      <c r="O216" s="209">
        <f t="shared" si="87"/>
        <v>0</v>
      </c>
      <c r="P216" s="209">
        <f t="shared" si="87"/>
        <v>0</v>
      </c>
      <c r="Q216" s="209">
        <f t="shared" si="87"/>
        <v>0</v>
      </c>
      <c r="R216" s="1352"/>
      <c r="S216" s="1353"/>
      <c r="T216" s="1353"/>
      <c r="U216" s="1353"/>
      <c r="V216" s="1353"/>
      <c r="W216" s="1353"/>
      <c r="X216" s="1353"/>
      <c r="Y216" s="1353"/>
      <c r="Z216" s="21"/>
      <c r="AA216" s="21"/>
      <c r="AB216" s="21"/>
      <c r="AC216" s="21"/>
      <c r="AD216" s="1350"/>
      <c r="AE216" s="1350"/>
      <c r="AF216" s="1350"/>
      <c r="AG216" s="1350"/>
      <c r="AH216" s="21"/>
      <c r="AI216" s="21"/>
      <c r="AJ216" s="21"/>
      <c r="AK216" s="21"/>
      <c r="AL216" s="21"/>
      <c r="AM216" s="21"/>
      <c r="AN216" s="21"/>
      <c r="AO216" s="21"/>
      <c r="AP216" s="21"/>
      <c r="AQ216" s="21"/>
      <c r="AR216" s="21"/>
      <c r="AS216" s="213"/>
    </row>
    <row r="217" spans="1:45">
      <c r="A217" s="611"/>
      <c r="B217" s="612"/>
      <c r="C217" s="612"/>
      <c r="D217" s="612"/>
      <c r="E217" s="612"/>
      <c r="F217" s="612"/>
      <c r="G217" s="214"/>
      <c r="H217" s="214"/>
      <c r="I217" s="214"/>
      <c r="J217" s="214"/>
      <c r="K217" s="214"/>
      <c r="L217" s="214"/>
      <c r="M217" s="214"/>
      <c r="N217" s="214"/>
      <c r="O217" s="214"/>
      <c r="P217" s="214"/>
      <c r="Q217" s="214"/>
      <c r="R217" s="214"/>
      <c r="S217" s="214"/>
      <c r="T217" s="214"/>
      <c r="U217" s="214"/>
      <c r="V217" s="214"/>
      <c r="W217" s="214"/>
      <c r="X217" s="214"/>
      <c r="Y217" s="214"/>
      <c r="Z217" s="214"/>
      <c r="AA217" s="214"/>
      <c r="AB217" s="214"/>
      <c r="AC217" s="214"/>
      <c r="AD217" s="214"/>
      <c r="AE217" s="214"/>
      <c r="AF217" s="214"/>
      <c r="AG217" s="214"/>
      <c r="AH217" s="214"/>
      <c r="AI217" s="214"/>
      <c r="AJ217" s="214"/>
      <c r="AK217" s="214"/>
      <c r="AL217" s="214"/>
      <c r="AM217" s="214"/>
      <c r="AN217" s="214"/>
      <c r="AO217" s="214"/>
      <c r="AP217" s="214"/>
      <c r="AQ217" s="214"/>
      <c r="AR217" s="214"/>
      <c r="AS217" s="215"/>
    </row>
    <row r="218" spans="1:45" ht="18.75">
      <c r="D218" s="333"/>
      <c r="E218" s="333"/>
    </row>
    <row r="219" spans="1:45">
      <c r="D219" s="21"/>
      <c r="E219" s="21"/>
    </row>
    <row r="220" spans="1:45"/>
  </sheetData>
  <sheetProtection password="D5A2" sheet="1" objects="1" scenarios="1" formatColumns="0" formatRows="0"/>
  <mergeCells count="70">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Q2:AS2"/>
    <mergeCell ref="P3:P4"/>
    <mergeCell ref="AO2:AO3"/>
    <mergeCell ref="N3:N4"/>
    <mergeCell ref="AI2:AK2"/>
    <mergeCell ref="AL2:AN2"/>
    <mergeCell ref="K2:Q2"/>
    <mergeCell ref="Z2:AB2"/>
    <mergeCell ref="B207:D207"/>
    <mergeCell ref="I207:J207"/>
    <mergeCell ref="B208:D208"/>
    <mergeCell ref="I208:J208"/>
    <mergeCell ref="H206:H215"/>
    <mergeCell ref="B209:D209"/>
    <mergeCell ref="I209:J209"/>
    <mergeCell ref="I206:J206"/>
    <mergeCell ref="I211:J211"/>
    <mergeCell ref="B206:D206"/>
    <mergeCell ref="R209:R211"/>
    <mergeCell ref="S209:Y211"/>
    <mergeCell ref="B210:D210"/>
    <mergeCell ref="I210:J210"/>
    <mergeCell ref="B211:D211"/>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s>
  <conditionalFormatting sqref="G206 E206 H217:H65569 O208:P208 K206:Q206">
    <cfRule type="containsText" dxfId="193" priority="22" stopIfTrue="1" operator="containsText" text="iwjd">
      <formula>NOT(ISERROR(SEARCH("iwjd",E206)))</formula>
    </cfRule>
  </conditionalFormatting>
  <conditionalFormatting sqref="H5:H204">
    <cfRule type="expression" dxfId="192" priority="10" stopIfTrue="1">
      <formula>H5="SUPPLEMENTARY"</formula>
    </cfRule>
  </conditionalFormatting>
  <conditionalFormatting sqref="K206:Q216">
    <cfRule type="cellIs" dxfId="191" priority="20" stopIfTrue="1" operator="equal">
      <formula>0</formula>
    </cfRule>
  </conditionalFormatting>
  <conditionalFormatting sqref="K5:Q204">
    <cfRule type="containsText" dxfId="190" priority="19" stopIfTrue="1" operator="containsText" text="s">
      <formula>NOT(ISERROR(SEARCH("s",K5)))</formula>
    </cfRule>
  </conditionalFormatting>
  <conditionalFormatting sqref="AO5:AO204">
    <cfRule type="containsText" dxfId="189" priority="18" stopIfTrue="1" operator="containsText" text="NA">
      <formula>NOT(ISERROR(SEARCH("NA",AO5)))</formula>
    </cfRule>
  </conditionalFormatting>
  <conditionalFormatting sqref="AO5:AO204">
    <cfRule type="containsText" dxfId="188" priority="17" stopIfTrue="1" operator="containsText" text="ml">
      <formula>NOT(ISERROR(SEARCH("ml",AO5)))</formula>
    </cfRule>
  </conditionalFormatting>
  <conditionalFormatting sqref="AQ5:AS204">
    <cfRule type="containsText" dxfId="187" priority="16" operator="containsText" text="vuqRrh.kZ">
      <formula>NOT(ISERROR(SEARCH("vuqRrh.kZ",AQ5)))</formula>
    </cfRule>
  </conditionalFormatting>
  <conditionalFormatting sqref="J5:J204">
    <cfRule type="top10" dxfId="186" priority="12" stopIfTrue="1" rank="3"/>
    <cfRule type="top10" dxfId="185" priority="13" stopIfTrue="1" percent="1" rank="3"/>
    <cfRule type="top10" dxfId="184" priority="14" stopIfTrue="1" percent="1" rank="3"/>
  </conditionalFormatting>
  <conditionalFormatting sqref="J5:J204">
    <cfRule type="top10" dxfId="183" priority="11" stopIfTrue="1" rank="3"/>
  </conditionalFormatting>
  <conditionalFormatting sqref="B5:B204">
    <cfRule type="expression" dxfId="182" priority="9">
      <formula>H5="SUPPLEMENTARY"</formula>
    </cfRule>
  </conditionalFormatting>
  <conditionalFormatting sqref="E5:E204">
    <cfRule type="expression" dxfId="181" priority="8">
      <formula>H5="SUPPLEMENTARY"</formula>
    </cfRule>
  </conditionalFormatting>
  <conditionalFormatting sqref="F5:F204">
    <cfRule type="expression" dxfId="180" priority="7">
      <formula>H5="SUPPLEMENTARY"</formula>
    </cfRule>
  </conditionalFormatting>
  <conditionalFormatting sqref="G5:G204">
    <cfRule type="expression" dxfId="179" priority="6">
      <formula>H5="SUPPLEMENTARY"</formula>
    </cfRule>
  </conditionalFormatting>
  <conditionalFormatting sqref="S5:S204">
    <cfRule type="cellIs" dxfId="178" priority="4" operator="equal">
      <formula>0</formula>
    </cfRule>
  </conditionalFormatting>
  <conditionalFormatting sqref="AO5:AP204">
    <cfRule type="cellIs" dxfId="177" priority="3" operator="equal">
      <formula>0</formula>
    </cfRule>
  </conditionalFormatting>
  <conditionalFormatting sqref="F206">
    <cfRule type="containsText" dxfId="176" priority="2" stopIfTrue="1" operator="containsText" text="iwjd">
      <formula>NOT(ISERROR(SEARCH("iwjd",F206)))</formula>
    </cfRule>
  </conditionalFormatting>
  <conditionalFormatting sqref="G206">
    <cfRule type="containsText" dxfId="175"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P38" sqref="P38"/>
    </sheetView>
  </sheetViews>
  <sheetFormatPr defaultRowHeight="15"/>
  <cols>
    <col min="1" max="1" width="21.375" style="49" customWidth="1"/>
    <col min="2" max="2" width="18" style="51" customWidth="1"/>
    <col min="3" max="4" width="7.75" style="49" customWidth="1"/>
    <col min="5" max="5" width="8.75" style="49" customWidth="1"/>
    <col min="6" max="6" width="7" style="49" customWidth="1"/>
    <col min="7" max="13" width="6.75" style="49" customWidth="1"/>
    <col min="14" max="14" width="7" style="49" customWidth="1"/>
    <col min="15" max="15" width="8.375" style="49" customWidth="1"/>
    <col min="16" max="16" width="4.25" style="49" customWidth="1"/>
    <col min="17" max="16384" width="9" style="6"/>
  </cols>
  <sheetData>
    <row r="1" spans="1:16" ht="40.5" customHeight="1" thickBot="1">
      <c r="A1" s="1391" t="str">
        <f>IF('School Profile'!D12="Hindi",CONCATENATE("विद्यालय का नाम :-","  ",'School Profile'!D9),CONCATENATE("School Name :-","  ",'School Profile'!D8))</f>
        <v xml:space="preserve">विद्यालय का नाम :-  महात्मा गाँधी राजकीय विद्यालय (अंग्रेजी माध्यम) बर, पाली </v>
      </c>
      <c r="B1" s="1391"/>
      <c r="C1" s="1391"/>
      <c r="D1" s="1391"/>
      <c r="E1" s="1391"/>
      <c r="F1" s="1391"/>
      <c r="G1" s="1391"/>
      <c r="H1" s="1391"/>
      <c r="I1" s="1391"/>
      <c r="J1" s="1391"/>
      <c r="K1" s="1391"/>
      <c r="L1" s="1391"/>
      <c r="M1" s="1391"/>
      <c r="N1" s="1391"/>
      <c r="O1" s="1391"/>
      <c r="P1" s="59"/>
    </row>
    <row r="2" spans="1:16" ht="20.25" customHeight="1" thickTop="1">
      <c r="A2" s="1392" t="str">
        <f>IF('School Profile'!D12="Hindi","विषय वार और विषयाध्यापक वार परिणाम","SUBJECT-WISE &amp; TEACHER'S-WISE RESULT")</f>
        <v>विषय वार और विषयाध्यापक वार परिणाम</v>
      </c>
      <c r="B2" s="1393"/>
      <c r="C2" s="1393"/>
      <c r="D2" s="1393"/>
      <c r="E2" s="1393"/>
      <c r="F2" s="1398" t="str">
        <f>IF('School Profile'!D12="Hindi","कक्षा :-","CLASS :-")</f>
        <v>कक्षा :-</v>
      </c>
      <c r="G2" s="1398"/>
      <c r="H2" s="1396" t="str">
        <f>'Supp. Result Entry'!C2</f>
        <v>9th</v>
      </c>
      <c r="I2" s="1396"/>
      <c r="J2" s="1398" t="str">
        <f>IF('School Profile'!D12="Hindi","सत्र  :-","Session :-")</f>
        <v>सत्र  :-</v>
      </c>
      <c r="K2" s="1398"/>
      <c r="L2" s="1398"/>
      <c r="M2" s="1396" t="str">
        <f>'Supp. Result Entry'!G2</f>
        <v>2024-2025</v>
      </c>
      <c r="N2" s="1396"/>
      <c r="O2" s="1400"/>
      <c r="P2" s="62"/>
    </row>
    <row r="3" spans="1:16" ht="20.25" customHeight="1" thickBot="1">
      <c r="A3" s="1394"/>
      <c r="B3" s="1395"/>
      <c r="C3" s="1395"/>
      <c r="D3" s="1395"/>
      <c r="E3" s="1395"/>
      <c r="F3" s="1399"/>
      <c r="G3" s="1399"/>
      <c r="H3" s="1397"/>
      <c r="I3" s="1397"/>
      <c r="J3" s="1399"/>
      <c r="K3" s="1399"/>
      <c r="L3" s="1399"/>
      <c r="M3" s="1397"/>
      <c r="N3" s="1397"/>
      <c r="O3" s="1401"/>
      <c r="P3" s="62"/>
    </row>
    <row r="4" spans="1:16" ht="89.25" customHeight="1" thickTop="1" thickBot="1">
      <c r="A4" s="619" t="str">
        <f>IF('School Profile'!D12="Hindi","विषयाध्यापक का नाम","Subject Teacher")</f>
        <v>विषयाध्यापक का नाम</v>
      </c>
      <c r="B4" s="620" t="str">
        <f>IF('School Profile'!D12="Hindi","विषय","Subject")</f>
        <v>विषय</v>
      </c>
      <c r="C4" s="621" t="str">
        <f>IF('School Profile'!$D$12="Hindi","कुल प्रविष्ट विद्यार्थी","No. of students appeared")</f>
        <v>कुल प्रविष्ट विद्यार्थी</v>
      </c>
      <c r="D4" s="622" t="str">
        <f>IF('School Profile'!$D$12="Hindi","उतीर्ण","Pass")</f>
        <v>उतीर्ण</v>
      </c>
      <c r="E4" s="622" t="str">
        <f>IF('School Profile'!D12="Hindi","प्रतिशत","Percentage")</f>
        <v>प्रतिशत</v>
      </c>
      <c r="F4" s="621" t="str">
        <f>IF('School Profile'!$D$12="Hindi","प्रथम श्रेणी","1st Div.")</f>
        <v>प्रथम श्रेणी</v>
      </c>
      <c r="G4" s="621" t="str">
        <f>IF('School Profile'!$D$12="Hindi","द्वितीय श्रेणी","2nd Div.")</f>
        <v>द्वितीय श्रेणी</v>
      </c>
      <c r="H4" s="621" t="str">
        <f>IF('School Profile'!$D$12="Hindi","तृतीय श्रेणी","3rd Div.")</f>
        <v>तृतीय श्रेणी</v>
      </c>
      <c r="I4" s="621" t="str">
        <f>IF('School Profile'!$D$12="Hindi","सानुग्रह उतीर्ण ","By Grace Pass")</f>
        <v xml:space="preserve">सानुग्रह उतीर्ण </v>
      </c>
      <c r="J4" s="621" t="str">
        <f>IF('School Profile'!$D$12="Hindi","पूरक","Supplementary")</f>
        <v>पूरक</v>
      </c>
      <c r="K4" s="621" t="str">
        <f>IF('School Profile'!$D$12="Hindi","अनुतीर्ण","Failed")</f>
        <v>अनुतीर्ण</v>
      </c>
      <c r="L4" s="621" t="str">
        <f>IF('School Profile'!$D$12="Hindi","अनुपस्थित","Absent")</f>
        <v>अनुपस्थित</v>
      </c>
      <c r="M4" s="621" t="str">
        <f>IF('School Profile'!$D$12="Hindi","पुनः परीक्षा","Re-Exam")</f>
        <v>पुनः परीक्षा</v>
      </c>
      <c r="N4" s="621" t="str">
        <f>IF('School Profile'!$D$12="Hindi","नाम पृथक","NSO")</f>
        <v>नाम पृथक</v>
      </c>
      <c r="O4" s="622" t="str">
        <f>IF('School Profile'!$D$12="Hindi","कुल योग","Total")</f>
        <v>कुल योग</v>
      </c>
      <c r="P4" s="62"/>
    </row>
    <row r="5" spans="1:16" ht="24" customHeight="1" thickTop="1">
      <c r="A5" s="218" t="str">
        <f>IF('Statement of Marks'!K209="","",'Statement of Marks'!K209)</f>
        <v>RADHESHYAM</v>
      </c>
      <c r="B5" s="219" t="str">
        <f>IF('Statement of Marks'!K208="","",'Statement of Marks'!K208)</f>
        <v>हिंदी</v>
      </c>
      <c r="C5" s="220">
        <f>'Statement of Marks'!K210</f>
        <v>30</v>
      </c>
      <c r="D5" s="220">
        <f>'Statement of Marks'!Q212</f>
        <v>29</v>
      </c>
      <c r="E5" s="221">
        <f>IF(AND(A5="",B5="",C5=""),"", 'Statement of Marks'!K213)</f>
        <v>96.666666666666671</v>
      </c>
      <c r="F5" s="222">
        <f>'Statement of Marks'!K212</f>
        <v>22</v>
      </c>
      <c r="G5" s="222">
        <f>'Statement of Marks'!L212</f>
        <v>7</v>
      </c>
      <c r="H5" s="222">
        <f>'Statement of Marks'!M212</f>
        <v>0</v>
      </c>
      <c r="I5" s="222">
        <f>'Statement of Marks'!N212</f>
        <v>0</v>
      </c>
      <c r="J5" s="220">
        <f>'Statement of Marks'!K214</f>
        <v>0</v>
      </c>
      <c r="K5" s="222">
        <f>'Statement of Marks'!K215</f>
        <v>1</v>
      </c>
      <c r="L5" s="222">
        <f>'Statement of Marks'!K217</f>
        <v>1</v>
      </c>
      <c r="M5" s="222">
        <f>'Statement of Marks'!K218</f>
        <v>0</v>
      </c>
      <c r="N5" s="223">
        <f>COUNTIF('Statement of Marks'!$B$7:$B$206,"nso")</f>
        <v>0</v>
      </c>
      <c r="O5" s="224">
        <f>IF(D5="","",SUM(D5,J5,K5,M5,N5,L5))</f>
        <v>31</v>
      </c>
      <c r="P5" s="108"/>
    </row>
    <row r="6" spans="1:16" ht="24" customHeight="1">
      <c r="A6" s="225" t="str">
        <f>IF('Statement of Marks'!Y209="","",'Statement of Marks'!Y209)</f>
        <v>HEERALAL JAT</v>
      </c>
      <c r="B6" s="226" t="str">
        <f>IF('Statement of Marks'!Y208="","",'Statement of Marks'!Y208)</f>
        <v>अंग्रेजी</v>
      </c>
      <c r="C6" s="227">
        <f>'Statement of Marks'!Y210</f>
        <v>31</v>
      </c>
      <c r="D6" s="227">
        <f>'Statement of Marks'!AE212</f>
        <v>31</v>
      </c>
      <c r="E6" s="228">
        <f>IF(AND(A6="",B6="",C6=""),"",'Statement of Marks'!Y213)</f>
        <v>100</v>
      </c>
      <c r="F6" s="229">
        <f>'Statement of Marks'!Y212</f>
        <v>30</v>
      </c>
      <c r="G6" s="229">
        <f>'Statement of Marks'!Z212</f>
        <v>0</v>
      </c>
      <c r="H6" s="229">
        <f>'Statement of Marks'!AA212</f>
        <v>1</v>
      </c>
      <c r="I6" s="229">
        <f>'Statement of Marks'!AD212</f>
        <v>0</v>
      </c>
      <c r="J6" s="227">
        <f>'Statement of Marks'!Y214</f>
        <v>0</v>
      </c>
      <c r="K6" s="229">
        <f>'Statement of Marks'!Y215</f>
        <v>0</v>
      </c>
      <c r="L6" s="229">
        <f>'Statement of Marks'!Y217</f>
        <v>0</v>
      </c>
      <c r="M6" s="229">
        <f>'Statement of Marks'!Y218</f>
        <v>0</v>
      </c>
      <c r="N6" s="230">
        <f>COUNTIF('Statement of Marks'!$B$7:$B$206,"nso")</f>
        <v>0</v>
      </c>
      <c r="O6" s="224">
        <f>IF(D6="","",SUM(D6,J6,K6,M6,N6,L6))</f>
        <v>31</v>
      </c>
      <c r="P6" s="108"/>
    </row>
    <row r="7" spans="1:16" ht="24" customHeight="1">
      <c r="A7" s="231" t="str">
        <f>IF('Statement of Marks'!AM209="","",'Statement of Marks'!AM209)</f>
        <v>Suresh kumar Singariya</v>
      </c>
      <c r="B7" s="232" t="str">
        <f>IF('Statement of Marks'!AM208="","",'Statement of Marks'!AM208)</f>
        <v>संस्कृत (71)</v>
      </c>
      <c r="C7" s="227">
        <f>IF('Statement of Marks'!AM210="","",'Statement of Marks'!AM210)</f>
        <v>11</v>
      </c>
      <c r="D7" s="227">
        <f>'Statement of Marks'!AQ212</f>
        <v>11</v>
      </c>
      <c r="E7" s="228">
        <f>'Statement of Marks'!AM213</f>
        <v>100</v>
      </c>
      <c r="F7" s="229">
        <f>'Statement of Marks'!AM212</f>
        <v>2</v>
      </c>
      <c r="G7" s="229">
        <f>'Statement of Marks'!AN212</f>
        <v>9</v>
      </c>
      <c r="H7" s="229">
        <f>'Statement of Marks'!AO212</f>
        <v>0</v>
      </c>
      <c r="I7" s="229">
        <f>'Statement of Marks'!AP212</f>
        <v>0</v>
      </c>
      <c r="J7" s="233">
        <f>'Statement of Marks'!AM214</f>
        <v>0</v>
      </c>
      <c r="K7" s="229">
        <f>'Statement of Marks'!AM215</f>
        <v>0</v>
      </c>
      <c r="L7" s="229">
        <f>'Statement of Marks'!AM217</f>
        <v>0</v>
      </c>
      <c r="M7" s="229">
        <f>'Statement of Marks'!AM218</f>
        <v>0</v>
      </c>
      <c r="N7" s="230">
        <f>COUNTIF('Statement of Marks'!$B$7:$B$206,"nso")</f>
        <v>0</v>
      </c>
      <c r="O7" s="224">
        <f>IF(D7="","",SUM(D7,J7,K7,M7,N7,L7))</f>
        <v>11</v>
      </c>
      <c r="P7" s="108"/>
    </row>
    <row r="8" spans="1:16" ht="24" customHeight="1">
      <c r="A8" s="231">
        <f>IF('Statement of Marks'!AR209="","",'Statement of Marks'!AR209)</f>
        <v>0</v>
      </c>
      <c r="B8" s="232" t="str">
        <f>IF('Statement of Marks'!AR208="","",'Statement of Marks'!AR208)</f>
        <v xml:space="preserve">उर्दू (72) </v>
      </c>
      <c r="C8" s="227">
        <f>IF('Statement of Marks'!AR210="","",'Statement of Marks'!AR210)</f>
        <v>9</v>
      </c>
      <c r="D8" s="234">
        <f>'Statement of Marks'!BB212</f>
        <v>9</v>
      </c>
      <c r="E8" s="228">
        <f>'Statement of Marks'!AR213</f>
        <v>100</v>
      </c>
      <c r="F8" s="229">
        <f>'Statement of Marks'!AR212</f>
        <v>0</v>
      </c>
      <c r="G8" s="229">
        <f>'Statement of Marks'!AS212</f>
        <v>9</v>
      </c>
      <c r="H8" s="229">
        <f>'Statement of Marks'!AT212</f>
        <v>0</v>
      </c>
      <c r="I8" s="229">
        <f>'Statement of Marks'!AU212</f>
        <v>0</v>
      </c>
      <c r="J8" s="233">
        <f>'Statement of Marks'!AR214</f>
        <v>0</v>
      </c>
      <c r="K8" s="233">
        <f>'Statement of Marks'!AR215</f>
        <v>0</v>
      </c>
      <c r="L8" s="233">
        <f>'Statement of Marks'!AR217</f>
        <v>0</v>
      </c>
      <c r="M8" s="233">
        <f>'Statement of Marks'!AR218</f>
        <v>0</v>
      </c>
      <c r="N8" s="230">
        <f>COUNTIF('Statement of Marks'!$B$7:$B$206,"nso")</f>
        <v>0</v>
      </c>
      <c r="O8" s="224">
        <f>IF(D8="","",SUM(D8,J8,K8,M8,N8,L8))</f>
        <v>9</v>
      </c>
      <c r="P8" s="108"/>
    </row>
    <row r="9" spans="1:16" ht="24" customHeight="1">
      <c r="A9" s="231">
        <f>IF('Statement of Marks'!BC209="","",'Statement of Marks'!BC209)</f>
        <v>0</v>
      </c>
      <c r="B9" s="232" t="str">
        <f>IF('Statement of Marks'!BC208="","",'Statement of Marks'!BC208)</f>
        <v>गुजराती (73)</v>
      </c>
      <c r="C9" s="227">
        <f>IF('Statement of Marks'!BC210="","",'Statement of Marks'!BC210)</f>
        <v>4</v>
      </c>
      <c r="D9" s="227">
        <f>'Statement of Marks'!BG212</f>
        <v>4</v>
      </c>
      <c r="E9" s="228">
        <f>'Statement of Marks'!BC213</f>
        <v>100</v>
      </c>
      <c r="F9" s="229">
        <f>'Statement of Marks'!BC212</f>
        <v>1</v>
      </c>
      <c r="G9" s="229">
        <f>'Statement of Marks'!BD212</f>
        <v>3</v>
      </c>
      <c r="H9" s="229">
        <f>'Statement of Marks'!BE212</f>
        <v>0</v>
      </c>
      <c r="I9" s="229">
        <f>'Statement of Marks'!BF212</f>
        <v>0</v>
      </c>
      <c r="J9" s="233">
        <f>'Statement of Marks'!BC214</f>
        <v>0</v>
      </c>
      <c r="K9" s="233">
        <f>'Statement of Marks'!BC215</f>
        <v>0</v>
      </c>
      <c r="L9" s="233">
        <f>'Statement of Marks'!BC217</f>
        <v>0</v>
      </c>
      <c r="M9" s="233">
        <f>'Statement of Marks'!BC218</f>
        <v>0</v>
      </c>
      <c r="N9" s="230">
        <f>COUNTIF('Statement of Marks'!$B$7:$B$206,"nso")</f>
        <v>0</v>
      </c>
      <c r="O9" s="224">
        <f>IF(D9="","",SUM(D9,J9,K9,M9,N9,L9))</f>
        <v>4</v>
      </c>
      <c r="P9" s="108"/>
    </row>
    <row r="10" spans="1:16" ht="24" customHeight="1">
      <c r="A10" s="231">
        <f>IF('Statement of Marks'!BH209="","",'Statement of Marks'!BH209)</f>
        <v>0</v>
      </c>
      <c r="B10" s="232" t="str">
        <f>IF('Statement of Marks'!BH208="","",'Statement of Marks'!BH208)</f>
        <v xml:space="preserve">सिंधी (74) </v>
      </c>
      <c r="C10" s="227">
        <f>'Statement of Marks'!BH210</f>
        <v>4</v>
      </c>
      <c r="D10" s="227">
        <f>'Statement of Marks'!BR212</f>
        <v>4</v>
      </c>
      <c r="E10" s="228">
        <f>'Statement of Marks'!BH213</f>
        <v>100</v>
      </c>
      <c r="F10" s="229">
        <f>'Statement of Marks'!BH212</f>
        <v>0</v>
      </c>
      <c r="G10" s="229">
        <f>'Statement of Marks'!BI212</f>
        <v>4</v>
      </c>
      <c r="H10" s="229">
        <f>'Statement of Marks'!BP212</f>
        <v>0</v>
      </c>
      <c r="I10" s="229">
        <f>'Statement of Marks'!BQ212</f>
        <v>0</v>
      </c>
      <c r="J10" s="233">
        <f>'Statement of Marks'!BH214</f>
        <v>0</v>
      </c>
      <c r="K10" s="233">
        <f>'Statement of Marks'!BH215</f>
        <v>0</v>
      </c>
      <c r="L10" s="233">
        <f>'Statement of Marks'!BH217</f>
        <v>0</v>
      </c>
      <c r="M10" s="233">
        <f>'Statement of Marks'!BH218</f>
        <v>0</v>
      </c>
      <c r="N10" s="230">
        <f>COUNTIF('Statement of Marks'!$B$7:$B$206,"nso")</f>
        <v>0</v>
      </c>
      <c r="O10" s="224">
        <f t="shared" ref="O10:O14" si="0">IF(D10="","",SUM(D10,J10,K10,M10,N10,L10))</f>
        <v>4</v>
      </c>
      <c r="P10" s="108"/>
    </row>
    <row r="11" spans="1:16" ht="24" customHeight="1">
      <c r="A11" s="231">
        <f>IF('Statement of Marks'!BS209="","",'Statement of Marks'!BS209)</f>
        <v>0</v>
      </c>
      <c r="B11" s="232" t="str">
        <f>IF('Statement of Marks'!BS208="","",'Statement of Marks'!BS208)</f>
        <v>पंजाबी (75)</v>
      </c>
      <c r="C11" s="227">
        <f>'Statement of Marks'!BS210</f>
        <v>3</v>
      </c>
      <c r="D11" s="227">
        <f>'Statement of Marks'!BW212</f>
        <v>3</v>
      </c>
      <c r="E11" s="228">
        <f>'Statement of Marks'!BS213</f>
        <v>100</v>
      </c>
      <c r="F11" s="229">
        <f>'Statement of Marks'!BS212</f>
        <v>0</v>
      </c>
      <c r="G11" s="229">
        <f>'Statement of Marks'!BT212</f>
        <v>3</v>
      </c>
      <c r="H11" s="229">
        <f>'Statement of Marks'!BU212</f>
        <v>0</v>
      </c>
      <c r="I11" s="229">
        <f>'Statement of Marks'!BV212</f>
        <v>0</v>
      </c>
      <c r="J11" s="233">
        <f>'Statement of Marks'!BS214</f>
        <v>0</v>
      </c>
      <c r="K11" s="233">
        <f>'Statement of Marks'!BS215</f>
        <v>0</v>
      </c>
      <c r="L11" s="233">
        <f>'Statement of Marks'!BS217</f>
        <v>0</v>
      </c>
      <c r="M11" s="233">
        <f>'Statement of Marks'!BS218</f>
        <v>0</v>
      </c>
      <c r="N11" s="230">
        <f>COUNTIF('Statement of Marks'!$B$7:$B$206,"nso")</f>
        <v>0</v>
      </c>
      <c r="O11" s="224">
        <f t="shared" si="0"/>
        <v>3</v>
      </c>
      <c r="P11" s="108"/>
    </row>
    <row r="12" spans="1:16" ht="24" customHeight="1">
      <c r="A12" s="231" t="str">
        <f>IF('Statement of Marks'!CE209="","",'Statement of Marks'!CE209)</f>
        <v>Yogendra</v>
      </c>
      <c r="B12" s="232" t="str">
        <f>IF('Statement of Marks'!CE208="","",'Statement of Marks'!CE208)</f>
        <v>गणित</v>
      </c>
      <c r="C12" s="227">
        <f>'Statement of Marks'!CE210</f>
        <v>31</v>
      </c>
      <c r="D12" s="227">
        <f>'Statement of Marks'!CI212</f>
        <v>30</v>
      </c>
      <c r="E12" s="228">
        <f>'Statement of Marks'!CE213</f>
        <v>96.774193548387103</v>
      </c>
      <c r="F12" s="229">
        <f>'Statement of Marks'!CE212</f>
        <v>2</v>
      </c>
      <c r="G12" s="229">
        <f>'Statement of Marks'!CF212</f>
        <v>22</v>
      </c>
      <c r="H12" s="229">
        <f>'Statement of Marks'!CG212</f>
        <v>2</v>
      </c>
      <c r="I12" s="229">
        <f>'Statement of Marks'!CH212</f>
        <v>4</v>
      </c>
      <c r="J12" s="233">
        <f>'Statement of Marks'!CE214</f>
        <v>1</v>
      </c>
      <c r="K12" s="233">
        <f>'Statement of Marks'!CE215</f>
        <v>0</v>
      </c>
      <c r="L12" s="233">
        <f>'Statement of Marks'!CE217</f>
        <v>0</v>
      </c>
      <c r="M12" s="233">
        <f>'Statement of Marks'!CE218</f>
        <v>0</v>
      </c>
      <c r="N12" s="230">
        <f>COUNTIF('Statement of Marks'!$B$7:$B$206,"nso")</f>
        <v>0</v>
      </c>
      <c r="O12" s="224">
        <f t="shared" si="0"/>
        <v>31</v>
      </c>
      <c r="P12" s="108"/>
    </row>
    <row r="13" spans="1:16" ht="24" customHeight="1">
      <c r="A13" s="231" t="str">
        <f>IF('Statement of Marks'!CJ209="","",'Statement of Marks'!CJ209)</f>
        <v>Rakesh kumar Sharma</v>
      </c>
      <c r="B13" s="232" t="str">
        <f>IF('Statement of Marks'!CJ208="","",'Statement of Marks'!CJ208)</f>
        <v>विज्ञान</v>
      </c>
      <c r="C13" s="227">
        <f>'Statement of Marks'!CE210</f>
        <v>31</v>
      </c>
      <c r="D13" s="234">
        <f>'Statement of Marks'!CT212</f>
        <v>31</v>
      </c>
      <c r="E13" s="228">
        <f>'Statement of Marks'!CJ213</f>
        <v>100</v>
      </c>
      <c r="F13" s="229">
        <f>'Statement of Marks'!CJ212</f>
        <v>1</v>
      </c>
      <c r="G13" s="229">
        <f>'Statement of Marks'!CK212</f>
        <v>29</v>
      </c>
      <c r="H13" s="229">
        <f>'Statement of Marks'!CL212</f>
        <v>0</v>
      </c>
      <c r="I13" s="229">
        <f>'Statement of Marks'!CS212</f>
        <v>1</v>
      </c>
      <c r="J13" s="233">
        <f>'Statement of Marks'!CJ214</f>
        <v>0</v>
      </c>
      <c r="K13" s="233">
        <f>'Statement of Marks'!CJ215</f>
        <v>0</v>
      </c>
      <c r="L13" s="233">
        <f>'Statement of Marks'!CJ217</f>
        <v>0</v>
      </c>
      <c r="M13" s="233">
        <f>'Statement of Marks'!CJ218</f>
        <v>0</v>
      </c>
      <c r="N13" s="230">
        <f>COUNTIF('Statement of Marks'!$B$7:$B$206,"nso")</f>
        <v>0</v>
      </c>
      <c r="O13" s="224">
        <f t="shared" si="0"/>
        <v>31</v>
      </c>
      <c r="P13" s="108"/>
    </row>
    <row r="14" spans="1:16" ht="24" customHeight="1">
      <c r="A14" s="231" t="str">
        <f>IF('Statement of Marks'!CU209="","",'Statement of Marks'!CU209)</f>
        <v>Sharad Sharma</v>
      </c>
      <c r="B14" s="232" t="str">
        <f>IF('Statement of Marks'!CU208="","",'Statement of Marks'!CU208)</f>
        <v>सामाजिक विज्ञान</v>
      </c>
      <c r="C14" s="227">
        <f>'Statement of Marks'!CU210</f>
        <v>31</v>
      </c>
      <c r="D14" s="227">
        <f>'Statement of Marks'!CY212</f>
        <v>31</v>
      </c>
      <c r="E14" s="228">
        <f>'Statement of Marks'!CU213</f>
        <v>100</v>
      </c>
      <c r="F14" s="229">
        <f>'Statement of Marks'!CU212</f>
        <v>3</v>
      </c>
      <c r="G14" s="229">
        <f>'Statement of Marks'!CV212</f>
        <v>28</v>
      </c>
      <c r="H14" s="229">
        <f>'Statement of Marks'!CW212</f>
        <v>0</v>
      </c>
      <c r="I14" s="229">
        <f>'Statement of Marks'!CX212</f>
        <v>0</v>
      </c>
      <c r="J14" s="233">
        <f>'Statement of Marks'!CU214</f>
        <v>0</v>
      </c>
      <c r="K14" s="233">
        <f>'Statement of Marks'!CU215</f>
        <v>0</v>
      </c>
      <c r="L14" s="233">
        <f>'Statement of Marks'!CU217</f>
        <v>0</v>
      </c>
      <c r="M14" s="233">
        <f>'Statement of Marks'!CU218</f>
        <v>0</v>
      </c>
      <c r="N14" s="230">
        <f>COUNTIF('Statement of Marks'!$B$7:$B$206,"nso")</f>
        <v>0</v>
      </c>
      <c r="O14" s="224">
        <f t="shared" si="0"/>
        <v>31</v>
      </c>
      <c r="P14" s="108"/>
    </row>
    <row r="15" spans="1:16" ht="24" customHeight="1" thickBot="1">
      <c r="A15" s="235" t="str">
        <f>IF('Statement of Marks'!CZ209="","",'Statement of Marks'!CZ209)</f>
        <v>Pravin kumar</v>
      </c>
      <c r="B15" s="389" t="str">
        <f>IF('Statement of Marks'!CZ208="","",'Statement of Marks'!CZ208)</f>
        <v>व्यावसायिक शिक्षा विषय</v>
      </c>
      <c r="C15" s="236">
        <f>'Statement of Marks'!CZ210</f>
        <v>3</v>
      </c>
      <c r="D15" s="237">
        <f>'Statement of Marks'!DE212</f>
        <v>3</v>
      </c>
      <c r="E15" s="238">
        <f>'Statement of Marks'!CZ213</f>
        <v>100</v>
      </c>
      <c r="F15" s="239">
        <f>'Statement of Marks'!CZ212</f>
        <v>2</v>
      </c>
      <c r="G15" s="239">
        <f>'Statement of Marks'!DA212</f>
        <v>1</v>
      </c>
      <c r="H15" s="239">
        <f>'Statement of Marks'!DB212</f>
        <v>0</v>
      </c>
      <c r="I15" s="239">
        <f>'Statement of Marks'!DC212</f>
        <v>0</v>
      </c>
      <c r="J15" s="390">
        <f>'Statement of Marks'!CZ214</f>
        <v>0</v>
      </c>
      <c r="K15" s="390">
        <f>'Statement of Marks'!CZ215</f>
        <v>0</v>
      </c>
      <c r="L15" s="390">
        <f>'Statement of Marks'!CZ217</f>
        <v>0</v>
      </c>
      <c r="M15" s="390">
        <f>'Statement of Marks'!CZ218</f>
        <v>0</v>
      </c>
      <c r="N15" s="239">
        <f>COUNTIF('Statement of Marks'!$B$7:$B$206,"nso")</f>
        <v>0</v>
      </c>
      <c r="O15" s="240">
        <f>IF(D15="","",SUM(D15,J15,K15,M15,N15,L15))</f>
        <v>3</v>
      </c>
      <c r="P15" s="108"/>
    </row>
    <row r="16" spans="1:16" ht="21" customHeight="1" thickTop="1">
      <c r="A16" s="241"/>
      <c r="B16" s="242"/>
      <c r="C16" s="243"/>
      <c r="D16" s="244"/>
      <c r="E16" s="245"/>
      <c r="F16" s="721"/>
      <c r="G16" s="243"/>
      <c r="H16" s="721"/>
      <c r="I16" s="243"/>
      <c r="J16" s="721"/>
      <c r="K16" s="721"/>
      <c r="L16" s="721"/>
      <c r="M16" s="721"/>
      <c r="N16" s="721"/>
      <c r="O16" s="721"/>
      <c r="P16" s="108"/>
    </row>
    <row r="17" spans="1:16" ht="39" customHeight="1">
      <c r="A17" s="1404" t="str">
        <f>CONCATENATE("( ",UPPER('School Profile'!D15)," )")</f>
        <v>( HEERALAL JAT )</v>
      </c>
      <c r="B17" s="1404"/>
      <c r="C17" s="1404"/>
      <c r="D17" s="244"/>
      <c r="E17" s="245"/>
      <c r="F17" s="721"/>
      <c r="G17" s="243"/>
      <c r="H17" s="721"/>
      <c r="I17" s="243"/>
      <c r="J17" s="1405" t="str">
        <f>CONCATENATE("( ",UPPER('School Profile'!D14)," )")</f>
        <v>( USHA PALIYA )</v>
      </c>
      <c r="K17" s="1405"/>
      <c r="L17" s="1405"/>
      <c r="M17" s="1405"/>
      <c r="N17" s="1405"/>
      <c r="O17" s="1405"/>
      <c r="P17" s="108"/>
    </row>
    <row r="18" spans="1:16" ht="30" customHeight="1">
      <c r="A18" s="1402" t="str">
        <f>IF('School Profile'!D12="Hindi","हस्ताक्षर परीक्षा प्रभारी","Signature of the exam. Incharge")</f>
        <v>हस्ताक्षर परीक्षा प्रभारी</v>
      </c>
      <c r="B18" s="1402"/>
      <c r="C18" s="1402"/>
      <c r="D18" s="246"/>
      <c r="E18" s="247"/>
      <c r="F18" s="248"/>
      <c r="G18" s="249"/>
      <c r="H18" s="248"/>
      <c r="I18" s="249"/>
      <c r="J18" s="1403" t="str">
        <f>IF('School Profile'!D12="Hindi","हस्ताक्षर मय सील मोहर संस्था प्रधान","Signature &amp; Seal of the Head of the Institution")</f>
        <v>हस्ताक्षर मय सील मोहर संस्था प्रधान</v>
      </c>
      <c r="K18" s="1403"/>
      <c r="L18" s="1403"/>
      <c r="M18" s="1403"/>
      <c r="N18" s="1403"/>
      <c r="O18" s="1403"/>
      <c r="P18" s="108"/>
    </row>
    <row r="19" spans="1:16" ht="15.75">
      <c r="A19" s="108"/>
      <c r="B19" s="250"/>
      <c r="C19" s="249"/>
      <c r="D19" s="246"/>
      <c r="E19" s="247"/>
      <c r="F19" s="248"/>
      <c r="G19" s="249"/>
      <c r="H19" s="248"/>
      <c r="I19" s="249"/>
      <c r="J19" s="251"/>
      <c r="K19" s="251"/>
      <c r="L19" s="251"/>
      <c r="M19" s="251"/>
      <c r="N19" s="251"/>
      <c r="O19" s="251"/>
      <c r="P19" s="108"/>
    </row>
    <row r="20" spans="1:16">
      <c r="A20" s="1411" t="s">
        <v>138</v>
      </c>
      <c r="B20" s="1411"/>
      <c r="C20" s="1411"/>
      <c r="D20" s="1411"/>
      <c r="E20" s="1411"/>
      <c r="F20" s="1411"/>
      <c r="G20" s="1411"/>
      <c r="H20" s="1411"/>
      <c r="I20" s="1411"/>
      <c r="J20" s="1411"/>
      <c r="K20" s="1411"/>
      <c r="L20" s="1411"/>
      <c r="M20" s="1411"/>
      <c r="N20" s="1411"/>
      <c r="O20" s="1411"/>
      <c r="P20" s="252"/>
    </row>
    <row r="21" spans="1:16" ht="15.75" customHeight="1">
      <c r="A21" s="1411"/>
      <c r="B21" s="1411"/>
      <c r="C21" s="1411"/>
      <c r="D21" s="1411"/>
      <c r="E21" s="1411"/>
      <c r="F21" s="1411"/>
      <c r="G21" s="1411"/>
      <c r="H21" s="1411"/>
      <c r="I21" s="1411"/>
      <c r="J21" s="1411"/>
      <c r="K21" s="1411"/>
      <c r="L21" s="1411"/>
      <c r="M21" s="1411"/>
      <c r="N21" s="1411"/>
      <c r="O21" s="1411"/>
      <c r="P21" s="253"/>
    </row>
    <row r="22" spans="1:16" ht="15.75">
      <c r="A22" s="108"/>
      <c r="B22" s="108"/>
      <c r="C22" s="108"/>
      <c r="D22" s="108"/>
      <c r="E22" s="108"/>
      <c r="F22" s="108"/>
      <c r="G22" s="108"/>
      <c r="H22" s="108"/>
      <c r="I22" s="108"/>
      <c r="J22" s="108"/>
      <c r="K22" s="108"/>
      <c r="L22" s="108"/>
      <c r="M22" s="108"/>
      <c r="N22" s="108"/>
      <c r="O22" s="108"/>
      <c r="P22" s="108"/>
    </row>
    <row r="23" spans="1:16" ht="16.5" customHeight="1">
      <c r="A23" s="1385" t="str">
        <f>IF('School Profile'!D12="Hindi",CONCATENATE("विद्यालय का नाम :-","  ",'School Profile'!D9),CONCATENATE("School Name :-","  ",'School Profile'!D8))</f>
        <v xml:space="preserve">विद्यालय का नाम :-  महात्मा गाँधी राजकीय विद्यालय (अंग्रेजी माध्यम) बर, पाली </v>
      </c>
      <c r="B23" s="1385"/>
      <c r="C23" s="1385"/>
      <c r="D23" s="1385"/>
      <c r="E23" s="1385"/>
      <c r="F23" s="1385"/>
      <c r="G23" s="1385"/>
      <c r="H23" s="1385"/>
      <c r="I23" s="1385"/>
      <c r="J23" s="1385"/>
      <c r="K23" s="1385"/>
      <c r="L23" s="1385"/>
      <c r="M23" s="1385"/>
      <c r="N23" s="1385"/>
      <c r="O23" s="1385"/>
      <c r="P23" s="108"/>
    </row>
    <row r="24" spans="1:16" ht="16.5" thickBot="1">
      <c r="A24" s="1385"/>
      <c r="B24" s="1385"/>
      <c r="C24" s="1385"/>
      <c r="D24" s="1385"/>
      <c r="E24" s="1385"/>
      <c r="F24" s="1385"/>
      <c r="G24" s="1385"/>
      <c r="H24" s="1385"/>
      <c r="I24" s="1385"/>
      <c r="J24" s="1385"/>
      <c r="K24" s="1385"/>
      <c r="L24" s="1385"/>
      <c r="M24" s="1385"/>
      <c r="N24" s="1385"/>
      <c r="O24" s="1385"/>
      <c r="P24" s="108"/>
    </row>
    <row r="25" spans="1:16" ht="35.25" customHeight="1" thickTop="1" thickBot="1">
      <c r="A25" s="1386" t="str">
        <f>IF('School Profile'!D12="Hindi","वर्गवार परीक्षा परिणाम","CATEGORY-WISE RESULT")</f>
        <v>वर्गवार परीक्षा परिणाम</v>
      </c>
      <c r="B25" s="1387"/>
      <c r="C25" s="1387"/>
      <c r="D25" s="1387"/>
      <c r="E25" s="1387"/>
      <c r="F25" s="1387"/>
      <c r="G25" s="1407" t="str">
        <f>IF('School Profile'!D12="Hindi","कक्षा :-","CLASS :-")</f>
        <v>कक्षा :-</v>
      </c>
      <c r="H25" s="1407"/>
      <c r="I25" s="1406" t="str">
        <f>'Supp. Result Entry'!C2</f>
        <v>9th</v>
      </c>
      <c r="J25" s="1406"/>
      <c r="K25" s="1406"/>
      <c r="L25" s="1407" t="str">
        <f>IF('School Profile'!D12="Hindi","सत्र  :-","Session :-")</f>
        <v>सत्र  :-</v>
      </c>
      <c r="M25" s="1407"/>
      <c r="N25" s="1406" t="str">
        <f>'Marks Entry'!I3</f>
        <v>2024-2025</v>
      </c>
      <c r="O25" s="1408"/>
      <c r="P25" s="108"/>
    </row>
    <row r="26" spans="1:16" ht="34.5" customHeight="1" thickTop="1" thickBot="1">
      <c r="A26" s="1388" t="str">
        <f>IF('School Profile'!D12="Hindi","विवरण","Details")</f>
        <v>विवरण</v>
      </c>
      <c r="B26" s="1388"/>
      <c r="C26" s="254" t="s">
        <v>43</v>
      </c>
      <c r="D26" s="254" t="s">
        <v>44</v>
      </c>
      <c r="E26" s="254" t="s">
        <v>45</v>
      </c>
      <c r="F26" s="254" t="s">
        <v>46</v>
      </c>
      <c r="G26" s="254" t="s">
        <v>47</v>
      </c>
      <c r="H26" s="254" t="s">
        <v>48</v>
      </c>
      <c r="I26" s="254" t="s">
        <v>49</v>
      </c>
      <c r="J26" s="254" t="s">
        <v>50</v>
      </c>
      <c r="K26" s="254" t="s">
        <v>51</v>
      </c>
      <c r="L26" s="254" t="s">
        <v>52</v>
      </c>
      <c r="M26" s="254" t="s">
        <v>53</v>
      </c>
      <c r="N26" s="254" t="s">
        <v>54</v>
      </c>
      <c r="O26" s="255" t="s">
        <v>55</v>
      </c>
      <c r="P26" s="108"/>
    </row>
    <row r="27" spans="1:16" ht="23.1" customHeight="1" thickTop="1">
      <c r="A27" s="1389" t="str">
        <f>'Result Aggregate'!BM207</f>
        <v>प्रथम श्रेणी</v>
      </c>
      <c r="B27" s="1390"/>
      <c r="C27" s="256">
        <f>'Result Aggregate'!BN207</f>
        <v>1</v>
      </c>
      <c r="D27" s="256">
        <f>'Result Aggregate'!BO207</f>
        <v>0</v>
      </c>
      <c r="E27" s="256">
        <f>'Result Aggregate'!BP207</f>
        <v>0</v>
      </c>
      <c r="F27" s="256">
        <f>'Result Aggregate'!BQ207</f>
        <v>0</v>
      </c>
      <c r="G27" s="256">
        <f>'Result Aggregate'!BR207</f>
        <v>2</v>
      </c>
      <c r="H27" s="256">
        <f>'Result Aggregate'!BS207</f>
        <v>1</v>
      </c>
      <c r="I27" s="256">
        <f>'Result Aggregate'!BT207</f>
        <v>0</v>
      </c>
      <c r="J27" s="256">
        <f>'Result Aggregate'!BU207</f>
        <v>1</v>
      </c>
      <c r="K27" s="256">
        <f>'Result Aggregate'!BV207</f>
        <v>0</v>
      </c>
      <c r="L27" s="256">
        <f>'Result Aggregate'!BW207</f>
        <v>1</v>
      </c>
      <c r="M27" s="256">
        <f>'Result Aggregate'!BX207</f>
        <v>0</v>
      </c>
      <c r="N27" s="256">
        <f>'Result Aggregate'!BY207</f>
        <v>1</v>
      </c>
      <c r="O27" s="257">
        <f>'Result Aggregate'!BZ207</f>
        <v>7</v>
      </c>
      <c r="P27" s="108"/>
    </row>
    <row r="28" spans="1:16" ht="23.1" customHeight="1">
      <c r="A28" s="1389" t="str">
        <f>'Result Aggregate'!BM208</f>
        <v>द्वितीय श्रेणी</v>
      </c>
      <c r="B28" s="1390"/>
      <c r="C28" s="258">
        <f>'Result Aggregate'!BN208</f>
        <v>0</v>
      </c>
      <c r="D28" s="258">
        <f>'Result Aggregate'!BO208</f>
        <v>0</v>
      </c>
      <c r="E28" s="258">
        <f>'Result Aggregate'!BP208</f>
        <v>0</v>
      </c>
      <c r="F28" s="258">
        <f>'Result Aggregate'!BQ208</f>
        <v>1</v>
      </c>
      <c r="G28" s="258">
        <f>'Result Aggregate'!BR208</f>
        <v>0</v>
      </c>
      <c r="H28" s="258">
        <f>'Result Aggregate'!BS208</f>
        <v>0</v>
      </c>
      <c r="I28" s="258">
        <f>'Result Aggregate'!BT208</f>
        <v>0</v>
      </c>
      <c r="J28" s="258">
        <f>'Result Aggregate'!BU208</f>
        <v>0</v>
      </c>
      <c r="K28" s="258">
        <f>'Result Aggregate'!BV208</f>
        <v>0</v>
      </c>
      <c r="L28" s="258">
        <f>'Result Aggregate'!BW208</f>
        <v>0</v>
      </c>
      <c r="M28" s="258">
        <f>'Result Aggregate'!BX208</f>
        <v>1</v>
      </c>
      <c r="N28" s="258">
        <f>'Result Aggregate'!BY208</f>
        <v>0</v>
      </c>
      <c r="O28" s="259">
        <f>'Result Aggregate'!BZ208</f>
        <v>2</v>
      </c>
      <c r="P28" s="108"/>
    </row>
    <row r="29" spans="1:16" ht="23.1" customHeight="1">
      <c r="A29" s="1389" t="str">
        <f>'Result Aggregate'!BM209</f>
        <v>तृतीय श्रेणी</v>
      </c>
      <c r="B29" s="1390"/>
      <c r="C29" s="258">
        <f>'Result Aggregate'!BN209</f>
        <v>0</v>
      </c>
      <c r="D29" s="258">
        <f>'Result Aggregate'!BO209</f>
        <v>0</v>
      </c>
      <c r="E29" s="258">
        <f>'Result Aggregate'!BP209</f>
        <v>0</v>
      </c>
      <c r="F29" s="258">
        <f>'Result Aggregate'!BQ209</f>
        <v>0</v>
      </c>
      <c r="G29" s="258">
        <f>'Result Aggregate'!BR209</f>
        <v>0</v>
      </c>
      <c r="H29" s="258">
        <f>'Result Aggregate'!BS209</f>
        <v>0</v>
      </c>
      <c r="I29" s="258">
        <f>'Result Aggregate'!BT209</f>
        <v>0</v>
      </c>
      <c r="J29" s="258">
        <f>'Result Aggregate'!BU209</f>
        <v>0</v>
      </c>
      <c r="K29" s="258">
        <f>'Result Aggregate'!BV209</f>
        <v>0</v>
      </c>
      <c r="L29" s="258">
        <f>'Result Aggregate'!BW209</f>
        <v>0</v>
      </c>
      <c r="M29" s="258">
        <f>'Result Aggregate'!BX209</f>
        <v>0</v>
      </c>
      <c r="N29" s="258">
        <f>'Result Aggregate'!BY209</f>
        <v>0</v>
      </c>
      <c r="O29" s="259">
        <f>'Result Aggregate'!BZ209</f>
        <v>0</v>
      </c>
      <c r="P29" s="108"/>
    </row>
    <row r="30" spans="1:16" ht="23.1" customHeight="1">
      <c r="A30" s="1389" t="str">
        <f>'Result Aggregate'!BM210</f>
        <v>कुल उत्तीर्ण</v>
      </c>
      <c r="B30" s="1390"/>
      <c r="C30" s="258">
        <f>'Result Aggregate'!BN210</f>
        <v>1</v>
      </c>
      <c r="D30" s="258">
        <f>'Result Aggregate'!BO210</f>
        <v>0</v>
      </c>
      <c r="E30" s="258">
        <f>'Result Aggregate'!BP210</f>
        <v>0</v>
      </c>
      <c r="F30" s="258">
        <f>'Result Aggregate'!BQ210</f>
        <v>1</v>
      </c>
      <c r="G30" s="258">
        <f>'Result Aggregate'!BR210</f>
        <v>2</v>
      </c>
      <c r="H30" s="258">
        <f>'Result Aggregate'!BS210</f>
        <v>1</v>
      </c>
      <c r="I30" s="258">
        <f>'Result Aggregate'!BT210</f>
        <v>0</v>
      </c>
      <c r="J30" s="258">
        <f>'Result Aggregate'!BU210</f>
        <v>1</v>
      </c>
      <c r="K30" s="258">
        <f>'Result Aggregate'!BV210</f>
        <v>0</v>
      </c>
      <c r="L30" s="258">
        <f>'Result Aggregate'!BW210</f>
        <v>1</v>
      </c>
      <c r="M30" s="258">
        <f>'Result Aggregate'!BX210</f>
        <v>1</v>
      </c>
      <c r="N30" s="258">
        <f>'Result Aggregate'!BY210</f>
        <v>1</v>
      </c>
      <c r="O30" s="259">
        <f>'Result Aggregate'!BZ210</f>
        <v>9</v>
      </c>
      <c r="P30" s="108"/>
    </row>
    <row r="31" spans="1:16" ht="23.1" customHeight="1">
      <c r="A31" s="1389" t="str">
        <f>'Result Aggregate'!BM211</f>
        <v>पूरक</v>
      </c>
      <c r="B31" s="1390"/>
      <c r="C31" s="258">
        <f>'Result Aggregate'!BN211</f>
        <v>0</v>
      </c>
      <c r="D31" s="258">
        <f>'Result Aggregate'!BO211</f>
        <v>0</v>
      </c>
      <c r="E31" s="258">
        <f>'Result Aggregate'!BP211</f>
        <v>0</v>
      </c>
      <c r="F31" s="258">
        <f>'Result Aggregate'!BQ211</f>
        <v>0</v>
      </c>
      <c r="G31" s="258">
        <f>'Result Aggregate'!BR211</f>
        <v>0</v>
      </c>
      <c r="H31" s="258">
        <f>'Result Aggregate'!BS211</f>
        <v>0</v>
      </c>
      <c r="I31" s="258">
        <f>'Result Aggregate'!BT211</f>
        <v>0</v>
      </c>
      <c r="J31" s="258">
        <f>'Result Aggregate'!BU211</f>
        <v>0</v>
      </c>
      <c r="K31" s="258">
        <f>'Result Aggregate'!BV211</f>
        <v>0</v>
      </c>
      <c r="L31" s="258">
        <f>'Result Aggregate'!BW211</f>
        <v>0</v>
      </c>
      <c r="M31" s="258">
        <f>'Result Aggregate'!BX211</f>
        <v>0</v>
      </c>
      <c r="N31" s="258">
        <f>'Result Aggregate'!BY211</f>
        <v>0</v>
      </c>
      <c r="O31" s="259">
        <f>'Result Aggregate'!BZ211</f>
        <v>0</v>
      </c>
      <c r="P31" s="260"/>
    </row>
    <row r="32" spans="1:16" ht="23.1" customHeight="1">
      <c r="A32" s="1389" t="str">
        <f>'Result Aggregate'!BM212</f>
        <v>पुनः परीक्षा</v>
      </c>
      <c r="B32" s="1390"/>
      <c r="C32" s="258">
        <f>'Result Aggregate'!BN212</f>
        <v>0</v>
      </c>
      <c r="D32" s="258">
        <f>'Result Aggregate'!BO212</f>
        <v>0</v>
      </c>
      <c r="E32" s="258">
        <f>'Result Aggregate'!BP212</f>
        <v>0</v>
      </c>
      <c r="F32" s="258">
        <f>'Result Aggregate'!BQ212</f>
        <v>0</v>
      </c>
      <c r="G32" s="258">
        <f>'Result Aggregate'!BR212</f>
        <v>0</v>
      </c>
      <c r="H32" s="258">
        <f>'Result Aggregate'!BS212</f>
        <v>0</v>
      </c>
      <c r="I32" s="258">
        <f>'Result Aggregate'!BT212</f>
        <v>0</v>
      </c>
      <c r="J32" s="258">
        <f>'Result Aggregate'!BU212</f>
        <v>0</v>
      </c>
      <c r="K32" s="258">
        <f>'Result Aggregate'!BV212</f>
        <v>0</v>
      </c>
      <c r="L32" s="258">
        <f>'Result Aggregate'!BW212</f>
        <v>0</v>
      </c>
      <c r="M32" s="258">
        <f>'Result Aggregate'!BX212</f>
        <v>0</v>
      </c>
      <c r="N32" s="258">
        <f>'Result Aggregate'!BY212</f>
        <v>0</v>
      </c>
      <c r="O32" s="259">
        <f>'Result Aggregate'!BZ212</f>
        <v>0</v>
      </c>
      <c r="P32" s="261"/>
    </row>
    <row r="33" spans="1:16" ht="23.1" customHeight="1">
      <c r="A33" s="1389" t="str">
        <f>'Result Aggregate'!BM213</f>
        <v>अनुतीर्ण</v>
      </c>
      <c r="B33" s="1390"/>
      <c r="C33" s="258">
        <f>'Result Aggregate'!BN213</f>
        <v>1</v>
      </c>
      <c r="D33" s="258">
        <f>'Result Aggregate'!BO213</f>
        <v>0</v>
      </c>
      <c r="E33" s="258">
        <f>'Result Aggregate'!BP213</f>
        <v>0</v>
      </c>
      <c r="F33" s="258">
        <f>'Result Aggregate'!BQ213</f>
        <v>0</v>
      </c>
      <c r="G33" s="258">
        <f>'Result Aggregate'!BR213</f>
        <v>0</v>
      </c>
      <c r="H33" s="258">
        <f>'Result Aggregate'!BS213</f>
        <v>0</v>
      </c>
      <c r="I33" s="258">
        <f>'Result Aggregate'!BT213</f>
        <v>1</v>
      </c>
      <c r="J33" s="258">
        <f>'Result Aggregate'!BU213</f>
        <v>0</v>
      </c>
      <c r="K33" s="258">
        <f>'Result Aggregate'!BV213</f>
        <v>0</v>
      </c>
      <c r="L33" s="258">
        <f>'Result Aggregate'!BW213</f>
        <v>0</v>
      </c>
      <c r="M33" s="258">
        <f>'Result Aggregate'!BX213</f>
        <v>0</v>
      </c>
      <c r="N33" s="258">
        <f>'Result Aggregate'!BY213</f>
        <v>0</v>
      </c>
      <c r="O33" s="259">
        <f>'Result Aggregate'!BZ213</f>
        <v>2</v>
      </c>
      <c r="P33" s="262"/>
    </row>
    <row r="34" spans="1:16" ht="23.1" customHeight="1">
      <c r="A34" s="1389" t="str">
        <f>'Result Aggregate'!BM214</f>
        <v>प्रविष्ठ कुल विद्यार्थी</v>
      </c>
      <c r="B34" s="1390"/>
      <c r="C34" s="258">
        <f>'Result Aggregate'!BN214</f>
        <v>2</v>
      </c>
      <c r="D34" s="258">
        <f>'Result Aggregate'!BO214</f>
        <v>0</v>
      </c>
      <c r="E34" s="258">
        <f>'Result Aggregate'!BP214</f>
        <v>0</v>
      </c>
      <c r="F34" s="258">
        <f>'Result Aggregate'!BQ214</f>
        <v>1</v>
      </c>
      <c r="G34" s="258">
        <f>'Result Aggregate'!BR214</f>
        <v>2</v>
      </c>
      <c r="H34" s="258">
        <f>'Result Aggregate'!BS214</f>
        <v>1</v>
      </c>
      <c r="I34" s="258">
        <f>'Result Aggregate'!BT214</f>
        <v>1</v>
      </c>
      <c r="J34" s="258">
        <f>'Result Aggregate'!BU214</f>
        <v>1</v>
      </c>
      <c r="K34" s="258">
        <f>'Result Aggregate'!BV214</f>
        <v>0</v>
      </c>
      <c r="L34" s="258">
        <f>'Result Aggregate'!BW214</f>
        <v>1</v>
      </c>
      <c r="M34" s="258">
        <f>'Result Aggregate'!BX214</f>
        <v>1</v>
      </c>
      <c r="N34" s="258">
        <f>'Result Aggregate'!BY214</f>
        <v>1</v>
      </c>
      <c r="O34" s="259">
        <f>'Result Aggregate'!BZ214</f>
        <v>11</v>
      </c>
      <c r="P34" s="262"/>
    </row>
    <row r="35" spans="1:16" ht="23.1" customHeight="1">
      <c r="A35" s="1389" t="str">
        <f>'Result Aggregate'!BM215</f>
        <v>उत्तीर्ण प्रतिशत</v>
      </c>
      <c r="B35" s="1390"/>
      <c r="C35" s="263">
        <f>'Result Aggregate'!BN215</f>
        <v>50</v>
      </c>
      <c r="D35" s="263" t="str">
        <f>'Result Aggregate'!BO215</f>
        <v/>
      </c>
      <c r="E35" s="263" t="str">
        <f>'Result Aggregate'!BP215</f>
        <v/>
      </c>
      <c r="F35" s="263">
        <f>'Result Aggregate'!BQ215</f>
        <v>100</v>
      </c>
      <c r="G35" s="263">
        <f>'Result Aggregate'!BR215</f>
        <v>100</v>
      </c>
      <c r="H35" s="263">
        <f>'Result Aggregate'!BS215</f>
        <v>100</v>
      </c>
      <c r="I35" s="263">
        <f>'Result Aggregate'!BT215</f>
        <v>0</v>
      </c>
      <c r="J35" s="263">
        <f>'Result Aggregate'!BU215</f>
        <v>100</v>
      </c>
      <c r="K35" s="263" t="str">
        <f>'Result Aggregate'!BV215</f>
        <v/>
      </c>
      <c r="L35" s="263">
        <f>'Result Aggregate'!BW215</f>
        <v>100</v>
      </c>
      <c r="M35" s="263">
        <f>'Result Aggregate'!BX215</f>
        <v>100</v>
      </c>
      <c r="N35" s="263">
        <f>'Result Aggregate'!BY215</f>
        <v>100</v>
      </c>
      <c r="O35" s="264">
        <f>'Result Aggregate'!BZ215</f>
        <v>81.818181818181827</v>
      </c>
      <c r="P35" s="262"/>
    </row>
    <row r="36" spans="1:16" ht="23.1" customHeight="1" thickBot="1">
      <c r="A36" s="1409" t="str">
        <f>IF('School Profile'!D12="Hindi","नाम पृथक","NSO")</f>
        <v>नाम पृथक</v>
      </c>
      <c r="B36" s="1410"/>
      <c r="C36" s="265">
        <f>'Result Aggregate'!BN216</f>
        <v>0</v>
      </c>
      <c r="D36" s="265">
        <f>'Result Aggregate'!BO216</f>
        <v>0</v>
      </c>
      <c r="E36" s="265">
        <f>'Result Aggregate'!BP216</f>
        <v>0</v>
      </c>
      <c r="F36" s="265">
        <f>'Result Aggregate'!BQ216</f>
        <v>0</v>
      </c>
      <c r="G36" s="265">
        <f>'Result Aggregate'!BR216</f>
        <v>0</v>
      </c>
      <c r="H36" s="265">
        <f>'Result Aggregate'!BS216</f>
        <v>0</v>
      </c>
      <c r="I36" s="265">
        <f>'Result Aggregate'!BT216</f>
        <v>0</v>
      </c>
      <c r="J36" s="265">
        <f>'Result Aggregate'!BU216</f>
        <v>0</v>
      </c>
      <c r="K36" s="265">
        <f>'Result Aggregate'!BV216</f>
        <v>0</v>
      </c>
      <c r="L36" s="265">
        <f>'Result Aggregate'!BW216</f>
        <v>0</v>
      </c>
      <c r="M36" s="265">
        <f>'Result Aggregate'!BX216</f>
        <v>0</v>
      </c>
      <c r="N36" s="265">
        <f>'Result Aggregate'!BY216</f>
        <v>0</v>
      </c>
      <c r="O36" s="266">
        <f>'Result Aggregate'!BZ216</f>
        <v>0</v>
      </c>
      <c r="P36" s="267"/>
    </row>
    <row r="37" spans="1:16" ht="19.5" thickTop="1">
      <c r="A37" s="108"/>
      <c r="B37" s="108"/>
      <c r="C37" s="108"/>
      <c r="D37" s="108"/>
      <c r="E37" s="108"/>
      <c r="F37" s="108"/>
      <c r="G37" s="108"/>
      <c r="H37" s="108"/>
      <c r="I37" s="108"/>
      <c r="J37" s="108"/>
      <c r="K37" s="108"/>
      <c r="L37" s="108"/>
      <c r="M37" s="108"/>
      <c r="N37" s="108"/>
      <c r="O37" s="108"/>
      <c r="P37" s="268"/>
    </row>
    <row r="38" spans="1:16" ht="39" customHeight="1">
      <c r="A38" s="1404" t="str">
        <f>CONCATENATE("( ",UPPER('School Profile'!D15)," )")</f>
        <v>( HEERALAL JAT )</v>
      </c>
      <c r="B38" s="1404"/>
      <c r="C38" s="1404"/>
      <c r="D38" s="244"/>
      <c r="E38" s="245"/>
      <c r="F38" s="721"/>
      <c r="G38" s="243"/>
      <c r="H38" s="721"/>
      <c r="I38" s="243"/>
      <c r="J38" s="1405" t="str">
        <f>CONCATENATE("( ",UPPER('School Profile'!D14)," )")</f>
        <v>( USHA PALIYA )</v>
      </c>
      <c r="K38" s="1405"/>
      <c r="L38" s="1405"/>
      <c r="M38" s="1405"/>
      <c r="N38" s="1405"/>
      <c r="O38" s="1405"/>
      <c r="P38" s="108"/>
    </row>
    <row r="39" spans="1:16" ht="21.75" customHeight="1">
      <c r="A39" s="1402" t="str">
        <f>IF('School Profile'!D12="Hindi","हस्ताक्षर परीक्षा प्रभारी","Signature of the exam. Incharge")</f>
        <v>हस्ताक्षर परीक्षा प्रभारी</v>
      </c>
      <c r="B39" s="1402"/>
      <c r="C39" s="1402"/>
      <c r="D39" s="246"/>
      <c r="E39" s="247"/>
      <c r="F39" s="248"/>
      <c r="G39" s="249"/>
      <c r="H39" s="248"/>
      <c r="I39" s="249"/>
      <c r="J39" s="1403" t="str">
        <f>IF('School Profile'!D12="Hindi","हस्ताक्षर मय सील मोहर संस्था प्रधान","Signature &amp; Seal of the Head of the Institution")</f>
        <v>हस्ताक्षर मय सील मोहर संस्था प्रधान</v>
      </c>
      <c r="K39" s="1403"/>
      <c r="L39" s="1403"/>
      <c r="M39" s="1403"/>
      <c r="N39" s="1403"/>
      <c r="O39" s="1403"/>
      <c r="P39" s="108"/>
    </row>
    <row r="40" spans="1:16" ht="18.75">
      <c r="A40" s="108"/>
      <c r="B40" s="108"/>
      <c r="C40" s="108"/>
      <c r="D40" s="108"/>
      <c r="E40" s="108"/>
      <c r="F40" s="108"/>
      <c r="G40" s="108"/>
      <c r="H40" s="108"/>
      <c r="I40" s="108"/>
      <c r="J40" s="108"/>
      <c r="K40" s="108"/>
      <c r="L40" s="108"/>
      <c r="M40" s="108"/>
      <c r="N40" s="108"/>
      <c r="O40" s="108"/>
      <c r="P40" s="269"/>
    </row>
    <row r="41" spans="1:16" ht="15.75">
      <c r="A41" s="108"/>
      <c r="B41" s="108"/>
      <c r="C41" s="108"/>
      <c r="D41" s="108"/>
      <c r="E41" s="108"/>
      <c r="F41" s="108"/>
      <c r="G41" s="108"/>
      <c r="H41" s="108"/>
      <c r="I41" s="108"/>
      <c r="J41" s="108"/>
      <c r="K41" s="108"/>
      <c r="L41" s="108"/>
      <c r="M41" s="108"/>
      <c r="N41" s="108"/>
      <c r="O41" s="108"/>
      <c r="P41" s="270"/>
    </row>
    <row r="42" spans="1:16" ht="26.25">
      <c r="A42" s="108"/>
      <c r="B42" s="108"/>
      <c r="C42" s="108"/>
      <c r="D42" s="108"/>
      <c r="E42" s="108"/>
      <c r="F42" s="108"/>
      <c r="G42" s="108"/>
      <c r="H42" s="108"/>
      <c r="I42" s="108"/>
      <c r="J42" s="108"/>
      <c r="K42" s="108"/>
      <c r="L42" s="108"/>
      <c r="M42" s="108"/>
      <c r="N42" s="108"/>
      <c r="O42" s="108"/>
      <c r="P42" s="260"/>
    </row>
    <row r="43" spans="1:16" ht="15.75">
      <c r="A43" s="108"/>
      <c r="B43" s="108"/>
      <c r="C43" s="108"/>
      <c r="D43" s="108"/>
      <c r="E43" s="108"/>
      <c r="F43" s="108"/>
      <c r="G43" s="108"/>
      <c r="H43" s="108"/>
      <c r="I43" s="108"/>
      <c r="J43" s="108"/>
      <c r="K43" s="108"/>
      <c r="L43" s="108"/>
      <c r="M43" s="108"/>
      <c r="N43" s="108"/>
      <c r="O43" s="108"/>
      <c r="P43" s="261"/>
    </row>
    <row r="44" spans="1:16" ht="18.75">
      <c r="A44" s="108"/>
      <c r="B44" s="108"/>
      <c r="C44" s="108"/>
      <c r="D44" s="108"/>
      <c r="E44" s="108"/>
      <c r="F44" s="108"/>
      <c r="G44" s="108"/>
      <c r="H44" s="108"/>
      <c r="I44" s="108"/>
      <c r="J44" s="108"/>
      <c r="K44" s="108"/>
      <c r="L44" s="108"/>
      <c r="M44" s="108"/>
      <c r="N44" s="108"/>
      <c r="O44" s="108"/>
      <c r="P44" s="262"/>
    </row>
    <row r="45" spans="1:16" ht="18.75">
      <c r="A45" s="108"/>
      <c r="B45" s="108"/>
      <c r="C45" s="108"/>
      <c r="D45" s="108"/>
      <c r="E45" s="108"/>
      <c r="F45" s="108"/>
      <c r="G45" s="108"/>
      <c r="H45" s="108"/>
      <c r="I45" s="108"/>
      <c r="J45" s="108"/>
      <c r="K45" s="108"/>
      <c r="L45" s="108"/>
      <c r="M45" s="108"/>
      <c r="N45" s="108"/>
      <c r="O45" s="108"/>
      <c r="P45" s="262"/>
    </row>
    <row r="46" spans="1:16" ht="18.75">
      <c r="A46" s="108"/>
      <c r="B46" s="108"/>
      <c r="C46" s="108"/>
      <c r="D46" s="108"/>
      <c r="E46" s="108"/>
      <c r="F46" s="108"/>
      <c r="G46" s="108"/>
      <c r="H46" s="108"/>
      <c r="I46" s="108"/>
      <c r="J46" s="108"/>
      <c r="K46" s="108"/>
      <c r="L46" s="108"/>
      <c r="M46" s="108"/>
      <c r="N46" s="108"/>
      <c r="O46" s="108"/>
      <c r="P46" s="262"/>
    </row>
  </sheetData>
  <sheetProtection password="D5A2" sheet="1" objects="1" scenarios="1" formatColumns="0" formatRows="0"/>
  <mergeCells count="32">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 ref="A1:O1"/>
    <mergeCell ref="A2:E3"/>
    <mergeCell ref="H2:I3"/>
    <mergeCell ref="F2:G3"/>
    <mergeCell ref="M2:O3"/>
    <mergeCell ref="J2:L3"/>
    <mergeCell ref="A29:B29"/>
    <mergeCell ref="A30:B30"/>
    <mergeCell ref="A31:B31"/>
    <mergeCell ref="A32:B32"/>
    <mergeCell ref="A33:B33"/>
    <mergeCell ref="A23:O24"/>
    <mergeCell ref="A25:F25"/>
    <mergeCell ref="A26:B26"/>
    <mergeCell ref="A27:B27"/>
    <mergeCell ref="A28:B28"/>
  </mergeCells>
  <conditionalFormatting sqref="A47:A65201 P47:P65201 B47:O65203 P18:P19 P22:P26">
    <cfRule type="containsText" dxfId="174" priority="28" stopIfTrue="1" operator="containsText" text="G1">
      <formula>NOT(ISERROR(SEARCH("G1",A18)))</formula>
    </cfRule>
    <cfRule type="containsText" dxfId="173" priority="29" stopIfTrue="1" operator="containsText" text="G2">
      <formula>NOT(ISERROR(SEARCH("G2",A18)))</formula>
    </cfRule>
    <cfRule type="containsText" dxfId="172" priority="30" stopIfTrue="1" operator="containsText" text="G1">
      <formula>NOT(ISERROR(SEARCH("G1",A18)))</formula>
    </cfRule>
    <cfRule type="containsText" dxfId="171" priority="31" stopIfTrue="1" operator="containsText" text="S">
      <formula>NOT(ISERROR(SEARCH("S",A18)))</formula>
    </cfRule>
    <cfRule type="containsText" dxfId="170" priority="32" stopIfTrue="1" operator="containsText" text="F">
      <formula>NOT(ISERROR(SEARCH("F",A18)))</formula>
    </cfRule>
  </conditionalFormatting>
  <conditionalFormatting sqref="P31:P46 C26:O36 C7:C14 B5:B16 A4:A17">
    <cfRule type="cellIs" dxfId="169" priority="27" stopIfTrue="1" operator="equal">
      <formula>0</formula>
    </cfRule>
  </conditionalFormatting>
  <conditionalFormatting sqref="P18:P19 P22:P26">
    <cfRule type="containsText" dxfId="168" priority="24" stopIfTrue="1" operator="containsText" text="RA">
      <formula>NOT(ISERROR(SEARCH("RA",P18)))</formula>
    </cfRule>
    <cfRule type="containsText" dxfId="167" priority="25" stopIfTrue="1" operator="containsText" text="ML">
      <formula>NOT(ISERROR(SEARCH("ML",P18)))</formula>
    </cfRule>
    <cfRule type="containsText" dxfId="166" priority="26" stopIfTrue="1" operator="containsText" text="ML">
      <formula>NOT(ISERROR(SEARCH("ML",P18)))</formula>
    </cfRule>
  </conditionalFormatting>
  <conditionalFormatting sqref="P18:P19 P22:P26">
    <cfRule type="containsText" dxfId="165" priority="23" stopIfTrue="1" operator="containsText" text="S">
      <formula>NOT(ISERROR(SEARCH("S",P18)))</formula>
    </cfRule>
  </conditionalFormatting>
  <conditionalFormatting sqref="J18">
    <cfRule type="cellIs" dxfId="164" priority="14" stopIfTrue="1" operator="equal">
      <formula>0</formula>
    </cfRule>
  </conditionalFormatting>
  <conditionalFormatting sqref="J18">
    <cfRule type="containsText" dxfId="163" priority="13" stopIfTrue="1" operator="containsText" text="iwjd">
      <formula>NOT(ISERROR(SEARCH("iwjd",J18)))</formula>
    </cfRule>
  </conditionalFormatting>
  <conditionalFormatting sqref="P39">
    <cfRule type="containsText" dxfId="162" priority="8" stopIfTrue="1" operator="containsText" text="G1">
      <formula>NOT(ISERROR(SEARCH("G1",P39)))</formula>
    </cfRule>
    <cfRule type="containsText" dxfId="161" priority="9" stopIfTrue="1" operator="containsText" text="G2">
      <formula>NOT(ISERROR(SEARCH("G2",P39)))</formula>
    </cfRule>
    <cfRule type="containsText" dxfId="160" priority="10" stopIfTrue="1" operator="containsText" text="G1">
      <formula>NOT(ISERROR(SEARCH("G1",P39)))</formula>
    </cfRule>
    <cfRule type="containsText" dxfId="159" priority="11" stopIfTrue="1" operator="containsText" text="S">
      <formula>NOT(ISERROR(SEARCH("S",P39)))</formula>
    </cfRule>
    <cfRule type="containsText" dxfId="158" priority="12" stopIfTrue="1" operator="containsText" text="F">
      <formula>NOT(ISERROR(SEARCH("F",P39)))</formula>
    </cfRule>
  </conditionalFormatting>
  <conditionalFormatting sqref="A38">
    <cfRule type="cellIs" dxfId="157" priority="7" stopIfTrue="1" operator="equal">
      <formula>0</formula>
    </cfRule>
  </conditionalFormatting>
  <conditionalFormatting sqref="P39">
    <cfRule type="containsText" dxfId="156" priority="4" stopIfTrue="1" operator="containsText" text="RA">
      <formula>NOT(ISERROR(SEARCH("RA",P39)))</formula>
    </cfRule>
    <cfRule type="containsText" dxfId="155" priority="5" stopIfTrue="1" operator="containsText" text="ML">
      <formula>NOT(ISERROR(SEARCH("ML",P39)))</formula>
    </cfRule>
    <cfRule type="containsText" dxfId="154" priority="6" stopIfTrue="1" operator="containsText" text="ML">
      <formula>NOT(ISERROR(SEARCH("ML",P39)))</formula>
    </cfRule>
  </conditionalFormatting>
  <conditionalFormatting sqref="P39">
    <cfRule type="containsText" dxfId="153" priority="3" stopIfTrue="1" operator="containsText" text="S">
      <formula>NOT(ISERROR(SEARCH("S",P39)))</formula>
    </cfRule>
  </conditionalFormatting>
  <conditionalFormatting sqref="J39">
    <cfRule type="cellIs" dxfId="152" priority="2" stopIfTrue="1" operator="equal">
      <formula>0</formula>
    </cfRule>
  </conditionalFormatting>
  <conditionalFormatting sqref="J39">
    <cfRule type="containsText" dxfId="151"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CA243"/>
  <sheetViews>
    <sheetView showGridLines="0" view="pageBreakPreview" zoomScale="106" zoomScaleSheetLayoutView="106" workbookViewId="0">
      <selection activeCell="Q227" sqref="Q227"/>
    </sheetView>
  </sheetViews>
  <sheetFormatPr defaultColWidth="9.125" defaultRowHeight="0" customHeight="1" zeroHeight="1"/>
  <cols>
    <col min="1" max="1" width="5" style="271" customWidth="1"/>
    <col min="2" max="2" width="5.625" style="271" customWidth="1"/>
    <col min="3" max="3" width="5.25" style="271" customWidth="1"/>
    <col min="4" max="4" width="10" style="271" customWidth="1"/>
    <col min="5" max="5" width="13.75" style="271" customWidth="1"/>
    <col min="6" max="6" width="13.375" style="271" customWidth="1"/>
    <col min="7" max="7" width="14.5" style="271" bestFit="1" customWidth="1"/>
    <col min="8" max="8" width="4.75" style="307" customWidth="1"/>
    <col min="9" max="9" width="4.125" style="307" customWidth="1"/>
    <col min="10" max="10" width="11" style="271" customWidth="1"/>
    <col min="11" max="11" width="5.625" style="271" customWidth="1"/>
    <col min="12" max="12" width="8.5" style="271" customWidth="1"/>
    <col min="13" max="14" width="4.375" style="271" customWidth="1"/>
    <col min="15" max="15" width="16.875" style="271" customWidth="1"/>
    <col min="16" max="16" width="6.75" style="271" customWidth="1"/>
    <col min="17" max="17" width="7.625" style="308" customWidth="1"/>
    <col min="18" max="18" width="5" style="309" customWidth="1"/>
    <col min="19" max="19" width="5.625" style="271" customWidth="1"/>
    <col min="20" max="63" width="5.25" style="271" customWidth="1"/>
    <col min="64" max="64" width="5.375" style="271" hidden="1" customWidth="1"/>
    <col min="65" max="65" width="19.375" style="271" hidden="1" customWidth="1"/>
    <col min="66" max="78" width="6.75" style="271" hidden="1" customWidth="1"/>
    <col min="79" max="79" width="9.125" style="271" hidden="1" customWidth="1"/>
    <col min="80" max="80" width="9.125" style="271" customWidth="1"/>
    <col min="81" max="16384" width="9.125" style="271"/>
  </cols>
  <sheetData>
    <row r="1" spans="1:78" ht="28.5" customHeight="1" thickTop="1">
      <c r="A1" s="1455" t="str">
        <f>IF('School Profile'!D12="Hindi",CONCATENATE("विद्यालय का नाम :-","  ",'School Profile'!D9),CONCATENATE("School Name :-","  ",'School Profile'!D8))</f>
        <v xml:space="preserve">विद्यालय का नाम :-  महात्मा गाँधी राजकीय विद्यालय (अंग्रेजी माध्यम) बर, पाली </v>
      </c>
      <c r="B1" s="1455"/>
      <c r="C1" s="1455"/>
      <c r="D1" s="1455"/>
      <c r="E1" s="1455"/>
      <c r="F1" s="1455"/>
      <c r="G1" s="1455"/>
      <c r="H1" s="1455"/>
      <c r="I1" s="1455"/>
      <c r="J1" s="1455"/>
      <c r="K1" s="1455"/>
      <c r="L1" s="1455"/>
      <c r="M1" s="1455"/>
      <c r="N1" s="821"/>
      <c r="O1" s="1454"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P1" s="1454"/>
      <c r="Q1" s="1454"/>
      <c r="R1" s="1454"/>
      <c r="S1" s="1454"/>
      <c r="BM1" s="1457" t="s">
        <v>42</v>
      </c>
      <c r="BN1" s="1458"/>
      <c r="BO1" s="1458"/>
      <c r="BP1" s="1458"/>
      <c r="BQ1" s="1458"/>
      <c r="BR1" s="1458"/>
      <c r="BS1" s="1458"/>
      <c r="BT1" s="1458"/>
      <c r="BU1" s="1458"/>
      <c r="BV1" s="1458"/>
      <c r="BW1" s="1458"/>
      <c r="BX1" s="1458"/>
      <c r="BY1" s="1458"/>
      <c r="BZ1" s="1459"/>
    </row>
    <row r="2" spans="1:78" ht="21.75" customHeight="1">
      <c r="A2" s="623" t="str">
        <f>IF('School Profile'!D12="Hindi","कक्षा :-","CLASS :-")</f>
        <v>कक्षा :-</v>
      </c>
      <c r="B2" s="1463" t="str">
        <f>'Supp. Result Entry'!C2</f>
        <v>9th</v>
      </c>
      <c r="C2" s="1464"/>
      <c r="D2" s="1450" t="str">
        <f>IF('Statement of Marks'!E4="","",'Statement of Marks'!E4)</f>
        <v xml:space="preserve">जन्मतिथि </v>
      </c>
      <c r="E2" s="1450" t="str">
        <f>IF('Statement of Marks'!F4="","",'Statement of Marks'!F4)</f>
        <v xml:space="preserve">विद्यार्थी का नाम </v>
      </c>
      <c r="F2" s="1450" t="str">
        <f>IF('Statement of Marks'!G4="","",'Statement of Marks'!G4)</f>
        <v xml:space="preserve">पिता का नाम </v>
      </c>
      <c r="G2" s="1450" t="str">
        <f>IF('Statement of Marks'!H4="","",'Statement of Marks'!H4)</f>
        <v xml:space="preserve">माता का नाम </v>
      </c>
      <c r="H2" s="1440" t="str">
        <f>IF('School Profile'!D12="Hindi","सत्र  :-","Session :-")</f>
        <v>सत्र  :-</v>
      </c>
      <c r="I2" s="1441"/>
      <c r="J2" s="723" t="str">
        <f>'Supp. Result Entry'!G2</f>
        <v>2024-2025</v>
      </c>
      <c r="K2" s="1465" t="str">
        <f>IF('School Profile'!D12="Hindi","प्राप्तांक","Marks Obtained")</f>
        <v>प्राप्तांक</v>
      </c>
      <c r="L2" s="1157" t="str">
        <f>IF('School Profile'!D12="Hindi","प्रतिशत","Percentage")</f>
        <v>प्रतिशत</v>
      </c>
      <c r="M2" s="1456" t="str">
        <f>IF('School Profile'!$D$12="Hindi","श्रेणी","Division")</f>
        <v>श्रेणी</v>
      </c>
      <c r="N2" s="1452" t="str">
        <f>IF('School Profile'!D12="Hindi","कक्षा में स्थान","Position in the Class")</f>
        <v>कक्षा में स्थान</v>
      </c>
      <c r="O2" s="1157" t="str">
        <f>IF('School Profile'!$D$12="Hindi","पूरक विषय","Supplementary Subject")</f>
        <v>पूरक विषय</v>
      </c>
      <c r="P2" s="1456" t="str">
        <f>IF('School Profile'!$D$12="Hindi","पूरक/पुनः परीक्षा का परिणाम","Supp. / Re-exam Result")</f>
        <v>पूरक/पुनः परीक्षा का परिणाम</v>
      </c>
      <c r="Q2" s="1456" t="str">
        <f>IF('School Profile'!$D$12="Hindi","पूरक परीक्षा उतीर्ण के बाद प्रतिशत","Percentage  after Passing the Supplementary Exam")</f>
        <v>पूरक परीक्षा उतीर्ण के बाद प्रतिशत</v>
      </c>
      <c r="R2" s="1456" t="str">
        <f>IF('School Profile'!$D$12="Hindi","श्रेणी","Division")</f>
        <v>श्रेणी</v>
      </c>
      <c r="S2" s="1456" t="str">
        <f>IF('School Profile'!$D$12="Hindi","उपस्थिति","Attendance")</f>
        <v>उपस्थिति</v>
      </c>
      <c r="BM2" s="1460"/>
      <c r="BN2" s="1461"/>
      <c r="BO2" s="1461"/>
      <c r="BP2" s="1461"/>
      <c r="BQ2" s="1461"/>
      <c r="BR2" s="1461"/>
      <c r="BS2" s="1461"/>
      <c r="BT2" s="1461"/>
      <c r="BU2" s="1461"/>
      <c r="BV2" s="1461"/>
      <c r="BW2" s="1461"/>
      <c r="BX2" s="1461"/>
      <c r="BY2" s="1461"/>
      <c r="BZ2" s="1462"/>
    </row>
    <row r="3" spans="1:78" s="272" customFormat="1" ht="63.75" customHeight="1">
      <c r="A3" s="624" t="str">
        <f>IF('Statement of Marks'!A4="","",'Statement of Marks'!A4)</f>
        <v xml:space="preserve">क्र. स. </v>
      </c>
      <c r="B3" s="624" t="str">
        <f>IF('Statement of Marks'!B4="","",'Statement of Marks'!B4)</f>
        <v>रोल न.</v>
      </c>
      <c r="C3" s="624" t="str">
        <f>IF('Statement of Marks'!D4="","",'Statement of Marks'!D4)</f>
        <v>प्रवेशांक</v>
      </c>
      <c r="D3" s="1451"/>
      <c r="E3" s="1451"/>
      <c r="F3" s="1451"/>
      <c r="G3" s="1451"/>
      <c r="H3" s="625" t="str">
        <f>'Marks Entry'!J3</f>
        <v xml:space="preserve">वर्ग  </v>
      </c>
      <c r="I3" s="625" t="str">
        <f>'Marks Entry'!K3</f>
        <v xml:space="preserve">लिंग </v>
      </c>
      <c r="J3" s="626" t="str">
        <f>IF('School Profile'!$D$12="Hindi","परिणाम ","Result")</f>
        <v xml:space="preserve">परिणाम </v>
      </c>
      <c r="K3" s="1456"/>
      <c r="L3" s="1157"/>
      <c r="M3" s="1456"/>
      <c r="N3" s="1453"/>
      <c r="O3" s="1157"/>
      <c r="P3" s="1456"/>
      <c r="Q3" s="1456"/>
      <c r="R3" s="1456"/>
      <c r="S3" s="1456"/>
      <c r="BM3" s="273" t="str">
        <f>'[1]statement of marks'!G4</f>
        <v>Nk= @ Nk=k dk uke</v>
      </c>
      <c r="BN3" s="274" t="s">
        <v>43</v>
      </c>
      <c r="BO3" s="274" t="s">
        <v>44</v>
      </c>
      <c r="BP3" s="274" t="s">
        <v>45</v>
      </c>
      <c r="BQ3" s="274" t="s">
        <v>46</v>
      </c>
      <c r="BR3" s="274" t="s">
        <v>47</v>
      </c>
      <c r="BS3" s="274" t="s">
        <v>48</v>
      </c>
      <c r="BT3" s="274" t="s">
        <v>49</v>
      </c>
      <c r="BU3" s="274" t="s">
        <v>50</v>
      </c>
      <c r="BV3" s="274" t="s">
        <v>51</v>
      </c>
      <c r="BW3" s="274" t="s">
        <v>52</v>
      </c>
      <c r="BX3" s="274" t="s">
        <v>53</v>
      </c>
      <c r="BY3" s="274" t="s">
        <v>54</v>
      </c>
      <c r="BZ3" s="275" t="s">
        <v>55</v>
      </c>
    </row>
    <row r="4" spans="1:78" ht="14.1" customHeight="1">
      <c r="A4" s="276">
        <f>IF('Statement of Marks'!A7="","",'Statement of Marks'!A7)</f>
        <v>1</v>
      </c>
      <c r="B4" s="277">
        <f>IF('Statement of Marks'!B7="","",'Statement of Marks'!B7)</f>
        <v>901</v>
      </c>
      <c r="C4" s="278">
        <f>IF('Statement of Marks'!D7="","",'Statement of Marks'!D7)</f>
        <v>521</v>
      </c>
      <c r="D4" s="314">
        <f>IF('Statement of Marks'!E7="","",'Statement of Marks'!E7)</f>
        <v>40461</v>
      </c>
      <c r="E4" s="279" t="str">
        <f>IF('Statement of Marks'!F7="","",'Statement of Marks'!F7)</f>
        <v>RAHUL JAT</v>
      </c>
      <c r="F4" s="279" t="str">
        <f>IF('Statement of Marks'!G7="","",'Statement of Marks'!G7)</f>
        <v>HL JAT</v>
      </c>
      <c r="G4" s="279" t="str">
        <f>IF('Statement of Marks'!H7="","",'Statement of Marks'!H7)</f>
        <v>LALI</v>
      </c>
      <c r="H4" s="280" t="str">
        <f>IF('Statement of Marks'!I7="","",'Statement of Marks'!I7)</f>
        <v>OBC</v>
      </c>
      <c r="I4" s="280" t="str">
        <f>IF('Statement of Marks'!J7="","",'Statement of Marks'!J7)</f>
        <v>M</v>
      </c>
      <c r="J4" s="826" t="str">
        <f>IF('Statement of Marks'!HS7="","",'Statement of Marks'!HS7)</f>
        <v>PASS</v>
      </c>
      <c r="K4" s="281">
        <f>IF('Statement of Marks'!HT7="","",'Statement of Marks'!HT7)</f>
        <v>886</v>
      </c>
      <c r="L4" s="828">
        <f>IF('Statement of Marks'!HW7="","",'Statement of Marks'!HW7)</f>
        <v>73.833333333333329</v>
      </c>
      <c r="M4" s="281" t="str">
        <f>IF('Statement of Marks'!HV7="","",'Statement of Marks'!HV7)</f>
        <v>1st</v>
      </c>
      <c r="N4" s="829">
        <f>IF('Statement of Marks'!HX7="","",'Statement of Marks'!HX7)</f>
        <v>1.0000000000000013</v>
      </c>
      <c r="O4" s="282" t="str">
        <f>IF(J4="FAIL","",IF('Statement of Marks'!HO7="","",'Statement of Marks'!HO7))</f>
        <v xml:space="preserve">      </v>
      </c>
      <c r="P4" s="283" t="str">
        <f>IF('Supp. Result Entry'!AQ5="","",'Supp. Result Entry'!AQ5)</f>
        <v/>
      </c>
      <c r="Q4" s="284" t="str">
        <f>IF('Supp. Result Entry'!AR5="","",'Supp. Result Entry'!AR5)</f>
        <v/>
      </c>
      <c r="R4" s="285" t="str">
        <f>IF('Statement of Marks'!IA7="","",'Statement of Marks'!IA7)</f>
        <v/>
      </c>
      <c r="S4" s="286">
        <f>IF('Statement of Marks'!GL7="","",'Statement of Marks'!GL7)</f>
        <v>192</v>
      </c>
      <c r="BM4" s="287" t="str">
        <f>'Statement of Marks'!F7</f>
        <v>RAHUL JAT</v>
      </c>
      <c r="BN4" s="288" t="str">
        <f>IFERROR(IF(AND(M4="",R4="",H4="SC",I4="M"),J4,IF(AND(M4="",H4="SC",I4="M"),R4,IF(AND(R4="",H4="SC",I4="M"),M4,""))),"")</f>
        <v/>
      </c>
      <c r="BO4" s="288" t="str">
        <f>IFERROR(IF(AND(M4="",R4="",H4="SC",I4="F"),J4,IF(AND(M4="",H4="SC",I4="F"),R4,IF(AND(R4="",H4="SC",I4="F"),M4,""))),"")</f>
        <v/>
      </c>
      <c r="BP4" s="288" t="str">
        <f>IFERROR(IF(AND(M4="",R4="",H4="ST",I4="M"),J4,IF(AND(M4="",H4="ST",I4="M"),R4,IF(AND(R4="",H4="ST",I4="M"),M4,""))),"")</f>
        <v/>
      </c>
      <c r="BQ4" s="288" t="str">
        <f>IFERROR(IF(AND(M4="",R4="",H4="ST",I4="F"),J4,IF(AND(M4="",H4="ST",I4="F"),R4,IF(AND(R4="",H4="ST",I4="F"),M4,""))),"")</f>
        <v/>
      </c>
      <c r="BR4" s="288" t="str">
        <f>IFERROR(IF(AND(M4="",R4="",H4="OBC",I4="M"),J4,IF(AND(M4="",H4="OBC",I4="M"),R4,IF(AND(R4="",H4="OBC",I4="M"),M4,""))),"")</f>
        <v>1st</v>
      </c>
      <c r="BS4" s="288" t="str">
        <f>IFERROR(IF(AND(M4="",R4="",H4="OBC",I4="F"),J4,IF(AND(M4="",H4="OBC",I4="F"),R4,IF(AND(R4="",H4="OBC",I4="F"),M4,""))),"")</f>
        <v/>
      </c>
      <c r="BT4" s="288" t="str">
        <f>IFERROR(IF(AND(M4="",R4="",H4="GEN",I4="M"),J4,IF(AND(M4="",H4="GEN",I4="M"),R4,IF(AND(R4="",H4="GEN",I4="M"),M4,""))),"")</f>
        <v/>
      </c>
      <c r="BU4" s="288" t="str">
        <f>IFERROR(IF(AND(M4="",R4="",H4="GEN",I4="F"),J4,IF(AND(M4="",H4="GEN",I4="F"),R4,IF(AND(R4="",H4="GEN",I4="F"),M4,""))),"")</f>
        <v/>
      </c>
      <c r="BV4" s="288" t="str">
        <f>IFERROR(IF(AND(M4="",R4="",H4="MIN",I4="M"),J4,IF(AND(M4="",H4="MIN",I4="M"),R4,IF(AND(R4="",H4="MIN",I4="M"),M4,""))),"")</f>
        <v/>
      </c>
      <c r="BW4" s="288" t="str">
        <f>IFERROR(IF(AND(M4="",R4="",H4="MIN",I4="F"),J4,IF(AND(M4="",H4="MIN",I4="F"),R4,IF(AND(R4="",H4="MIN",I4="F"),M4,""))),"")</f>
        <v/>
      </c>
      <c r="BX4" s="288" t="str">
        <f>IFERROR(IF(AND(M4="",R4="",H4="SBC",I4="M"),J4,IF(AND(M4="",H4="SBC",I4="M"),R4,IF(AND(R4="",H4="SBC",I4="M"),M4,""))),"")</f>
        <v/>
      </c>
      <c r="BY4" s="288" t="str">
        <f>IFERROR(IF(AND(M4="",R4="",H4="SBC",I4="F"),J4,IF(AND(M4="",H4="SBC",I4="F"),R4,IF(AND(R4="",H4="SBC",I4="F"),M4,""))),"")</f>
        <v/>
      </c>
      <c r="BZ4" s="289"/>
    </row>
    <row r="5" spans="1:78" ht="14.1" customHeight="1">
      <c r="A5" s="276">
        <f>IF('Statement of Marks'!A8="","",'Statement of Marks'!A8)</f>
        <v>2</v>
      </c>
      <c r="B5" s="277">
        <f>IF('Statement of Marks'!B8="","",'Statement of Marks'!B8)</f>
        <v>902</v>
      </c>
      <c r="C5" s="278">
        <f>IF('Statement of Marks'!D8="","",'Statement of Marks'!D8)</f>
        <v>501</v>
      </c>
      <c r="D5" s="314">
        <f>IF('Statement of Marks'!E8="","",'Statement of Marks'!E8)</f>
        <v>40065</v>
      </c>
      <c r="E5" s="279" t="str">
        <f>IF('Statement of Marks'!F8="","",'Statement of Marks'!F8)</f>
        <v>RAM</v>
      </c>
      <c r="F5" s="279" t="str">
        <f>IF('Statement of Marks'!G8="","",'Statement of Marks'!G8)</f>
        <v>SHYAM</v>
      </c>
      <c r="G5" s="279" t="str">
        <f>IF('Statement of Marks'!H8="","",'Statement of Marks'!H8)</f>
        <v>SITA</v>
      </c>
      <c r="H5" s="280" t="str">
        <f>IF('Statement of Marks'!I8="","",'Statement of Marks'!I8)</f>
        <v>OBC</v>
      </c>
      <c r="I5" s="280" t="str">
        <f>IF('Statement of Marks'!J8="","",'Statement of Marks'!J8)</f>
        <v>M</v>
      </c>
      <c r="J5" s="827" t="str">
        <f>IF('Statement of Marks'!HS8="","",'Statement of Marks'!HS8)</f>
        <v>PASS</v>
      </c>
      <c r="K5" s="281">
        <f>IF('Statement of Marks'!HT8="","",'Statement of Marks'!HT8)</f>
        <v>859</v>
      </c>
      <c r="L5" s="828">
        <f>IF('Statement of Marks'!HW8="","",'Statement of Marks'!HW8)</f>
        <v>71.583333333333329</v>
      </c>
      <c r="M5" s="281" t="str">
        <f>IF('Statement of Marks'!HV8="","",'Statement of Marks'!HV8)</f>
        <v>1st</v>
      </c>
      <c r="N5" s="829">
        <f>IF('Statement of Marks'!HX8="","",'Statement of Marks'!HX8)</f>
        <v>2.0000000000000018</v>
      </c>
      <c r="O5" s="282" t="str">
        <f>IF(J5="FAIL","",IF('Statement of Marks'!HO8="","",'Statement of Marks'!HO8))</f>
        <v xml:space="preserve">      </v>
      </c>
      <c r="P5" s="283" t="str">
        <f>IF('Supp. Result Entry'!AQ6="","",'Supp. Result Entry'!AQ6)</f>
        <v/>
      </c>
      <c r="Q5" s="284" t="str">
        <f>IF('Supp. Result Entry'!AR6="","",'Supp. Result Entry'!AR6)</f>
        <v/>
      </c>
      <c r="R5" s="285" t="str">
        <f>IF('Statement of Marks'!IA8="","",'Statement of Marks'!IA8)</f>
        <v/>
      </c>
      <c r="S5" s="286">
        <f>IF('Statement of Marks'!GL8="","",'Statement of Marks'!GL8)</f>
        <v>202</v>
      </c>
      <c r="BM5" s="287" t="str">
        <f>'Statement of Marks'!F8</f>
        <v>RAM</v>
      </c>
      <c r="BN5" s="288" t="str">
        <f t="shared" ref="BN5:BN68" si="0">IFERROR(IF(AND(M5="",R5="",H5="SC",I5="M"),J5,IF(AND(M5="",H5="SC",I5="M"),R5,IF(AND(R5="",H5="SC",I5="M"),M5,""))),"")</f>
        <v/>
      </c>
      <c r="BO5" s="288" t="str">
        <f t="shared" ref="BO5:BO68" si="1">IFERROR(IF(AND(M5="",R5="",H5="SC",I5="F"),J5,IF(AND(M5="",H5="SC",I5="F"),R5,IF(AND(R5="",H5="SC",I5="F"),M5,""))),"")</f>
        <v/>
      </c>
      <c r="BP5" s="288" t="str">
        <f t="shared" ref="BP5:BP68" si="2">IFERROR(IF(AND(M5="",R5="",H5="ST",I5="M"),J5,IF(AND(M5="",H5="ST",I5="M"),R5,IF(AND(R5="",H5="ST",I5="M"),M5,""))),"")</f>
        <v/>
      </c>
      <c r="BQ5" s="288" t="str">
        <f t="shared" ref="BQ5:BQ68" si="3">IFERROR(IF(AND(M5="",R5="",H5="ST",I5="F"),J5,IF(AND(M5="",H5="ST",I5="F"),R5,IF(AND(R5="",H5="ST",I5="F"),M5,""))),"")</f>
        <v/>
      </c>
      <c r="BR5" s="288" t="str">
        <f t="shared" ref="BR5:BR68" si="4">IFERROR(IF(AND(M5="",R5="",H5="OBC",I5="M"),J5,IF(AND(M5="",H5="OBC",I5="M"),R5,IF(AND(R5="",H5="OBC",I5="M"),M5,""))),"")</f>
        <v>1st</v>
      </c>
      <c r="BS5" s="288" t="str">
        <f t="shared" ref="BS5:BS68" si="5">IFERROR(IF(AND(M5="",R5="",H5="OBC",I5="F"),J5,IF(AND(M5="",H5="OBC",I5="F"),R5,IF(AND(R5="",H5="OBC",I5="F"),M5,""))),"")</f>
        <v/>
      </c>
      <c r="BT5" s="288" t="str">
        <f t="shared" ref="BT5:BT68" si="6">IFERROR(IF(AND(M5="",R5="",H5="GEN",I5="M"),J5,IF(AND(M5="",H5="GEN",I5="M"),R5,IF(AND(R5="",H5="GEN",I5="M"),M5,""))),"")</f>
        <v/>
      </c>
      <c r="BU5" s="288" t="str">
        <f t="shared" ref="BU5:BU68" si="7">IFERROR(IF(AND(M5="",R5="",H5="GEN",I5="F"),J5,IF(AND(M5="",H5="GEN",I5="F"),R5,IF(AND(R5="",H5="GEN",I5="F"),M5,""))),"")</f>
        <v/>
      </c>
      <c r="BV5" s="288" t="str">
        <f t="shared" ref="BV5:BV68" si="8">IFERROR(IF(AND(M5="",R5="",H5="MIN",I5="M"),J5,IF(AND(M5="",H5="MIN",I5="M"),R5,IF(AND(R5="",H5="MIN",I5="M"),M5,""))),"")</f>
        <v/>
      </c>
      <c r="BW5" s="288" t="str">
        <f t="shared" ref="BW5:BW68" si="9">IFERROR(IF(AND(M5="",R5="",H5="MIN",I5="F"),J5,IF(AND(M5="",H5="MIN",I5="F"),R5,IF(AND(R5="",H5="MIN",I5="F"),M5,""))),"")</f>
        <v/>
      </c>
      <c r="BX5" s="288" t="str">
        <f t="shared" ref="BX5:BX68" si="10">IFERROR(IF(AND(M5="",R5="",H5="SBC",I5="M"),J5,IF(AND(M5="",H5="SBC",I5="M"),R5,IF(AND(R5="",H5="SBC",I5="M"),M5,""))),"")</f>
        <v/>
      </c>
      <c r="BY5" s="288" t="str">
        <f t="shared" ref="BY5:BY68" si="11">IFERROR(IF(AND(M5="",R5="",H5="SBC",I5="F"),J5,IF(AND(M5="",H5="SBC",I5="F"),R5,IF(AND(R5="",H5="SBC",I5="F"),M5,""))),"")</f>
        <v/>
      </c>
      <c r="BZ5" s="289"/>
    </row>
    <row r="6" spans="1:78" ht="14.1" customHeight="1">
      <c r="A6" s="276">
        <f>IF('Statement of Marks'!A9="","",'Statement of Marks'!A9)</f>
        <v>3</v>
      </c>
      <c r="B6" s="277">
        <f>IF('Statement of Marks'!B9="","",'Statement of Marks'!B9)</f>
        <v>903</v>
      </c>
      <c r="C6" s="278" t="str">
        <f>IF('Statement of Marks'!D9="","",'Statement of Marks'!D9)</f>
        <v/>
      </c>
      <c r="D6" s="314">
        <f>IF('Statement of Marks'!E9="","",'Statement of Marks'!E9)</f>
        <v>41192</v>
      </c>
      <c r="E6" s="279" t="str">
        <f>IF('Statement of Marks'!F9="","",'Statement of Marks'!F9)</f>
        <v>DINESH</v>
      </c>
      <c r="F6" s="279" t="str">
        <f>IF('Statement of Marks'!G9="","",'Statement of Marks'!G9)</f>
        <v/>
      </c>
      <c r="G6" s="279" t="str">
        <f>IF('Statement of Marks'!H9="","",'Statement of Marks'!H9)</f>
        <v/>
      </c>
      <c r="H6" s="280" t="str">
        <f>IF('Statement of Marks'!I9="","",'Statement of Marks'!I9)</f>
        <v>GEN</v>
      </c>
      <c r="I6" s="280" t="str">
        <f>IF('Statement of Marks'!J9="","",'Statement of Marks'!J9)</f>
        <v>M</v>
      </c>
      <c r="J6" s="827" t="str">
        <f>IF('Statement of Marks'!HS9="","",'Statement of Marks'!HS9)</f>
        <v>FAIL</v>
      </c>
      <c r="K6" s="281">
        <f>IF('Statement of Marks'!HT9="","",'Statement of Marks'!HT9)</f>
        <v>881</v>
      </c>
      <c r="L6" s="828" t="str">
        <f>IF('Statement of Marks'!HW9="","",'Statement of Marks'!HW9)</f>
        <v/>
      </c>
      <c r="M6" s="281" t="str">
        <f>IF('Statement of Marks'!HV9="","",'Statement of Marks'!HV9)</f>
        <v/>
      </c>
      <c r="N6" s="829" t="str">
        <f>IF('Statement of Marks'!HX9="","",'Statement of Marks'!HX9)</f>
        <v/>
      </c>
      <c r="O6" s="282" t="str">
        <f>IF(J6="FAIL","",IF('Statement of Marks'!HO9="","",'Statement of Marks'!HO9))</f>
        <v/>
      </c>
      <c r="P6" s="283" t="str">
        <f>IF('Supp. Result Entry'!AQ7="","",'Supp. Result Entry'!AQ7)</f>
        <v/>
      </c>
      <c r="Q6" s="284" t="str">
        <f>IF('Supp. Result Entry'!AR7="","",'Supp. Result Entry'!AR7)</f>
        <v/>
      </c>
      <c r="R6" s="285" t="str">
        <f>IF('Statement of Marks'!IA9="","",'Statement of Marks'!IA9)</f>
        <v/>
      </c>
      <c r="S6" s="286" t="str">
        <f>IF('Statement of Marks'!GL9="","",'Statement of Marks'!GL9)</f>
        <v/>
      </c>
      <c r="BM6" s="287" t="str">
        <f>'Statement of Marks'!F9</f>
        <v>DINESH</v>
      </c>
      <c r="BN6" s="288" t="str">
        <f t="shared" si="0"/>
        <v/>
      </c>
      <c r="BO6" s="288" t="str">
        <f t="shared" si="1"/>
        <v/>
      </c>
      <c r="BP6" s="288" t="str">
        <f t="shared" si="2"/>
        <v/>
      </c>
      <c r="BQ6" s="288" t="str">
        <f t="shared" si="3"/>
        <v/>
      </c>
      <c r="BR6" s="288" t="str">
        <f t="shared" si="4"/>
        <v/>
      </c>
      <c r="BS6" s="288" t="str">
        <f t="shared" si="5"/>
        <v/>
      </c>
      <c r="BT6" s="288" t="str">
        <f t="shared" si="6"/>
        <v>FAIL</v>
      </c>
      <c r="BU6" s="288" t="str">
        <f t="shared" si="7"/>
        <v/>
      </c>
      <c r="BV6" s="288" t="str">
        <f t="shared" si="8"/>
        <v/>
      </c>
      <c r="BW6" s="288" t="str">
        <f t="shared" si="9"/>
        <v/>
      </c>
      <c r="BX6" s="288" t="str">
        <f t="shared" si="10"/>
        <v/>
      </c>
      <c r="BY6" s="288" t="str">
        <f t="shared" si="11"/>
        <v/>
      </c>
      <c r="BZ6" s="289"/>
    </row>
    <row r="7" spans="1:78" ht="14.1" customHeight="1">
      <c r="A7" s="276">
        <f>IF('Statement of Marks'!A10="","",'Statement of Marks'!A10)</f>
        <v>4</v>
      </c>
      <c r="B7" s="277">
        <f>IF('Statement of Marks'!B10="","",'Statement of Marks'!B10)</f>
        <v>904</v>
      </c>
      <c r="C7" s="278" t="str">
        <f>IF('Statement of Marks'!D10="","",'Statement of Marks'!D10)</f>
        <v/>
      </c>
      <c r="D7" s="314">
        <f>IF('Statement of Marks'!E10="","",'Statement of Marks'!E10)</f>
        <v>40670</v>
      </c>
      <c r="E7" s="279" t="str">
        <f>IF('Statement of Marks'!F10="","",'Statement of Marks'!F10)</f>
        <v>RAMESH</v>
      </c>
      <c r="F7" s="279" t="str">
        <f>IF('Statement of Marks'!G10="","",'Statement of Marks'!G10)</f>
        <v/>
      </c>
      <c r="G7" s="279" t="str">
        <f>IF('Statement of Marks'!H10="","",'Statement of Marks'!H10)</f>
        <v/>
      </c>
      <c r="H7" s="280" t="str">
        <f>IF('Statement of Marks'!I10="","",'Statement of Marks'!I10)</f>
        <v>SBC</v>
      </c>
      <c r="I7" s="280" t="str">
        <f>IF('Statement of Marks'!J10="","",'Statement of Marks'!J10)</f>
        <v>M</v>
      </c>
      <c r="J7" s="827" t="str">
        <f>IF('Statement of Marks'!HS10="","",'Statement of Marks'!HS10)</f>
        <v>BY GRACE PASS</v>
      </c>
      <c r="K7" s="281">
        <f>IF('Statement of Marks'!HT10="","",'Statement of Marks'!HT10)</f>
        <v>693</v>
      </c>
      <c r="L7" s="828">
        <f>IF('Statement of Marks'!HW10="","",'Statement of Marks'!HW10)</f>
        <v>57.75</v>
      </c>
      <c r="M7" s="281" t="str">
        <f>IF('Statement of Marks'!HV10="","",'Statement of Marks'!HV10)</f>
        <v>2nd</v>
      </c>
      <c r="N7" s="829">
        <f>IF('Statement of Marks'!HX10="","",'Statement of Marks'!HX10)</f>
        <v>15.000000000000075</v>
      </c>
      <c r="O7" s="282" t="str">
        <f>IF(J7="FAIL","",IF('Statement of Marks'!HO10="","",'Statement of Marks'!HO10))</f>
        <v xml:space="preserve">      </v>
      </c>
      <c r="P7" s="283" t="str">
        <f>IF('Supp. Result Entry'!AQ8="","",'Supp. Result Entry'!AQ8)</f>
        <v/>
      </c>
      <c r="Q7" s="284" t="str">
        <f>IF('Supp. Result Entry'!AR8="","",'Supp. Result Entry'!AR8)</f>
        <v/>
      </c>
      <c r="R7" s="285" t="str">
        <f>IF('Statement of Marks'!IA10="","",'Statement of Marks'!IA10)</f>
        <v/>
      </c>
      <c r="S7" s="286" t="str">
        <f>IF('Statement of Marks'!GL10="","",'Statement of Marks'!GL10)</f>
        <v/>
      </c>
      <c r="BM7" s="287" t="str">
        <f>'Statement of Marks'!F10</f>
        <v>RAMESH</v>
      </c>
      <c r="BN7" s="288" t="str">
        <f t="shared" si="0"/>
        <v/>
      </c>
      <c r="BO7" s="288" t="str">
        <f t="shared" si="1"/>
        <v/>
      </c>
      <c r="BP7" s="288" t="str">
        <f t="shared" si="2"/>
        <v/>
      </c>
      <c r="BQ7" s="288" t="str">
        <f t="shared" si="3"/>
        <v/>
      </c>
      <c r="BR7" s="288" t="str">
        <f t="shared" si="4"/>
        <v/>
      </c>
      <c r="BS7" s="288" t="str">
        <f t="shared" si="5"/>
        <v/>
      </c>
      <c r="BT7" s="288" t="str">
        <f t="shared" si="6"/>
        <v/>
      </c>
      <c r="BU7" s="288" t="str">
        <f t="shared" si="7"/>
        <v/>
      </c>
      <c r="BV7" s="288" t="str">
        <f t="shared" si="8"/>
        <v/>
      </c>
      <c r="BW7" s="288" t="str">
        <f t="shared" si="9"/>
        <v/>
      </c>
      <c r="BX7" s="288" t="str">
        <f t="shared" si="10"/>
        <v>2nd</v>
      </c>
      <c r="BY7" s="288" t="str">
        <f t="shared" si="11"/>
        <v/>
      </c>
      <c r="BZ7" s="289"/>
    </row>
    <row r="8" spans="1:78" ht="14.1" customHeight="1">
      <c r="A8" s="276">
        <f>IF('Statement of Marks'!A11="","",'Statement of Marks'!A11)</f>
        <v>5</v>
      </c>
      <c r="B8" s="277">
        <f>IF('Statement of Marks'!B11="","",'Statement of Marks'!B11)</f>
        <v>905</v>
      </c>
      <c r="C8" s="278" t="str">
        <f>IF('Statement of Marks'!D11="","",'Statement of Marks'!D11)</f>
        <v/>
      </c>
      <c r="D8" s="314">
        <f>IF('Statement of Marks'!E11="","",'Statement of Marks'!E11)</f>
        <v>41525</v>
      </c>
      <c r="E8" s="279" t="str">
        <f>IF('Statement of Marks'!F11="","",'Statement of Marks'!F11)</f>
        <v>SHYAM</v>
      </c>
      <c r="F8" s="279" t="str">
        <f>IF('Statement of Marks'!G11="","",'Statement of Marks'!G11)</f>
        <v/>
      </c>
      <c r="G8" s="279" t="str">
        <f>IF('Statement of Marks'!H11="","",'Statement of Marks'!H11)</f>
        <v/>
      </c>
      <c r="H8" s="280" t="str">
        <f>IF('Statement of Marks'!I11="","",'Statement of Marks'!I11)</f>
        <v>SC</v>
      </c>
      <c r="I8" s="280" t="str">
        <f>IF('Statement of Marks'!J11="","",'Statement of Marks'!J11)</f>
        <v>M</v>
      </c>
      <c r="J8" s="827" t="str">
        <f>IF('Statement of Marks'!HS11="","",'Statement of Marks'!HS11)</f>
        <v>PASS</v>
      </c>
      <c r="K8" s="281">
        <f>IF('Statement of Marks'!HT11="","",'Statement of Marks'!HT11)</f>
        <v>729</v>
      </c>
      <c r="L8" s="828">
        <f>IF('Statement of Marks'!HW11="","",'Statement of Marks'!HW11)</f>
        <v>60.75</v>
      </c>
      <c r="M8" s="281" t="str">
        <f>IF('Statement of Marks'!HV11="","",'Statement of Marks'!HV11)</f>
        <v>1st</v>
      </c>
      <c r="N8" s="829">
        <f>IF('Statement of Marks'!HX11="","",'Statement of Marks'!HX11)</f>
        <v>11.000000000000082</v>
      </c>
      <c r="O8" s="282" t="str">
        <f>IF(J8="FAIL","",IF('Statement of Marks'!HO11="","",'Statement of Marks'!HO11))</f>
        <v xml:space="preserve">      </v>
      </c>
      <c r="P8" s="283" t="str">
        <f>IF('Supp. Result Entry'!AQ9="","",'Supp. Result Entry'!AQ9)</f>
        <v/>
      </c>
      <c r="Q8" s="284" t="str">
        <f>IF('Supp. Result Entry'!AR9="","",'Supp. Result Entry'!AR9)</f>
        <v/>
      </c>
      <c r="R8" s="285" t="str">
        <f>IF('Statement of Marks'!IA11="","",'Statement of Marks'!IA11)</f>
        <v/>
      </c>
      <c r="S8" s="286" t="str">
        <f>IF('Statement of Marks'!GL11="","",'Statement of Marks'!GL11)</f>
        <v/>
      </c>
      <c r="BM8" s="287" t="str">
        <f>'Statement of Marks'!F11</f>
        <v>SHYAM</v>
      </c>
      <c r="BN8" s="288" t="str">
        <f t="shared" si="0"/>
        <v>1st</v>
      </c>
      <c r="BO8" s="288" t="str">
        <f t="shared" si="1"/>
        <v/>
      </c>
      <c r="BP8" s="288" t="str">
        <f t="shared" si="2"/>
        <v/>
      </c>
      <c r="BQ8" s="288" t="str">
        <f t="shared" si="3"/>
        <v/>
      </c>
      <c r="BR8" s="288" t="str">
        <f t="shared" si="4"/>
        <v/>
      </c>
      <c r="BS8" s="288" t="str">
        <f t="shared" si="5"/>
        <v/>
      </c>
      <c r="BT8" s="288" t="str">
        <f t="shared" si="6"/>
        <v/>
      </c>
      <c r="BU8" s="288" t="str">
        <f t="shared" si="7"/>
        <v/>
      </c>
      <c r="BV8" s="288" t="str">
        <f t="shared" si="8"/>
        <v/>
      </c>
      <c r="BW8" s="288" t="str">
        <f t="shared" si="9"/>
        <v/>
      </c>
      <c r="BX8" s="288" t="str">
        <f t="shared" si="10"/>
        <v/>
      </c>
      <c r="BY8" s="288" t="str">
        <f t="shared" si="11"/>
        <v/>
      </c>
      <c r="BZ8" s="289"/>
    </row>
    <row r="9" spans="1:78" ht="14.1" customHeight="1">
      <c r="A9" s="276">
        <f>IF('Statement of Marks'!A12="","",'Statement of Marks'!A12)</f>
        <v>6</v>
      </c>
      <c r="B9" s="277">
        <f>IF('Statement of Marks'!B12="","",'Statement of Marks'!B12)</f>
        <v>906</v>
      </c>
      <c r="C9" s="278" t="str">
        <f>IF('Statement of Marks'!D12="","",'Statement of Marks'!D12)</f>
        <v/>
      </c>
      <c r="D9" s="314">
        <f>IF('Statement of Marks'!E12="","",'Statement of Marks'!E12)</f>
        <v>40933</v>
      </c>
      <c r="E9" s="279" t="str">
        <f>IF('Statement of Marks'!F12="","",'Statement of Marks'!F12)</f>
        <v>GITA</v>
      </c>
      <c r="F9" s="279" t="str">
        <f>IF('Statement of Marks'!G12="","",'Statement of Marks'!G12)</f>
        <v/>
      </c>
      <c r="G9" s="279" t="str">
        <f>IF('Statement of Marks'!H12="","",'Statement of Marks'!H12)</f>
        <v/>
      </c>
      <c r="H9" s="280" t="str">
        <f>IF('Statement of Marks'!I12="","",'Statement of Marks'!I12)</f>
        <v>OBC</v>
      </c>
      <c r="I9" s="280" t="str">
        <f>IF('Statement of Marks'!J12="","",'Statement of Marks'!J12)</f>
        <v>F</v>
      </c>
      <c r="J9" s="827" t="str">
        <f>IF('Statement of Marks'!HS12="","",'Statement of Marks'!HS12)</f>
        <v>PASS</v>
      </c>
      <c r="K9" s="281">
        <f>IF('Statement of Marks'!HT12="","",'Statement of Marks'!HT12)</f>
        <v>777</v>
      </c>
      <c r="L9" s="828">
        <f>IF('Statement of Marks'!HW12="","",'Statement of Marks'!HW12)</f>
        <v>65.294117647058826</v>
      </c>
      <c r="M9" s="281" t="str">
        <f>IF('Statement of Marks'!HV12="","",'Statement of Marks'!HV12)</f>
        <v>1st</v>
      </c>
      <c r="N9" s="829">
        <f>IF('Statement of Marks'!HX12="","",'Statement of Marks'!HX12)</f>
        <v>4.0000000000000018</v>
      </c>
      <c r="O9" s="282" t="str">
        <f>IF(J9="FAIL","",IF('Statement of Marks'!HO12="","",'Statement of Marks'!HO12))</f>
        <v xml:space="preserve">      </v>
      </c>
      <c r="P9" s="283" t="str">
        <f>IF('Supp. Result Entry'!AQ10="","",'Supp. Result Entry'!AQ10)</f>
        <v/>
      </c>
      <c r="Q9" s="284" t="str">
        <f>IF('Supp. Result Entry'!AR10="","",'Supp. Result Entry'!AR10)</f>
        <v/>
      </c>
      <c r="R9" s="285" t="str">
        <f>IF('Statement of Marks'!IA12="","",'Statement of Marks'!IA12)</f>
        <v/>
      </c>
      <c r="S9" s="286" t="str">
        <f>IF('Statement of Marks'!GL12="","",'Statement of Marks'!GL12)</f>
        <v/>
      </c>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M9" s="287" t="str">
        <f>'Statement of Marks'!F12</f>
        <v>GITA</v>
      </c>
      <c r="BN9" s="288" t="str">
        <f t="shared" si="0"/>
        <v/>
      </c>
      <c r="BO9" s="288" t="str">
        <f t="shared" si="1"/>
        <v/>
      </c>
      <c r="BP9" s="288" t="str">
        <f t="shared" si="2"/>
        <v/>
      </c>
      <c r="BQ9" s="288" t="str">
        <f t="shared" si="3"/>
        <v/>
      </c>
      <c r="BR9" s="288" t="str">
        <f t="shared" si="4"/>
        <v/>
      </c>
      <c r="BS9" s="288" t="str">
        <f t="shared" si="5"/>
        <v>1st</v>
      </c>
      <c r="BT9" s="288" t="str">
        <f t="shared" si="6"/>
        <v/>
      </c>
      <c r="BU9" s="288" t="str">
        <f t="shared" si="7"/>
        <v/>
      </c>
      <c r="BV9" s="288" t="str">
        <f t="shared" si="8"/>
        <v/>
      </c>
      <c r="BW9" s="288" t="str">
        <f t="shared" si="9"/>
        <v/>
      </c>
      <c r="BX9" s="288" t="str">
        <f t="shared" si="10"/>
        <v/>
      </c>
      <c r="BY9" s="288" t="str">
        <f t="shared" si="11"/>
        <v/>
      </c>
      <c r="BZ9" s="289"/>
    </row>
    <row r="10" spans="1:78" ht="14.1" customHeight="1">
      <c r="A10" s="276">
        <f>IF('Statement of Marks'!A13="","",'Statement of Marks'!A13)</f>
        <v>7</v>
      </c>
      <c r="B10" s="277">
        <f>IF('Statement of Marks'!B13="","",'Statement of Marks'!B13)</f>
        <v>907</v>
      </c>
      <c r="C10" s="278" t="str">
        <f>IF('Statement of Marks'!D13="","",'Statement of Marks'!D13)</f>
        <v/>
      </c>
      <c r="D10" s="314">
        <f>IF('Statement of Marks'!E13="","",'Statement of Marks'!E13)</f>
        <v>41317</v>
      </c>
      <c r="E10" s="279" t="str">
        <f>IF('Statement of Marks'!F13="","",'Statement of Marks'!F13)</f>
        <v>MITA</v>
      </c>
      <c r="F10" s="279" t="str">
        <f>IF('Statement of Marks'!G13="","",'Statement of Marks'!G13)</f>
        <v/>
      </c>
      <c r="G10" s="279" t="str">
        <f>IF('Statement of Marks'!H13="","",'Statement of Marks'!H13)</f>
        <v/>
      </c>
      <c r="H10" s="280" t="str">
        <f>IF('Statement of Marks'!I13="","",'Statement of Marks'!I13)</f>
        <v>GEN</v>
      </c>
      <c r="I10" s="280" t="str">
        <f>IF('Statement of Marks'!J13="","",'Statement of Marks'!J13)</f>
        <v>F</v>
      </c>
      <c r="J10" s="827" t="str">
        <f>IF('Statement of Marks'!HS13="","",'Statement of Marks'!HS13)</f>
        <v>SUPPLEMENTARY</v>
      </c>
      <c r="K10" s="281">
        <f>IF('Statement of Marks'!HT13="","",'Statement of Marks'!HT13)</f>
        <v>688</v>
      </c>
      <c r="L10" s="828" t="str">
        <f>IF('Statement of Marks'!HW13="","",'Statement of Marks'!HW13)</f>
        <v/>
      </c>
      <c r="M10" s="281" t="str">
        <f>IF('Statement of Marks'!HV13="","",'Statement of Marks'!HV13)</f>
        <v/>
      </c>
      <c r="N10" s="829" t="str">
        <f>IF('Statement of Marks'!HX13="","",'Statement of Marks'!HX13)</f>
        <v/>
      </c>
      <c r="O10" s="282" t="str">
        <f>IF(J10="FAIL","",IF('Statement of Marks'!HO13="","",'Statement of Marks'!HO13))</f>
        <v xml:space="preserve">   गणित   </v>
      </c>
      <c r="P10" s="283" t="str">
        <f>IF('Supp. Result Entry'!AQ11="","",'Supp. Result Entry'!AQ11)</f>
        <v>PASS</v>
      </c>
      <c r="Q10" s="284">
        <f>IF('Supp. Result Entry'!AR11="","",'Supp. Result Entry'!AR11)</f>
        <v>60.363636363636367</v>
      </c>
      <c r="R10" s="285" t="str">
        <f>IF('Statement of Marks'!IA13="","",'Statement of Marks'!IA13)</f>
        <v>I</v>
      </c>
      <c r="S10" s="286" t="str">
        <f>IF('Statement of Marks'!GL13="","",'Statement of Marks'!GL13)</f>
        <v/>
      </c>
      <c r="BM10" s="287" t="str">
        <f>'Statement of Marks'!F13</f>
        <v>MITA</v>
      </c>
      <c r="BN10" s="288" t="str">
        <f t="shared" si="0"/>
        <v/>
      </c>
      <c r="BO10" s="288" t="str">
        <f t="shared" si="1"/>
        <v/>
      </c>
      <c r="BP10" s="288" t="str">
        <f t="shared" si="2"/>
        <v/>
      </c>
      <c r="BQ10" s="288" t="str">
        <f t="shared" si="3"/>
        <v/>
      </c>
      <c r="BR10" s="288" t="str">
        <f t="shared" si="4"/>
        <v/>
      </c>
      <c r="BS10" s="288" t="str">
        <f t="shared" si="5"/>
        <v/>
      </c>
      <c r="BT10" s="288" t="str">
        <f t="shared" si="6"/>
        <v/>
      </c>
      <c r="BU10" s="288" t="str">
        <f t="shared" si="7"/>
        <v>I</v>
      </c>
      <c r="BV10" s="288" t="str">
        <f t="shared" si="8"/>
        <v/>
      </c>
      <c r="BW10" s="288" t="str">
        <f t="shared" si="9"/>
        <v/>
      </c>
      <c r="BX10" s="288" t="str">
        <f t="shared" si="10"/>
        <v/>
      </c>
      <c r="BY10" s="288" t="str">
        <f t="shared" si="11"/>
        <v/>
      </c>
      <c r="BZ10" s="289"/>
    </row>
    <row r="11" spans="1:78" ht="14.1" customHeight="1">
      <c r="A11" s="276">
        <f>IF('Statement of Marks'!A14="","",'Statement of Marks'!A14)</f>
        <v>8</v>
      </c>
      <c r="B11" s="277">
        <f>IF('Statement of Marks'!B14="","",'Statement of Marks'!B14)</f>
        <v>908</v>
      </c>
      <c r="C11" s="278" t="str">
        <f>IF('Statement of Marks'!D14="","",'Statement of Marks'!D14)</f>
        <v/>
      </c>
      <c r="D11" s="314">
        <f>IF('Statement of Marks'!E14="","",'Statement of Marks'!E14)</f>
        <v>40282</v>
      </c>
      <c r="E11" s="279" t="str">
        <f>IF('Statement of Marks'!F14="","",'Statement of Marks'!F14)</f>
        <v>SITA</v>
      </c>
      <c r="F11" s="279" t="str">
        <f>IF('Statement of Marks'!G14="","",'Statement of Marks'!G14)</f>
        <v/>
      </c>
      <c r="G11" s="279" t="str">
        <f>IF('Statement of Marks'!H14="","",'Statement of Marks'!H14)</f>
        <v/>
      </c>
      <c r="H11" s="280" t="str">
        <f>IF('Statement of Marks'!I14="","",'Statement of Marks'!I14)</f>
        <v>MIN</v>
      </c>
      <c r="I11" s="280" t="str">
        <f>IF('Statement of Marks'!J14="","",'Statement of Marks'!J14)</f>
        <v>F</v>
      </c>
      <c r="J11" s="827" t="str">
        <f>IF('Statement of Marks'!HS14="","",'Statement of Marks'!HS14)</f>
        <v>PASS</v>
      </c>
      <c r="K11" s="281">
        <f>IF('Statement of Marks'!HT14="","",'Statement of Marks'!HT14)</f>
        <v>846</v>
      </c>
      <c r="L11" s="828">
        <f>IF('Statement of Marks'!HW14="","",'Statement of Marks'!HW14)</f>
        <v>70.5</v>
      </c>
      <c r="M11" s="281" t="str">
        <f>IF('Statement of Marks'!HV14="","",'Statement of Marks'!HV14)</f>
        <v>1st</v>
      </c>
      <c r="N11" s="829">
        <f>IF('Statement of Marks'!HX14="","",'Statement of Marks'!HX14)</f>
        <v>3.0000000000000018</v>
      </c>
      <c r="O11" s="282" t="str">
        <f>IF(J11="FAIL","",IF('Statement of Marks'!HO14="","",'Statement of Marks'!HO14))</f>
        <v xml:space="preserve">      </v>
      </c>
      <c r="P11" s="283" t="str">
        <f>IF('Supp. Result Entry'!AQ12="","",'Supp. Result Entry'!AQ12)</f>
        <v/>
      </c>
      <c r="Q11" s="284" t="str">
        <f>IF('Supp. Result Entry'!AR12="","",'Supp. Result Entry'!AR12)</f>
        <v/>
      </c>
      <c r="R11" s="285" t="str">
        <f>IF('Statement of Marks'!IA14="","",'Statement of Marks'!IA14)</f>
        <v/>
      </c>
      <c r="S11" s="286" t="str">
        <f>IF('Statement of Marks'!GL14="","",'Statement of Marks'!GL14)</f>
        <v/>
      </c>
      <c r="BM11" s="287" t="str">
        <f>'Statement of Marks'!F14</f>
        <v>SITA</v>
      </c>
      <c r="BN11" s="288" t="str">
        <f t="shared" si="0"/>
        <v/>
      </c>
      <c r="BO11" s="288" t="str">
        <f t="shared" si="1"/>
        <v/>
      </c>
      <c r="BP11" s="288" t="str">
        <f t="shared" si="2"/>
        <v/>
      </c>
      <c r="BQ11" s="288" t="str">
        <f t="shared" si="3"/>
        <v/>
      </c>
      <c r="BR11" s="288" t="str">
        <f t="shared" si="4"/>
        <v/>
      </c>
      <c r="BS11" s="288" t="str">
        <f t="shared" si="5"/>
        <v/>
      </c>
      <c r="BT11" s="288" t="str">
        <f t="shared" si="6"/>
        <v/>
      </c>
      <c r="BU11" s="288" t="str">
        <f t="shared" si="7"/>
        <v/>
      </c>
      <c r="BV11" s="288" t="str">
        <f t="shared" si="8"/>
        <v/>
      </c>
      <c r="BW11" s="288" t="str">
        <f t="shared" si="9"/>
        <v>1st</v>
      </c>
      <c r="BX11" s="288" t="str">
        <f t="shared" si="10"/>
        <v/>
      </c>
      <c r="BY11" s="288" t="str">
        <f t="shared" si="11"/>
        <v/>
      </c>
      <c r="BZ11" s="289"/>
    </row>
    <row r="12" spans="1:78" ht="14.1" customHeight="1">
      <c r="A12" s="276">
        <f>IF('Statement of Marks'!A15="","",'Statement of Marks'!A15)</f>
        <v>9</v>
      </c>
      <c r="B12" s="277">
        <f>IF('Statement of Marks'!B15="","",'Statement of Marks'!B15)</f>
        <v>909</v>
      </c>
      <c r="C12" s="278" t="str">
        <f>IF('Statement of Marks'!D15="","",'Statement of Marks'!D15)</f>
        <v/>
      </c>
      <c r="D12" s="314">
        <f>IF('Statement of Marks'!E15="","",'Statement of Marks'!E15)</f>
        <v>40065</v>
      </c>
      <c r="E12" s="279" t="str">
        <f>IF('Statement of Marks'!F15="","",'Statement of Marks'!F15)</f>
        <v>RITA</v>
      </c>
      <c r="F12" s="279" t="str">
        <f>IF('Statement of Marks'!G15="","",'Statement of Marks'!G15)</f>
        <v/>
      </c>
      <c r="G12" s="279" t="str">
        <f>IF('Statement of Marks'!H15="","",'Statement of Marks'!H15)</f>
        <v/>
      </c>
      <c r="H12" s="280" t="str">
        <f>IF('Statement of Marks'!I15="","",'Statement of Marks'!I15)</f>
        <v>SBC</v>
      </c>
      <c r="I12" s="280" t="str">
        <f>IF('Statement of Marks'!J15="","",'Statement of Marks'!J15)</f>
        <v>F</v>
      </c>
      <c r="J12" s="827" t="str">
        <f>IF('Statement of Marks'!HS15="","",'Statement of Marks'!HS15)</f>
        <v>PASS</v>
      </c>
      <c r="K12" s="281">
        <f>IF('Statement of Marks'!HT15="","",'Statement of Marks'!HT15)</f>
        <v>724</v>
      </c>
      <c r="L12" s="828">
        <f>IF('Statement of Marks'!HW15="","",'Statement of Marks'!HW15)</f>
        <v>60.333333333333336</v>
      </c>
      <c r="M12" s="281" t="str">
        <f>IF('Statement of Marks'!HV15="","",'Statement of Marks'!HV15)</f>
        <v>1st</v>
      </c>
      <c r="N12" s="829">
        <f>IF('Statement of Marks'!HX15="","",'Statement of Marks'!HX15)</f>
        <v>12.00000000000008</v>
      </c>
      <c r="O12" s="282" t="str">
        <f>IF(J12="FAIL","",IF('Statement of Marks'!HO15="","",'Statement of Marks'!HO15))</f>
        <v xml:space="preserve">      </v>
      </c>
      <c r="P12" s="283" t="str">
        <f>IF('Supp. Result Entry'!AQ13="","",'Supp. Result Entry'!AQ13)</f>
        <v/>
      </c>
      <c r="Q12" s="284" t="str">
        <f>IF('Supp. Result Entry'!AR13="","",'Supp. Result Entry'!AR13)</f>
        <v/>
      </c>
      <c r="R12" s="285" t="str">
        <f>IF('Statement of Marks'!IA15="","",'Statement of Marks'!IA15)</f>
        <v/>
      </c>
      <c r="S12" s="286" t="str">
        <f>IF('Statement of Marks'!GL15="","",'Statement of Marks'!GL15)</f>
        <v/>
      </c>
      <c r="BM12" s="287" t="str">
        <f>'Statement of Marks'!F15</f>
        <v>RITA</v>
      </c>
      <c r="BN12" s="288" t="str">
        <f t="shared" si="0"/>
        <v/>
      </c>
      <c r="BO12" s="288" t="str">
        <f t="shared" si="1"/>
        <v/>
      </c>
      <c r="BP12" s="288" t="str">
        <f t="shared" si="2"/>
        <v/>
      </c>
      <c r="BQ12" s="288" t="str">
        <f t="shared" si="3"/>
        <v/>
      </c>
      <c r="BR12" s="288" t="str">
        <f t="shared" si="4"/>
        <v/>
      </c>
      <c r="BS12" s="288" t="str">
        <f t="shared" si="5"/>
        <v/>
      </c>
      <c r="BT12" s="288" t="str">
        <f t="shared" si="6"/>
        <v/>
      </c>
      <c r="BU12" s="288" t="str">
        <f t="shared" si="7"/>
        <v/>
      </c>
      <c r="BV12" s="288" t="str">
        <f t="shared" si="8"/>
        <v/>
      </c>
      <c r="BW12" s="288" t="str">
        <f t="shared" si="9"/>
        <v/>
      </c>
      <c r="BX12" s="288" t="str">
        <f t="shared" si="10"/>
        <v/>
      </c>
      <c r="BY12" s="288" t="str">
        <f t="shared" si="11"/>
        <v>1st</v>
      </c>
      <c r="BZ12" s="289"/>
    </row>
    <row r="13" spans="1:78" ht="14.1" customHeight="1">
      <c r="A13" s="276">
        <f>IF('Statement of Marks'!A16="","",'Statement of Marks'!A16)</f>
        <v>10</v>
      </c>
      <c r="B13" s="277">
        <f>IF('Statement of Marks'!B16="","",'Statement of Marks'!B16)</f>
        <v>910</v>
      </c>
      <c r="C13" s="278" t="str">
        <f>IF('Statement of Marks'!D16="","",'Statement of Marks'!D16)</f>
        <v/>
      </c>
      <c r="D13" s="314">
        <f>IF('Statement of Marks'!E16="","",'Statement of Marks'!E16)</f>
        <v>40737</v>
      </c>
      <c r="E13" s="279" t="str">
        <f>IF('Statement of Marks'!F16="","",'Statement of Marks'!F16)</f>
        <v>SONU</v>
      </c>
      <c r="F13" s="279" t="str">
        <f>IF('Statement of Marks'!G16="","",'Statement of Marks'!G16)</f>
        <v/>
      </c>
      <c r="G13" s="279" t="str">
        <f>IF('Statement of Marks'!H16="","",'Statement of Marks'!H16)</f>
        <v/>
      </c>
      <c r="H13" s="280" t="str">
        <f>IF('Statement of Marks'!I16="","",'Statement of Marks'!I16)</f>
        <v>ST</v>
      </c>
      <c r="I13" s="280" t="str">
        <f>IF('Statement of Marks'!J16="","",'Statement of Marks'!J16)</f>
        <v>F</v>
      </c>
      <c r="J13" s="827" t="str">
        <f>IF('Statement of Marks'!HS16="","",'Statement of Marks'!HS16)</f>
        <v>BY GRACE PASS</v>
      </c>
      <c r="K13" s="281">
        <f>IF('Statement of Marks'!HT16="","",'Statement of Marks'!HT16)</f>
        <v>633</v>
      </c>
      <c r="L13" s="828">
        <f>IF('Statement of Marks'!HW16="","",'Statement of Marks'!HW16)</f>
        <v>52.75</v>
      </c>
      <c r="M13" s="281" t="str">
        <f>IF('Statement of Marks'!HV16="","",'Statement of Marks'!HV16)</f>
        <v>2nd</v>
      </c>
      <c r="N13" s="829">
        <f>IF('Statement of Marks'!HX16="","",'Statement of Marks'!HX16)</f>
        <v>17.999999999999773</v>
      </c>
      <c r="O13" s="282" t="str">
        <f>IF(J13="FAIL","",IF('Statement of Marks'!HO16="","",'Statement of Marks'!HO16))</f>
        <v xml:space="preserve">      </v>
      </c>
      <c r="P13" s="283" t="str">
        <f>IF('Supp. Result Entry'!AQ14="","",'Supp. Result Entry'!AQ14)</f>
        <v/>
      </c>
      <c r="Q13" s="284" t="str">
        <f>IF('Supp. Result Entry'!AR14="","",'Supp. Result Entry'!AR14)</f>
        <v/>
      </c>
      <c r="R13" s="285" t="str">
        <f>IF('Statement of Marks'!IA16="","",'Statement of Marks'!IA16)</f>
        <v/>
      </c>
      <c r="S13" s="286" t="str">
        <f>IF('Statement of Marks'!GL16="","",'Statement of Marks'!GL16)</f>
        <v/>
      </c>
      <c r="BM13" s="287" t="str">
        <f>'Statement of Marks'!F16</f>
        <v>SONU</v>
      </c>
      <c r="BN13" s="288" t="str">
        <f t="shared" si="0"/>
        <v/>
      </c>
      <c r="BO13" s="288" t="str">
        <f t="shared" si="1"/>
        <v/>
      </c>
      <c r="BP13" s="288" t="str">
        <f t="shared" si="2"/>
        <v/>
      </c>
      <c r="BQ13" s="288" t="str">
        <f t="shared" si="3"/>
        <v>2nd</v>
      </c>
      <c r="BR13" s="288" t="str">
        <f t="shared" si="4"/>
        <v/>
      </c>
      <c r="BS13" s="288" t="str">
        <f t="shared" si="5"/>
        <v/>
      </c>
      <c r="BT13" s="288" t="str">
        <f t="shared" si="6"/>
        <v/>
      </c>
      <c r="BU13" s="288" t="str">
        <f t="shared" si="7"/>
        <v/>
      </c>
      <c r="BV13" s="288" t="str">
        <f t="shared" si="8"/>
        <v/>
      </c>
      <c r="BW13" s="288" t="str">
        <f t="shared" si="9"/>
        <v/>
      </c>
      <c r="BX13" s="288" t="str">
        <f t="shared" si="10"/>
        <v/>
      </c>
      <c r="BY13" s="288" t="str">
        <f t="shared" si="11"/>
        <v/>
      </c>
      <c r="BZ13" s="289"/>
    </row>
    <row r="14" spans="1:78" ht="14.1" customHeight="1">
      <c r="A14" s="276">
        <f>IF('Statement of Marks'!A17="","",'Statement of Marks'!A17)</f>
        <v>11</v>
      </c>
      <c r="B14" s="277">
        <f>IF('Statement of Marks'!B17="","",'Statement of Marks'!B17)</f>
        <v>911</v>
      </c>
      <c r="C14" s="278" t="str">
        <f>IF('Statement of Marks'!D17="","",'Statement of Marks'!D17)</f>
        <v/>
      </c>
      <c r="D14" s="314">
        <f>IF('Statement of Marks'!E17="","",'Statement of Marks'!E17)</f>
        <v>41878</v>
      </c>
      <c r="E14" s="279" t="str">
        <f>IF('Statement of Marks'!F17="","",'Statement of Marks'!F17)</f>
        <v>MONU</v>
      </c>
      <c r="F14" s="279" t="str">
        <f>IF('Statement of Marks'!G17="","",'Statement of Marks'!G17)</f>
        <v/>
      </c>
      <c r="G14" s="279" t="str">
        <f>IF('Statement of Marks'!H17="","",'Statement of Marks'!H17)</f>
        <v/>
      </c>
      <c r="H14" s="280" t="str">
        <f>IF('Statement of Marks'!I17="","",'Statement of Marks'!I17)</f>
        <v>SC</v>
      </c>
      <c r="I14" s="280" t="str">
        <f>IF('Statement of Marks'!J17="","",'Statement of Marks'!J17)</f>
        <v>M</v>
      </c>
      <c r="J14" s="827" t="str">
        <f>IF('Statement of Marks'!HS17="","",'Statement of Marks'!HS17)</f>
        <v>FAIL</v>
      </c>
      <c r="K14" s="281">
        <f>IF('Statement of Marks'!HT17="","",'Statement of Marks'!HT17)</f>
        <v>745</v>
      </c>
      <c r="L14" s="828" t="str">
        <f>IF('Statement of Marks'!HW17="","",'Statement of Marks'!HW17)</f>
        <v/>
      </c>
      <c r="M14" s="281" t="str">
        <f>IF('Statement of Marks'!HV17="","",'Statement of Marks'!HV17)</f>
        <v/>
      </c>
      <c r="N14" s="829" t="str">
        <f>IF('Statement of Marks'!HX17="","",'Statement of Marks'!HX17)</f>
        <v/>
      </c>
      <c r="O14" s="282" t="str">
        <f>IF(J14="FAIL","",IF('Statement of Marks'!HO17="","",'Statement of Marks'!HO17))</f>
        <v/>
      </c>
      <c r="P14" s="283" t="str">
        <f>IF('Supp. Result Entry'!AQ15="","",'Supp. Result Entry'!AQ15)</f>
        <v/>
      </c>
      <c r="Q14" s="284" t="str">
        <f>IF('Supp. Result Entry'!AR15="","",'Supp. Result Entry'!AR15)</f>
        <v/>
      </c>
      <c r="R14" s="285" t="str">
        <f>IF('Statement of Marks'!IA17="","",'Statement of Marks'!IA17)</f>
        <v/>
      </c>
      <c r="S14" s="286" t="str">
        <f>IF('Statement of Marks'!GL17="","",'Statement of Marks'!GL17)</f>
        <v/>
      </c>
      <c r="BM14" s="287" t="str">
        <f>'Statement of Marks'!F17</f>
        <v>MONU</v>
      </c>
      <c r="BN14" s="288" t="str">
        <f t="shared" si="0"/>
        <v>FAIL</v>
      </c>
      <c r="BO14" s="288" t="str">
        <f t="shared" si="1"/>
        <v/>
      </c>
      <c r="BP14" s="288" t="str">
        <f t="shared" si="2"/>
        <v/>
      </c>
      <c r="BQ14" s="288" t="str">
        <f t="shared" si="3"/>
        <v/>
      </c>
      <c r="BR14" s="288" t="str">
        <f t="shared" si="4"/>
        <v/>
      </c>
      <c r="BS14" s="288" t="str">
        <f t="shared" si="5"/>
        <v/>
      </c>
      <c r="BT14" s="288" t="str">
        <f t="shared" si="6"/>
        <v/>
      </c>
      <c r="BU14" s="288" t="str">
        <f t="shared" si="7"/>
        <v/>
      </c>
      <c r="BV14" s="288" t="str">
        <f t="shared" si="8"/>
        <v/>
      </c>
      <c r="BW14" s="288" t="str">
        <f t="shared" si="9"/>
        <v/>
      </c>
      <c r="BX14" s="288" t="str">
        <f t="shared" si="10"/>
        <v/>
      </c>
      <c r="BY14" s="288" t="str">
        <f t="shared" si="11"/>
        <v/>
      </c>
      <c r="BZ14" s="289"/>
    </row>
    <row r="15" spans="1:78" ht="14.1" customHeight="1">
      <c r="A15" s="276">
        <f>IF('Statement of Marks'!A18="","",'Statement of Marks'!A18)</f>
        <v>12</v>
      </c>
      <c r="B15" s="277">
        <f>IF('Statement of Marks'!B18="","",'Statement of Marks'!B18)</f>
        <v>912</v>
      </c>
      <c r="C15" s="278" t="str">
        <f>IF('Statement of Marks'!D18="","",'Statement of Marks'!D18)</f>
        <v/>
      </c>
      <c r="D15" s="314" t="str">
        <f>IF('Statement of Marks'!E18="","",'Statement of Marks'!E18)</f>
        <v/>
      </c>
      <c r="E15" s="279" t="str">
        <f>IF('Statement of Marks'!F18="","",'Statement of Marks'!F18)</f>
        <v>JAY</v>
      </c>
      <c r="F15" s="279" t="str">
        <f>IF('Statement of Marks'!G18="","",'Statement of Marks'!G18)</f>
        <v/>
      </c>
      <c r="G15" s="279" t="str">
        <f>IF('Statement of Marks'!H18="","",'Statement of Marks'!H18)</f>
        <v/>
      </c>
      <c r="H15" s="280" t="str">
        <f>IF('Statement of Marks'!I18="","",'Statement of Marks'!I18)</f>
        <v/>
      </c>
      <c r="I15" s="280" t="str">
        <f>IF('Statement of Marks'!J18="","",'Statement of Marks'!J18)</f>
        <v/>
      </c>
      <c r="J15" s="827" t="str">
        <f>IF('Statement of Marks'!HS18="","",'Statement of Marks'!HS18)</f>
        <v>BY GRACE PASS</v>
      </c>
      <c r="K15" s="281">
        <f>IF('Statement of Marks'!HT18="","",'Statement of Marks'!HT18)</f>
        <v>718</v>
      </c>
      <c r="L15" s="828">
        <f>IF('Statement of Marks'!HW18="","",'Statement of Marks'!HW18)</f>
        <v>59.833333333333336</v>
      </c>
      <c r="M15" s="281" t="str">
        <f>IF('Statement of Marks'!HV18="","",'Statement of Marks'!HV18)</f>
        <v>2nd</v>
      </c>
      <c r="N15" s="829">
        <f>IF('Statement of Marks'!HX18="","",'Statement of Marks'!HX18)</f>
        <v>14.000000000000078</v>
      </c>
      <c r="O15" s="282" t="str">
        <f>IF(J15="FAIL","",IF('Statement of Marks'!HO18="","",'Statement of Marks'!HO18))</f>
        <v xml:space="preserve">      </v>
      </c>
      <c r="P15" s="283" t="str">
        <f>IF('Supp. Result Entry'!AQ16="","",'Supp. Result Entry'!AQ16)</f>
        <v/>
      </c>
      <c r="Q15" s="284" t="str">
        <f>IF('Supp. Result Entry'!AR16="","",'Supp. Result Entry'!AR16)</f>
        <v/>
      </c>
      <c r="R15" s="285" t="str">
        <f>IF('Statement of Marks'!IA18="","",'Statement of Marks'!IA18)</f>
        <v/>
      </c>
      <c r="S15" s="286" t="str">
        <f>IF('Statement of Marks'!GL18="","",'Statement of Marks'!GL18)</f>
        <v/>
      </c>
      <c r="BM15" s="287" t="str">
        <f>'Statement of Marks'!F18</f>
        <v>JAY</v>
      </c>
      <c r="BN15" s="288" t="str">
        <f t="shared" si="0"/>
        <v/>
      </c>
      <c r="BO15" s="288" t="str">
        <f t="shared" si="1"/>
        <v/>
      </c>
      <c r="BP15" s="288" t="str">
        <f t="shared" si="2"/>
        <v/>
      </c>
      <c r="BQ15" s="288" t="str">
        <f t="shared" si="3"/>
        <v/>
      </c>
      <c r="BR15" s="288" t="str">
        <f t="shared" si="4"/>
        <v/>
      </c>
      <c r="BS15" s="288" t="str">
        <f t="shared" si="5"/>
        <v/>
      </c>
      <c r="BT15" s="288" t="str">
        <f t="shared" si="6"/>
        <v/>
      </c>
      <c r="BU15" s="288" t="str">
        <f t="shared" si="7"/>
        <v/>
      </c>
      <c r="BV15" s="288" t="str">
        <f t="shared" si="8"/>
        <v/>
      </c>
      <c r="BW15" s="288" t="str">
        <f t="shared" si="9"/>
        <v/>
      </c>
      <c r="BX15" s="288" t="str">
        <f t="shared" si="10"/>
        <v/>
      </c>
      <c r="BY15" s="288" t="str">
        <f t="shared" si="11"/>
        <v/>
      </c>
      <c r="BZ15" s="289"/>
    </row>
    <row r="16" spans="1:78" ht="14.1" customHeight="1">
      <c r="A16" s="276">
        <f>IF('Statement of Marks'!A19="","",'Statement of Marks'!A19)</f>
        <v>13</v>
      </c>
      <c r="B16" s="277">
        <f>IF('Statement of Marks'!B19="","",'Statement of Marks'!B19)</f>
        <v>913</v>
      </c>
      <c r="C16" s="278" t="str">
        <f>IF('Statement of Marks'!D19="","",'Statement of Marks'!D19)</f>
        <v/>
      </c>
      <c r="D16" s="314" t="str">
        <f>IF('Statement of Marks'!E19="","",'Statement of Marks'!E19)</f>
        <v/>
      </c>
      <c r="E16" s="279" t="str">
        <f>IF('Statement of Marks'!F19="","",'Statement of Marks'!F19)</f>
        <v>VIRU</v>
      </c>
      <c r="F16" s="279" t="str">
        <f>IF('Statement of Marks'!G19="","",'Statement of Marks'!G19)</f>
        <v/>
      </c>
      <c r="G16" s="279" t="str">
        <f>IF('Statement of Marks'!H19="","",'Statement of Marks'!H19)</f>
        <v/>
      </c>
      <c r="H16" s="280" t="str">
        <f>IF('Statement of Marks'!I19="","",'Statement of Marks'!I19)</f>
        <v/>
      </c>
      <c r="I16" s="280" t="str">
        <f>IF('Statement of Marks'!J19="","",'Statement of Marks'!J19)</f>
        <v/>
      </c>
      <c r="J16" s="827" t="str">
        <f>IF('Statement of Marks'!HS19="","",'Statement of Marks'!HS19)</f>
        <v>PASS</v>
      </c>
      <c r="K16" s="281">
        <f>IF('Statement of Marks'!HT19="","",'Statement of Marks'!HT19)</f>
        <v>721</v>
      </c>
      <c r="L16" s="828">
        <f>IF('Statement of Marks'!HW19="","",'Statement of Marks'!HW19)</f>
        <v>60.083333333333336</v>
      </c>
      <c r="M16" s="281" t="str">
        <f>IF('Statement of Marks'!HV19="","",'Statement of Marks'!HV19)</f>
        <v>1st</v>
      </c>
      <c r="N16" s="829">
        <f>IF('Statement of Marks'!HX19="","",'Statement of Marks'!HX19)</f>
        <v>13.000000000000078</v>
      </c>
      <c r="O16" s="282" t="str">
        <f>IF(J16="FAIL","",IF('Statement of Marks'!HO19="","",'Statement of Marks'!HO19))</f>
        <v xml:space="preserve">      </v>
      </c>
      <c r="P16" s="283" t="str">
        <f>IF('Supp. Result Entry'!AQ17="","",'Supp. Result Entry'!AQ17)</f>
        <v/>
      </c>
      <c r="Q16" s="284" t="str">
        <f>IF('Supp. Result Entry'!AR17="","",'Supp. Result Entry'!AR17)</f>
        <v/>
      </c>
      <c r="R16" s="285" t="str">
        <f>IF('Statement of Marks'!IA19="","",'Statement of Marks'!IA19)</f>
        <v/>
      </c>
      <c r="S16" s="286" t="str">
        <f>IF('Statement of Marks'!GL19="","",'Statement of Marks'!GL19)</f>
        <v/>
      </c>
      <c r="BM16" s="287" t="str">
        <f>'Statement of Marks'!F19</f>
        <v>VIRU</v>
      </c>
      <c r="BN16" s="288" t="str">
        <f t="shared" si="0"/>
        <v/>
      </c>
      <c r="BO16" s="288" t="str">
        <f t="shared" si="1"/>
        <v/>
      </c>
      <c r="BP16" s="288" t="str">
        <f t="shared" si="2"/>
        <v/>
      </c>
      <c r="BQ16" s="288" t="str">
        <f t="shared" si="3"/>
        <v/>
      </c>
      <c r="BR16" s="288" t="str">
        <f t="shared" si="4"/>
        <v/>
      </c>
      <c r="BS16" s="288" t="str">
        <f t="shared" si="5"/>
        <v/>
      </c>
      <c r="BT16" s="288" t="str">
        <f t="shared" si="6"/>
        <v/>
      </c>
      <c r="BU16" s="288" t="str">
        <f t="shared" si="7"/>
        <v/>
      </c>
      <c r="BV16" s="288" t="str">
        <f t="shared" si="8"/>
        <v/>
      </c>
      <c r="BW16" s="288" t="str">
        <f t="shared" si="9"/>
        <v/>
      </c>
      <c r="BX16" s="288" t="str">
        <f t="shared" si="10"/>
        <v/>
      </c>
      <c r="BY16" s="288" t="str">
        <f t="shared" si="11"/>
        <v/>
      </c>
      <c r="BZ16" s="289"/>
    </row>
    <row r="17" spans="1:78" ht="14.1" customHeight="1">
      <c r="A17" s="276">
        <f>IF('Statement of Marks'!A20="","",'Statement of Marks'!A20)</f>
        <v>14</v>
      </c>
      <c r="B17" s="277">
        <f>IF('Statement of Marks'!B20="","",'Statement of Marks'!B20)</f>
        <v>914</v>
      </c>
      <c r="C17" s="278" t="str">
        <f>IF('Statement of Marks'!D20="","",'Statement of Marks'!D20)</f>
        <v/>
      </c>
      <c r="D17" s="314" t="str">
        <f>IF('Statement of Marks'!E20="","",'Statement of Marks'!E20)</f>
        <v/>
      </c>
      <c r="E17" s="279" t="str">
        <f>IF('Statement of Marks'!F20="","",'Statement of Marks'!F20)</f>
        <v>ANIL</v>
      </c>
      <c r="F17" s="279" t="str">
        <f>IF('Statement of Marks'!G20="","",'Statement of Marks'!G20)</f>
        <v/>
      </c>
      <c r="G17" s="279" t="str">
        <f>IF('Statement of Marks'!H20="","",'Statement of Marks'!H20)</f>
        <v/>
      </c>
      <c r="H17" s="280" t="str">
        <f>IF('Statement of Marks'!I20="","",'Statement of Marks'!I20)</f>
        <v/>
      </c>
      <c r="I17" s="280" t="str">
        <f>IF('Statement of Marks'!J20="","",'Statement of Marks'!J20)</f>
        <v/>
      </c>
      <c r="J17" s="827" t="str">
        <f>IF('Statement of Marks'!HS20="","",'Statement of Marks'!HS20)</f>
        <v>BY GRACE PASS</v>
      </c>
      <c r="K17" s="281">
        <f>IF('Statement of Marks'!HT20="","",'Statement of Marks'!HT20)</f>
        <v>678</v>
      </c>
      <c r="L17" s="828">
        <f>IF('Statement of Marks'!HW20="","",'Statement of Marks'!HW20)</f>
        <v>56.5</v>
      </c>
      <c r="M17" s="281" t="str">
        <f>IF('Statement of Marks'!HV20="","",'Statement of Marks'!HV20)</f>
        <v>2nd</v>
      </c>
      <c r="N17" s="829">
        <f>IF('Statement of Marks'!HX20="","",'Statement of Marks'!HX20)</f>
        <v>16.999999999999773</v>
      </c>
      <c r="O17" s="282" t="str">
        <f>IF(J17="FAIL","",IF('Statement of Marks'!HO20="","",'Statement of Marks'!HO20))</f>
        <v xml:space="preserve">      </v>
      </c>
      <c r="P17" s="283" t="str">
        <f>IF('Supp. Result Entry'!AQ18="","",'Supp. Result Entry'!AQ18)</f>
        <v/>
      </c>
      <c r="Q17" s="284" t="str">
        <f>IF('Supp. Result Entry'!AR18="","",'Supp. Result Entry'!AR18)</f>
        <v/>
      </c>
      <c r="R17" s="285" t="str">
        <f>IF('Statement of Marks'!IA20="","",'Statement of Marks'!IA20)</f>
        <v/>
      </c>
      <c r="S17" s="286" t="str">
        <f>IF('Statement of Marks'!GL20="","",'Statement of Marks'!GL20)</f>
        <v/>
      </c>
      <c r="BM17" s="287" t="str">
        <f>'Statement of Marks'!F20</f>
        <v>ANIL</v>
      </c>
      <c r="BN17" s="288" t="str">
        <f t="shared" si="0"/>
        <v/>
      </c>
      <c r="BO17" s="288" t="str">
        <f t="shared" si="1"/>
        <v/>
      </c>
      <c r="BP17" s="288" t="str">
        <f t="shared" si="2"/>
        <v/>
      </c>
      <c r="BQ17" s="288" t="str">
        <f t="shared" si="3"/>
        <v/>
      </c>
      <c r="BR17" s="288" t="str">
        <f t="shared" si="4"/>
        <v/>
      </c>
      <c r="BS17" s="288" t="str">
        <f t="shared" si="5"/>
        <v/>
      </c>
      <c r="BT17" s="288" t="str">
        <f t="shared" si="6"/>
        <v/>
      </c>
      <c r="BU17" s="288" t="str">
        <f t="shared" si="7"/>
        <v/>
      </c>
      <c r="BV17" s="288" t="str">
        <f t="shared" si="8"/>
        <v/>
      </c>
      <c r="BW17" s="288" t="str">
        <f t="shared" si="9"/>
        <v/>
      </c>
      <c r="BX17" s="288" t="str">
        <f t="shared" si="10"/>
        <v/>
      </c>
      <c r="BY17" s="288" t="str">
        <f t="shared" si="11"/>
        <v/>
      </c>
      <c r="BZ17" s="289"/>
    </row>
    <row r="18" spans="1:78" ht="14.1" customHeight="1">
      <c r="A18" s="276">
        <f>IF('Statement of Marks'!A21="","",'Statement of Marks'!A21)</f>
        <v>15</v>
      </c>
      <c r="B18" s="277">
        <f>IF('Statement of Marks'!B21="","",'Statement of Marks'!B21)</f>
        <v>915</v>
      </c>
      <c r="C18" s="278" t="str">
        <f>IF('Statement of Marks'!D21="","",'Statement of Marks'!D21)</f>
        <v/>
      </c>
      <c r="D18" s="314" t="str">
        <f>IF('Statement of Marks'!E21="","",'Statement of Marks'!E21)</f>
        <v/>
      </c>
      <c r="E18" s="279" t="str">
        <f>IF('Statement of Marks'!F21="","",'Statement of Marks'!F21)</f>
        <v>RAHIM</v>
      </c>
      <c r="F18" s="279" t="str">
        <f>IF('Statement of Marks'!G21="","",'Statement of Marks'!G21)</f>
        <v/>
      </c>
      <c r="G18" s="279" t="str">
        <f>IF('Statement of Marks'!H21="","",'Statement of Marks'!H21)</f>
        <v/>
      </c>
      <c r="H18" s="280" t="str">
        <f>IF('Statement of Marks'!I21="","",'Statement of Marks'!I21)</f>
        <v/>
      </c>
      <c r="I18" s="280" t="str">
        <f>IF('Statement of Marks'!J21="","",'Statement of Marks'!J21)</f>
        <v/>
      </c>
      <c r="J18" s="827" t="str">
        <f>IF('Statement of Marks'!HS21="","",'Statement of Marks'!HS21)</f>
        <v>PASS</v>
      </c>
      <c r="K18" s="281">
        <f>IF('Statement of Marks'!HT21="","",'Statement of Marks'!HT21)</f>
        <v>687</v>
      </c>
      <c r="L18" s="828">
        <f>IF('Statement of Marks'!HW21="","",'Statement of Marks'!HW21)</f>
        <v>57.25</v>
      </c>
      <c r="M18" s="281" t="str">
        <f>IF('Statement of Marks'!HV21="","",'Statement of Marks'!HV21)</f>
        <v>2nd</v>
      </c>
      <c r="N18" s="829">
        <f>IF('Statement of Marks'!HX21="","",'Statement of Marks'!HX21)</f>
        <v>16.000000000000075</v>
      </c>
      <c r="O18" s="282" t="str">
        <f>IF(J18="FAIL","",IF('Statement of Marks'!HO21="","",'Statement of Marks'!HO21))</f>
        <v xml:space="preserve">      </v>
      </c>
      <c r="P18" s="283" t="str">
        <f>IF('Supp. Result Entry'!AQ19="","",'Supp. Result Entry'!AQ19)</f>
        <v/>
      </c>
      <c r="Q18" s="284" t="str">
        <f>IF('Supp. Result Entry'!AR19="","",'Supp. Result Entry'!AR19)</f>
        <v/>
      </c>
      <c r="R18" s="285" t="str">
        <f>IF('Statement of Marks'!IA21="","",'Statement of Marks'!IA21)</f>
        <v/>
      </c>
      <c r="S18" s="286" t="str">
        <f>IF('Statement of Marks'!GL21="","",'Statement of Marks'!GL21)</f>
        <v/>
      </c>
      <c r="BM18" s="287" t="str">
        <f>'Statement of Marks'!F21</f>
        <v>RAHIM</v>
      </c>
      <c r="BN18" s="288" t="str">
        <f t="shared" si="0"/>
        <v/>
      </c>
      <c r="BO18" s="288" t="str">
        <f t="shared" si="1"/>
        <v/>
      </c>
      <c r="BP18" s="288" t="str">
        <f t="shared" si="2"/>
        <v/>
      </c>
      <c r="BQ18" s="288" t="str">
        <f t="shared" si="3"/>
        <v/>
      </c>
      <c r="BR18" s="288" t="str">
        <f t="shared" si="4"/>
        <v/>
      </c>
      <c r="BS18" s="288" t="str">
        <f t="shared" si="5"/>
        <v/>
      </c>
      <c r="BT18" s="288" t="str">
        <f t="shared" si="6"/>
        <v/>
      </c>
      <c r="BU18" s="288" t="str">
        <f t="shared" si="7"/>
        <v/>
      </c>
      <c r="BV18" s="288" t="str">
        <f t="shared" si="8"/>
        <v/>
      </c>
      <c r="BW18" s="288" t="str">
        <f t="shared" si="9"/>
        <v/>
      </c>
      <c r="BX18" s="288" t="str">
        <f t="shared" si="10"/>
        <v/>
      </c>
      <c r="BY18" s="288" t="str">
        <f t="shared" si="11"/>
        <v/>
      </c>
      <c r="BZ18" s="289"/>
    </row>
    <row r="19" spans="1:78" ht="14.1" customHeight="1">
      <c r="A19" s="276">
        <f>IF('Statement of Marks'!A22="","",'Statement of Marks'!A22)</f>
        <v>16</v>
      </c>
      <c r="B19" s="277">
        <f>IF('Statement of Marks'!B22="","",'Statement of Marks'!B22)</f>
        <v>916</v>
      </c>
      <c r="C19" s="278" t="str">
        <f>IF('Statement of Marks'!D22="","",'Statement of Marks'!D22)</f>
        <v/>
      </c>
      <c r="D19" s="314" t="str">
        <f>IF('Statement of Marks'!E22="","",'Statement of Marks'!E22)</f>
        <v/>
      </c>
      <c r="E19" s="279" t="str">
        <f>IF('Statement of Marks'!F22="","",'Statement of Marks'!F22)</f>
        <v>KARIM</v>
      </c>
      <c r="F19" s="279" t="str">
        <f>IF('Statement of Marks'!G22="","",'Statement of Marks'!G22)</f>
        <v/>
      </c>
      <c r="G19" s="279" t="str">
        <f>IF('Statement of Marks'!H22="","",'Statement of Marks'!H22)</f>
        <v/>
      </c>
      <c r="H19" s="280" t="str">
        <f>IF('Statement of Marks'!I22="","",'Statement of Marks'!I22)</f>
        <v/>
      </c>
      <c r="I19" s="280" t="str">
        <f>IF('Statement of Marks'!J22="","",'Statement of Marks'!J22)</f>
        <v/>
      </c>
      <c r="J19" s="827" t="str">
        <f>IF('Statement of Marks'!HS22="","",'Statement of Marks'!HS22)</f>
        <v>PASS</v>
      </c>
      <c r="K19" s="281">
        <f>IF('Statement of Marks'!HT22="","",'Statement of Marks'!HT22)</f>
        <v>768</v>
      </c>
      <c r="L19" s="828">
        <f>IF('Statement of Marks'!HW22="","",'Statement of Marks'!HW22)</f>
        <v>64</v>
      </c>
      <c r="M19" s="281" t="str">
        <f>IF('Statement of Marks'!HV22="","",'Statement of Marks'!HV22)</f>
        <v>1st</v>
      </c>
      <c r="N19" s="829">
        <f>IF('Statement of Marks'!HX22="","",'Statement of Marks'!HX22)</f>
        <v>6.9999999999999263</v>
      </c>
      <c r="O19" s="282" t="str">
        <f>IF(J19="FAIL","",IF('Statement of Marks'!HO22="","",'Statement of Marks'!HO22))</f>
        <v xml:space="preserve">      </v>
      </c>
      <c r="P19" s="283" t="str">
        <f>IF('Supp. Result Entry'!AQ20="","",'Supp. Result Entry'!AQ20)</f>
        <v/>
      </c>
      <c r="Q19" s="284" t="str">
        <f>IF('Supp. Result Entry'!AR20="","",'Supp. Result Entry'!AR20)</f>
        <v/>
      </c>
      <c r="R19" s="285" t="str">
        <f>IF('Statement of Marks'!IA22="","",'Statement of Marks'!IA22)</f>
        <v/>
      </c>
      <c r="S19" s="286" t="str">
        <f>IF('Statement of Marks'!GL22="","",'Statement of Marks'!GL22)</f>
        <v/>
      </c>
      <c r="BM19" s="287" t="str">
        <f>'Statement of Marks'!F22</f>
        <v>KARIM</v>
      </c>
      <c r="BN19" s="288" t="str">
        <f t="shared" si="0"/>
        <v/>
      </c>
      <c r="BO19" s="288" t="str">
        <f t="shared" si="1"/>
        <v/>
      </c>
      <c r="BP19" s="288" t="str">
        <f t="shared" si="2"/>
        <v/>
      </c>
      <c r="BQ19" s="288" t="str">
        <f t="shared" si="3"/>
        <v/>
      </c>
      <c r="BR19" s="288" t="str">
        <f t="shared" si="4"/>
        <v/>
      </c>
      <c r="BS19" s="288" t="str">
        <f t="shared" si="5"/>
        <v/>
      </c>
      <c r="BT19" s="288" t="str">
        <f t="shared" si="6"/>
        <v/>
      </c>
      <c r="BU19" s="288" t="str">
        <f t="shared" si="7"/>
        <v/>
      </c>
      <c r="BV19" s="288" t="str">
        <f t="shared" si="8"/>
        <v/>
      </c>
      <c r="BW19" s="288" t="str">
        <f t="shared" si="9"/>
        <v/>
      </c>
      <c r="BX19" s="288" t="str">
        <f t="shared" si="10"/>
        <v/>
      </c>
      <c r="BY19" s="288" t="str">
        <f t="shared" si="11"/>
        <v/>
      </c>
      <c r="BZ19" s="289"/>
    </row>
    <row r="20" spans="1:78" ht="14.1" customHeight="1">
      <c r="A20" s="276">
        <f>IF('Statement of Marks'!A23="","",'Statement of Marks'!A23)</f>
        <v>17</v>
      </c>
      <c r="B20" s="277">
        <f>IF('Statement of Marks'!B23="","",'Statement of Marks'!B23)</f>
        <v>917</v>
      </c>
      <c r="C20" s="278" t="str">
        <f>IF('Statement of Marks'!D23="","",'Statement of Marks'!D23)</f>
        <v/>
      </c>
      <c r="D20" s="314" t="str">
        <f>IF('Statement of Marks'!E23="","",'Statement of Marks'!E23)</f>
        <v/>
      </c>
      <c r="E20" s="279" t="str">
        <f>IF('Statement of Marks'!F23="","",'Statement of Marks'!F23)</f>
        <v>FATIMA</v>
      </c>
      <c r="F20" s="279" t="str">
        <f>IF('Statement of Marks'!G23="","",'Statement of Marks'!G23)</f>
        <v/>
      </c>
      <c r="G20" s="279" t="str">
        <f>IF('Statement of Marks'!H23="","",'Statement of Marks'!H23)</f>
        <v/>
      </c>
      <c r="H20" s="280" t="str">
        <f>IF('Statement of Marks'!I23="","",'Statement of Marks'!I23)</f>
        <v/>
      </c>
      <c r="I20" s="280" t="str">
        <f>IF('Statement of Marks'!J23="","",'Statement of Marks'!J23)</f>
        <v/>
      </c>
      <c r="J20" s="827" t="str">
        <f>IF('Statement of Marks'!HS23="","",'Statement of Marks'!HS23)</f>
        <v>PASS</v>
      </c>
      <c r="K20" s="281">
        <f>IF('Statement of Marks'!HT23="","",'Statement of Marks'!HT23)</f>
        <v>769</v>
      </c>
      <c r="L20" s="828">
        <f>IF('Statement of Marks'!HW23="","",'Statement of Marks'!HW23)</f>
        <v>64.083333333333329</v>
      </c>
      <c r="M20" s="281" t="str">
        <f>IF('Statement of Marks'!HV23="","",'Statement of Marks'!HV23)</f>
        <v>1st</v>
      </c>
      <c r="N20" s="829">
        <f>IF('Statement of Marks'!HX23="","",'Statement of Marks'!HX23)</f>
        <v>5.9999999999999263</v>
      </c>
      <c r="O20" s="282" t="str">
        <f>IF(J20="FAIL","",IF('Statement of Marks'!HO23="","",'Statement of Marks'!HO23))</f>
        <v xml:space="preserve">      </v>
      </c>
      <c r="P20" s="283" t="str">
        <f>IF('Supp. Result Entry'!AQ21="","",'Supp. Result Entry'!AQ21)</f>
        <v/>
      </c>
      <c r="Q20" s="284" t="str">
        <f>IF('Supp. Result Entry'!AR21="","",'Supp. Result Entry'!AR21)</f>
        <v/>
      </c>
      <c r="R20" s="285" t="str">
        <f>IF('Statement of Marks'!IA23="","",'Statement of Marks'!IA23)</f>
        <v/>
      </c>
      <c r="S20" s="286" t="str">
        <f>IF('Statement of Marks'!GL23="","",'Statement of Marks'!GL23)</f>
        <v/>
      </c>
      <c r="BM20" s="287" t="str">
        <f>'Statement of Marks'!F23</f>
        <v>FATIMA</v>
      </c>
      <c r="BN20" s="288" t="str">
        <f t="shared" si="0"/>
        <v/>
      </c>
      <c r="BO20" s="288" t="str">
        <f t="shared" si="1"/>
        <v/>
      </c>
      <c r="BP20" s="288" t="str">
        <f t="shared" si="2"/>
        <v/>
      </c>
      <c r="BQ20" s="288" t="str">
        <f t="shared" si="3"/>
        <v/>
      </c>
      <c r="BR20" s="288" t="str">
        <f t="shared" si="4"/>
        <v/>
      </c>
      <c r="BS20" s="288" t="str">
        <f t="shared" si="5"/>
        <v/>
      </c>
      <c r="BT20" s="288" t="str">
        <f t="shared" si="6"/>
        <v/>
      </c>
      <c r="BU20" s="288" t="str">
        <f t="shared" si="7"/>
        <v/>
      </c>
      <c r="BV20" s="288" t="str">
        <f t="shared" si="8"/>
        <v/>
      </c>
      <c r="BW20" s="288" t="str">
        <f t="shared" si="9"/>
        <v/>
      </c>
      <c r="BX20" s="288" t="str">
        <f t="shared" si="10"/>
        <v/>
      </c>
      <c r="BY20" s="288" t="str">
        <f t="shared" si="11"/>
        <v/>
      </c>
      <c r="BZ20" s="289"/>
    </row>
    <row r="21" spans="1:78" ht="14.1" customHeight="1">
      <c r="A21" s="276">
        <f>IF('Statement of Marks'!A24="","",'Statement of Marks'!A24)</f>
        <v>18</v>
      </c>
      <c r="B21" s="277">
        <f>IF('Statement of Marks'!B24="","",'Statement of Marks'!B24)</f>
        <v>918</v>
      </c>
      <c r="C21" s="278" t="str">
        <f>IF('Statement of Marks'!D24="","",'Statement of Marks'!D24)</f>
        <v/>
      </c>
      <c r="D21" s="314" t="str">
        <f>IF('Statement of Marks'!E24="","",'Statement of Marks'!E24)</f>
        <v/>
      </c>
      <c r="E21" s="279" t="str">
        <f>IF('Statement of Marks'!F24="","",'Statement of Marks'!F24)</f>
        <v>LAXMI</v>
      </c>
      <c r="F21" s="279" t="str">
        <f>IF('Statement of Marks'!G24="","",'Statement of Marks'!G24)</f>
        <v/>
      </c>
      <c r="G21" s="279" t="str">
        <f>IF('Statement of Marks'!H24="","",'Statement of Marks'!H24)</f>
        <v/>
      </c>
      <c r="H21" s="280" t="str">
        <f>IF('Statement of Marks'!I24="","",'Statement of Marks'!I24)</f>
        <v/>
      </c>
      <c r="I21" s="280" t="str">
        <f>IF('Statement of Marks'!J24="","",'Statement of Marks'!J24)</f>
        <v/>
      </c>
      <c r="J21" s="827" t="str">
        <f>IF('Statement of Marks'!HS24="","",'Statement of Marks'!HS24)</f>
        <v>PASS</v>
      </c>
      <c r="K21" s="281">
        <f>IF('Statement of Marks'!HT24="","",'Statement of Marks'!HT24)</f>
        <v>768</v>
      </c>
      <c r="L21" s="828">
        <f>IF('Statement of Marks'!HW24="","",'Statement of Marks'!HW24)</f>
        <v>64</v>
      </c>
      <c r="M21" s="281" t="str">
        <f>IF('Statement of Marks'!HV24="","",'Statement of Marks'!HV24)</f>
        <v>1st</v>
      </c>
      <c r="N21" s="829">
        <f>IF('Statement of Marks'!HX24="","",'Statement of Marks'!HX24)</f>
        <v>6.9999999999999263</v>
      </c>
      <c r="O21" s="282" t="str">
        <f>IF(J21="FAIL","",IF('Statement of Marks'!HO24="","",'Statement of Marks'!HO24))</f>
        <v xml:space="preserve">      </v>
      </c>
      <c r="P21" s="283" t="str">
        <f>IF('Supp. Result Entry'!AQ22="","",'Supp. Result Entry'!AQ22)</f>
        <v/>
      </c>
      <c r="Q21" s="284" t="str">
        <f>IF('Supp. Result Entry'!AR22="","",'Supp. Result Entry'!AR22)</f>
        <v/>
      </c>
      <c r="R21" s="285" t="str">
        <f>IF('Statement of Marks'!IA24="","",'Statement of Marks'!IA24)</f>
        <v/>
      </c>
      <c r="S21" s="286" t="str">
        <f>IF('Statement of Marks'!GL24="","",'Statement of Marks'!GL24)</f>
        <v/>
      </c>
      <c r="BM21" s="287" t="str">
        <f>'Statement of Marks'!F24</f>
        <v>LAXMI</v>
      </c>
      <c r="BN21" s="288" t="str">
        <f t="shared" si="0"/>
        <v/>
      </c>
      <c r="BO21" s="288" t="str">
        <f t="shared" si="1"/>
        <v/>
      </c>
      <c r="BP21" s="288" t="str">
        <f t="shared" si="2"/>
        <v/>
      </c>
      <c r="BQ21" s="288" t="str">
        <f t="shared" si="3"/>
        <v/>
      </c>
      <c r="BR21" s="288" t="str">
        <f t="shared" si="4"/>
        <v/>
      </c>
      <c r="BS21" s="288" t="str">
        <f t="shared" si="5"/>
        <v/>
      </c>
      <c r="BT21" s="288" t="str">
        <f t="shared" si="6"/>
        <v/>
      </c>
      <c r="BU21" s="288" t="str">
        <f t="shared" si="7"/>
        <v/>
      </c>
      <c r="BV21" s="288" t="str">
        <f t="shared" si="8"/>
        <v/>
      </c>
      <c r="BW21" s="288" t="str">
        <f t="shared" si="9"/>
        <v/>
      </c>
      <c r="BX21" s="288" t="str">
        <f t="shared" si="10"/>
        <v/>
      </c>
      <c r="BY21" s="288" t="str">
        <f t="shared" si="11"/>
        <v/>
      </c>
      <c r="BZ21" s="289"/>
    </row>
    <row r="22" spans="1:78" ht="14.1" customHeight="1">
      <c r="A22" s="276">
        <f>IF('Statement of Marks'!A25="","",'Statement of Marks'!A25)</f>
        <v>19</v>
      </c>
      <c r="B22" s="277">
        <f>IF('Statement of Marks'!B25="","",'Statement of Marks'!B25)</f>
        <v>919</v>
      </c>
      <c r="C22" s="278" t="str">
        <f>IF('Statement of Marks'!D25="","",'Statement of Marks'!D25)</f>
        <v/>
      </c>
      <c r="D22" s="314" t="str">
        <f>IF('Statement of Marks'!E25="","",'Statement of Marks'!E25)</f>
        <v/>
      </c>
      <c r="E22" s="279" t="str">
        <f>IF('Statement of Marks'!F25="","",'Statement of Marks'!F25)</f>
        <v>RAZA</v>
      </c>
      <c r="F22" s="279" t="str">
        <f>IF('Statement of Marks'!G25="","",'Statement of Marks'!G25)</f>
        <v/>
      </c>
      <c r="G22" s="279" t="str">
        <f>IF('Statement of Marks'!H25="","",'Statement of Marks'!H25)</f>
        <v/>
      </c>
      <c r="H22" s="280" t="str">
        <f>IF('Statement of Marks'!I25="","",'Statement of Marks'!I25)</f>
        <v/>
      </c>
      <c r="I22" s="280" t="str">
        <f>IF('Statement of Marks'!J25="","",'Statement of Marks'!J25)</f>
        <v/>
      </c>
      <c r="J22" s="826" t="str">
        <f>IF('Statement of Marks'!HS25="","",'Statement of Marks'!HS25)</f>
        <v>PASS</v>
      </c>
      <c r="K22" s="281">
        <f>IF('Statement of Marks'!HT25="","",'Statement of Marks'!HT25)</f>
        <v>768</v>
      </c>
      <c r="L22" s="828">
        <f>IF('Statement of Marks'!HW25="","",'Statement of Marks'!HW25)</f>
        <v>64</v>
      </c>
      <c r="M22" s="281" t="str">
        <f>IF('Statement of Marks'!HV25="","",'Statement of Marks'!HV25)</f>
        <v>1st</v>
      </c>
      <c r="N22" s="829">
        <f>IF('Statement of Marks'!HX25="","",'Statement of Marks'!HX25)</f>
        <v>6.9999999999999263</v>
      </c>
      <c r="O22" s="282" t="str">
        <f>IF(J22="FAIL","",IF('Statement of Marks'!HO25="","",'Statement of Marks'!HO25))</f>
        <v xml:space="preserve">      </v>
      </c>
      <c r="P22" s="283" t="str">
        <f>IF('Supp. Result Entry'!AQ23="","",'Supp. Result Entry'!AQ23)</f>
        <v/>
      </c>
      <c r="Q22" s="284" t="str">
        <f>IF('Supp. Result Entry'!AR23="","",'Supp. Result Entry'!AR23)</f>
        <v/>
      </c>
      <c r="R22" s="285" t="str">
        <f>IF('Statement of Marks'!IA25="","",'Statement of Marks'!IA25)</f>
        <v/>
      </c>
      <c r="S22" s="286" t="str">
        <f>IF('Statement of Marks'!GL25="","",'Statement of Marks'!GL25)</f>
        <v/>
      </c>
      <c r="BM22" s="287" t="str">
        <f>'Statement of Marks'!F25</f>
        <v>RAZA</v>
      </c>
      <c r="BN22" s="288" t="str">
        <f t="shared" si="0"/>
        <v/>
      </c>
      <c r="BO22" s="288" t="str">
        <f t="shared" si="1"/>
        <v/>
      </c>
      <c r="BP22" s="288" t="str">
        <f t="shared" si="2"/>
        <v/>
      </c>
      <c r="BQ22" s="288" t="str">
        <f t="shared" si="3"/>
        <v/>
      </c>
      <c r="BR22" s="288" t="str">
        <f t="shared" si="4"/>
        <v/>
      </c>
      <c r="BS22" s="288" t="str">
        <f t="shared" si="5"/>
        <v/>
      </c>
      <c r="BT22" s="288" t="str">
        <f t="shared" si="6"/>
        <v/>
      </c>
      <c r="BU22" s="288" t="str">
        <f t="shared" si="7"/>
        <v/>
      </c>
      <c r="BV22" s="288" t="str">
        <f t="shared" si="8"/>
        <v/>
      </c>
      <c r="BW22" s="288" t="str">
        <f t="shared" si="9"/>
        <v/>
      </c>
      <c r="BX22" s="288" t="str">
        <f t="shared" si="10"/>
        <v/>
      </c>
      <c r="BY22" s="288" t="str">
        <f t="shared" si="11"/>
        <v/>
      </c>
      <c r="BZ22" s="289"/>
    </row>
    <row r="23" spans="1:78" ht="14.1" customHeight="1">
      <c r="A23" s="276">
        <f>IF('Statement of Marks'!A26="","",'Statement of Marks'!A26)</f>
        <v>20</v>
      </c>
      <c r="B23" s="277">
        <f>IF('Statement of Marks'!B26="","",'Statement of Marks'!B26)</f>
        <v>920</v>
      </c>
      <c r="C23" s="278" t="str">
        <f>IF('Statement of Marks'!D26="","",'Statement of Marks'!D26)</f>
        <v/>
      </c>
      <c r="D23" s="314" t="str">
        <f>IF('Statement of Marks'!E26="","",'Statement of Marks'!E26)</f>
        <v/>
      </c>
      <c r="E23" s="279" t="str">
        <f>IF('Statement of Marks'!F26="","",'Statement of Marks'!F26)</f>
        <v>ROZA</v>
      </c>
      <c r="F23" s="279" t="str">
        <f>IF('Statement of Marks'!G26="","",'Statement of Marks'!G26)</f>
        <v/>
      </c>
      <c r="G23" s="279" t="str">
        <f>IF('Statement of Marks'!H26="","",'Statement of Marks'!H26)</f>
        <v/>
      </c>
      <c r="H23" s="280" t="str">
        <f>IF('Statement of Marks'!I26="","",'Statement of Marks'!I26)</f>
        <v/>
      </c>
      <c r="I23" s="280" t="str">
        <f>IF('Statement of Marks'!J26="","",'Statement of Marks'!J26)</f>
        <v/>
      </c>
      <c r="J23" s="827" t="str">
        <f>IF('Statement of Marks'!HS26="","",'Statement of Marks'!HS26)</f>
        <v>PASS</v>
      </c>
      <c r="K23" s="281">
        <f>IF('Statement of Marks'!HT26="","",'Statement of Marks'!HT26)</f>
        <v>768</v>
      </c>
      <c r="L23" s="828">
        <f>IF('Statement of Marks'!HW26="","",'Statement of Marks'!HW26)</f>
        <v>64</v>
      </c>
      <c r="M23" s="281" t="str">
        <f>IF('Statement of Marks'!HV26="","",'Statement of Marks'!HV26)</f>
        <v>1st</v>
      </c>
      <c r="N23" s="829">
        <f>IF('Statement of Marks'!HX26="","",'Statement of Marks'!HX26)</f>
        <v>6.9999999999999263</v>
      </c>
      <c r="O23" s="282" t="str">
        <f>IF(J23="FAIL","",IF('Statement of Marks'!HO26="","",'Statement of Marks'!HO26))</f>
        <v xml:space="preserve">      </v>
      </c>
      <c r="P23" s="283" t="str">
        <f>IF('Supp. Result Entry'!AQ24="","",'Supp. Result Entry'!AQ24)</f>
        <v/>
      </c>
      <c r="Q23" s="284" t="str">
        <f>IF('Supp. Result Entry'!AR24="","",'Supp. Result Entry'!AR24)</f>
        <v/>
      </c>
      <c r="R23" s="285" t="str">
        <f>IF('Statement of Marks'!IA26="","",'Statement of Marks'!IA26)</f>
        <v/>
      </c>
      <c r="S23" s="286" t="str">
        <f>IF('Statement of Marks'!GL26="","",'Statement of Marks'!GL26)</f>
        <v/>
      </c>
      <c r="BM23" s="287" t="str">
        <f>'Statement of Marks'!F26</f>
        <v>ROZA</v>
      </c>
      <c r="BN23" s="288" t="str">
        <f t="shared" si="0"/>
        <v/>
      </c>
      <c r="BO23" s="288" t="str">
        <f t="shared" si="1"/>
        <v/>
      </c>
      <c r="BP23" s="288" t="str">
        <f t="shared" si="2"/>
        <v/>
      </c>
      <c r="BQ23" s="288" t="str">
        <f t="shared" si="3"/>
        <v/>
      </c>
      <c r="BR23" s="288" t="str">
        <f t="shared" si="4"/>
        <v/>
      </c>
      <c r="BS23" s="288" t="str">
        <f t="shared" si="5"/>
        <v/>
      </c>
      <c r="BT23" s="288" t="str">
        <f t="shared" si="6"/>
        <v/>
      </c>
      <c r="BU23" s="288" t="str">
        <f t="shared" si="7"/>
        <v/>
      </c>
      <c r="BV23" s="288" t="str">
        <f t="shared" si="8"/>
        <v/>
      </c>
      <c r="BW23" s="288" t="str">
        <f t="shared" si="9"/>
        <v/>
      </c>
      <c r="BX23" s="288" t="str">
        <f t="shared" si="10"/>
        <v/>
      </c>
      <c r="BY23" s="288" t="str">
        <f t="shared" si="11"/>
        <v/>
      </c>
      <c r="BZ23" s="289"/>
    </row>
    <row r="24" spans="1:78" ht="14.1" customHeight="1">
      <c r="A24" s="276">
        <f>IF('Statement of Marks'!A27="","",'Statement of Marks'!A27)</f>
        <v>21</v>
      </c>
      <c r="B24" s="277">
        <f>IF('Statement of Marks'!B27="","",'Statement of Marks'!B27)</f>
        <v>921</v>
      </c>
      <c r="C24" s="278" t="str">
        <f>IF('Statement of Marks'!D27="","",'Statement of Marks'!D27)</f>
        <v/>
      </c>
      <c r="D24" s="314" t="str">
        <f>IF('Statement of Marks'!E27="","",'Statement of Marks'!E27)</f>
        <v/>
      </c>
      <c r="E24" s="279" t="str">
        <f>IF('Statement of Marks'!F27="","",'Statement of Marks'!F27)</f>
        <v>VILIAM</v>
      </c>
      <c r="F24" s="279" t="str">
        <f>IF('Statement of Marks'!G27="","",'Statement of Marks'!G27)</f>
        <v/>
      </c>
      <c r="G24" s="279" t="str">
        <f>IF('Statement of Marks'!H27="","",'Statement of Marks'!H27)</f>
        <v/>
      </c>
      <c r="H24" s="280" t="str">
        <f>IF('Statement of Marks'!I27="","",'Statement of Marks'!I27)</f>
        <v/>
      </c>
      <c r="I24" s="280" t="str">
        <f>IF('Statement of Marks'!J27="","",'Statement of Marks'!J27)</f>
        <v/>
      </c>
      <c r="J24" s="827" t="str">
        <f>IF('Statement of Marks'!HS27="","",'Statement of Marks'!HS27)</f>
        <v>PASS</v>
      </c>
      <c r="K24" s="281">
        <f>IF('Statement of Marks'!HT27="","",'Statement of Marks'!HT27)</f>
        <v>768</v>
      </c>
      <c r="L24" s="828">
        <f>IF('Statement of Marks'!HW27="","",'Statement of Marks'!HW27)</f>
        <v>64</v>
      </c>
      <c r="M24" s="281" t="str">
        <f>IF('Statement of Marks'!HV27="","",'Statement of Marks'!HV27)</f>
        <v>1st</v>
      </c>
      <c r="N24" s="829">
        <f>IF('Statement of Marks'!HX27="","",'Statement of Marks'!HX27)</f>
        <v>6.9999999999999263</v>
      </c>
      <c r="O24" s="282" t="str">
        <f>IF(J24="FAIL","",IF('Statement of Marks'!HO27="","",'Statement of Marks'!HO27))</f>
        <v xml:space="preserve">      </v>
      </c>
      <c r="P24" s="283" t="str">
        <f>IF('Supp. Result Entry'!AQ25="","",'Supp. Result Entry'!AQ25)</f>
        <v/>
      </c>
      <c r="Q24" s="284" t="str">
        <f>IF('Supp. Result Entry'!AR25="","",'Supp. Result Entry'!AR25)</f>
        <v/>
      </c>
      <c r="R24" s="285" t="str">
        <f>IF('Statement of Marks'!IA27="","",'Statement of Marks'!IA27)</f>
        <v/>
      </c>
      <c r="S24" s="286" t="str">
        <f>IF('Statement of Marks'!GL27="","",'Statement of Marks'!GL27)</f>
        <v/>
      </c>
      <c r="BM24" s="287" t="str">
        <f>'Statement of Marks'!F27</f>
        <v>VILIAM</v>
      </c>
      <c r="BN24" s="288" t="str">
        <f t="shared" si="0"/>
        <v/>
      </c>
      <c r="BO24" s="288" t="str">
        <f t="shared" si="1"/>
        <v/>
      </c>
      <c r="BP24" s="288" t="str">
        <f t="shared" si="2"/>
        <v/>
      </c>
      <c r="BQ24" s="288" t="str">
        <f t="shared" si="3"/>
        <v/>
      </c>
      <c r="BR24" s="288" t="str">
        <f t="shared" si="4"/>
        <v/>
      </c>
      <c r="BS24" s="288" t="str">
        <f t="shared" si="5"/>
        <v/>
      </c>
      <c r="BT24" s="288" t="str">
        <f t="shared" si="6"/>
        <v/>
      </c>
      <c r="BU24" s="288" t="str">
        <f t="shared" si="7"/>
        <v/>
      </c>
      <c r="BV24" s="288" t="str">
        <f t="shared" si="8"/>
        <v/>
      </c>
      <c r="BW24" s="288" t="str">
        <f t="shared" si="9"/>
        <v/>
      </c>
      <c r="BX24" s="288" t="str">
        <f t="shared" si="10"/>
        <v/>
      </c>
      <c r="BY24" s="288" t="str">
        <f t="shared" si="11"/>
        <v/>
      </c>
      <c r="BZ24" s="289"/>
    </row>
    <row r="25" spans="1:78" ht="14.1" customHeight="1">
      <c r="A25" s="276">
        <f>IF('Statement of Marks'!A28="","",'Statement of Marks'!A28)</f>
        <v>22</v>
      </c>
      <c r="B25" s="277">
        <f>IF('Statement of Marks'!B28="","",'Statement of Marks'!B28)</f>
        <v>922</v>
      </c>
      <c r="C25" s="278" t="str">
        <f>IF('Statement of Marks'!D28="","",'Statement of Marks'!D28)</f>
        <v/>
      </c>
      <c r="D25" s="314" t="str">
        <f>IF('Statement of Marks'!E28="","",'Statement of Marks'!E28)</f>
        <v/>
      </c>
      <c r="E25" s="279" t="str">
        <f>IF('Statement of Marks'!F28="","",'Statement of Marks'!F28)</f>
        <v>ROZER</v>
      </c>
      <c r="F25" s="279" t="str">
        <f>IF('Statement of Marks'!G28="","",'Statement of Marks'!G28)</f>
        <v/>
      </c>
      <c r="G25" s="279" t="str">
        <f>IF('Statement of Marks'!H28="","",'Statement of Marks'!H28)</f>
        <v/>
      </c>
      <c r="H25" s="280" t="str">
        <f>IF('Statement of Marks'!I28="","",'Statement of Marks'!I28)</f>
        <v/>
      </c>
      <c r="I25" s="280" t="str">
        <f>IF('Statement of Marks'!J28="","",'Statement of Marks'!J28)</f>
        <v/>
      </c>
      <c r="J25" s="827" t="str">
        <f>IF('Statement of Marks'!HS28="","",'Statement of Marks'!HS28)</f>
        <v>PASS</v>
      </c>
      <c r="K25" s="281">
        <f>IF('Statement of Marks'!HT28="","",'Statement of Marks'!HT28)</f>
        <v>771</v>
      </c>
      <c r="L25" s="828">
        <f>IF('Statement of Marks'!HW28="","",'Statement of Marks'!HW28)</f>
        <v>64.25</v>
      </c>
      <c r="M25" s="281" t="str">
        <f>IF('Statement of Marks'!HV28="","",'Statement of Marks'!HV28)</f>
        <v>1st</v>
      </c>
      <c r="N25" s="829">
        <f>IF('Statement of Marks'!HX28="","",'Statement of Marks'!HX28)</f>
        <v>4.9999999999999263</v>
      </c>
      <c r="O25" s="282" t="str">
        <f>IF(J25="FAIL","",IF('Statement of Marks'!HO28="","",'Statement of Marks'!HO28))</f>
        <v xml:space="preserve">      </v>
      </c>
      <c r="P25" s="283" t="str">
        <f>IF('Supp. Result Entry'!AQ26="","",'Supp. Result Entry'!AQ26)</f>
        <v/>
      </c>
      <c r="Q25" s="284" t="str">
        <f>IF('Supp. Result Entry'!AR26="","",'Supp. Result Entry'!AR26)</f>
        <v/>
      </c>
      <c r="R25" s="285" t="str">
        <f>IF('Statement of Marks'!IA28="","",'Statement of Marks'!IA28)</f>
        <v/>
      </c>
      <c r="S25" s="286" t="str">
        <f>IF('Statement of Marks'!GL28="","",'Statement of Marks'!GL28)</f>
        <v/>
      </c>
      <c r="BM25" s="287" t="str">
        <f>'Statement of Marks'!F28</f>
        <v>ROZER</v>
      </c>
      <c r="BN25" s="288" t="str">
        <f t="shared" si="0"/>
        <v/>
      </c>
      <c r="BO25" s="288" t="str">
        <f t="shared" si="1"/>
        <v/>
      </c>
      <c r="BP25" s="288" t="str">
        <f t="shared" si="2"/>
        <v/>
      </c>
      <c r="BQ25" s="288" t="str">
        <f t="shared" si="3"/>
        <v/>
      </c>
      <c r="BR25" s="288" t="str">
        <f t="shared" si="4"/>
        <v/>
      </c>
      <c r="BS25" s="288" t="str">
        <f t="shared" si="5"/>
        <v/>
      </c>
      <c r="BT25" s="288" t="str">
        <f t="shared" si="6"/>
        <v/>
      </c>
      <c r="BU25" s="288" t="str">
        <f t="shared" si="7"/>
        <v/>
      </c>
      <c r="BV25" s="288" t="str">
        <f t="shared" si="8"/>
        <v/>
      </c>
      <c r="BW25" s="288" t="str">
        <f t="shared" si="9"/>
        <v/>
      </c>
      <c r="BX25" s="288" t="str">
        <f t="shared" si="10"/>
        <v/>
      </c>
      <c r="BY25" s="288" t="str">
        <f t="shared" si="11"/>
        <v/>
      </c>
      <c r="BZ25" s="289"/>
    </row>
    <row r="26" spans="1:78" ht="14.1" customHeight="1">
      <c r="A26" s="276">
        <f>IF('Statement of Marks'!A29="","",'Statement of Marks'!A29)</f>
        <v>23</v>
      </c>
      <c r="B26" s="277">
        <f>IF('Statement of Marks'!B29="","",'Statement of Marks'!B29)</f>
        <v>923</v>
      </c>
      <c r="C26" s="278" t="str">
        <f>IF('Statement of Marks'!D29="","",'Statement of Marks'!D29)</f>
        <v/>
      </c>
      <c r="D26" s="314" t="str">
        <f>IF('Statement of Marks'!E29="","",'Statement of Marks'!E29)</f>
        <v/>
      </c>
      <c r="E26" s="279" t="str">
        <f>IF('Statement of Marks'!F29="","",'Statement of Marks'!F29)</f>
        <v>DINESH</v>
      </c>
      <c r="F26" s="279" t="str">
        <f>IF('Statement of Marks'!G29="","",'Statement of Marks'!G29)</f>
        <v/>
      </c>
      <c r="G26" s="279" t="str">
        <f>IF('Statement of Marks'!H29="","",'Statement of Marks'!H29)</f>
        <v/>
      </c>
      <c r="H26" s="280" t="str">
        <f>IF('Statement of Marks'!I29="","",'Statement of Marks'!I29)</f>
        <v/>
      </c>
      <c r="I26" s="280" t="str">
        <f>IF('Statement of Marks'!J29="","",'Statement of Marks'!J29)</f>
        <v/>
      </c>
      <c r="J26" s="827" t="str">
        <f>IF('Statement of Marks'!HS29="","",'Statement of Marks'!HS29)</f>
        <v>PASS</v>
      </c>
      <c r="K26" s="281">
        <f>IF('Statement of Marks'!HT29="","",'Statement of Marks'!HT29)</f>
        <v>769</v>
      </c>
      <c r="L26" s="828">
        <f>IF('Statement of Marks'!HW29="","",'Statement of Marks'!HW29)</f>
        <v>64.083333333333329</v>
      </c>
      <c r="M26" s="281" t="str">
        <f>IF('Statement of Marks'!HV29="","",'Statement of Marks'!HV29)</f>
        <v>1st</v>
      </c>
      <c r="N26" s="829">
        <f>IF('Statement of Marks'!HX29="","",'Statement of Marks'!HX29)</f>
        <v>5.9999999999999263</v>
      </c>
      <c r="O26" s="282" t="str">
        <f>IF(J26="FAIL","",IF('Statement of Marks'!HO29="","",'Statement of Marks'!HO29))</f>
        <v xml:space="preserve">      </v>
      </c>
      <c r="P26" s="283" t="str">
        <f>IF('Supp. Result Entry'!AQ27="","",'Supp. Result Entry'!AQ27)</f>
        <v/>
      </c>
      <c r="Q26" s="284" t="str">
        <f>IF('Supp. Result Entry'!AR27="","",'Supp. Result Entry'!AR27)</f>
        <v/>
      </c>
      <c r="R26" s="285" t="str">
        <f>IF('Statement of Marks'!IA29="","",'Statement of Marks'!IA29)</f>
        <v/>
      </c>
      <c r="S26" s="286" t="str">
        <f>IF('Statement of Marks'!GL29="","",'Statement of Marks'!GL29)</f>
        <v/>
      </c>
      <c r="BM26" s="287" t="str">
        <f>'Statement of Marks'!F29</f>
        <v>DINESH</v>
      </c>
      <c r="BN26" s="288" t="str">
        <f t="shared" si="0"/>
        <v/>
      </c>
      <c r="BO26" s="288" t="str">
        <f t="shared" si="1"/>
        <v/>
      </c>
      <c r="BP26" s="288" t="str">
        <f t="shared" si="2"/>
        <v/>
      </c>
      <c r="BQ26" s="288" t="str">
        <f t="shared" si="3"/>
        <v/>
      </c>
      <c r="BR26" s="288" t="str">
        <f t="shared" si="4"/>
        <v/>
      </c>
      <c r="BS26" s="288" t="str">
        <f t="shared" si="5"/>
        <v/>
      </c>
      <c r="BT26" s="288" t="str">
        <f t="shared" si="6"/>
        <v/>
      </c>
      <c r="BU26" s="288" t="str">
        <f t="shared" si="7"/>
        <v/>
      </c>
      <c r="BV26" s="288" t="str">
        <f t="shared" si="8"/>
        <v/>
      </c>
      <c r="BW26" s="288" t="str">
        <f t="shared" si="9"/>
        <v/>
      </c>
      <c r="BX26" s="288" t="str">
        <f t="shared" si="10"/>
        <v/>
      </c>
      <c r="BY26" s="288" t="str">
        <f t="shared" si="11"/>
        <v/>
      </c>
      <c r="BZ26" s="289"/>
    </row>
    <row r="27" spans="1:78" ht="14.1" customHeight="1">
      <c r="A27" s="276">
        <f>IF('Statement of Marks'!A30="","",'Statement of Marks'!A30)</f>
        <v>24</v>
      </c>
      <c r="B27" s="277">
        <f>IF('Statement of Marks'!B30="","",'Statement of Marks'!B30)</f>
        <v>924</v>
      </c>
      <c r="C27" s="278" t="str">
        <f>IF('Statement of Marks'!D30="","",'Statement of Marks'!D30)</f>
        <v/>
      </c>
      <c r="D27" s="314" t="str">
        <f>IF('Statement of Marks'!E30="","",'Statement of Marks'!E30)</f>
        <v/>
      </c>
      <c r="E27" s="279" t="str">
        <f>IF('Statement of Marks'!F30="","",'Statement of Marks'!F30)</f>
        <v>MAHESH</v>
      </c>
      <c r="F27" s="279" t="str">
        <f>IF('Statement of Marks'!G30="","",'Statement of Marks'!G30)</f>
        <v/>
      </c>
      <c r="G27" s="279" t="str">
        <f>IF('Statement of Marks'!H30="","",'Statement of Marks'!H30)</f>
        <v/>
      </c>
      <c r="H27" s="280" t="str">
        <f>IF('Statement of Marks'!I30="","",'Statement of Marks'!I30)</f>
        <v/>
      </c>
      <c r="I27" s="280" t="str">
        <f>IF('Statement of Marks'!J30="","",'Statement of Marks'!J30)</f>
        <v/>
      </c>
      <c r="J27" s="827" t="str">
        <f>IF('Statement of Marks'!HS30="","",'Statement of Marks'!HS30)</f>
        <v>PASS</v>
      </c>
      <c r="K27" s="281">
        <f>IF('Statement of Marks'!HT30="","",'Statement of Marks'!HT30)</f>
        <v>768</v>
      </c>
      <c r="L27" s="828">
        <f>IF('Statement of Marks'!HW30="","",'Statement of Marks'!HW30)</f>
        <v>64</v>
      </c>
      <c r="M27" s="281" t="str">
        <f>IF('Statement of Marks'!HV30="","",'Statement of Marks'!HV30)</f>
        <v>1st</v>
      </c>
      <c r="N27" s="829">
        <f>IF('Statement of Marks'!HX30="","",'Statement of Marks'!HX30)</f>
        <v>6.9999999999999263</v>
      </c>
      <c r="O27" s="282" t="str">
        <f>IF(J27="FAIL","",IF('Statement of Marks'!HO30="","",'Statement of Marks'!HO30))</f>
        <v xml:space="preserve">      </v>
      </c>
      <c r="P27" s="283" t="str">
        <f>IF('Supp. Result Entry'!AQ28="","",'Supp. Result Entry'!AQ28)</f>
        <v/>
      </c>
      <c r="Q27" s="284" t="str">
        <f>IF('Supp. Result Entry'!AR28="","",'Supp. Result Entry'!AR28)</f>
        <v/>
      </c>
      <c r="R27" s="285" t="str">
        <f>IF('Statement of Marks'!IA30="","",'Statement of Marks'!IA30)</f>
        <v/>
      </c>
      <c r="S27" s="286" t="str">
        <f>IF('Statement of Marks'!GL30="","",'Statement of Marks'!GL30)</f>
        <v/>
      </c>
      <c r="BM27" s="287" t="str">
        <f>'Statement of Marks'!F30</f>
        <v>MAHESH</v>
      </c>
      <c r="BN27" s="288" t="str">
        <f t="shared" si="0"/>
        <v/>
      </c>
      <c r="BO27" s="288" t="str">
        <f t="shared" si="1"/>
        <v/>
      </c>
      <c r="BP27" s="288" t="str">
        <f t="shared" si="2"/>
        <v/>
      </c>
      <c r="BQ27" s="288" t="str">
        <f t="shared" si="3"/>
        <v/>
      </c>
      <c r="BR27" s="288" t="str">
        <f t="shared" si="4"/>
        <v/>
      </c>
      <c r="BS27" s="288" t="str">
        <f t="shared" si="5"/>
        <v/>
      </c>
      <c r="BT27" s="288" t="str">
        <f t="shared" si="6"/>
        <v/>
      </c>
      <c r="BU27" s="288" t="str">
        <f t="shared" si="7"/>
        <v/>
      </c>
      <c r="BV27" s="288" t="str">
        <f t="shared" si="8"/>
        <v/>
      </c>
      <c r="BW27" s="288" t="str">
        <f t="shared" si="9"/>
        <v/>
      </c>
      <c r="BX27" s="288" t="str">
        <f t="shared" si="10"/>
        <v/>
      </c>
      <c r="BY27" s="288" t="str">
        <f t="shared" si="11"/>
        <v/>
      </c>
      <c r="BZ27" s="289"/>
    </row>
    <row r="28" spans="1:78" ht="14.1" customHeight="1">
      <c r="A28" s="276">
        <f>IF('Statement of Marks'!A31="","",'Statement of Marks'!A31)</f>
        <v>25</v>
      </c>
      <c r="B28" s="277">
        <f>IF('Statement of Marks'!B31="","",'Statement of Marks'!B31)</f>
        <v>925</v>
      </c>
      <c r="C28" s="278" t="str">
        <f>IF('Statement of Marks'!D31="","",'Statement of Marks'!D31)</f>
        <v/>
      </c>
      <c r="D28" s="314" t="str">
        <f>IF('Statement of Marks'!E31="","",'Statement of Marks'!E31)</f>
        <v/>
      </c>
      <c r="E28" s="279" t="str">
        <f>IF('Statement of Marks'!F31="","",'Statement of Marks'!F31)</f>
        <v>RINA</v>
      </c>
      <c r="F28" s="279" t="str">
        <f>IF('Statement of Marks'!G31="","",'Statement of Marks'!G31)</f>
        <v/>
      </c>
      <c r="G28" s="279" t="str">
        <f>IF('Statement of Marks'!H31="","",'Statement of Marks'!H31)</f>
        <v/>
      </c>
      <c r="H28" s="280" t="str">
        <f>IF('Statement of Marks'!I31="","",'Statement of Marks'!I31)</f>
        <v/>
      </c>
      <c r="I28" s="280" t="str">
        <f>IF('Statement of Marks'!J31="","",'Statement of Marks'!J31)</f>
        <v/>
      </c>
      <c r="J28" s="827" t="str">
        <f>IF('Statement of Marks'!HS31="","",'Statement of Marks'!HS31)</f>
        <v>PASS</v>
      </c>
      <c r="K28" s="281">
        <f>IF('Statement of Marks'!HT31="","",'Statement of Marks'!HT31)</f>
        <v>768</v>
      </c>
      <c r="L28" s="828">
        <f>IF('Statement of Marks'!HW31="","",'Statement of Marks'!HW31)</f>
        <v>64</v>
      </c>
      <c r="M28" s="281" t="str">
        <f>IF('Statement of Marks'!HV31="","",'Statement of Marks'!HV31)</f>
        <v>1st</v>
      </c>
      <c r="N28" s="829">
        <f>IF('Statement of Marks'!HX31="","",'Statement of Marks'!HX31)</f>
        <v>6.9999999999999263</v>
      </c>
      <c r="O28" s="282" t="str">
        <f>IF(J28="FAIL","",IF('Statement of Marks'!HO31="","",'Statement of Marks'!HO31))</f>
        <v xml:space="preserve">      </v>
      </c>
      <c r="P28" s="283" t="str">
        <f>IF('Supp. Result Entry'!AQ29="","",'Supp. Result Entry'!AQ29)</f>
        <v/>
      </c>
      <c r="Q28" s="284" t="str">
        <f>IF('Supp. Result Entry'!AR29="","",'Supp. Result Entry'!AR29)</f>
        <v/>
      </c>
      <c r="R28" s="285" t="str">
        <f>IF('Statement of Marks'!IA31="","",'Statement of Marks'!IA31)</f>
        <v/>
      </c>
      <c r="S28" s="286" t="str">
        <f>IF('Statement of Marks'!GL31="","",'Statement of Marks'!GL31)</f>
        <v/>
      </c>
      <c r="BM28" s="287" t="str">
        <f>'Statement of Marks'!F31</f>
        <v>RINA</v>
      </c>
      <c r="BN28" s="288" t="str">
        <f t="shared" si="0"/>
        <v/>
      </c>
      <c r="BO28" s="288" t="str">
        <f t="shared" si="1"/>
        <v/>
      </c>
      <c r="BP28" s="288" t="str">
        <f t="shared" si="2"/>
        <v/>
      </c>
      <c r="BQ28" s="288" t="str">
        <f t="shared" si="3"/>
        <v/>
      </c>
      <c r="BR28" s="288" t="str">
        <f t="shared" si="4"/>
        <v/>
      </c>
      <c r="BS28" s="288" t="str">
        <f t="shared" si="5"/>
        <v/>
      </c>
      <c r="BT28" s="288" t="str">
        <f t="shared" si="6"/>
        <v/>
      </c>
      <c r="BU28" s="288" t="str">
        <f t="shared" si="7"/>
        <v/>
      </c>
      <c r="BV28" s="288" t="str">
        <f t="shared" si="8"/>
        <v/>
      </c>
      <c r="BW28" s="288" t="str">
        <f t="shared" si="9"/>
        <v/>
      </c>
      <c r="BX28" s="288" t="str">
        <f t="shared" si="10"/>
        <v/>
      </c>
      <c r="BY28" s="288" t="str">
        <f t="shared" si="11"/>
        <v/>
      </c>
      <c r="BZ28" s="289"/>
    </row>
    <row r="29" spans="1:78" ht="15.95" customHeight="1">
      <c r="A29" s="276">
        <f>IF('Statement of Marks'!A32="","",'Statement of Marks'!A32)</f>
        <v>26</v>
      </c>
      <c r="B29" s="277">
        <f>IF('Statement of Marks'!B32="","",'Statement of Marks'!B32)</f>
        <v>926</v>
      </c>
      <c r="C29" s="278" t="str">
        <f>IF('Statement of Marks'!D32="","",'Statement of Marks'!D32)</f>
        <v/>
      </c>
      <c r="D29" s="314" t="str">
        <f>IF('Statement of Marks'!E32="","",'Statement of Marks'!E32)</f>
        <v/>
      </c>
      <c r="E29" s="279" t="str">
        <f>IF('Statement of Marks'!F32="","",'Statement of Marks'!F32)</f>
        <v>DIZA</v>
      </c>
      <c r="F29" s="279" t="str">
        <f>IF('Statement of Marks'!G32="","",'Statement of Marks'!G32)</f>
        <v/>
      </c>
      <c r="G29" s="279" t="str">
        <f>IF('Statement of Marks'!H32="","",'Statement of Marks'!H32)</f>
        <v/>
      </c>
      <c r="H29" s="280" t="str">
        <f>IF('Statement of Marks'!I32="","",'Statement of Marks'!I32)</f>
        <v/>
      </c>
      <c r="I29" s="280" t="str">
        <f>IF('Statement of Marks'!J32="","",'Statement of Marks'!J32)</f>
        <v/>
      </c>
      <c r="J29" s="827" t="str">
        <f>IF('Statement of Marks'!HS32="","",'Statement of Marks'!HS32)</f>
        <v>PASS</v>
      </c>
      <c r="K29" s="281">
        <f>IF('Statement of Marks'!HT32="","",'Statement of Marks'!HT32)</f>
        <v>759</v>
      </c>
      <c r="L29" s="828">
        <f>IF('Statement of Marks'!HW32="","",'Statement of Marks'!HW32)</f>
        <v>63.25</v>
      </c>
      <c r="M29" s="281" t="str">
        <f>IF('Statement of Marks'!HV32="","",'Statement of Marks'!HV32)</f>
        <v>1st</v>
      </c>
      <c r="N29" s="829">
        <f>IF('Statement of Marks'!HX32="","",'Statement of Marks'!HX32)</f>
        <v>7.9999999999999289</v>
      </c>
      <c r="O29" s="282" t="str">
        <f>IF(J29="FAIL","",IF('Statement of Marks'!HO32="","",'Statement of Marks'!HO32))</f>
        <v xml:space="preserve">      </v>
      </c>
      <c r="P29" s="283" t="str">
        <f>IF('Supp. Result Entry'!AQ30="","",'Supp. Result Entry'!AQ30)</f>
        <v/>
      </c>
      <c r="Q29" s="284" t="str">
        <f>IF('Supp. Result Entry'!AR30="","",'Supp. Result Entry'!AR30)</f>
        <v/>
      </c>
      <c r="R29" s="285" t="str">
        <f>IF('Statement of Marks'!IA32="","",'Statement of Marks'!IA32)</f>
        <v/>
      </c>
      <c r="S29" s="286" t="str">
        <f>IF('Statement of Marks'!GL32="","",'Statement of Marks'!GL32)</f>
        <v/>
      </c>
      <c r="BM29" s="287" t="str">
        <f>'Statement of Marks'!F32</f>
        <v>DIZA</v>
      </c>
      <c r="BN29" s="288" t="str">
        <f t="shared" si="0"/>
        <v/>
      </c>
      <c r="BO29" s="288" t="str">
        <f t="shared" si="1"/>
        <v/>
      </c>
      <c r="BP29" s="288" t="str">
        <f t="shared" si="2"/>
        <v/>
      </c>
      <c r="BQ29" s="288" t="str">
        <f t="shared" si="3"/>
        <v/>
      </c>
      <c r="BR29" s="288" t="str">
        <f t="shared" si="4"/>
        <v/>
      </c>
      <c r="BS29" s="288" t="str">
        <f t="shared" si="5"/>
        <v/>
      </c>
      <c r="BT29" s="288" t="str">
        <f t="shared" si="6"/>
        <v/>
      </c>
      <c r="BU29" s="288" t="str">
        <f t="shared" si="7"/>
        <v/>
      </c>
      <c r="BV29" s="288" t="str">
        <f t="shared" si="8"/>
        <v/>
      </c>
      <c r="BW29" s="288" t="str">
        <f t="shared" si="9"/>
        <v/>
      </c>
      <c r="BX29" s="288" t="str">
        <f t="shared" si="10"/>
        <v/>
      </c>
      <c r="BY29" s="288" t="str">
        <f t="shared" si="11"/>
        <v/>
      </c>
      <c r="BZ29" s="289"/>
    </row>
    <row r="30" spans="1:78" ht="15.95" customHeight="1">
      <c r="A30" s="276">
        <f>IF('Statement of Marks'!A33="","",'Statement of Marks'!A33)</f>
        <v>27</v>
      </c>
      <c r="B30" s="277">
        <f>IF('Statement of Marks'!B33="","",'Statement of Marks'!B33)</f>
        <v>927</v>
      </c>
      <c r="C30" s="278" t="str">
        <f>IF('Statement of Marks'!D33="","",'Statement of Marks'!D33)</f>
        <v/>
      </c>
      <c r="D30" s="314" t="str">
        <f>IF('Statement of Marks'!E33="","",'Statement of Marks'!E33)</f>
        <v/>
      </c>
      <c r="E30" s="279" t="str">
        <f>IF('Statement of Marks'!F33="","",'Statement of Marks'!F33)</f>
        <v>BIPASA</v>
      </c>
      <c r="F30" s="279" t="str">
        <f>IF('Statement of Marks'!G33="","",'Statement of Marks'!G33)</f>
        <v/>
      </c>
      <c r="G30" s="279" t="str">
        <f>IF('Statement of Marks'!H33="","",'Statement of Marks'!H33)</f>
        <v/>
      </c>
      <c r="H30" s="280" t="str">
        <f>IF('Statement of Marks'!I33="","",'Statement of Marks'!I33)</f>
        <v/>
      </c>
      <c r="I30" s="280" t="str">
        <f>IF('Statement of Marks'!J33="","",'Statement of Marks'!J33)</f>
        <v/>
      </c>
      <c r="J30" s="827" t="str">
        <f>IF('Statement of Marks'!HS33="","",'Statement of Marks'!HS33)</f>
        <v>PASS</v>
      </c>
      <c r="K30" s="281">
        <f>IF('Statement of Marks'!HT33="","",'Statement of Marks'!HT33)</f>
        <v>739</v>
      </c>
      <c r="L30" s="828">
        <f>IF('Statement of Marks'!HW33="","",'Statement of Marks'!HW33)</f>
        <v>61.583333333333336</v>
      </c>
      <c r="M30" s="281" t="str">
        <f>IF('Statement of Marks'!HV33="","",'Statement of Marks'!HV33)</f>
        <v>1st</v>
      </c>
      <c r="N30" s="829">
        <f>IF('Statement of Marks'!HX33="","",'Statement of Marks'!HX33)</f>
        <v>9.0000000000000799</v>
      </c>
      <c r="O30" s="282" t="str">
        <f>IF(J30="FAIL","",IF('Statement of Marks'!HO33="","",'Statement of Marks'!HO33))</f>
        <v xml:space="preserve">      </v>
      </c>
      <c r="P30" s="283" t="str">
        <f>IF('Supp. Result Entry'!AQ31="","",'Supp. Result Entry'!AQ31)</f>
        <v/>
      </c>
      <c r="Q30" s="284" t="str">
        <f>IF('Supp. Result Entry'!AR31="","",'Supp. Result Entry'!AR31)</f>
        <v/>
      </c>
      <c r="R30" s="285" t="str">
        <f>IF('Statement of Marks'!IA33="","",'Statement of Marks'!IA33)</f>
        <v/>
      </c>
      <c r="S30" s="286" t="str">
        <f>IF('Statement of Marks'!GL33="","",'Statement of Marks'!GL33)</f>
        <v/>
      </c>
      <c r="BM30" s="287" t="str">
        <f>'Statement of Marks'!F33</f>
        <v>BIPASA</v>
      </c>
      <c r="BN30" s="288" t="str">
        <f t="shared" si="0"/>
        <v/>
      </c>
      <c r="BO30" s="288" t="str">
        <f t="shared" si="1"/>
        <v/>
      </c>
      <c r="BP30" s="288" t="str">
        <f t="shared" si="2"/>
        <v/>
      </c>
      <c r="BQ30" s="288" t="str">
        <f t="shared" si="3"/>
        <v/>
      </c>
      <c r="BR30" s="288" t="str">
        <f t="shared" si="4"/>
        <v/>
      </c>
      <c r="BS30" s="288" t="str">
        <f t="shared" si="5"/>
        <v/>
      </c>
      <c r="BT30" s="288" t="str">
        <f t="shared" si="6"/>
        <v/>
      </c>
      <c r="BU30" s="288" t="str">
        <f t="shared" si="7"/>
        <v/>
      </c>
      <c r="BV30" s="288" t="str">
        <f t="shared" si="8"/>
        <v/>
      </c>
      <c r="BW30" s="288" t="str">
        <f t="shared" si="9"/>
        <v/>
      </c>
      <c r="BX30" s="288" t="str">
        <f t="shared" si="10"/>
        <v/>
      </c>
      <c r="BY30" s="288" t="str">
        <f t="shared" si="11"/>
        <v/>
      </c>
      <c r="BZ30" s="289"/>
    </row>
    <row r="31" spans="1:78" ht="15.95" customHeight="1">
      <c r="A31" s="276">
        <f>IF('Statement of Marks'!A34="","",'Statement of Marks'!A34)</f>
        <v>28</v>
      </c>
      <c r="B31" s="277">
        <f>IF('Statement of Marks'!B34="","",'Statement of Marks'!B34)</f>
        <v>928</v>
      </c>
      <c r="C31" s="278" t="str">
        <f>IF('Statement of Marks'!D34="","",'Statement of Marks'!D34)</f>
        <v/>
      </c>
      <c r="D31" s="314" t="str">
        <f>IF('Statement of Marks'!E34="","",'Statement of Marks'!E34)</f>
        <v/>
      </c>
      <c r="E31" s="279" t="str">
        <f>IF('Statement of Marks'!F34="","",'Statement of Marks'!F34)</f>
        <v>DIMPLE</v>
      </c>
      <c r="F31" s="279" t="str">
        <f>IF('Statement of Marks'!G34="","",'Statement of Marks'!G34)</f>
        <v/>
      </c>
      <c r="G31" s="279" t="str">
        <f>IF('Statement of Marks'!H34="","",'Statement of Marks'!H34)</f>
        <v/>
      </c>
      <c r="H31" s="280" t="str">
        <f>IF('Statement of Marks'!I34="","",'Statement of Marks'!I34)</f>
        <v/>
      </c>
      <c r="I31" s="280" t="str">
        <f>IF('Statement of Marks'!J34="","",'Statement of Marks'!J34)</f>
        <v/>
      </c>
      <c r="J31" s="827" t="str">
        <f>IF('Statement of Marks'!HS34="","",'Statement of Marks'!HS34)</f>
        <v>PASS</v>
      </c>
      <c r="K31" s="281">
        <f>IF('Statement of Marks'!HT34="","",'Statement of Marks'!HT34)</f>
        <v>738</v>
      </c>
      <c r="L31" s="828">
        <f>IF('Statement of Marks'!HW34="","",'Statement of Marks'!HW34)</f>
        <v>61.5</v>
      </c>
      <c r="M31" s="281" t="str">
        <f>IF('Statement of Marks'!HV34="","",'Statement of Marks'!HV34)</f>
        <v>1st</v>
      </c>
      <c r="N31" s="829">
        <f>IF('Statement of Marks'!HX34="","",'Statement of Marks'!HX34)</f>
        <v>10.00000000000008</v>
      </c>
      <c r="O31" s="282" t="str">
        <f>IF(J31="FAIL","",IF('Statement of Marks'!HO34="","",'Statement of Marks'!HO34))</f>
        <v xml:space="preserve">      </v>
      </c>
      <c r="P31" s="283" t="str">
        <f>IF('Supp. Result Entry'!AQ32="","",'Supp. Result Entry'!AQ32)</f>
        <v/>
      </c>
      <c r="Q31" s="284" t="str">
        <f>IF('Supp. Result Entry'!AR32="","",'Supp. Result Entry'!AR32)</f>
        <v/>
      </c>
      <c r="R31" s="285" t="str">
        <f>IF('Statement of Marks'!IA34="","",'Statement of Marks'!IA34)</f>
        <v/>
      </c>
      <c r="S31" s="286" t="str">
        <f>IF('Statement of Marks'!GL34="","",'Statement of Marks'!GL34)</f>
        <v/>
      </c>
      <c r="BM31" s="287" t="str">
        <f>'Statement of Marks'!F34</f>
        <v>DIMPLE</v>
      </c>
      <c r="BN31" s="288" t="str">
        <f t="shared" si="0"/>
        <v/>
      </c>
      <c r="BO31" s="288" t="str">
        <f t="shared" si="1"/>
        <v/>
      </c>
      <c r="BP31" s="288" t="str">
        <f t="shared" si="2"/>
        <v/>
      </c>
      <c r="BQ31" s="288" t="str">
        <f t="shared" si="3"/>
        <v/>
      </c>
      <c r="BR31" s="288" t="str">
        <f t="shared" si="4"/>
        <v/>
      </c>
      <c r="BS31" s="288" t="str">
        <f t="shared" si="5"/>
        <v/>
      </c>
      <c r="BT31" s="288" t="str">
        <f t="shared" si="6"/>
        <v/>
      </c>
      <c r="BU31" s="288" t="str">
        <f t="shared" si="7"/>
        <v/>
      </c>
      <c r="BV31" s="288" t="str">
        <f t="shared" si="8"/>
        <v/>
      </c>
      <c r="BW31" s="288" t="str">
        <f t="shared" si="9"/>
        <v/>
      </c>
      <c r="BX31" s="288" t="str">
        <f t="shared" si="10"/>
        <v/>
      </c>
      <c r="BY31" s="288" t="str">
        <f t="shared" si="11"/>
        <v/>
      </c>
      <c r="BZ31" s="289"/>
    </row>
    <row r="32" spans="1:78" ht="15.95" customHeight="1">
      <c r="A32" s="276">
        <f>IF('Statement of Marks'!A35="","",'Statement of Marks'!A35)</f>
        <v>29</v>
      </c>
      <c r="B32" s="277">
        <f>IF('Statement of Marks'!B35="","",'Statement of Marks'!B35)</f>
        <v>929</v>
      </c>
      <c r="C32" s="278" t="str">
        <f>IF('Statement of Marks'!D35="","",'Statement of Marks'!D35)</f>
        <v/>
      </c>
      <c r="D32" s="314" t="str">
        <f>IF('Statement of Marks'!E35="","",'Statement of Marks'!E35)</f>
        <v/>
      </c>
      <c r="E32" s="279" t="str">
        <f>IF('Statement of Marks'!F35="","",'Statement of Marks'!F35)</f>
        <v>DIPIKA</v>
      </c>
      <c r="F32" s="279" t="str">
        <f>IF('Statement of Marks'!G35="","",'Statement of Marks'!G35)</f>
        <v/>
      </c>
      <c r="G32" s="279" t="str">
        <f>IF('Statement of Marks'!H35="","",'Statement of Marks'!H35)</f>
        <v/>
      </c>
      <c r="H32" s="280" t="str">
        <f>IF('Statement of Marks'!I35="","",'Statement of Marks'!I35)</f>
        <v/>
      </c>
      <c r="I32" s="280" t="str">
        <f>IF('Statement of Marks'!J35="","",'Statement of Marks'!J35)</f>
        <v/>
      </c>
      <c r="J32" s="827" t="str">
        <f>IF('Statement of Marks'!HS35="","",'Statement of Marks'!HS35)</f>
        <v>PASS</v>
      </c>
      <c r="K32" s="281">
        <f>IF('Statement of Marks'!HT35="","",'Statement of Marks'!HT35)</f>
        <v>738</v>
      </c>
      <c r="L32" s="828">
        <f>IF('Statement of Marks'!HW35="","",'Statement of Marks'!HW35)</f>
        <v>61.5</v>
      </c>
      <c r="M32" s="281" t="str">
        <f>IF('Statement of Marks'!HV35="","",'Statement of Marks'!HV35)</f>
        <v>1st</v>
      </c>
      <c r="N32" s="829">
        <f>IF('Statement of Marks'!HX35="","",'Statement of Marks'!HX35)</f>
        <v>10.00000000000008</v>
      </c>
      <c r="O32" s="282" t="str">
        <f>IF(J32="FAIL","",IF('Statement of Marks'!HO35="","",'Statement of Marks'!HO35))</f>
        <v xml:space="preserve">      </v>
      </c>
      <c r="P32" s="283" t="str">
        <f>IF('Supp. Result Entry'!AQ33="","",'Supp. Result Entry'!AQ33)</f>
        <v/>
      </c>
      <c r="Q32" s="284" t="str">
        <f>IF('Supp. Result Entry'!AR33="","",'Supp. Result Entry'!AR33)</f>
        <v/>
      </c>
      <c r="R32" s="285" t="str">
        <f>IF('Statement of Marks'!IA35="","",'Statement of Marks'!IA35)</f>
        <v/>
      </c>
      <c r="S32" s="286" t="str">
        <f>IF('Statement of Marks'!GL35="","",'Statement of Marks'!GL35)</f>
        <v/>
      </c>
      <c r="BM32" s="287" t="str">
        <f>'Statement of Marks'!F35</f>
        <v>DIPIKA</v>
      </c>
      <c r="BN32" s="288" t="str">
        <f t="shared" si="0"/>
        <v/>
      </c>
      <c r="BO32" s="288" t="str">
        <f t="shared" si="1"/>
        <v/>
      </c>
      <c r="BP32" s="288" t="str">
        <f t="shared" si="2"/>
        <v/>
      </c>
      <c r="BQ32" s="288" t="str">
        <f t="shared" si="3"/>
        <v/>
      </c>
      <c r="BR32" s="288" t="str">
        <f t="shared" si="4"/>
        <v/>
      </c>
      <c r="BS32" s="288" t="str">
        <f t="shared" si="5"/>
        <v/>
      </c>
      <c r="BT32" s="288" t="str">
        <f t="shared" si="6"/>
        <v/>
      </c>
      <c r="BU32" s="288" t="str">
        <f t="shared" si="7"/>
        <v/>
      </c>
      <c r="BV32" s="288" t="str">
        <f t="shared" si="8"/>
        <v/>
      </c>
      <c r="BW32" s="288" t="str">
        <f t="shared" si="9"/>
        <v/>
      </c>
      <c r="BX32" s="288" t="str">
        <f t="shared" si="10"/>
        <v/>
      </c>
      <c r="BY32" s="288" t="str">
        <f t="shared" si="11"/>
        <v/>
      </c>
      <c r="BZ32" s="289"/>
    </row>
    <row r="33" spans="1:78" ht="15.95" customHeight="1">
      <c r="A33" s="276">
        <f>IF('Statement of Marks'!A36="","",'Statement of Marks'!A36)</f>
        <v>30</v>
      </c>
      <c r="B33" s="277">
        <f>IF('Statement of Marks'!B36="","",'Statement of Marks'!B36)</f>
        <v>930</v>
      </c>
      <c r="C33" s="278" t="str">
        <f>IF('Statement of Marks'!D36="","",'Statement of Marks'!D36)</f>
        <v/>
      </c>
      <c r="D33" s="314" t="str">
        <f>IF('Statement of Marks'!E36="","",'Statement of Marks'!E36)</f>
        <v/>
      </c>
      <c r="E33" s="279" t="str">
        <f>IF('Statement of Marks'!F36="","",'Statement of Marks'!F36)</f>
        <v>DEVENDRA</v>
      </c>
      <c r="F33" s="279" t="str">
        <f>IF('Statement of Marks'!G36="","",'Statement of Marks'!G36)</f>
        <v/>
      </c>
      <c r="G33" s="279" t="str">
        <f>IF('Statement of Marks'!H36="","",'Statement of Marks'!H36)</f>
        <v/>
      </c>
      <c r="H33" s="280" t="str">
        <f>IF('Statement of Marks'!I36="","",'Statement of Marks'!I36)</f>
        <v/>
      </c>
      <c r="I33" s="280" t="str">
        <f>IF('Statement of Marks'!J36="","",'Statement of Marks'!J36)</f>
        <v/>
      </c>
      <c r="J33" s="827" t="str">
        <f>IF('Statement of Marks'!HS36="","",'Statement of Marks'!HS36)</f>
        <v>PASS</v>
      </c>
      <c r="K33" s="281">
        <f>IF('Statement of Marks'!HT36="","",'Statement of Marks'!HT36)</f>
        <v>738</v>
      </c>
      <c r="L33" s="828">
        <f>IF('Statement of Marks'!HW36="","",'Statement of Marks'!HW36)</f>
        <v>61.5</v>
      </c>
      <c r="M33" s="281" t="str">
        <f>IF('Statement of Marks'!HV36="","",'Statement of Marks'!HV36)</f>
        <v>1st</v>
      </c>
      <c r="N33" s="829">
        <f>IF('Statement of Marks'!HX36="","",'Statement of Marks'!HX36)</f>
        <v>10.00000000000008</v>
      </c>
      <c r="O33" s="282" t="str">
        <f>IF(J33="FAIL","",IF('Statement of Marks'!HO36="","",'Statement of Marks'!HO36))</f>
        <v xml:space="preserve">      </v>
      </c>
      <c r="P33" s="283" t="str">
        <f>IF('Supp. Result Entry'!AQ34="","",'Supp. Result Entry'!AQ34)</f>
        <v/>
      </c>
      <c r="Q33" s="284" t="str">
        <f>IF('Supp. Result Entry'!AR34="","",'Supp. Result Entry'!AR34)</f>
        <v/>
      </c>
      <c r="R33" s="285" t="str">
        <f>IF('Statement of Marks'!IA36="","",'Statement of Marks'!IA36)</f>
        <v/>
      </c>
      <c r="S33" s="286" t="str">
        <f>IF('Statement of Marks'!GL36="","",'Statement of Marks'!GL36)</f>
        <v/>
      </c>
      <c r="BM33" s="287" t="str">
        <f>'Statement of Marks'!F36</f>
        <v>DEVENDRA</v>
      </c>
      <c r="BN33" s="288" t="str">
        <f t="shared" si="0"/>
        <v/>
      </c>
      <c r="BO33" s="288" t="str">
        <f t="shared" si="1"/>
        <v/>
      </c>
      <c r="BP33" s="288" t="str">
        <f t="shared" si="2"/>
        <v/>
      </c>
      <c r="BQ33" s="288" t="str">
        <f t="shared" si="3"/>
        <v/>
      </c>
      <c r="BR33" s="288" t="str">
        <f t="shared" si="4"/>
        <v/>
      </c>
      <c r="BS33" s="288" t="str">
        <f t="shared" si="5"/>
        <v/>
      </c>
      <c r="BT33" s="288" t="str">
        <f t="shared" si="6"/>
        <v/>
      </c>
      <c r="BU33" s="288" t="str">
        <f t="shared" si="7"/>
        <v/>
      </c>
      <c r="BV33" s="288" t="str">
        <f t="shared" si="8"/>
        <v/>
      </c>
      <c r="BW33" s="288" t="str">
        <f t="shared" si="9"/>
        <v/>
      </c>
      <c r="BX33" s="288" t="str">
        <f t="shared" si="10"/>
        <v/>
      </c>
      <c r="BY33" s="288" t="str">
        <f t="shared" si="11"/>
        <v/>
      </c>
      <c r="BZ33" s="289"/>
    </row>
    <row r="34" spans="1:78" ht="15.95" customHeight="1">
      <c r="A34" s="276">
        <f>IF('Statement of Marks'!A37="","",'Statement of Marks'!A37)</f>
        <v>31</v>
      </c>
      <c r="B34" s="277">
        <f>IF('Statement of Marks'!B37="","",'Statement of Marks'!B37)</f>
        <v>931</v>
      </c>
      <c r="C34" s="278" t="str">
        <f>IF('Statement of Marks'!D37="","",'Statement of Marks'!D37)</f>
        <v/>
      </c>
      <c r="D34" s="314" t="str">
        <f>IF('Statement of Marks'!E37="","",'Statement of Marks'!E37)</f>
        <v/>
      </c>
      <c r="E34" s="279" t="str">
        <f>IF('Statement of Marks'!F37="","",'Statement of Marks'!F37)</f>
        <v>RAVINDRA</v>
      </c>
      <c r="F34" s="279" t="str">
        <f>IF('Statement of Marks'!G37="","",'Statement of Marks'!G37)</f>
        <v/>
      </c>
      <c r="G34" s="279" t="str">
        <f>IF('Statement of Marks'!H37="","",'Statement of Marks'!H37)</f>
        <v/>
      </c>
      <c r="H34" s="280" t="str">
        <f>IF('Statement of Marks'!I37="","",'Statement of Marks'!I37)</f>
        <v/>
      </c>
      <c r="I34" s="280" t="str">
        <f>IF('Statement of Marks'!J37="","",'Statement of Marks'!J37)</f>
        <v/>
      </c>
      <c r="J34" s="827" t="str">
        <f>IF('Statement of Marks'!HS37="","",'Statement of Marks'!HS37)</f>
        <v>PASS</v>
      </c>
      <c r="K34" s="281">
        <f>IF('Statement of Marks'!HT37="","",'Statement of Marks'!HT37)</f>
        <v>739</v>
      </c>
      <c r="L34" s="828">
        <f>IF('Statement of Marks'!HW37="","",'Statement of Marks'!HW37)</f>
        <v>61.583333333333336</v>
      </c>
      <c r="M34" s="281" t="str">
        <f>IF('Statement of Marks'!HV37="","",'Statement of Marks'!HV37)</f>
        <v>1st</v>
      </c>
      <c r="N34" s="829">
        <f>IF('Statement of Marks'!HX37="","",'Statement of Marks'!HX37)</f>
        <v>9.0000000000000799</v>
      </c>
      <c r="O34" s="282" t="str">
        <f>IF(J34="FAIL","",IF('Statement of Marks'!HO37="","",'Statement of Marks'!HO37))</f>
        <v xml:space="preserve">      </v>
      </c>
      <c r="P34" s="283" t="str">
        <f>IF('Supp. Result Entry'!AQ35="","",'Supp. Result Entry'!AQ35)</f>
        <v/>
      </c>
      <c r="Q34" s="284" t="str">
        <f>IF('Supp. Result Entry'!AR35="","",'Supp. Result Entry'!AR35)</f>
        <v/>
      </c>
      <c r="R34" s="285" t="str">
        <f>IF('Statement of Marks'!IA37="","",'Statement of Marks'!IA37)</f>
        <v/>
      </c>
      <c r="S34" s="286" t="str">
        <f>IF('Statement of Marks'!GL37="","",'Statement of Marks'!GL37)</f>
        <v/>
      </c>
      <c r="BM34" s="287" t="str">
        <f>'Statement of Marks'!F37</f>
        <v>RAVINDRA</v>
      </c>
      <c r="BN34" s="288" t="str">
        <f t="shared" si="0"/>
        <v/>
      </c>
      <c r="BO34" s="288" t="str">
        <f t="shared" si="1"/>
        <v/>
      </c>
      <c r="BP34" s="288" t="str">
        <f t="shared" si="2"/>
        <v/>
      </c>
      <c r="BQ34" s="288" t="str">
        <f t="shared" si="3"/>
        <v/>
      </c>
      <c r="BR34" s="288" t="str">
        <f t="shared" si="4"/>
        <v/>
      </c>
      <c r="BS34" s="288" t="str">
        <f t="shared" si="5"/>
        <v/>
      </c>
      <c r="BT34" s="288" t="str">
        <f t="shared" si="6"/>
        <v/>
      </c>
      <c r="BU34" s="288" t="str">
        <f t="shared" si="7"/>
        <v/>
      </c>
      <c r="BV34" s="288" t="str">
        <f t="shared" si="8"/>
        <v/>
      </c>
      <c r="BW34" s="288" t="str">
        <f t="shared" si="9"/>
        <v/>
      </c>
      <c r="BX34" s="288" t="str">
        <f t="shared" si="10"/>
        <v/>
      </c>
      <c r="BY34" s="288" t="str">
        <f t="shared" si="11"/>
        <v/>
      </c>
      <c r="BZ34" s="289"/>
    </row>
    <row r="35" spans="1:78" ht="15.95" customHeight="1">
      <c r="A35" s="276">
        <f>IF('Statement of Marks'!A38="","",'Statement of Marks'!A38)</f>
        <v>32</v>
      </c>
      <c r="B35" s="277" t="str">
        <f>IF('Statement of Marks'!B38="","",'Statement of Marks'!B38)</f>
        <v/>
      </c>
      <c r="C35" s="278" t="str">
        <f>IF('Statement of Marks'!D38="","",'Statement of Marks'!D38)</f>
        <v/>
      </c>
      <c r="D35" s="314" t="str">
        <f>IF('Statement of Marks'!E38="","",'Statement of Marks'!E38)</f>
        <v/>
      </c>
      <c r="E35" s="279" t="str">
        <f>IF('Statement of Marks'!F38="","",'Statement of Marks'!F38)</f>
        <v/>
      </c>
      <c r="F35" s="279" t="str">
        <f>IF('Statement of Marks'!G38="","",'Statement of Marks'!G38)</f>
        <v/>
      </c>
      <c r="G35" s="279" t="str">
        <f>IF('Statement of Marks'!H38="","",'Statement of Marks'!H38)</f>
        <v/>
      </c>
      <c r="H35" s="280" t="str">
        <f>IF('Statement of Marks'!I38="","",'Statement of Marks'!I38)</f>
        <v/>
      </c>
      <c r="I35" s="280" t="str">
        <f>IF('Statement of Marks'!J38="","",'Statement of Marks'!J38)</f>
        <v/>
      </c>
      <c r="J35" s="827" t="str">
        <f>IF('Statement of Marks'!HS38="","",'Statement of Marks'!HS38)</f>
        <v/>
      </c>
      <c r="K35" s="281" t="str">
        <f>IF('Statement of Marks'!HT38="","",'Statement of Marks'!HT38)</f>
        <v/>
      </c>
      <c r="L35" s="828" t="str">
        <f>IF('Statement of Marks'!HW38="","",'Statement of Marks'!HW38)</f>
        <v/>
      </c>
      <c r="M35" s="281" t="str">
        <f>IF('Statement of Marks'!HV38="","",'Statement of Marks'!HV38)</f>
        <v/>
      </c>
      <c r="N35" s="829" t="str">
        <f>IF('Statement of Marks'!HX38="","",'Statement of Marks'!HX38)</f>
        <v/>
      </c>
      <c r="O35" s="282" t="str">
        <f>IF(J35="FAIL","",IF('Statement of Marks'!HO38="","",'Statement of Marks'!HO38))</f>
        <v xml:space="preserve">      </v>
      </c>
      <c r="P35" s="283" t="str">
        <f>IF('Supp. Result Entry'!AQ36="","",'Supp. Result Entry'!AQ36)</f>
        <v/>
      </c>
      <c r="Q35" s="284" t="str">
        <f>IF('Supp. Result Entry'!AR36="","",'Supp. Result Entry'!AR36)</f>
        <v/>
      </c>
      <c r="R35" s="285" t="str">
        <f>IF('Statement of Marks'!IA38="","",'Statement of Marks'!IA38)</f>
        <v/>
      </c>
      <c r="S35" s="286" t="str">
        <f>IF('Statement of Marks'!GL38="","",'Statement of Marks'!GL38)</f>
        <v/>
      </c>
      <c r="BM35" s="287" t="str">
        <f>'Statement of Marks'!F38</f>
        <v/>
      </c>
      <c r="BN35" s="288" t="str">
        <f t="shared" si="0"/>
        <v/>
      </c>
      <c r="BO35" s="288" t="str">
        <f t="shared" si="1"/>
        <v/>
      </c>
      <c r="BP35" s="288" t="str">
        <f t="shared" si="2"/>
        <v/>
      </c>
      <c r="BQ35" s="288" t="str">
        <f t="shared" si="3"/>
        <v/>
      </c>
      <c r="BR35" s="288" t="str">
        <f t="shared" si="4"/>
        <v/>
      </c>
      <c r="BS35" s="288" t="str">
        <f t="shared" si="5"/>
        <v/>
      </c>
      <c r="BT35" s="288" t="str">
        <f t="shared" si="6"/>
        <v/>
      </c>
      <c r="BU35" s="288" t="str">
        <f t="shared" si="7"/>
        <v/>
      </c>
      <c r="BV35" s="288" t="str">
        <f t="shared" si="8"/>
        <v/>
      </c>
      <c r="BW35" s="288" t="str">
        <f t="shared" si="9"/>
        <v/>
      </c>
      <c r="BX35" s="288" t="str">
        <f t="shared" si="10"/>
        <v/>
      </c>
      <c r="BY35" s="288" t="str">
        <f t="shared" si="11"/>
        <v/>
      </c>
      <c r="BZ35" s="289"/>
    </row>
    <row r="36" spans="1:78" ht="15.95" customHeight="1">
      <c r="A36" s="276">
        <f>IF('Statement of Marks'!A39="","",'Statement of Marks'!A39)</f>
        <v>33</v>
      </c>
      <c r="B36" s="277" t="str">
        <f>IF('Statement of Marks'!B39="","",'Statement of Marks'!B39)</f>
        <v/>
      </c>
      <c r="C36" s="278" t="str">
        <f>IF('Statement of Marks'!D39="","",'Statement of Marks'!D39)</f>
        <v/>
      </c>
      <c r="D36" s="314" t="str">
        <f>IF('Statement of Marks'!E39="","",'Statement of Marks'!E39)</f>
        <v/>
      </c>
      <c r="E36" s="279" t="str">
        <f>IF('Statement of Marks'!F39="","",'Statement of Marks'!F39)</f>
        <v/>
      </c>
      <c r="F36" s="279" t="str">
        <f>IF('Statement of Marks'!G39="","",'Statement of Marks'!G39)</f>
        <v/>
      </c>
      <c r="G36" s="279" t="str">
        <f>IF('Statement of Marks'!H39="","",'Statement of Marks'!H39)</f>
        <v/>
      </c>
      <c r="H36" s="280" t="str">
        <f>IF('Statement of Marks'!I39="","",'Statement of Marks'!I39)</f>
        <v/>
      </c>
      <c r="I36" s="280" t="str">
        <f>IF('Statement of Marks'!J39="","",'Statement of Marks'!J39)</f>
        <v/>
      </c>
      <c r="J36" s="827" t="str">
        <f>IF('Statement of Marks'!HS39="","",'Statement of Marks'!HS39)</f>
        <v/>
      </c>
      <c r="K36" s="281" t="str">
        <f>IF('Statement of Marks'!HT39="","",'Statement of Marks'!HT39)</f>
        <v/>
      </c>
      <c r="L36" s="828" t="str">
        <f>IF('Statement of Marks'!HW39="","",'Statement of Marks'!HW39)</f>
        <v/>
      </c>
      <c r="M36" s="281" t="str">
        <f>IF('Statement of Marks'!HV39="","",'Statement of Marks'!HV39)</f>
        <v/>
      </c>
      <c r="N36" s="829" t="str">
        <f>IF('Statement of Marks'!HX39="","",'Statement of Marks'!HX39)</f>
        <v/>
      </c>
      <c r="O36" s="282" t="str">
        <f>IF(J36="FAIL","",IF('Statement of Marks'!HO39="","",'Statement of Marks'!HO39))</f>
        <v xml:space="preserve">      </v>
      </c>
      <c r="P36" s="283" t="str">
        <f>IF('Supp. Result Entry'!AQ37="","",'Supp. Result Entry'!AQ37)</f>
        <v/>
      </c>
      <c r="Q36" s="284" t="str">
        <f>IF('Supp. Result Entry'!AR37="","",'Supp. Result Entry'!AR37)</f>
        <v/>
      </c>
      <c r="R36" s="285" t="str">
        <f>IF('Statement of Marks'!IA39="","",'Statement of Marks'!IA39)</f>
        <v/>
      </c>
      <c r="S36" s="286" t="str">
        <f>IF('Statement of Marks'!GL39="","",'Statement of Marks'!GL39)</f>
        <v/>
      </c>
      <c r="BM36" s="287" t="str">
        <f>'Statement of Marks'!F39</f>
        <v/>
      </c>
      <c r="BN36" s="288" t="str">
        <f t="shared" si="0"/>
        <v/>
      </c>
      <c r="BO36" s="288" t="str">
        <f t="shared" si="1"/>
        <v/>
      </c>
      <c r="BP36" s="288" t="str">
        <f t="shared" si="2"/>
        <v/>
      </c>
      <c r="BQ36" s="288" t="str">
        <f t="shared" si="3"/>
        <v/>
      </c>
      <c r="BR36" s="288" t="str">
        <f t="shared" si="4"/>
        <v/>
      </c>
      <c r="BS36" s="288" t="str">
        <f t="shared" si="5"/>
        <v/>
      </c>
      <c r="BT36" s="288" t="str">
        <f t="shared" si="6"/>
        <v/>
      </c>
      <c r="BU36" s="288" t="str">
        <f t="shared" si="7"/>
        <v/>
      </c>
      <c r="BV36" s="288" t="str">
        <f t="shared" si="8"/>
        <v/>
      </c>
      <c r="BW36" s="288" t="str">
        <f t="shared" si="9"/>
        <v/>
      </c>
      <c r="BX36" s="288" t="str">
        <f t="shared" si="10"/>
        <v/>
      </c>
      <c r="BY36" s="288" t="str">
        <f t="shared" si="11"/>
        <v/>
      </c>
      <c r="BZ36" s="289"/>
    </row>
    <row r="37" spans="1:78" ht="15.95" customHeight="1">
      <c r="A37" s="276">
        <f>IF('Statement of Marks'!A40="","",'Statement of Marks'!A40)</f>
        <v>34</v>
      </c>
      <c r="B37" s="277" t="str">
        <f>IF('Statement of Marks'!B40="","",'Statement of Marks'!B40)</f>
        <v/>
      </c>
      <c r="C37" s="278" t="str">
        <f>IF('Statement of Marks'!D40="","",'Statement of Marks'!D40)</f>
        <v/>
      </c>
      <c r="D37" s="314" t="str">
        <f>IF('Statement of Marks'!E40="","",'Statement of Marks'!E40)</f>
        <v/>
      </c>
      <c r="E37" s="279" t="str">
        <f>IF('Statement of Marks'!F40="","",'Statement of Marks'!F40)</f>
        <v/>
      </c>
      <c r="F37" s="279" t="str">
        <f>IF('Statement of Marks'!G40="","",'Statement of Marks'!G40)</f>
        <v/>
      </c>
      <c r="G37" s="279" t="str">
        <f>IF('Statement of Marks'!H40="","",'Statement of Marks'!H40)</f>
        <v/>
      </c>
      <c r="H37" s="280" t="str">
        <f>IF('Statement of Marks'!I40="","",'Statement of Marks'!I40)</f>
        <v/>
      </c>
      <c r="I37" s="280" t="str">
        <f>IF('Statement of Marks'!J40="","",'Statement of Marks'!J40)</f>
        <v/>
      </c>
      <c r="J37" s="827" t="str">
        <f>IF('Statement of Marks'!HS40="","",'Statement of Marks'!HS40)</f>
        <v/>
      </c>
      <c r="K37" s="281" t="str">
        <f>IF('Statement of Marks'!HT40="","",'Statement of Marks'!HT40)</f>
        <v/>
      </c>
      <c r="L37" s="828" t="str">
        <f>IF('Statement of Marks'!HW40="","",'Statement of Marks'!HW40)</f>
        <v/>
      </c>
      <c r="M37" s="281" t="str">
        <f>IF('Statement of Marks'!HV40="","",'Statement of Marks'!HV40)</f>
        <v/>
      </c>
      <c r="N37" s="829" t="str">
        <f>IF('Statement of Marks'!HX40="","",'Statement of Marks'!HX40)</f>
        <v/>
      </c>
      <c r="O37" s="282" t="str">
        <f>IF(J37="FAIL","",IF('Statement of Marks'!HO40="","",'Statement of Marks'!HO40))</f>
        <v xml:space="preserve">      </v>
      </c>
      <c r="P37" s="283" t="str">
        <f>IF('Supp. Result Entry'!AQ38="","",'Supp. Result Entry'!AQ38)</f>
        <v/>
      </c>
      <c r="Q37" s="284" t="str">
        <f>IF('Supp. Result Entry'!AR38="","",'Supp. Result Entry'!AR38)</f>
        <v/>
      </c>
      <c r="R37" s="285" t="str">
        <f>IF('Statement of Marks'!IA40="","",'Statement of Marks'!IA40)</f>
        <v/>
      </c>
      <c r="S37" s="286" t="str">
        <f>IF('Statement of Marks'!GL40="","",'Statement of Marks'!GL40)</f>
        <v/>
      </c>
      <c r="BM37" s="287" t="str">
        <f>'Statement of Marks'!F40</f>
        <v/>
      </c>
      <c r="BN37" s="288" t="str">
        <f t="shared" si="0"/>
        <v/>
      </c>
      <c r="BO37" s="288" t="str">
        <f t="shared" si="1"/>
        <v/>
      </c>
      <c r="BP37" s="288" t="str">
        <f t="shared" si="2"/>
        <v/>
      </c>
      <c r="BQ37" s="288" t="str">
        <f t="shared" si="3"/>
        <v/>
      </c>
      <c r="BR37" s="288" t="str">
        <f t="shared" si="4"/>
        <v/>
      </c>
      <c r="BS37" s="288" t="str">
        <f t="shared" si="5"/>
        <v/>
      </c>
      <c r="BT37" s="288" t="str">
        <f t="shared" si="6"/>
        <v/>
      </c>
      <c r="BU37" s="288" t="str">
        <f t="shared" si="7"/>
        <v/>
      </c>
      <c r="BV37" s="288" t="str">
        <f t="shared" si="8"/>
        <v/>
      </c>
      <c r="BW37" s="288" t="str">
        <f t="shared" si="9"/>
        <v/>
      </c>
      <c r="BX37" s="288" t="str">
        <f t="shared" si="10"/>
        <v/>
      </c>
      <c r="BY37" s="288" t="str">
        <f t="shared" si="11"/>
        <v/>
      </c>
      <c r="BZ37" s="289"/>
    </row>
    <row r="38" spans="1:78" ht="15.95" customHeight="1">
      <c r="A38" s="276">
        <f>IF('Statement of Marks'!A41="","",'Statement of Marks'!A41)</f>
        <v>35</v>
      </c>
      <c r="B38" s="277" t="str">
        <f>IF('Statement of Marks'!B41="","",'Statement of Marks'!B41)</f>
        <v/>
      </c>
      <c r="C38" s="278" t="str">
        <f>IF('Statement of Marks'!D41="","",'Statement of Marks'!D41)</f>
        <v/>
      </c>
      <c r="D38" s="314" t="str">
        <f>IF('Statement of Marks'!E41="","",'Statement of Marks'!E41)</f>
        <v/>
      </c>
      <c r="E38" s="279" t="str">
        <f>IF('Statement of Marks'!F41="","",'Statement of Marks'!F41)</f>
        <v/>
      </c>
      <c r="F38" s="279" t="str">
        <f>IF('Statement of Marks'!G41="","",'Statement of Marks'!G41)</f>
        <v/>
      </c>
      <c r="G38" s="279" t="str">
        <f>IF('Statement of Marks'!H41="","",'Statement of Marks'!H41)</f>
        <v/>
      </c>
      <c r="H38" s="280" t="str">
        <f>IF('Statement of Marks'!I41="","",'Statement of Marks'!I41)</f>
        <v/>
      </c>
      <c r="I38" s="280" t="str">
        <f>IF('Statement of Marks'!J41="","",'Statement of Marks'!J41)</f>
        <v/>
      </c>
      <c r="J38" s="827" t="str">
        <f>IF('Statement of Marks'!HS41="","",'Statement of Marks'!HS41)</f>
        <v/>
      </c>
      <c r="K38" s="281" t="str">
        <f>IF('Statement of Marks'!HT41="","",'Statement of Marks'!HT41)</f>
        <v/>
      </c>
      <c r="L38" s="828" t="str">
        <f>IF('Statement of Marks'!HW41="","",'Statement of Marks'!HW41)</f>
        <v/>
      </c>
      <c r="M38" s="281" t="str">
        <f>IF('Statement of Marks'!HV41="","",'Statement of Marks'!HV41)</f>
        <v/>
      </c>
      <c r="N38" s="829" t="str">
        <f>IF('Statement of Marks'!HX41="","",'Statement of Marks'!HX41)</f>
        <v/>
      </c>
      <c r="O38" s="282" t="str">
        <f>IF(J38="FAIL","",IF('Statement of Marks'!HO41="","",'Statement of Marks'!HO41))</f>
        <v xml:space="preserve">      </v>
      </c>
      <c r="P38" s="283" t="str">
        <f>IF('Supp. Result Entry'!AQ39="","",'Supp. Result Entry'!AQ39)</f>
        <v/>
      </c>
      <c r="Q38" s="284" t="str">
        <f>IF('Supp. Result Entry'!AR39="","",'Supp. Result Entry'!AR39)</f>
        <v/>
      </c>
      <c r="R38" s="285" t="str">
        <f>IF('Statement of Marks'!IA41="","",'Statement of Marks'!IA41)</f>
        <v/>
      </c>
      <c r="S38" s="286" t="str">
        <f>IF('Statement of Marks'!GL41="","",'Statement of Marks'!GL41)</f>
        <v/>
      </c>
      <c r="BM38" s="287" t="str">
        <f>'Statement of Marks'!F41</f>
        <v/>
      </c>
      <c r="BN38" s="288" t="str">
        <f t="shared" si="0"/>
        <v/>
      </c>
      <c r="BO38" s="288" t="str">
        <f t="shared" si="1"/>
        <v/>
      </c>
      <c r="BP38" s="288" t="str">
        <f t="shared" si="2"/>
        <v/>
      </c>
      <c r="BQ38" s="288" t="str">
        <f t="shared" si="3"/>
        <v/>
      </c>
      <c r="BR38" s="288" t="str">
        <f t="shared" si="4"/>
        <v/>
      </c>
      <c r="BS38" s="288" t="str">
        <f t="shared" si="5"/>
        <v/>
      </c>
      <c r="BT38" s="288" t="str">
        <f t="shared" si="6"/>
        <v/>
      </c>
      <c r="BU38" s="288" t="str">
        <f t="shared" si="7"/>
        <v/>
      </c>
      <c r="BV38" s="288" t="str">
        <f t="shared" si="8"/>
        <v/>
      </c>
      <c r="BW38" s="288" t="str">
        <f t="shared" si="9"/>
        <v/>
      </c>
      <c r="BX38" s="288" t="str">
        <f t="shared" si="10"/>
        <v/>
      </c>
      <c r="BY38" s="288" t="str">
        <f t="shared" si="11"/>
        <v/>
      </c>
      <c r="BZ38" s="289"/>
    </row>
    <row r="39" spans="1:78" ht="15.95" customHeight="1">
      <c r="A39" s="276">
        <f>IF('Statement of Marks'!A42="","",'Statement of Marks'!A42)</f>
        <v>36</v>
      </c>
      <c r="B39" s="277" t="str">
        <f>IF('Statement of Marks'!B42="","",'Statement of Marks'!B42)</f>
        <v/>
      </c>
      <c r="C39" s="278" t="str">
        <f>IF('Statement of Marks'!D42="","",'Statement of Marks'!D42)</f>
        <v/>
      </c>
      <c r="D39" s="314" t="str">
        <f>IF('Statement of Marks'!E42="","",'Statement of Marks'!E42)</f>
        <v/>
      </c>
      <c r="E39" s="279" t="str">
        <f>IF('Statement of Marks'!F42="","",'Statement of Marks'!F42)</f>
        <v/>
      </c>
      <c r="F39" s="279" t="str">
        <f>IF('Statement of Marks'!G42="","",'Statement of Marks'!G42)</f>
        <v/>
      </c>
      <c r="G39" s="279" t="str">
        <f>IF('Statement of Marks'!H42="","",'Statement of Marks'!H42)</f>
        <v/>
      </c>
      <c r="H39" s="280" t="str">
        <f>IF('Statement of Marks'!I42="","",'Statement of Marks'!I42)</f>
        <v/>
      </c>
      <c r="I39" s="280" t="str">
        <f>IF('Statement of Marks'!J42="","",'Statement of Marks'!J42)</f>
        <v/>
      </c>
      <c r="J39" s="827" t="str">
        <f>IF('Statement of Marks'!HS42="","",'Statement of Marks'!HS42)</f>
        <v/>
      </c>
      <c r="K39" s="281" t="str">
        <f>IF('Statement of Marks'!HT42="","",'Statement of Marks'!HT42)</f>
        <v/>
      </c>
      <c r="L39" s="828" t="str">
        <f>IF('Statement of Marks'!HW42="","",'Statement of Marks'!HW42)</f>
        <v/>
      </c>
      <c r="M39" s="281" t="str">
        <f>IF('Statement of Marks'!HV42="","",'Statement of Marks'!HV42)</f>
        <v/>
      </c>
      <c r="N39" s="829" t="str">
        <f>IF('Statement of Marks'!HX42="","",'Statement of Marks'!HX42)</f>
        <v/>
      </c>
      <c r="O39" s="282" t="str">
        <f>IF(J39="FAIL","",IF('Statement of Marks'!HO42="","",'Statement of Marks'!HO42))</f>
        <v xml:space="preserve">      </v>
      </c>
      <c r="P39" s="283" t="str">
        <f>IF('Supp. Result Entry'!AQ40="","",'Supp. Result Entry'!AQ40)</f>
        <v/>
      </c>
      <c r="Q39" s="284" t="str">
        <f>IF('Supp. Result Entry'!AR40="","",'Supp. Result Entry'!AR40)</f>
        <v/>
      </c>
      <c r="R39" s="285" t="str">
        <f>IF('Statement of Marks'!IA42="","",'Statement of Marks'!IA42)</f>
        <v/>
      </c>
      <c r="S39" s="286" t="str">
        <f>IF('Statement of Marks'!GL42="","",'Statement of Marks'!GL42)</f>
        <v/>
      </c>
      <c r="BM39" s="287" t="str">
        <f>'Statement of Marks'!F42</f>
        <v/>
      </c>
      <c r="BN39" s="288" t="str">
        <f t="shared" si="0"/>
        <v/>
      </c>
      <c r="BO39" s="288" t="str">
        <f t="shared" si="1"/>
        <v/>
      </c>
      <c r="BP39" s="288" t="str">
        <f t="shared" si="2"/>
        <v/>
      </c>
      <c r="BQ39" s="288" t="str">
        <f t="shared" si="3"/>
        <v/>
      </c>
      <c r="BR39" s="288" t="str">
        <f t="shared" si="4"/>
        <v/>
      </c>
      <c r="BS39" s="288" t="str">
        <f t="shared" si="5"/>
        <v/>
      </c>
      <c r="BT39" s="288" t="str">
        <f t="shared" si="6"/>
        <v/>
      </c>
      <c r="BU39" s="288" t="str">
        <f t="shared" si="7"/>
        <v/>
      </c>
      <c r="BV39" s="288" t="str">
        <f t="shared" si="8"/>
        <v/>
      </c>
      <c r="BW39" s="288" t="str">
        <f t="shared" si="9"/>
        <v/>
      </c>
      <c r="BX39" s="288" t="str">
        <f t="shared" si="10"/>
        <v/>
      </c>
      <c r="BY39" s="288" t="str">
        <f t="shared" si="11"/>
        <v/>
      </c>
      <c r="BZ39" s="289"/>
    </row>
    <row r="40" spans="1:78" ht="15.95" customHeight="1">
      <c r="A40" s="276">
        <f>IF('Statement of Marks'!A43="","",'Statement of Marks'!A43)</f>
        <v>37</v>
      </c>
      <c r="B40" s="277" t="str">
        <f>IF('Statement of Marks'!B43="","",'Statement of Marks'!B43)</f>
        <v/>
      </c>
      <c r="C40" s="278" t="str">
        <f>IF('Statement of Marks'!D43="","",'Statement of Marks'!D43)</f>
        <v/>
      </c>
      <c r="D40" s="314" t="str">
        <f>IF('Statement of Marks'!E43="","",'Statement of Marks'!E43)</f>
        <v/>
      </c>
      <c r="E40" s="279" t="str">
        <f>IF('Statement of Marks'!F43="","",'Statement of Marks'!F43)</f>
        <v/>
      </c>
      <c r="F40" s="279" t="str">
        <f>IF('Statement of Marks'!G43="","",'Statement of Marks'!G43)</f>
        <v/>
      </c>
      <c r="G40" s="279" t="str">
        <f>IF('Statement of Marks'!H43="","",'Statement of Marks'!H43)</f>
        <v/>
      </c>
      <c r="H40" s="280" t="str">
        <f>IF('Statement of Marks'!I43="","",'Statement of Marks'!I43)</f>
        <v/>
      </c>
      <c r="I40" s="280" t="str">
        <f>IF('Statement of Marks'!J43="","",'Statement of Marks'!J43)</f>
        <v/>
      </c>
      <c r="J40" s="826" t="str">
        <f>IF('Statement of Marks'!HS43="","",'Statement of Marks'!HS43)</f>
        <v/>
      </c>
      <c r="K40" s="281" t="str">
        <f>IF('Statement of Marks'!HT43="","",'Statement of Marks'!HT43)</f>
        <v/>
      </c>
      <c r="L40" s="828" t="str">
        <f>IF('Statement of Marks'!HW43="","",'Statement of Marks'!HW43)</f>
        <v/>
      </c>
      <c r="M40" s="281" t="str">
        <f>IF('Statement of Marks'!HV43="","",'Statement of Marks'!HV43)</f>
        <v/>
      </c>
      <c r="N40" s="829" t="str">
        <f>IF('Statement of Marks'!HX43="","",'Statement of Marks'!HX43)</f>
        <v/>
      </c>
      <c r="O40" s="282" t="str">
        <f>IF(J40="FAIL","",IF('Statement of Marks'!HO43="","",'Statement of Marks'!HO43))</f>
        <v xml:space="preserve">      </v>
      </c>
      <c r="P40" s="283" t="str">
        <f>IF('Supp. Result Entry'!AQ41="","",'Supp. Result Entry'!AQ41)</f>
        <v/>
      </c>
      <c r="Q40" s="284" t="str">
        <f>IF('Supp. Result Entry'!AR41="","",'Supp. Result Entry'!AR41)</f>
        <v/>
      </c>
      <c r="R40" s="285" t="str">
        <f>IF('Statement of Marks'!IA43="","",'Statement of Marks'!IA43)</f>
        <v/>
      </c>
      <c r="S40" s="286" t="str">
        <f>IF('Statement of Marks'!GL43="","",'Statement of Marks'!GL43)</f>
        <v/>
      </c>
      <c r="BM40" s="287" t="str">
        <f>'Statement of Marks'!F43</f>
        <v/>
      </c>
      <c r="BN40" s="288" t="str">
        <f t="shared" si="0"/>
        <v/>
      </c>
      <c r="BO40" s="288" t="str">
        <f t="shared" si="1"/>
        <v/>
      </c>
      <c r="BP40" s="288" t="str">
        <f t="shared" si="2"/>
        <v/>
      </c>
      <c r="BQ40" s="288" t="str">
        <f t="shared" si="3"/>
        <v/>
      </c>
      <c r="BR40" s="288" t="str">
        <f t="shared" si="4"/>
        <v/>
      </c>
      <c r="BS40" s="288" t="str">
        <f t="shared" si="5"/>
        <v/>
      </c>
      <c r="BT40" s="288" t="str">
        <f t="shared" si="6"/>
        <v/>
      </c>
      <c r="BU40" s="288" t="str">
        <f t="shared" si="7"/>
        <v/>
      </c>
      <c r="BV40" s="288" t="str">
        <f t="shared" si="8"/>
        <v/>
      </c>
      <c r="BW40" s="288" t="str">
        <f t="shared" si="9"/>
        <v/>
      </c>
      <c r="BX40" s="288" t="str">
        <f t="shared" si="10"/>
        <v/>
      </c>
      <c r="BY40" s="288" t="str">
        <f t="shared" si="11"/>
        <v/>
      </c>
      <c r="BZ40" s="289"/>
    </row>
    <row r="41" spans="1:78" ht="15.95" customHeight="1">
      <c r="A41" s="276">
        <f>IF('Statement of Marks'!A44="","",'Statement of Marks'!A44)</f>
        <v>38</v>
      </c>
      <c r="B41" s="277" t="str">
        <f>IF('Statement of Marks'!B44="","",'Statement of Marks'!B44)</f>
        <v/>
      </c>
      <c r="C41" s="278" t="str">
        <f>IF('Statement of Marks'!D44="","",'Statement of Marks'!D44)</f>
        <v/>
      </c>
      <c r="D41" s="314" t="str">
        <f>IF('Statement of Marks'!E44="","",'Statement of Marks'!E44)</f>
        <v/>
      </c>
      <c r="E41" s="279" t="str">
        <f>IF('Statement of Marks'!F44="","",'Statement of Marks'!F44)</f>
        <v/>
      </c>
      <c r="F41" s="279" t="str">
        <f>IF('Statement of Marks'!G44="","",'Statement of Marks'!G44)</f>
        <v/>
      </c>
      <c r="G41" s="279" t="str">
        <f>IF('Statement of Marks'!H44="","",'Statement of Marks'!H44)</f>
        <v/>
      </c>
      <c r="H41" s="280" t="str">
        <f>IF('Statement of Marks'!I44="","",'Statement of Marks'!I44)</f>
        <v/>
      </c>
      <c r="I41" s="280" t="str">
        <f>IF('Statement of Marks'!J44="","",'Statement of Marks'!J44)</f>
        <v/>
      </c>
      <c r="J41" s="827" t="str">
        <f>IF('Statement of Marks'!HS44="","",'Statement of Marks'!HS44)</f>
        <v/>
      </c>
      <c r="K41" s="281" t="str">
        <f>IF('Statement of Marks'!HT44="","",'Statement of Marks'!HT44)</f>
        <v/>
      </c>
      <c r="L41" s="828" t="str">
        <f>IF('Statement of Marks'!HW44="","",'Statement of Marks'!HW44)</f>
        <v/>
      </c>
      <c r="M41" s="281" t="str">
        <f>IF('Statement of Marks'!HV44="","",'Statement of Marks'!HV44)</f>
        <v/>
      </c>
      <c r="N41" s="829" t="str">
        <f>IF('Statement of Marks'!HX44="","",'Statement of Marks'!HX44)</f>
        <v/>
      </c>
      <c r="O41" s="282" t="str">
        <f>IF(J41="FAIL","",IF('Statement of Marks'!HO44="","",'Statement of Marks'!HO44))</f>
        <v xml:space="preserve">      </v>
      </c>
      <c r="P41" s="283" t="str">
        <f>IF('Supp. Result Entry'!AQ42="","",'Supp. Result Entry'!AQ42)</f>
        <v/>
      </c>
      <c r="Q41" s="284" t="str">
        <f>IF('Supp. Result Entry'!AR42="","",'Supp. Result Entry'!AR42)</f>
        <v/>
      </c>
      <c r="R41" s="285" t="str">
        <f>IF('Statement of Marks'!IA44="","",'Statement of Marks'!IA44)</f>
        <v/>
      </c>
      <c r="S41" s="286" t="str">
        <f>IF('Statement of Marks'!GL44="","",'Statement of Marks'!GL44)</f>
        <v/>
      </c>
      <c r="BM41" s="287" t="str">
        <f>'Statement of Marks'!F44</f>
        <v/>
      </c>
      <c r="BN41" s="288" t="str">
        <f t="shared" si="0"/>
        <v/>
      </c>
      <c r="BO41" s="288" t="str">
        <f t="shared" si="1"/>
        <v/>
      </c>
      <c r="BP41" s="288" t="str">
        <f t="shared" si="2"/>
        <v/>
      </c>
      <c r="BQ41" s="288" t="str">
        <f t="shared" si="3"/>
        <v/>
      </c>
      <c r="BR41" s="288" t="str">
        <f t="shared" si="4"/>
        <v/>
      </c>
      <c r="BS41" s="288" t="str">
        <f t="shared" si="5"/>
        <v/>
      </c>
      <c r="BT41" s="288" t="str">
        <f t="shared" si="6"/>
        <v/>
      </c>
      <c r="BU41" s="288" t="str">
        <f t="shared" si="7"/>
        <v/>
      </c>
      <c r="BV41" s="288" t="str">
        <f t="shared" si="8"/>
        <v/>
      </c>
      <c r="BW41" s="288" t="str">
        <f t="shared" si="9"/>
        <v/>
      </c>
      <c r="BX41" s="288" t="str">
        <f t="shared" si="10"/>
        <v/>
      </c>
      <c r="BY41" s="288" t="str">
        <f t="shared" si="11"/>
        <v/>
      </c>
      <c r="BZ41" s="289"/>
    </row>
    <row r="42" spans="1:78" ht="15.95" customHeight="1">
      <c r="A42" s="276">
        <f>IF('Statement of Marks'!A45="","",'Statement of Marks'!A45)</f>
        <v>39</v>
      </c>
      <c r="B42" s="277" t="str">
        <f>IF('Statement of Marks'!B45="","",'Statement of Marks'!B45)</f>
        <v/>
      </c>
      <c r="C42" s="278" t="str">
        <f>IF('Statement of Marks'!D45="","",'Statement of Marks'!D45)</f>
        <v/>
      </c>
      <c r="D42" s="314" t="str">
        <f>IF('Statement of Marks'!E45="","",'Statement of Marks'!E45)</f>
        <v/>
      </c>
      <c r="E42" s="279" t="str">
        <f>IF('Statement of Marks'!F45="","",'Statement of Marks'!F45)</f>
        <v/>
      </c>
      <c r="F42" s="279" t="str">
        <f>IF('Statement of Marks'!G45="","",'Statement of Marks'!G45)</f>
        <v/>
      </c>
      <c r="G42" s="279" t="str">
        <f>IF('Statement of Marks'!H45="","",'Statement of Marks'!H45)</f>
        <v/>
      </c>
      <c r="H42" s="280" t="str">
        <f>IF('Statement of Marks'!I45="","",'Statement of Marks'!I45)</f>
        <v/>
      </c>
      <c r="I42" s="280" t="str">
        <f>IF('Statement of Marks'!J45="","",'Statement of Marks'!J45)</f>
        <v/>
      </c>
      <c r="J42" s="827" t="str">
        <f>IF('Statement of Marks'!HS45="","",'Statement of Marks'!HS45)</f>
        <v/>
      </c>
      <c r="K42" s="281" t="str">
        <f>IF('Statement of Marks'!HT45="","",'Statement of Marks'!HT45)</f>
        <v/>
      </c>
      <c r="L42" s="828" t="str">
        <f>IF('Statement of Marks'!HW45="","",'Statement of Marks'!HW45)</f>
        <v/>
      </c>
      <c r="M42" s="281" t="str">
        <f>IF('Statement of Marks'!HV45="","",'Statement of Marks'!HV45)</f>
        <v/>
      </c>
      <c r="N42" s="829" t="str">
        <f>IF('Statement of Marks'!HX45="","",'Statement of Marks'!HX45)</f>
        <v/>
      </c>
      <c r="O42" s="282" t="str">
        <f>IF(J42="FAIL","",IF('Statement of Marks'!HO45="","",'Statement of Marks'!HO45))</f>
        <v xml:space="preserve">      </v>
      </c>
      <c r="P42" s="283" t="str">
        <f>IF('Supp. Result Entry'!AQ43="","",'Supp. Result Entry'!AQ43)</f>
        <v/>
      </c>
      <c r="Q42" s="284" t="str">
        <f>IF('Supp. Result Entry'!AR43="","",'Supp. Result Entry'!AR43)</f>
        <v/>
      </c>
      <c r="R42" s="285" t="str">
        <f>IF('Statement of Marks'!IA45="","",'Statement of Marks'!IA45)</f>
        <v/>
      </c>
      <c r="S42" s="286" t="str">
        <f>IF('Statement of Marks'!GL45="","",'Statement of Marks'!GL45)</f>
        <v/>
      </c>
      <c r="BM42" s="287" t="str">
        <f>'Statement of Marks'!F45</f>
        <v/>
      </c>
      <c r="BN42" s="288" t="str">
        <f t="shared" si="0"/>
        <v/>
      </c>
      <c r="BO42" s="288" t="str">
        <f t="shared" si="1"/>
        <v/>
      </c>
      <c r="BP42" s="288" t="str">
        <f t="shared" si="2"/>
        <v/>
      </c>
      <c r="BQ42" s="288" t="str">
        <f t="shared" si="3"/>
        <v/>
      </c>
      <c r="BR42" s="288" t="str">
        <f t="shared" si="4"/>
        <v/>
      </c>
      <c r="BS42" s="288" t="str">
        <f t="shared" si="5"/>
        <v/>
      </c>
      <c r="BT42" s="288" t="str">
        <f t="shared" si="6"/>
        <v/>
      </c>
      <c r="BU42" s="288" t="str">
        <f t="shared" si="7"/>
        <v/>
      </c>
      <c r="BV42" s="288" t="str">
        <f t="shared" si="8"/>
        <v/>
      </c>
      <c r="BW42" s="288" t="str">
        <f t="shared" si="9"/>
        <v/>
      </c>
      <c r="BX42" s="288" t="str">
        <f t="shared" si="10"/>
        <v/>
      </c>
      <c r="BY42" s="288" t="str">
        <f t="shared" si="11"/>
        <v/>
      </c>
      <c r="BZ42" s="289"/>
    </row>
    <row r="43" spans="1:78" ht="15.95" customHeight="1">
      <c r="A43" s="276">
        <f>IF('Statement of Marks'!A46="","",'Statement of Marks'!A46)</f>
        <v>40</v>
      </c>
      <c r="B43" s="277" t="str">
        <f>IF('Statement of Marks'!B46="","",'Statement of Marks'!B46)</f>
        <v/>
      </c>
      <c r="C43" s="278" t="str">
        <f>IF('Statement of Marks'!D46="","",'Statement of Marks'!D46)</f>
        <v/>
      </c>
      <c r="D43" s="314" t="str">
        <f>IF('Statement of Marks'!E46="","",'Statement of Marks'!E46)</f>
        <v/>
      </c>
      <c r="E43" s="279" t="str">
        <f>IF('Statement of Marks'!F46="","",'Statement of Marks'!F46)</f>
        <v/>
      </c>
      <c r="F43" s="279" t="str">
        <f>IF('Statement of Marks'!G46="","",'Statement of Marks'!G46)</f>
        <v/>
      </c>
      <c r="G43" s="279" t="str">
        <f>IF('Statement of Marks'!H46="","",'Statement of Marks'!H46)</f>
        <v/>
      </c>
      <c r="H43" s="280" t="str">
        <f>IF('Statement of Marks'!I46="","",'Statement of Marks'!I46)</f>
        <v/>
      </c>
      <c r="I43" s="280" t="str">
        <f>IF('Statement of Marks'!J46="","",'Statement of Marks'!J46)</f>
        <v/>
      </c>
      <c r="J43" s="827" t="str">
        <f>IF('Statement of Marks'!HS46="","",'Statement of Marks'!HS46)</f>
        <v/>
      </c>
      <c r="K43" s="281" t="str">
        <f>IF('Statement of Marks'!HT46="","",'Statement of Marks'!HT46)</f>
        <v/>
      </c>
      <c r="L43" s="828" t="str">
        <f>IF('Statement of Marks'!HW46="","",'Statement of Marks'!HW46)</f>
        <v/>
      </c>
      <c r="M43" s="281" t="str">
        <f>IF('Statement of Marks'!HV46="","",'Statement of Marks'!HV46)</f>
        <v/>
      </c>
      <c r="N43" s="829" t="str">
        <f>IF('Statement of Marks'!HX46="","",'Statement of Marks'!HX46)</f>
        <v/>
      </c>
      <c r="O43" s="282" t="str">
        <f>IF(J43="FAIL","",IF('Statement of Marks'!HO46="","",'Statement of Marks'!HO46))</f>
        <v xml:space="preserve">      </v>
      </c>
      <c r="P43" s="283" t="str">
        <f>IF('Supp. Result Entry'!AQ44="","",'Supp. Result Entry'!AQ44)</f>
        <v/>
      </c>
      <c r="Q43" s="284" t="str">
        <f>IF('Supp. Result Entry'!AR44="","",'Supp. Result Entry'!AR44)</f>
        <v/>
      </c>
      <c r="R43" s="285" t="str">
        <f>IF('Statement of Marks'!IA46="","",'Statement of Marks'!IA46)</f>
        <v/>
      </c>
      <c r="S43" s="286" t="str">
        <f>IF('Statement of Marks'!GL46="","",'Statement of Marks'!GL46)</f>
        <v/>
      </c>
      <c r="BM43" s="287" t="str">
        <f>'Statement of Marks'!F46</f>
        <v/>
      </c>
      <c r="BN43" s="288" t="str">
        <f t="shared" si="0"/>
        <v/>
      </c>
      <c r="BO43" s="288" t="str">
        <f t="shared" si="1"/>
        <v/>
      </c>
      <c r="BP43" s="288" t="str">
        <f t="shared" si="2"/>
        <v/>
      </c>
      <c r="BQ43" s="288" t="str">
        <f t="shared" si="3"/>
        <v/>
      </c>
      <c r="BR43" s="288" t="str">
        <f t="shared" si="4"/>
        <v/>
      </c>
      <c r="BS43" s="288" t="str">
        <f t="shared" si="5"/>
        <v/>
      </c>
      <c r="BT43" s="288" t="str">
        <f t="shared" si="6"/>
        <v/>
      </c>
      <c r="BU43" s="288" t="str">
        <f t="shared" si="7"/>
        <v/>
      </c>
      <c r="BV43" s="288" t="str">
        <f t="shared" si="8"/>
        <v/>
      </c>
      <c r="BW43" s="288" t="str">
        <f t="shared" si="9"/>
        <v/>
      </c>
      <c r="BX43" s="288" t="str">
        <f t="shared" si="10"/>
        <v/>
      </c>
      <c r="BY43" s="288" t="str">
        <f t="shared" si="11"/>
        <v/>
      </c>
      <c r="BZ43" s="289"/>
    </row>
    <row r="44" spans="1:78" ht="15.95" customHeight="1">
      <c r="A44" s="276">
        <f>IF('Statement of Marks'!A47="","",'Statement of Marks'!A47)</f>
        <v>41</v>
      </c>
      <c r="B44" s="277" t="str">
        <f>IF('Statement of Marks'!B47="","",'Statement of Marks'!B47)</f>
        <v/>
      </c>
      <c r="C44" s="278" t="str">
        <f>IF('Statement of Marks'!D47="","",'Statement of Marks'!D47)</f>
        <v/>
      </c>
      <c r="D44" s="314" t="str">
        <f>IF('Statement of Marks'!E47="","",'Statement of Marks'!E47)</f>
        <v/>
      </c>
      <c r="E44" s="279" t="str">
        <f>IF('Statement of Marks'!F47="","",'Statement of Marks'!F47)</f>
        <v/>
      </c>
      <c r="F44" s="279" t="str">
        <f>IF('Statement of Marks'!G47="","",'Statement of Marks'!G47)</f>
        <v/>
      </c>
      <c r="G44" s="279" t="str">
        <f>IF('Statement of Marks'!H47="","",'Statement of Marks'!H47)</f>
        <v/>
      </c>
      <c r="H44" s="280" t="str">
        <f>IF('Statement of Marks'!I47="","",'Statement of Marks'!I47)</f>
        <v/>
      </c>
      <c r="I44" s="280" t="str">
        <f>IF('Statement of Marks'!J47="","",'Statement of Marks'!J47)</f>
        <v/>
      </c>
      <c r="J44" s="827" t="str">
        <f>IF('Statement of Marks'!HS47="","",'Statement of Marks'!HS47)</f>
        <v/>
      </c>
      <c r="K44" s="281" t="str">
        <f>IF('Statement of Marks'!HT47="","",'Statement of Marks'!HT47)</f>
        <v/>
      </c>
      <c r="L44" s="828" t="str">
        <f>IF('Statement of Marks'!HW47="","",'Statement of Marks'!HW47)</f>
        <v/>
      </c>
      <c r="M44" s="281" t="str">
        <f>IF('Statement of Marks'!HV47="","",'Statement of Marks'!HV47)</f>
        <v/>
      </c>
      <c r="N44" s="829" t="str">
        <f>IF('Statement of Marks'!HX47="","",'Statement of Marks'!HX47)</f>
        <v/>
      </c>
      <c r="O44" s="282" t="str">
        <f>IF(J44="FAIL","",IF('Statement of Marks'!HO47="","",'Statement of Marks'!HO47))</f>
        <v xml:space="preserve">      </v>
      </c>
      <c r="P44" s="283" t="str">
        <f>IF('Supp. Result Entry'!AQ45="","",'Supp. Result Entry'!AQ45)</f>
        <v/>
      </c>
      <c r="Q44" s="284" t="str">
        <f>IF('Supp. Result Entry'!AR45="","",'Supp. Result Entry'!AR45)</f>
        <v/>
      </c>
      <c r="R44" s="285" t="str">
        <f>IF('Statement of Marks'!IA47="","",'Statement of Marks'!IA47)</f>
        <v/>
      </c>
      <c r="S44" s="286" t="str">
        <f>IF('Statement of Marks'!GL47="","",'Statement of Marks'!GL47)</f>
        <v/>
      </c>
      <c r="BM44" s="287" t="str">
        <f>'Statement of Marks'!F47</f>
        <v/>
      </c>
      <c r="BN44" s="288" t="str">
        <f t="shared" si="0"/>
        <v/>
      </c>
      <c r="BO44" s="288" t="str">
        <f t="shared" si="1"/>
        <v/>
      </c>
      <c r="BP44" s="288" t="str">
        <f t="shared" si="2"/>
        <v/>
      </c>
      <c r="BQ44" s="288" t="str">
        <f t="shared" si="3"/>
        <v/>
      </c>
      <c r="BR44" s="288" t="str">
        <f t="shared" si="4"/>
        <v/>
      </c>
      <c r="BS44" s="288" t="str">
        <f t="shared" si="5"/>
        <v/>
      </c>
      <c r="BT44" s="288" t="str">
        <f t="shared" si="6"/>
        <v/>
      </c>
      <c r="BU44" s="288" t="str">
        <f t="shared" si="7"/>
        <v/>
      </c>
      <c r="BV44" s="288" t="str">
        <f t="shared" si="8"/>
        <v/>
      </c>
      <c r="BW44" s="288" t="str">
        <f t="shared" si="9"/>
        <v/>
      </c>
      <c r="BX44" s="288" t="str">
        <f t="shared" si="10"/>
        <v/>
      </c>
      <c r="BY44" s="288" t="str">
        <f t="shared" si="11"/>
        <v/>
      </c>
      <c r="BZ44" s="289"/>
    </row>
    <row r="45" spans="1:78" ht="15.95" customHeight="1">
      <c r="A45" s="276">
        <f>IF('Statement of Marks'!A48="","",'Statement of Marks'!A48)</f>
        <v>42</v>
      </c>
      <c r="B45" s="277" t="str">
        <f>IF('Statement of Marks'!B48="","",'Statement of Marks'!B48)</f>
        <v/>
      </c>
      <c r="C45" s="278" t="str">
        <f>IF('Statement of Marks'!D48="","",'Statement of Marks'!D48)</f>
        <v/>
      </c>
      <c r="D45" s="314" t="str">
        <f>IF('Statement of Marks'!E48="","",'Statement of Marks'!E48)</f>
        <v/>
      </c>
      <c r="E45" s="279" t="str">
        <f>IF('Statement of Marks'!F48="","",'Statement of Marks'!F48)</f>
        <v/>
      </c>
      <c r="F45" s="279" t="str">
        <f>IF('Statement of Marks'!G48="","",'Statement of Marks'!G48)</f>
        <v/>
      </c>
      <c r="G45" s="279" t="str">
        <f>IF('Statement of Marks'!H48="","",'Statement of Marks'!H48)</f>
        <v/>
      </c>
      <c r="H45" s="280" t="str">
        <f>IF('Statement of Marks'!I48="","",'Statement of Marks'!I48)</f>
        <v/>
      </c>
      <c r="I45" s="280" t="str">
        <f>IF('Statement of Marks'!J48="","",'Statement of Marks'!J48)</f>
        <v/>
      </c>
      <c r="J45" s="827" t="str">
        <f>IF('Statement of Marks'!HS48="","",'Statement of Marks'!HS48)</f>
        <v/>
      </c>
      <c r="K45" s="281" t="str">
        <f>IF('Statement of Marks'!HT48="","",'Statement of Marks'!HT48)</f>
        <v/>
      </c>
      <c r="L45" s="828" t="str">
        <f>IF('Statement of Marks'!HW48="","",'Statement of Marks'!HW48)</f>
        <v/>
      </c>
      <c r="M45" s="281" t="str">
        <f>IF('Statement of Marks'!HV48="","",'Statement of Marks'!HV48)</f>
        <v/>
      </c>
      <c r="N45" s="829" t="str">
        <f>IF('Statement of Marks'!HX48="","",'Statement of Marks'!HX48)</f>
        <v/>
      </c>
      <c r="O45" s="282" t="str">
        <f>IF(J45="FAIL","",IF('Statement of Marks'!HO48="","",'Statement of Marks'!HO48))</f>
        <v xml:space="preserve">      </v>
      </c>
      <c r="P45" s="283" t="str">
        <f>IF('Supp. Result Entry'!AQ46="","",'Supp. Result Entry'!AQ46)</f>
        <v/>
      </c>
      <c r="Q45" s="284" t="str">
        <f>IF('Supp. Result Entry'!AR46="","",'Supp. Result Entry'!AR46)</f>
        <v/>
      </c>
      <c r="R45" s="285" t="str">
        <f>IF('Statement of Marks'!IA48="","",'Statement of Marks'!IA48)</f>
        <v/>
      </c>
      <c r="S45" s="286" t="str">
        <f>IF('Statement of Marks'!GL48="","",'Statement of Marks'!GL48)</f>
        <v/>
      </c>
      <c r="BM45" s="287" t="str">
        <f>'Statement of Marks'!F48</f>
        <v/>
      </c>
      <c r="BN45" s="288" t="str">
        <f t="shared" si="0"/>
        <v/>
      </c>
      <c r="BO45" s="288" t="str">
        <f t="shared" si="1"/>
        <v/>
      </c>
      <c r="BP45" s="288" t="str">
        <f t="shared" si="2"/>
        <v/>
      </c>
      <c r="BQ45" s="288" t="str">
        <f t="shared" si="3"/>
        <v/>
      </c>
      <c r="BR45" s="288" t="str">
        <f t="shared" si="4"/>
        <v/>
      </c>
      <c r="BS45" s="288" t="str">
        <f t="shared" si="5"/>
        <v/>
      </c>
      <c r="BT45" s="288" t="str">
        <f t="shared" si="6"/>
        <v/>
      </c>
      <c r="BU45" s="288" t="str">
        <f t="shared" si="7"/>
        <v/>
      </c>
      <c r="BV45" s="288" t="str">
        <f t="shared" si="8"/>
        <v/>
      </c>
      <c r="BW45" s="288" t="str">
        <f t="shared" si="9"/>
        <v/>
      </c>
      <c r="BX45" s="288" t="str">
        <f t="shared" si="10"/>
        <v/>
      </c>
      <c r="BY45" s="288" t="str">
        <f t="shared" si="11"/>
        <v/>
      </c>
      <c r="BZ45" s="289"/>
    </row>
    <row r="46" spans="1:78" ht="15.95" customHeight="1">
      <c r="A46" s="276">
        <f>IF('Statement of Marks'!A49="","",'Statement of Marks'!A49)</f>
        <v>43</v>
      </c>
      <c r="B46" s="277" t="str">
        <f>IF('Statement of Marks'!B49="","",'Statement of Marks'!B49)</f>
        <v/>
      </c>
      <c r="C46" s="278" t="str">
        <f>IF('Statement of Marks'!D49="","",'Statement of Marks'!D49)</f>
        <v/>
      </c>
      <c r="D46" s="314" t="str">
        <f>IF('Statement of Marks'!E49="","",'Statement of Marks'!E49)</f>
        <v/>
      </c>
      <c r="E46" s="279" t="str">
        <f>IF('Statement of Marks'!F49="","",'Statement of Marks'!F49)</f>
        <v/>
      </c>
      <c r="F46" s="279" t="str">
        <f>IF('Statement of Marks'!G49="","",'Statement of Marks'!G49)</f>
        <v/>
      </c>
      <c r="G46" s="279" t="str">
        <f>IF('Statement of Marks'!H49="","",'Statement of Marks'!H49)</f>
        <v/>
      </c>
      <c r="H46" s="280" t="str">
        <f>IF('Statement of Marks'!I49="","",'Statement of Marks'!I49)</f>
        <v/>
      </c>
      <c r="I46" s="280" t="str">
        <f>IF('Statement of Marks'!J49="","",'Statement of Marks'!J49)</f>
        <v/>
      </c>
      <c r="J46" s="827" t="str">
        <f>IF('Statement of Marks'!HS49="","",'Statement of Marks'!HS49)</f>
        <v/>
      </c>
      <c r="K46" s="281" t="str">
        <f>IF('Statement of Marks'!HT49="","",'Statement of Marks'!HT49)</f>
        <v/>
      </c>
      <c r="L46" s="828" t="str">
        <f>IF('Statement of Marks'!HW49="","",'Statement of Marks'!HW49)</f>
        <v/>
      </c>
      <c r="M46" s="281" t="str">
        <f>IF('Statement of Marks'!HV49="","",'Statement of Marks'!HV49)</f>
        <v/>
      </c>
      <c r="N46" s="829" t="str">
        <f>IF('Statement of Marks'!HX49="","",'Statement of Marks'!HX49)</f>
        <v/>
      </c>
      <c r="O46" s="282" t="str">
        <f>IF(J46="FAIL","",IF('Statement of Marks'!HO49="","",'Statement of Marks'!HO49))</f>
        <v xml:space="preserve">      </v>
      </c>
      <c r="P46" s="283" t="str">
        <f>IF('Supp. Result Entry'!AQ47="","",'Supp. Result Entry'!AQ47)</f>
        <v/>
      </c>
      <c r="Q46" s="284" t="str">
        <f>IF('Supp. Result Entry'!AR47="","",'Supp. Result Entry'!AR47)</f>
        <v/>
      </c>
      <c r="R46" s="285" t="str">
        <f>IF('Statement of Marks'!IA49="","",'Statement of Marks'!IA49)</f>
        <v/>
      </c>
      <c r="S46" s="286" t="str">
        <f>IF('Statement of Marks'!GL49="","",'Statement of Marks'!GL49)</f>
        <v/>
      </c>
      <c r="BM46" s="287" t="str">
        <f>'Statement of Marks'!F49</f>
        <v/>
      </c>
      <c r="BN46" s="288" t="str">
        <f t="shared" si="0"/>
        <v/>
      </c>
      <c r="BO46" s="288" t="str">
        <f t="shared" si="1"/>
        <v/>
      </c>
      <c r="BP46" s="288" t="str">
        <f t="shared" si="2"/>
        <v/>
      </c>
      <c r="BQ46" s="288" t="str">
        <f t="shared" si="3"/>
        <v/>
      </c>
      <c r="BR46" s="288" t="str">
        <f t="shared" si="4"/>
        <v/>
      </c>
      <c r="BS46" s="288" t="str">
        <f t="shared" si="5"/>
        <v/>
      </c>
      <c r="BT46" s="288" t="str">
        <f t="shared" si="6"/>
        <v/>
      </c>
      <c r="BU46" s="288" t="str">
        <f t="shared" si="7"/>
        <v/>
      </c>
      <c r="BV46" s="288" t="str">
        <f t="shared" si="8"/>
        <v/>
      </c>
      <c r="BW46" s="288" t="str">
        <f t="shared" si="9"/>
        <v/>
      </c>
      <c r="BX46" s="288" t="str">
        <f t="shared" si="10"/>
        <v/>
      </c>
      <c r="BY46" s="288" t="str">
        <f t="shared" si="11"/>
        <v/>
      </c>
      <c r="BZ46" s="289"/>
    </row>
    <row r="47" spans="1:78" ht="15.95" customHeight="1">
      <c r="A47" s="276">
        <f>IF('Statement of Marks'!A50="","",'Statement of Marks'!A50)</f>
        <v>44</v>
      </c>
      <c r="B47" s="277" t="str">
        <f>IF('Statement of Marks'!B50="","",'Statement of Marks'!B50)</f>
        <v/>
      </c>
      <c r="C47" s="278" t="str">
        <f>IF('Statement of Marks'!D50="","",'Statement of Marks'!D50)</f>
        <v/>
      </c>
      <c r="D47" s="314" t="str">
        <f>IF('Statement of Marks'!E50="","",'Statement of Marks'!E50)</f>
        <v/>
      </c>
      <c r="E47" s="279" t="str">
        <f>IF('Statement of Marks'!F50="","",'Statement of Marks'!F50)</f>
        <v/>
      </c>
      <c r="F47" s="279" t="str">
        <f>IF('Statement of Marks'!G50="","",'Statement of Marks'!G50)</f>
        <v/>
      </c>
      <c r="G47" s="279" t="str">
        <f>IF('Statement of Marks'!H50="","",'Statement of Marks'!H50)</f>
        <v/>
      </c>
      <c r="H47" s="280" t="str">
        <f>IF('Statement of Marks'!I50="","",'Statement of Marks'!I50)</f>
        <v/>
      </c>
      <c r="I47" s="280" t="str">
        <f>IF('Statement of Marks'!J50="","",'Statement of Marks'!J50)</f>
        <v/>
      </c>
      <c r="J47" s="827" t="str">
        <f>IF('Statement of Marks'!HS50="","",'Statement of Marks'!HS50)</f>
        <v/>
      </c>
      <c r="K47" s="281" t="str">
        <f>IF('Statement of Marks'!HT50="","",'Statement of Marks'!HT50)</f>
        <v/>
      </c>
      <c r="L47" s="828" t="str">
        <f>IF('Statement of Marks'!HW50="","",'Statement of Marks'!HW50)</f>
        <v/>
      </c>
      <c r="M47" s="281" t="str">
        <f>IF('Statement of Marks'!HV50="","",'Statement of Marks'!HV50)</f>
        <v/>
      </c>
      <c r="N47" s="829" t="str">
        <f>IF('Statement of Marks'!HX50="","",'Statement of Marks'!HX50)</f>
        <v/>
      </c>
      <c r="O47" s="282" t="str">
        <f>IF(J47="FAIL","",IF('Statement of Marks'!HO50="","",'Statement of Marks'!HO50))</f>
        <v xml:space="preserve">      </v>
      </c>
      <c r="P47" s="283" t="str">
        <f>IF('Supp. Result Entry'!AQ48="","",'Supp. Result Entry'!AQ48)</f>
        <v/>
      </c>
      <c r="Q47" s="284" t="str">
        <f>IF('Supp. Result Entry'!AR48="","",'Supp. Result Entry'!AR48)</f>
        <v/>
      </c>
      <c r="R47" s="285" t="str">
        <f>IF('Statement of Marks'!IA50="","",'Statement of Marks'!IA50)</f>
        <v/>
      </c>
      <c r="S47" s="286" t="str">
        <f>IF('Statement of Marks'!GL50="","",'Statement of Marks'!GL50)</f>
        <v/>
      </c>
      <c r="BM47" s="287" t="str">
        <f>'Statement of Marks'!F50</f>
        <v/>
      </c>
      <c r="BN47" s="288" t="str">
        <f t="shared" si="0"/>
        <v/>
      </c>
      <c r="BO47" s="288" t="str">
        <f t="shared" si="1"/>
        <v/>
      </c>
      <c r="BP47" s="288" t="str">
        <f t="shared" si="2"/>
        <v/>
      </c>
      <c r="BQ47" s="288" t="str">
        <f t="shared" si="3"/>
        <v/>
      </c>
      <c r="BR47" s="288" t="str">
        <f t="shared" si="4"/>
        <v/>
      </c>
      <c r="BS47" s="288" t="str">
        <f t="shared" si="5"/>
        <v/>
      </c>
      <c r="BT47" s="288" t="str">
        <f t="shared" si="6"/>
        <v/>
      </c>
      <c r="BU47" s="288" t="str">
        <f t="shared" si="7"/>
        <v/>
      </c>
      <c r="BV47" s="288" t="str">
        <f t="shared" si="8"/>
        <v/>
      </c>
      <c r="BW47" s="288" t="str">
        <f t="shared" si="9"/>
        <v/>
      </c>
      <c r="BX47" s="288" t="str">
        <f t="shared" si="10"/>
        <v/>
      </c>
      <c r="BY47" s="288" t="str">
        <f t="shared" si="11"/>
        <v/>
      </c>
      <c r="BZ47" s="289"/>
    </row>
    <row r="48" spans="1:78" ht="15.95" customHeight="1">
      <c r="A48" s="276">
        <f>IF('Statement of Marks'!A51="","",'Statement of Marks'!A51)</f>
        <v>45</v>
      </c>
      <c r="B48" s="277" t="str">
        <f>IF('Statement of Marks'!B51="","",'Statement of Marks'!B51)</f>
        <v/>
      </c>
      <c r="C48" s="278" t="str">
        <f>IF('Statement of Marks'!D51="","",'Statement of Marks'!D51)</f>
        <v/>
      </c>
      <c r="D48" s="314" t="str">
        <f>IF('Statement of Marks'!E51="","",'Statement of Marks'!E51)</f>
        <v/>
      </c>
      <c r="E48" s="279" t="str">
        <f>IF('Statement of Marks'!F51="","",'Statement of Marks'!F51)</f>
        <v/>
      </c>
      <c r="F48" s="279" t="str">
        <f>IF('Statement of Marks'!G51="","",'Statement of Marks'!G51)</f>
        <v/>
      </c>
      <c r="G48" s="279" t="str">
        <f>IF('Statement of Marks'!H51="","",'Statement of Marks'!H51)</f>
        <v/>
      </c>
      <c r="H48" s="280" t="str">
        <f>IF('Statement of Marks'!I51="","",'Statement of Marks'!I51)</f>
        <v/>
      </c>
      <c r="I48" s="280" t="str">
        <f>IF('Statement of Marks'!J51="","",'Statement of Marks'!J51)</f>
        <v/>
      </c>
      <c r="J48" s="827" t="str">
        <f>IF('Statement of Marks'!HS51="","",'Statement of Marks'!HS51)</f>
        <v/>
      </c>
      <c r="K48" s="281" t="str">
        <f>IF('Statement of Marks'!HT51="","",'Statement of Marks'!HT51)</f>
        <v/>
      </c>
      <c r="L48" s="828" t="str">
        <f>IF('Statement of Marks'!HW51="","",'Statement of Marks'!HW51)</f>
        <v/>
      </c>
      <c r="M48" s="281" t="str">
        <f>IF('Statement of Marks'!HV51="","",'Statement of Marks'!HV51)</f>
        <v/>
      </c>
      <c r="N48" s="829" t="str">
        <f>IF('Statement of Marks'!HX51="","",'Statement of Marks'!HX51)</f>
        <v/>
      </c>
      <c r="O48" s="282" t="str">
        <f>IF(J48="FAIL","",IF('Statement of Marks'!HO51="","",'Statement of Marks'!HO51))</f>
        <v xml:space="preserve">      </v>
      </c>
      <c r="P48" s="283" t="str">
        <f>IF('Supp. Result Entry'!AQ49="","",'Supp. Result Entry'!AQ49)</f>
        <v/>
      </c>
      <c r="Q48" s="284" t="str">
        <f>IF('Supp. Result Entry'!AR49="","",'Supp. Result Entry'!AR49)</f>
        <v/>
      </c>
      <c r="R48" s="285" t="str">
        <f>IF('Statement of Marks'!IA51="","",'Statement of Marks'!IA51)</f>
        <v/>
      </c>
      <c r="S48" s="286" t="str">
        <f>IF('Statement of Marks'!GL51="","",'Statement of Marks'!GL51)</f>
        <v/>
      </c>
      <c r="BM48" s="287" t="str">
        <f>'Statement of Marks'!F51</f>
        <v/>
      </c>
      <c r="BN48" s="288" t="str">
        <f t="shared" si="0"/>
        <v/>
      </c>
      <c r="BO48" s="288" t="str">
        <f t="shared" si="1"/>
        <v/>
      </c>
      <c r="BP48" s="288" t="str">
        <f t="shared" si="2"/>
        <v/>
      </c>
      <c r="BQ48" s="288" t="str">
        <f t="shared" si="3"/>
        <v/>
      </c>
      <c r="BR48" s="288" t="str">
        <f t="shared" si="4"/>
        <v/>
      </c>
      <c r="BS48" s="288" t="str">
        <f t="shared" si="5"/>
        <v/>
      </c>
      <c r="BT48" s="288" t="str">
        <f t="shared" si="6"/>
        <v/>
      </c>
      <c r="BU48" s="288" t="str">
        <f t="shared" si="7"/>
        <v/>
      </c>
      <c r="BV48" s="288" t="str">
        <f t="shared" si="8"/>
        <v/>
      </c>
      <c r="BW48" s="288" t="str">
        <f t="shared" si="9"/>
        <v/>
      </c>
      <c r="BX48" s="288" t="str">
        <f t="shared" si="10"/>
        <v/>
      </c>
      <c r="BY48" s="288" t="str">
        <f t="shared" si="11"/>
        <v/>
      </c>
      <c r="BZ48" s="289"/>
    </row>
    <row r="49" spans="1:78" ht="15.95" customHeight="1">
      <c r="A49" s="276">
        <f>IF('Statement of Marks'!A52="","",'Statement of Marks'!A52)</f>
        <v>46</v>
      </c>
      <c r="B49" s="277" t="str">
        <f>IF('Statement of Marks'!B52="","",'Statement of Marks'!B52)</f>
        <v/>
      </c>
      <c r="C49" s="278" t="str">
        <f>IF('Statement of Marks'!D52="","",'Statement of Marks'!D52)</f>
        <v/>
      </c>
      <c r="D49" s="314" t="str">
        <f>IF('Statement of Marks'!E52="","",'Statement of Marks'!E52)</f>
        <v/>
      </c>
      <c r="E49" s="279" t="str">
        <f>IF('Statement of Marks'!F52="","",'Statement of Marks'!F52)</f>
        <v/>
      </c>
      <c r="F49" s="279" t="str">
        <f>IF('Statement of Marks'!G52="","",'Statement of Marks'!G52)</f>
        <v/>
      </c>
      <c r="G49" s="279" t="str">
        <f>IF('Statement of Marks'!H52="","",'Statement of Marks'!H52)</f>
        <v/>
      </c>
      <c r="H49" s="280" t="str">
        <f>IF('Statement of Marks'!I52="","",'Statement of Marks'!I52)</f>
        <v/>
      </c>
      <c r="I49" s="280" t="str">
        <f>IF('Statement of Marks'!J52="","",'Statement of Marks'!J52)</f>
        <v/>
      </c>
      <c r="J49" s="827" t="str">
        <f>IF('Statement of Marks'!HS52="","",'Statement of Marks'!HS52)</f>
        <v/>
      </c>
      <c r="K49" s="281" t="str">
        <f>IF('Statement of Marks'!HT52="","",'Statement of Marks'!HT52)</f>
        <v/>
      </c>
      <c r="L49" s="828" t="str">
        <f>IF('Statement of Marks'!HW52="","",'Statement of Marks'!HW52)</f>
        <v/>
      </c>
      <c r="M49" s="281" t="str">
        <f>IF('Statement of Marks'!HV52="","",'Statement of Marks'!HV52)</f>
        <v/>
      </c>
      <c r="N49" s="829" t="str">
        <f>IF('Statement of Marks'!HX52="","",'Statement of Marks'!HX52)</f>
        <v/>
      </c>
      <c r="O49" s="282" t="str">
        <f>IF(J49="FAIL","",IF('Statement of Marks'!HO52="","",'Statement of Marks'!HO52))</f>
        <v xml:space="preserve">      </v>
      </c>
      <c r="P49" s="283" t="str">
        <f>IF('Supp. Result Entry'!AQ50="","",'Supp. Result Entry'!AQ50)</f>
        <v/>
      </c>
      <c r="Q49" s="284" t="str">
        <f>IF('Supp. Result Entry'!AR50="","",'Supp. Result Entry'!AR50)</f>
        <v/>
      </c>
      <c r="R49" s="285" t="str">
        <f>IF('Statement of Marks'!IA52="","",'Statement of Marks'!IA52)</f>
        <v/>
      </c>
      <c r="S49" s="286" t="str">
        <f>IF('Statement of Marks'!GL52="","",'Statement of Marks'!GL52)</f>
        <v/>
      </c>
      <c r="BM49" s="287" t="str">
        <f>'Statement of Marks'!F52</f>
        <v/>
      </c>
      <c r="BN49" s="288" t="str">
        <f t="shared" si="0"/>
        <v/>
      </c>
      <c r="BO49" s="288" t="str">
        <f t="shared" si="1"/>
        <v/>
      </c>
      <c r="BP49" s="288" t="str">
        <f t="shared" si="2"/>
        <v/>
      </c>
      <c r="BQ49" s="288" t="str">
        <f t="shared" si="3"/>
        <v/>
      </c>
      <c r="BR49" s="288" t="str">
        <f t="shared" si="4"/>
        <v/>
      </c>
      <c r="BS49" s="288" t="str">
        <f t="shared" si="5"/>
        <v/>
      </c>
      <c r="BT49" s="288" t="str">
        <f t="shared" si="6"/>
        <v/>
      </c>
      <c r="BU49" s="288" t="str">
        <f t="shared" si="7"/>
        <v/>
      </c>
      <c r="BV49" s="288" t="str">
        <f t="shared" si="8"/>
        <v/>
      </c>
      <c r="BW49" s="288" t="str">
        <f t="shared" si="9"/>
        <v/>
      </c>
      <c r="BX49" s="288" t="str">
        <f t="shared" si="10"/>
        <v/>
      </c>
      <c r="BY49" s="288" t="str">
        <f t="shared" si="11"/>
        <v/>
      </c>
      <c r="BZ49" s="289"/>
    </row>
    <row r="50" spans="1:78" ht="15.95" customHeight="1">
      <c r="A50" s="276">
        <f>IF('Statement of Marks'!A53="","",'Statement of Marks'!A53)</f>
        <v>47</v>
      </c>
      <c r="B50" s="277" t="str">
        <f>IF('Statement of Marks'!B53="","",'Statement of Marks'!B53)</f>
        <v/>
      </c>
      <c r="C50" s="278" t="str">
        <f>IF('Statement of Marks'!D53="","",'Statement of Marks'!D53)</f>
        <v/>
      </c>
      <c r="D50" s="314" t="str">
        <f>IF('Statement of Marks'!E53="","",'Statement of Marks'!E53)</f>
        <v/>
      </c>
      <c r="E50" s="279" t="str">
        <f>IF('Statement of Marks'!F53="","",'Statement of Marks'!F53)</f>
        <v/>
      </c>
      <c r="F50" s="279" t="str">
        <f>IF('Statement of Marks'!G53="","",'Statement of Marks'!G53)</f>
        <v/>
      </c>
      <c r="G50" s="279" t="str">
        <f>IF('Statement of Marks'!H53="","",'Statement of Marks'!H53)</f>
        <v/>
      </c>
      <c r="H50" s="280" t="str">
        <f>IF('Statement of Marks'!I53="","",'Statement of Marks'!I53)</f>
        <v/>
      </c>
      <c r="I50" s="280" t="str">
        <f>IF('Statement of Marks'!J53="","",'Statement of Marks'!J53)</f>
        <v/>
      </c>
      <c r="J50" s="827" t="str">
        <f>IF('Statement of Marks'!HS53="","",'Statement of Marks'!HS53)</f>
        <v/>
      </c>
      <c r="K50" s="281" t="str">
        <f>IF('Statement of Marks'!HT53="","",'Statement of Marks'!HT53)</f>
        <v/>
      </c>
      <c r="L50" s="828" t="str">
        <f>IF('Statement of Marks'!HW53="","",'Statement of Marks'!HW53)</f>
        <v/>
      </c>
      <c r="M50" s="281" t="str">
        <f>IF('Statement of Marks'!HV53="","",'Statement of Marks'!HV53)</f>
        <v/>
      </c>
      <c r="N50" s="829" t="str">
        <f>IF('Statement of Marks'!HX53="","",'Statement of Marks'!HX53)</f>
        <v/>
      </c>
      <c r="O50" s="282" t="str">
        <f>IF(J50="FAIL","",IF('Statement of Marks'!HO53="","",'Statement of Marks'!HO53))</f>
        <v xml:space="preserve">      </v>
      </c>
      <c r="P50" s="283" t="str">
        <f>IF('Supp. Result Entry'!AQ51="","",'Supp. Result Entry'!AQ51)</f>
        <v/>
      </c>
      <c r="Q50" s="284" t="str">
        <f>IF('Supp. Result Entry'!AR51="","",'Supp. Result Entry'!AR51)</f>
        <v/>
      </c>
      <c r="R50" s="285" t="str">
        <f>IF('Statement of Marks'!IA53="","",'Statement of Marks'!IA53)</f>
        <v/>
      </c>
      <c r="S50" s="286" t="str">
        <f>IF('Statement of Marks'!GL53="","",'Statement of Marks'!GL53)</f>
        <v/>
      </c>
      <c r="BM50" s="287" t="str">
        <f>'Statement of Marks'!F53</f>
        <v/>
      </c>
      <c r="BN50" s="288" t="str">
        <f t="shared" si="0"/>
        <v/>
      </c>
      <c r="BO50" s="288" t="str">
        <f t="shared" si="1"/>
        <v/>
      </c>
      <c r="BP50" s="288" t="str">
        <f t="shared" si="2"/>
        <v/>
      </c>
      <c r="BQ50" s="288" t="str">
        <f t="shared" si="3"/>
        <v/>
      </c>
      <c r="BR50" s="288" t="str">
        <f t="shared" si="4"/>
        <v/>
      </c>
      <c r="BS50" s="288" t="str">
        <f t="shared" si="5"/>
        <v/>
      </c>
      <c r="BT50" s="288" t="str">
        <f t="shared" si="6"/>
        <v/>
      </c>
      <c r="BU50" s="288" t="str">
        <f t="shared" si="7"/>
        <v/>
      </c>
      <c r="BV50" s="288" t="str">
        <f t="shared" si="8"/>
        <v/>
      </c>
      <c r="BW50" s="288" t="str">
        <f t="shared" si="9"/>
        <v/>
      </c>
      <c r="BX50" s="288" t="str">
        <f t="shared" si="10"/>
        <v/>
      </c>
      <c r="BY50" s="288" t="str">
        <f t="shared" si="11"/>
        <v/>
      </c>
      <c r="BZ50" s="289"/>
    </row>
    <row r="51" spans="1:78" ht="15.95" customHeight="1">
      <c r="A51" s="276">
        <f>IF('Statement of Marks'!A54="","",'Statement of Marks'!A54)</f>
        <v>48</v>
      </c>
      <c r="B51" s="277" t="str">
        <f>IF('Statement of Marks'!B54="","",'Statement of Marks'!B54)</f>
        <v/>
      </c>
      <c r="C51" s="278" t="str">
        <f>IF('Statement of Marks'!D54="","",'Statement of Marks'!D54)</f>
        <v/>
      </c>
      <c r="D51" s="314" t="str">
        <f>IF('Statement of Marks'!E54="","",'Statement of Marks'!E54)</f>
        <v/>
      </c>
      <c r="E51" s="279" t="str">
        <f>IF('Statement of Marks'!F54="","",'Statement of Marks'!F54)</f>
        <v/>
      </c>
      <c r="F51" s="279" t="str">
        <f>IF('Statement of Marks'!G54="","",'Statement of Marks'!G54)</f>
        <v/>
      </c>
      <c r="G51" s="279" t="str">
        <f>IF('Statement of Marks'!H54="","",'Statement of Marks'!H54)</f>
        <v/>
      </c>
      <c r="H51" s="280" t="str">
        <f>IF('Statement of Marks'!I54="","",'Statement of Marks'!I54)</f>
        <v/>
      </c>
      <c r="I51" s="280" t="str">
        <f>IF('Statement of Marks'!J54="","",'Statement of Marks'!J54)</f>
        <v/>
      </c>
      <c r="J51" s="827" t="str">
        <f>IF('Statement of Marks'!HS54="","",'Statement of Marks'!HS54)</f>
        <v/>
      </c>
      <c r="K51" s="281" t="str">
        <f>IF('Statement of Marks'!HT54="","",'Statement of Marks'!HT54)</f>
        <v/>
      </c>
      <c r="L51" s="828" t="str">
        <f>IF('Statement of Marks'!HW54="","",'Statement of Marks'!HW54)</f>
        <v/>
      </c>
      <c r="M51" s="281" t="str">
        <f>IF('Statement of Marks'!HV54="","",'Statement of Marks'!HV54)</f>
        <v/>
      </c>
      <c r="N51" s="829" t="str">
        <f>IF('Statement of Marks'!HX54="","",'Statement of Marks'!HX54)</f>
        <v/>
      </c>
      <c r="O51" s="282" t="str">
        <f>IF(J51="FAIL","",IF('Statement of Marks'!HO54="","",'Statement of Marks'!HO54))</f>
        <v xml:space="preserve">      </v>
      </c>
      <c r="P51" s="283" t="str">
        <f>IF('Supp. Result Entry'!AQ52="","",'Supp. Result Entry'!AQ52)</f>
        <v/>
      </c>
      <c r="Q51" s="284" t="str">
        <f>IF('Supp. Result Entry'!AR52="","",'Supp. Result Entry'!AR52)</f>
        <v/>
      </c>
      <c r="R51" s="285" t="str">
        <f>IF('Statement of Marks'!IA54="","",'Statement of Marks'!IA54)</f>
        <v/>
      </c>
      <c r="S51" s="286" t="str">
        <f>IF('Statement of Marks'!GL54="","",'Statement of Marks'!GL54)</f>
        <v/>
      </c>
      <c r="BM51" s="287" t="str">
        <f>'Statement of Marks'!F54</f>
        <v/>
      </c>
      <c r="BN51" s="288" t="str">
        <f t="shared" si="0"/>
        <v/>
      </c>
      <c r="BO51" s="288" t="str">
        <f t="shared" si="1"/>
        <v/>
      </c>
      <c r="BP51" s="288" t="str">
        <f t="shared" si="2"/>
        <v/>
      </c>
      <c r="BQ51" s="288" t="str">
        <f t="shared" si="3"/>
        <v/>
      </c>
      <c r="BR51" s="288" t="str">
        <f t="shared" si="4"/>
        <v/>
      </c>
      <c r="BS51" s="288" t="str">
        <f t="shared" si="5"/>
        <v/>
      </c>
      <c r="BT51" s="288" t="str">
        <f t="shared" si="6"/>
        <v/>
      </c>
      <c r="BU51" s="288" t="str">
        <f t="shared" si="7"/>
        <v/>
      </c>
      <c r="BV51" s="288" t="str">
        <f t="shared" si="8"/>
        <v/>
      </c>
      <c r="BW51" s="288" t="str">
        <f t="shared" si="9"/>
        <v/>
      </c>
      <c r="BX51" s="288" t="str">
        <f t="shared" si="10"/>
        <v/>
      </c>
      <c r="BY51" s="288" t="str">
        <f t="shared" si="11"/>
        <v/>
      </c>
      <c r="BZ51" s="289"/>
    </row>
    <row r="52" spans="1:78" ht="15.95" customHeight="1">
      <c r="A52" s="276">
        <f>IF('Statement of Marks'!A55="","",'Statement of Marks'!A55)</f>
        <v>49</v>
      </c>
      <c r="B52" s="277" t="str">
        <f>IF('Statement of Marks'!B55="","",'Statement of Marks'!B55)</f>
        <v/>
      </c>
      <c r="C52" s="278" t="str">
        <f>IF('Statement of Marks'!D55="","",'Statement of Marks'!D55)</f>
        <v/>
      </c>
      <c r="D52" s="314" t="str">
        <f>IF('Statement of Marks'!E55="","",'Statement of Marks'!E55)</f>
        <v/>
      </c>
      <c r="E52" s="279" t="str">
        <f>IF('Statement of Marks'!F55="","",'Statement of Marks'!F55)</f>
        <v/>
      </c>
      <c r="F52" s="279" t="str">
        <f>IF('Statement of Marks'!G55="","",'Statement of Marks'!G55)</f>
        <v/>
      </c>
      <c r="G52" s="279" t="str">
        <f>IF('Statement of Marks'!H55="","",'Statement of Marks'!H55)</f>
        <v/>
      </c>
      <c r="H52" s="280" t="str">
        <f>IF('Statement of Marks'!I55="","",'Statement of Marks'!I55)</f>
        <v/>
      </c>
      <c r="I52" s="280" t="str">
        <f>IF('Statement of Marks'!J55="","",'Statement of Marks'!J55)</f>
        <v/>
      </c>
      <c r="J52" s="827" t="str">
        <f>IF('Statement of Marks'!HS55="","",'Statement of Marks'!HS55)</f>
        <v/>
      </c>
      <c r="K52" s="281" t="str">
        <f>IF('Statement of Marks'!HT55="","",'Statement of Marks'!HT55)</f>
        <v/>
      </c>
      <c r="L52" s="828" t="str">
        <f>IF('Statement of Marks'!HW55="","",'Statement of Marks'!HW55)</f>
        <v/>
      </c>
      <c r="M52" s="281" t="str">
        <f>IF('Statement of Marks'!HV55="","",'Statement of Marks'!HV55)</f>
        <v/>
      </c>
      <c r="N52" s="829" t="str">
        <f>IF('Statement of Marks'!HX55="","",'Statement of Marks'!HX55)</f>
        <v/>
      </c>
      <c r="O52" s="282" t="str">
        <f>IF(J52="FAIL","",IF('Statement of Marks'!HO55="","",'Statement of Marks'!HO55))</f>
        <v xml:space="preserve">      </v>
      </c>
      <c r="P52" s="283" t="str">
        <f>IF('Supp. Result Entry'!AQ53="","",'Supp. Result Entry'!AQ53)</f>
        <v/>
      </c>
      <c r="Q52" s="284" t="str">
        <f>IF('Supp. Result Entry'!AR53="","",'Supp. Result Entry'!AR53)</f>
        <v/>
      </c>
      <c r="R52" s="285" t="str">
        <f>IF('Statement of Marks'!IA55="","",'Statement of Marks'!IA55)</f>
        <v/>
      </c>
      <c r="S52" s="286" t="str">
        <f>IF('Statement of Marks'!GL55="","",'Statement of Marks'!GL55)</f>
        <v/>
      </c>
      <c r="BM52" s="287" t="str">
        <f>'Statement of Marks'!F55</f>
        <v/>
      </c>
      <c r="BN52" s="288" t="str">
        <f t="shared" si="0"/>
        <v/>
      </c>
      <c r="BO52" s="288" t="str">
        <f t="shared" si="1"/>
        <v/>
      </c>
      <c r="BP52" s="288" t="str">
        <f t="shared" si="2"/>
        <v/>
      </c>
      <c r="BQ52" s="288" t="str">
        <f t="shared" si="3"/>
        <v/>
      </c>
      <c r="BR52" s="288" t="str">
        <f t="shared" si="4"/>
        <v/>
      </c>
      <c r="BS52" s="288" t="str">
        <f t="shared" si="5"/>
        <v/>
      </c>
      <c r="BT52" s="288" t="str">
        <f t="shared" si="6"/>
        <v/>
      </c>
      <c r="BU52" s="288" t="str">
        <f t="shared" si="7"/>
        <v/>
      </c>
      <c r="BV52" s="288" t="str">
        <f t="shared" si="8"/>
        <v/>
      </c>
      <c r="BW52" s="288" t="str">
        <f t="shared" si="9"/>
        <v/>
      </c>
      <c r="BX52" s="288" t="str">
        <f t="shared" si="10"/>
        <v/>
      </c>
      <c r="BY52" s="288" t="str">
        <f t="shared" si="11"/>
        <v/>
      </c>
      <c r="BZ52" s="289"/>
    </row>
    <row r="53" spans="1:78" ht="15.95" customHeight="1">
      <c r="A53" s="276">
        <f>IF('Statement of Marks'!A56="","",'Statement of Marks'!A56)</f>
        <v>50</v>
      </c>
      <c r="B53" s="277" t="str">
        <f>IF('Statement of Marks'!B56="","",'Statement of Marks'!B56)</f>
        <v/>
      </c>
      <c r="C53" s="278" t="str">
        <f>IF('Statement of Marks'!D56="","",'Statement of Marks'!D56)</f>
        <v/>
      </c>
      <c r="D53" s="314" t="str">
        <f>IF('Statement of Marks'!E56="","",'Statement of Marks'!E56)</f>
        <v/>
      </c>
      <c r="E53" s="279" t="str">
        <f>IF('Statement of Marks'!F56="","",'Statement of Marks'!F56)</f>
        <v/>
      </c>
      <c r="F53" s="279" t="str">
        <f>IF('Statement of Marks'!G56="","",'Statement of Marks'!G56)</f>
        <v/>
      </c>
      <c r="G53" s="279" t="str">
        <f>IF('Statement of Marks'!H56="","",'Statement of Marks'!H56)</f>
        <v/>
      </c>
      <c r="H53" s="280" t="str">
        <f>IF('Statement of Marks'!I56="","",'Statement of Marks'!I56)</f>
        <v/>
      </c>
      <c r="I53" s="280" t="str">
        <f>IF('Statement of Marks'!J56="","",'Statement of Marks'!J56)</f>
        <v/>
      </c>
      <c r="J53" s="827" t="str">
        <f>IF('Statement of Marks'!HS56="","",'Statement of Marks'!HS56)</f>
        <v/>
      </c>
      <c r="K53" s="281" t="str">
        <f>IF('Statement of Marks'!HT56="","",'Statement of Marks'!HT56)</f>
        <v/>
      </c>
      <c r="L53" s="828" t="str">
        <f>IF('Statement of Marks'!HW56="","",'Statement of Marks'!HW56)</f>
        <v/>
      </c>
      <c r="M53" s="281" t="str">
        <f>IF('Statement of Marks'!HV56="","",'Statement of Marks'!HV56)</f>
        <v/>
      </c>
      <c r="N53" s="829" t="str">
        <f>IF('Statement of Marks'!HX56="","",'Statement of Marks'!HX56)</f>
        <v/>
      </c>
      <c r="O53" s="282" t="str">
        <f>IF(J53="FAIL","",IF('Statement of Marks'!HO56="","",'Statement of Marks'!HO56))</f>
        <v xml:space="preserve">      </v>
      </c>
      <c r="P53" s="283" t="str">
        <f>IF('Supp. Result Entry'!AQ54="","",'Supp. Result Entry'!AQ54)</f>
        <v/>
      </c>
      <c r="Q53" s="284" t="str">
        <f>IF('Supp. Result Entry'!AR54="","",'Supp. Result Entry'!AR54)</f>
        <v/>
      </c>
      <c r="R53" s="285" t="str">
        <f>IF('Statement of Marks'!IA56="","",'Statement of Marks'!IA56)</f>
        <v/>
      </c>
      <c r="S53" s="286" t="str">
        <f>IF('Statement of Marks'!GL56="","",'Statement of Marks'!GL56)</f>
        <v/>
      </c>
      <c r="BM53" s="287" t="str">
        <f>'Statement of Marks'!F56</f>
        <v/>
      </c>
      <c r="BN53" s="288" t="str">
        <f t="shared" si="0"/>
        <v/>
      </c>
      <c r="BO53" s="288" t="str">
        <f t="shared" si="1"/>
        <v/>
      </c>
      <c r="BP53" s="288" t="str">
        <f t="shared" si="2"/>
        <v/>
      </c>
      <c r="BQ53" s="288" t="str">
        <f t="shared" si="3"/>
        <v/>
      </c>
      <c r="BR53" s="288" t="str">
        <f t="shared" si="4"/>
        <v/>
      </c>
      <c r="BS53" s="288" t="str">
        <f t="shared" si="5"/>
        <v/>
      </c>
      <c r="BT53" s="288" t="str">
        <f t="shared" si="6"/>
        <v/>
      </c>
      <c r="BU53" s="288" t="str">
        <f t="shared" si="7"/>
        <v/>
      </c>
      <c r="BV53" s="288" t="str">
        <f t="shared" si="8"/>
        <v/>
      </c>
      <c r="BW53" s="288" t="str">
        <f t="shared" si="9"/>
        <v/>
      </c>
      <c r="BX53" s="288" t="str">
        <f t="shared" si="10"/>
        <v/>
      </c>
      <c r="BY53" s="288" t="str">
        <f t="shared" si="11"/>
        <v/>
      </c>
      <c r="BZ53" s="289"/>
    </row>
    <row r="54" spans="1:78" ht="15.95" customHeight="1">
      <c r="A54" s="276">
        <f>IF('Statement of Marks'!A57="","",'Statement of Marks'!A57)</f>
        <v>51</v>
      </c>
      <c r="B54" s="277" t="str">
        <f>IF('Statement of Marks'!B57="","",'Statement of Marks'!B57)</f>
        <v/>
      </c>
      <c r="C54" s="278" t="str">
        <f>IF('Statement of Marks'!D57="","",'Statement of Marks'!D57)</f>
        <v/>
      </c>
      <c r="D54" s="314" t="str">
        <f>IF('Statement of Marks'!E57="","",'Statement of Marks'!E57)</f>
        <v/>
      </c>
      <c r="E54" s="279" t="str">
        <f>IF('Statement of Marks'!F57="","",'Statement of Marks'!F57)</f>
        <v/>
      </c>
      <c r="F54" s="279" t="str">
        <f>IF('Statement of Marks'!G57="","",'Statement of Marks'!G57)</f>
        <v/>
      </c>
      <c r="G54" s="279" t="str">
        <f>IF('Statement of Marks'!H57="","",'Statement of Marks'!H57)</f>
        <v/>
      </c>
      <c r="H54" s="280" t="str">
        <f>IF('Statement of Marks'!I57="","",'Statement of Marks'!I57)</f>
        <v/>
      </c>
      <c r="I54" s="280" t="str">
        <f>IF('Statement of Marks'!J57="","",'Statement of Marks'!J57)</f>
        <v/>
      </c>
      <c r="J54" s="827" t="str">
        <f>IF('Statement of Marks'!HS57="","",'Statement of Marks'!HS57)</f>
        <v/>
      </c>
      <c r="K54" s="281" t="str">
        <f>IF('Statement of Marks'!HT57="","",'Statement of Marks'!HT57)</f>
        <v/>
      </c>
      <c r="L54" s="828" t="str">
        <f>IF('Statement of Marks'!HW57="","",'Statement of Marks'!HW57)</f>
        <v/>
      </c>
      <c r="M54" s="281" t="str">
        <f>IF('Statement of Marks'!HV57="","",'Statement of Marks'!HV57)</f>
        <v/>
      </c>
      <c r="N54" s="829" t="str">
        <f>IF('Statement of Marks'!HX57="","",'Statement of Marks'!HX57)</f>
        <v/>
      </c>
      <c r="O54" s="282" t="str">
        <f>IF(J54="FAIL","",IF('Statement of Marks'!HO57="","",'Statement of Marks'!HO57))</f>
        <v xml:space="preserve">      </v>
      </c>
      <c r="P54" s="283" t="str">
        <f>IF('Supp. Result Entry'!AQ55="","",'Supp. Result Entry'!AQ55)</f>
        <v/>
      </c>
      <c r="Q54" s="284" t="str">
        <f>IF('Supp. Result Entry'!AR55="","",'Supp. Result Entry'!AR55)</f>
        <v/>
      </c>
      <c r="R54" s="285" t="str">
        <f>IF('Statement of Marks'!IA57="","",'Statement of Marks'!IA57)</f>
        <v/>
      </c>
      <c r="S54" s="286" t="str">
        <f>IF('Statement of Marks'!GL57="","",'Statement of Marks'!GL57)</f>
        <v/>
      </c>
      <c r="BM54" s="287" t="str">
        <f>'Statement of Marks'!F57</f>
        <v/>
      </c>
      <c r="BN54" s="288" t="str">
        <f t="shared" si="0"/>
        <v/>
      </c>
      <c r="BO54" s="288" t="str">
        <f t="shared" si="1"/>
        <v/>
      </c>
      <c r="BP54" s="288" t="str">
        <f t="shared" si="2"/>
        <v/>
      </c>
      <c r="BQ54" s="288" t="str">
        <f t="shared" si="3"/>
        <v/>
      </c>
      <c r="BR54" s="288" t="str">
        <f t="shared" si="4"/>
        <v/>
      </c>
      <c r="BS54" s="288" t="str">
        <f t="shared" si="5"/>
        <v/>
      </c>
      <c r="BT54" s="288" t="str">
        <f t="shared" si="6"/>
        <v/>
      </c>
      <c r="BU54" s="288" t="str">
        <f t="shared" si="7"/>
        <v/>
      </c>
      <c r="BV54" s="288" t="str">
        <f t="shared" si="8"/>
        <v/>
      </c>
      <c r="BW54" s="288" t="str">
        <f t="shared" si="9"/>
        <v/>
      </c>
      <c r="BX54" s="288" t="str">
        <f t="shared" si="10"/>
        <v/>
      </c>
      <c r="BY54" s="288" t="str">
        <f t="shared" si="11"/>
        <v/>
      </c>
      <c r="BZ54" s="289"/>
    </row>
    <row r="55" spans="1:78" ht="15.95" customHeight="1">
      <c r="A55" s="276">
        <f>IF('Statement of Marks'!A58="","",'Statement of Marks'!A58)</f>
        <v>52</v>
      </c>
      <c r="B55" s="277" t="str">
        <f>IF('Statement of Marks'!B58="","",'Statement of Marks'!B58)</f>
        <v/>
      </c>
      <c r="C55" s="278" t="str">
        <f>IF('Statement of Marks'!D58="","",'Statement of Marks'!D58)</f>
        <v/>
      </c>
      <c r="D55" s="314" t="str">
        <f>IF('Statement of Marks'!E58="","",'Statement of Marks'!E58)</f>
        <v/>
      </c>
      <c r="E55" s="279" t="str">
        <f>IF('Statement of Marks'!F58="","",'Statement of Marks'!F58)</f>
        <v/>
      </c>
      <c r="F55" s="279" t="str">
        <f>IF('Statement of Marks'!G58="","",'Statement of Marks'!G58)</f>
        <v/>
      </c>
      <c r="G55" s="279" t="str">
        <f>IF('Statement of Marks'!H58="","",'Statement of Marks'!H58)</f>
        <v/>
      </c>
      <c r="H55" s="280" t="str">
        <f>IF('Statement of Marks'!I58="","",'Statement of Marks'!I58)</f>
        <v/>
      </c>
      <c r="I55" s="280" t="str">
        <f>IF('Statement of Marks'!J58="","",'Statement of Marks'!J58)</f>
        <v/>
      </c>
      <c r="J55" s="827" t="str">
        <f>IF('Statement of Marks'!HS58="","",'Statement of Marks'!HS58)</f>
        <v/>
      </c>
      <c r="K55" s="281" t="str">
        <f>IF('Statement of Marks'!HT58="","",'Statement of Marks'!HT58)</f>
        <v/>
      </c>
      <c r="L55" s="828" t="str">
        <f>IF('Statement of Marks'!HW58="","",'Statement of Marks'!HW58)</f>
        <v/>
      </c>
      <c r="M55" s="281" t="str">
        <f>IF('Statement of Marks'!HV58="","",'Statement of Marks'!HV58)</f>
        <v/>
      </c>
      <c r="N55" s="829" t="str">
        <f>IF('Statement of Marks'!HX58="","",'Statement of Marks'!HX58)</f>
        <v/>
      </c>
      <c r="O55" s="282" t="str">
        <f>IF(J55="FAIL","",IF('Statement of Marks'!HO58="","",'Statement of Marks'!HO58))</f>
        <v xml:space="preserve">      </v>
      </c>
      <c r="P55" s="283" t="str">
        <f>IF('Supp. Result Entry'!AQ56="","",'Supp. Result Entry'!AQ56)</f>
        <v/>
      </c>
      <c r="Q55" s="284" t="str">
        <f>IF('Supp. Result Entry'!AR56="","",'Supp. Result Entry'!AR56)</f>
        <v/>
      </c>
      <c r="R55" s="285" t="str">
        <f>IF('Statement of Marks'!IA58="","",'Statement of Marks'!IA58)</f>
        <v/>
      </c>
      <c r="S55" s="286" t="str">
        <f>IF('Statement of Marks'!GL58="","",'Statement of Marks'!GL58)</f>
        <v/>
      </c>
      <c r="BM55" s="287" t="str">
        <f>'Statement of Marks'!F58</f>
        <v/>
      </c>
      <c r="BN55" s="288" t="str">
        <f t="shared" si="0"/>
        <v/>
      </c>
      <c r="BO55" s="288" t="str">
        <f t="shared" si="1"/>
        <v/>
      </c>
      <c r="BP55" s="288" t="str">
        <f t="shared" si="2"/>
        <v/>
      </c>
      <c r="BQ55" s="288" t="str">
        <f t="shared" si="3"/>
        <v/>
      </c>
      <c r="BR55" s="288" t="str">
        <f t="shared" si="4"/>
        <v/>
      </c>
      <c r="BS55" s="288" t="str">
        <f t="shared" si="5"/>
        <v/>
      </c>
      <c r="BT55" s="288" t="str">
        <f t="shared" si="6"/>
        <v/>
      </c>
      <c r="BU55" s="288" t="str">
        <f t="shared" si="7"/>
        <v/>
      </c>
      <c r="BV55" s="288" t="str">
        <f t="shared" si="8"/>
        <v/>
      </c>
      <c r="BW55" s="288" t="str">
        <f t="shared" si="9"/>
        <v/>
      </c>
      <c r="BX55" s="288" t="str">
        <f t="shared" si="10"/>
        <v/>
      </c>
      <c r="BY55" s="288" t="str">
        <f t="shared" si="11"/>
        <v/>
      </c>
      <c r="BZ55" s="289"/>
    </row>
    <row r="56" spans="1:78" ht="15.95" customHeight="1">
      <c r="A56" s="276">
        <f>IF('Statement of Marks'!A59="","",'Statement of Marks'!A59)</f>
        <v>53</v>
      </c>
      <c r="B56" s="277" t="str">
        <f>IF('Statement of Marks'!B59="","",'Statement of Marks'!B59)</f>
        <v/>
      </c>
      <c r="C56" s="278" t="str">
        <f>IF('Statement of Marks'!D59="","",'Statement of Marks'!D59)</f>
        <v/>
      </c>
      <c r="D56" s="314" t="str">
        <f>IF('Statement of Marks'!E59="","",'Statement of Marks'!E59)</f>
        <v/>
      </c>
      <c r="E56" s="279" t="str">
        <f>IF('Statement of Marks'!F59="","",'Statement of Marks'!F59)</f>
        <v/>
      </c>
      <c r="F56" s="279" t="str">
        <f>IF('Statement of Marks'!G59="","",'Statement of Marks'!G59)</f>
        <v/>
      </c>
      <c r="G56" s="279" t="str">
        <f>IF('Statement of Marks'!H59="","",'Statement of Marks'!H59)</f>
        <v/>
      </c>
      <c r="H56" s="280" t="str">
        <f>IF('Statement of Marks'!I59="","",'Statement of Marks'!I59)</f>
        <v/>
      </c>
      <c r="I56" s="280" t="str">
        <f>IF('Statement of Marks'!J59="","",'Statement of Marks'!J59)</f>
        <v/>
      </c>
      <c r="J56" s="827" t="str">
        <f>IF('Statement of Marks'!HS59="","",'Statement of Marks'!HS59)</f>
        <v/>
      </c>
      <c r="K56" s="281" t="str">
        <f>IF('Statement of Marks'!HT59="","",'Statement of Marks'!HT59)</f>
        <v/>
      </c>
      <c r="L56" s="828" t="str">
        <f>IF('Statement of Marks'!HW59="","",'Statement of Marks'!HW59)</f>
        <v/>
      </c>
      <c r="M56" s="281" t="str">
        <f>IF('Statement of Marks'!HV59="","",'Statement of Marks'!HV59)</f>
        <v/>
      </c>
      <c r="N56" s="829" t="str">
        <f>IF('Statement of Marks'!HX59="","",'Statement of Marks'!HX59)</f>
        <v/>
      </c>
      <c r="O56" s="282" t="str">
        <f>IF(J56="FAIL","",IF('Statement of Marks'!HO59="","",'Statement of Marks'!HO59))</f>
        <v xml:space="preserve">      </v>
      </c>
      <c r="P56" s="283" t="str">
        <f>IF('Supp. Result Entry'!AQ57="","",'Supp. Result Entry'!AQ57)</f>
        <v/>
      </c>
      <c r="Q56" s="284" t="str">
        <f>IF('Supp. Result Entry'!AR57="","",'Supp. Result Entry'!AR57)</f>
        <v/>
      </c>
      <c r="R56" s="285" t="str">
        <f>IF('Statement of Marks'!IA59="","",'Statement of Marks'!IA59)</f>
        <v/>
      </c>
      <c r="S56" s="286" t="str">
        <f>IF('Statement of Marks'!GL59="","",'Statement of Marks'!GL59)</f>
        <v/>
      </c>
      <c r="BM56" s="287" t="str">
        <f>'Statement of Marks'!F59</f>
        <v/>
      </c>
      <c r="BN56" s="288" t="str">
        <f t="shared" si="0"/>
        <v/>
      </c>
      <c r="BO56" s="288" t="str">
        <f t="shared" si="1"/>
        <v/>
      </c>
      <c r="BP56" s="288" t="str">
        <f t="shared" si="2"/>
        <v/>
      </c>
      <c r="BQ56" s="288" t="str">
        <f t="shared" si="3"/>
        <v/>
      </c>
      <c r="BR56" s="288" t="str">
        <f t="shared" si="4"/>
        <v/>
      </c>
      <c r="BS56" s="288" t="str">
        <f t="shared" si="5"/>
        <v/>
      </c>
      <c r="BT56" s="288" t="str">
        <f t="shared" si="6"/>
        <v/>
      </c>
      <c r="BU56" s="288" t="str">
        <f t="shared" si="7"/>
        <v/>
      </c>
      <c r="BV56" s="288" t="str">
        <f t="shared" si="8"/>
        <v/>
      </c>
      <c r="BW56" s="288" t="str">
        <f t="shared" si="9"/>
        <v/>
      </c>
      <c r="BX56" s="288" t="str">
        <f t="shared" si="10"/>
        <v/>
      </c>
      <c r="BY56" s="288" t="str">
        <f t="shared" si="11"/>
        <v/>
      </c>
      <c r="BZ56" s="289"/>
    </row>
    <row r="57" spans="1:78" ht="15.95" customHeight="1">
      <c r="A57" s="276">
        <f>IF('Statement of Marks'!A60="","",'Statement of Marks'!A60)</f>
        <v>54</v>
      </c>
      <c r="B57" s="277" t="str">
        <f>IF('Statement of Marks'!B60="","",'Statement of Marks'!B60)</f>
        <v/>
      </c>
      <c r="C57" s="278" t="str">
        <f>IF('Statement of Marks'!D60="","",'Statement of Marks'!D60)</f>
        <v/>
      </c>
      <c r="D57" s="314" t="str">
        <f>IF('Statement of Marks'!E60="","",'Statement of Marks'!E60)</f>
        <v/>
      </c>
      <c r="E57" s="279" t="str">
        <f>IF('Statement of Marks'!F60="","",'Statement of Marks'!F60)</f>
        <v/>
      </c>
      <c r="F57" s="279" t="str">
        <f>IF('Statement of Marks'!G60="","",'Statement of Marks'!G60)</f>
        <v/>
      </c>
      <c r="G57" s="279" t="str">
        <f>IF('Statement of Marks'!H60="","",'Statement of Marks'!H60)</f>
        <v/>
      </c>
      <c r="H57" s="280" t="str">
        <f>IF('Statement of Marks'!I60="","",'Statement of Marks'!I60)</f>
        <v/>
      </c>
      <c r="I57" s="280" t="str">
        <f>IF('Statement of Marks'!J60="","",'Statement of Marks'!J60)</f>
        <v/>
      </c>
      <c r="J57" s="827" t="str">
        <f>IF('Statement of Marks'!HS60="","",'Statement of Marks'!HS60)</f>
        <v/>
      </c>
      <c r="K57" s="281" t="str">
        <f>IF('Statement of Marks'!HT60="","",'Statement of Marks'!HT60)</f>
        <v/>
      </c>
      <c r="L57" s="828" t="str">
        <f>IF('Statement of Marks'!HW60="","",'Statement of Marks'!HW60)</f>
        <v/>
      </c>
      <c r="M57" s="281" t="str">
        <f>IF('Statement of Marks'!HV60="","",'Statement of Marks'!HV60)</f>
        <v/>
      </c>
      <c r="N57" s="829" t="str">
        <f>IF('Statement of Marks'!HX60="","",'Statement of Marks'!HX60)</f>
        <v/>
      </c>
      <c r="O57" s="282" t="str">
        <f>IF(J57="FAIL","",IF('Statement of Marks'!HO60="","",'Statement of Marks'!HO60))</f>
        <v xml:space="preserve">      </v>
      </c>
      <c r="P57" s="283" t="str">
        <f>IF('Supp. Result Entry'!AQ58="","",'Supp. Result Entry'!AQ58)</f>
        <v/>
      </c>
      <c r="Q57" s="284" t="str">
        <f>IF('Supp. Result Entry'!AR58="","",'Supp. Result Entry'!AR58)</f>
        <v/>
      </c>
      <c r="R57" s="285" t="str">
        <f>IF('Statement of Marks'!IA60="","",'Statement of Marks'!IA60)</f>
        <v/>
      </c>
      <c r="S57" s="286" t="str">
        <f>IF('Statement of Marks'!GL60="","",'Statement of Marks'!GL60)</f>
        <v/>
      </c>
      <c r="BM57" s="287" t="str">
        <f>'Statement of Marks'!F60</f>
        <v/>
      </c>
      <c r="BN57" s="288" t="str">
        <f t="shared" si="0"/>
        <v/>
      </c>
      <c r="BO57" s="288" t="str">
        <f t="shared" si="1"/>
        <v/>
      </c>
      <c r="BP57" s="288" t="str">
        <f t="shared" si="2"/>
        <v/>
      </c>
      <c r="BQ57" s="288" t="str">
        <f t="shared" si="3"/>
        <v/>
      </c>
      <c r="BR57" s="288" t="str">
        <f t="shared" si="4"/>
        <v/>
      </c>
      <c r="BS57" s="288" t="str">
        <f t="shared" si="5"/>
        <v/>
      </c>
      <c r="BT57" s="288" t="str">
        <f t="shared" si="6"/>
        <v/>
      </c>
      <c r="BU57" s="288" t="str">
        <f t="shared" si="7"/>
        <v/>
      </c>
      <c r="BV57" s="288" t="str">
        <f t="shared" si="8"/>
        <v/>
      </c>
      <c r="BW57" s="288" t="str">
        <f t="shared" si="9"/>
        <v/>
      </c>
      <c r="BX57" s="288" t="str">
        <f t="shared" si="10"/>
        <v/>
      </c>
      <c r="BY57" s="288" t="str">
        <f t="shared" si="11"/>
        <v/>
      </c>
      <c r="BZ57" s="289"/>
    </row>
    <row r="58" spans="1:78" ht="15.95" customHeight="1">
      <c r="A58" s="276">
        <f>IF('Statement of Marks'!A61="","",'Statement of Marks'!A61)</f>
        <v>55</v>
      </c>
      <c r="B58" s="277" t="str">
        <f>IF('Statement of Marks'!B61="","",'Statement of Marks'!B61)</f>
        <v/>
      </c>
      <c r="C58" s="278" t="str">
        <f>IF('Statement of Marks'!D61="","",'Statement of Marks'!D61)</f>
        <v/>
      </c>
      <c r="D58" s="314" t="str">
        <f>IF('Statement of Marks'!E61="","",'Statement of Marks'!E61)</f>
        <v/>
      </c>
      <c r="E58" s="279" t="str">
        <f>IF('Statement of Marks'!F61="","",'Statement of Marks'!F61)</f>
        <v/>
      </c>
      <c r="F58" s="279" t="str">
        <f>IF('Statement of Marks'!G61="","",'Statement of Marks'!G61)</f>
        <v/>
      </c>
      <c r="G58" s="279" t="str">
        <f>IF('Statement of Marks'!H61="","",'Statement of Marks'!H61)</f>
        <v/>
      </c>
      <c r="H58" s="280" t="str">
        <f>IF('Statement of Marks'!I61="","",'Statement of Marks'!I61)</f>
        <v/>
      </c>
      <c r="I58" s="280" t="str">
        <f>IF('Statement of Marks'!J61="","",'Statement of Marks'!J61)</f>
        <v/>
      </c>
      <c r="J58" s="826" t="str">
        <f>IF('Statement of Marks'!HS61="","",'Statement of Marks'!HS61)</f>
        <v/>
      </c>
      <c r="K58" s="281" t="str">
        <f>IF('Statement of Marks'!HT61="","",'Statement of Marks'!HT61)</f>
        <v/>
      </c>
      <c r="L58" s="828" t="str">
        <f>IF('Statement of Marks'!HW61="","",'Statement of Marks'!HW61)</f>
        <v/>
      </c>
      <c r="M58" s="281" t="str">
        <f>IF('Statement of Marks'!HV61="","",'Statement of Marks'!HV61)</f>
        <v/>
      </c>
      <c r="N58" s="829" t="str">
        <f>IF('Statement of Marks'!HX61="","",'Statement of Marks'!HX61)</f>
        <v/>
      </c>
      <c r="O58" s="282" t="str">
        <f>IF(J58="FAIL","",IF('Statement of Marks'!HO61="","",'Statement of Marks'!HO61))</f>
        <v xml:space="preserve">      </v>
      </c>
      <c r="P58" s="283" t="str">
        <f>IF('Supp. Result Entry'!AQ59="","",'Supp. Result Entry'!AQ59)</f>
        <v/>
      </c>
      <c r="Q58" s="284" t="str">
        <f>IF('Supp. Result Entry'!AR59="","",'Supp. Result Entry'!AR59)</f>
        <v/>
      </c>
      <c r="R58" s="285" t="str">
        <f>IF('Statement of Marks'!IA61="","",'Statement of Marks'!IA61)</f>
        <v/>
      </c>
      <c r="S58" s="286" t="str">
        <f>IF('Statement of Marks'!GL61="","",'Statement of Marks'!GL61)</f>
        <v/>
      </c>
      <c r="BM58" s="287" t="str">
        <f>'Statement of Marks'!F61</f>
        <v/>
      </c>
      <c r="BN58" s="288" t="str">
        <f t="shared" si="0"/>
        <v/>
      </c>
      <c r="BO58" s="288" t="str">
        <f t="shared" si="1"/>
        <v/>
      </c>
      <c r="BP58" s="288" t="str">
        <f t="shared" si="2"/>
        <v/>
      </c>
      <c r="BQ58" s="288" t="str">
        <f t="shared" si="3"/>
        <v/>
      </c>
      <c r="BR58" s="288" t="str">
        <f t="shared" si="4"/>
        <v/>
      </c>
      <c r="BS58" s="288" t="str">
        <f t="shared" si="5"/>
        <v/>
      </c>
      <c r="BT58" s="288" t="str">
        <f t="shared" si="6"/>
        <v/>
      </c>
      <c r="BU58" s="288" t="str">
        <f t="shared" si="7"/>
        <v/>
      </c>
      <c r="BV58" s="288" t="str">
        <f t="shared" si="8"/>
        <v/>
      </c>
      <c r="BW58" s="288" t="str">
        <f t="shared" si="9"/>
        <v/>
      </c>
      <c r="BX58" s="288" t="str">
        <f t="shared" si="10"/>
        <v/>
      </c>
      <c r="BY58" s="288" t="str">
        <f t="shared" si="11"/>
        <v/>
      </c>
      <c r="BZ58" s="289"/>
    </row>
    <row r="59" spans="1:78" ht="15.95" customHeight="1">
      <c r="A59" s="276">
        <f>IF('Statement of Marks'!A62="","",'Statement of Marks'!A62)</f>
        <v>56</v>
      </c>
      <c r="B59" s="277" t="str">
        <f>IF('Statement of Marks'!B62="","",'Statement of Marks'!B62)</f>
        <v/>
      </c>
      <c r="C59" s="278" t="str">
        <f>IF('Statement of Marks'!D62="","",'Statement of Marks'!D62)</f>
        <v/>
      </c>
      <c r="D59" s="314" t="str">
        <f>IF('Statement of Marks'!E62="","",'Statement of Marks'!E62)</f>
        <v/>
      </c>
      <c r="E59" s="279" t="str">
        <f>IF('Statement of Marks'!F62="","",'Statement of Marks'!F62)</f>
        <v/>
      </c>
      <c r="F59" s="279" t="str">
        <f>IF('Statement of Marks'!G62="","",'Statement of Marks'!G62)</f>
        <v/>
      </c>
      <c r="G59" s="279" t="str">
        <f>IF('Statement of Marks'!H62="","",'Statement of Marks'!H62)</f>
        <v/>
      </c>
      <c r="H59" s="280" t="str">
        <f>IF('Statement of Marks'!I62="","",'Statement of Marks'!I62)</f>
        <v/>
      </c>
      <c r="I59" s="280" t="str">
        <f>IF('Statement of Marks'!J62="","",'Statement of Marks'!J62)</f>
        <v/>
      </c>
      <c r="J59" s="827" t="str">
        <f>IF('Statement of Marks'!HS62="","",'Statement of Marks'!HS62)</f>
        <v/>
      </c>
      <c r="K59" s="281" t="str">
        <f>IF('Statement of Marks'!HT62="","",'Statement of Marks'!HT62)</f>
        <v/>
      </c>
      <c r="L59" s="828" t="str">
        <f>IF('Statement of Marks'!HW62="","",'Statement of Marks'!HW62)</f>
        <v/>
      </c>
      <c r="M59" s="281" t="str">
        <f>IF('Statement of Marks'!HV62="","",'Statement of Marks'!HV62)</f>
        <v/>
      </c>
      <c r="N59" s="829" t="str">
        <f>IF('Statement of Marks'!HX62="","",'Statement of Marks'!HX62)</f>
        <v/>
      </c>
      <c r="O59" s="282" t="str">
        <f>IF(J59="FAIL","",IF('Statement of Marks'!HO62="","",'Statement of Marks'!HO62))</f>
        <v xml:space="preserve">      </v>
      </c>
      <c r="P59" s="283" t="str">
        <f>IF('Supp. Result Entry'!AQ60="","",'Supp. Result Entry'!AQ60)</f>
        <v/>
      </c>
      <c r="Q59" s="284" t="str">
        <f>IF('Supp. Result Entry'!AR60="","",'Supp. Result Entry'!AR60)</f>
        <v/>
      </c>
      <c r="R59" s="285" t="str">
        <f>IF('Statement of Marks'!IA62="","",'Statement of Marks'!IA62)</f>
        <v/>
      </c>
      <c r="S59" s="286" t="str">
        <f>IF('Statement of Marks'!GL62="","",'Statement of Marks'!GL62)</f>
        <v/>
      </c>
      <c r="BM59" s="287" t="str">
        <f>'Statement of Marks'!F62</f>
        <v/>
      </c>
      <c r="BN59" s="288" t="str">
        <f t="shared" si="0"/>
        <v/>
      </c>
      <c r="BO59" s="288" t="str">
        <f t="shared" si="1"/>
        <v/>
      </c>
      <c r="BP59" s="288" t="str">
        <f t="shared" si="2"/>
        <v/>
      </c>
      <c r="BQ59" s="288" t="str">
        <f t="shared" si="3"/>
        <v/>
      </c>
      <c r="BR59" s="288" t="str">
        <f t="shared" si="4"/>
        <v/>
      </c>
      <c r="BS59" s="288" t="str">
        <f t="shared" si="5"/>
        <v/>
      </c>
      <c r="BT59" s="288" t="str">
        <f t="shared" si="6"/>
        <v/>
      </c>
      <c r="BU59" s="288" t="str">
        <f t="shared" si="7"/>
        <v/>
      </c>
      <c r="BV59" s="288" t="str">
        <f t="shared" si="8"/>
        <v/>
      </c>
      <c r="BW59" s="288" t="str">
        <f t="shared" si="9"/>
        <v/>
      </c>
      <c r="BX59" s="288" t="str">
        <f t="shared" si="10"/>
        <v/>
      </c>
      <c r="BY59" s="288" t="str">
        <f t="shared" si="11"/>
        <v/>
      </c>
      <c r="BZ59" s="289"/>
    </row>
    <row r="60" spans="1:78" ht="15.95" customHeight="1">
      <c r="A60" s="276">
        <f>IF('Statement of Marks'!A63="","",'Statement of Marks'!A63)</f>
        <v>57</v>
      </c>
      <c r="B60" s="277" t="str">
        <f>IF('Statement of Marks'!B63="","",'Statement of Marks'!B63)</f>
        <v/>
      </c>
      <c r="C60" s="278" t="str">
        <f>IF('Statement of Marks'!D63="","",'Statement of Marks'!D63)</f>
        <v/>
      </c>
      <c r="D60" s="314" t="str">
        <f>IF('Statement of Marks'!E63="","",'Statement of Marks'!E63)</f>
        <v/>
      </c>
      <c r="E60" s="279" t="str">
        <f>IF('Statement of Marks'!F63="","",'Statement of Marks'!F63)</f>
        <v/>
      </c>
      <c r="F60" s="279" t="str">
        <f>IF('Statement of Marks'!G63="","",'Statement of Marks'!G63)</f>
        <v/>
      </c>
      <c r="G60" s="279" t="str">
        <f>IF('Statement of Marks'!H63="","",'Statement of Marks'!H63)</f>
        <v/>
      </c>
      <c r="H60" s="280" t="str">
        <f>IF('Statement of Marks'!I63="","",'Statement of Marks'!I63)</f>
        <v/>
      </c>
      <c r="I60" s="280" t="str">
        <f>IF('Statement of Marks'!J63="","",'Statement of Marks'!J63)</f>
        <v/>
      </c>
      <c r="J60" s="827" t="str">
        <f>IF('Statement of Marks'!HS63="","",'Statement of Marks'!HS63)</f>
        <v/>
      </c>
      <c r="K60" s="281" t="str">
        <f>IF('Statement of Marks'!HT63="","",'Statement of Marks'!HT63)</f>
        <v/>
      </c>
      <c r="L60" s="828" t="str">
        <f>IF('Statement of Marks'!HW63="","",'Statement of Marks'!HW63)</f>
        <v/>
      </c>
      <c r="M60" s="281" t="str">
        <f>IF('Statement of Marks'!HV63="","",'Statement of Marks'!HV63)</f>
        <v/>
      </c>
      <c r="N60" s="829" t="str">
        <f>IF('Statement of Marks'!HX63="","",'Statement of Marks'!HX63)</f>
        <v/>
      </c>
      <c r="O60" s="282" t="str">
        <f>IF(J60="FAIL","",IF('Statement of Marks'!HO63="","",'Statement of Marks'!HO63))</f>
        <v xml:space="preserve">      </v>
      </c>
      <c r="P60" s="283" t="str">
        <f>IF('Supp. Result Entry'!AQ61="","",'Supp. Result Entry'!AQ61)</f>
        <v/>
      </c>
      <c r="Q60" s="284" t="str">
        <f>IF('Supp. Result Entry'!AR61="","",'Supp. Result Entry'!AR61)</f>
        <v/>
      </c>
      <c r="R60" s="285" t="str">
        <f>IF('Statement of Marks'!IA63="","",'Statement of Marks'!IA63)</f>
        <v/>
      </c>
      <c r="S60" s="286" t="str">
        <f>IF('Statement of Marks'!GL63="","",'Statement of Marks'!GL63)</f>
        <v/>
      </c>
      <c r="BM60" s="287" t="str">
        <f>'Statement of Marks'!F63</f>
        <v/>
      </c>
      <c r="BN60" s="288" t="str">
        <f t="shared" si="0"/>
        <v/>
      </c>
      <c r="BO60" s="288" t="str">
        <f t="shared" si="1"/>
        <v/>
      </c>
      <c r="BP60" s="288" t="str">
        <f t="shared" si="2"/>
        <v/>
      </c>
      <c r="BQ60" s="288" t="str">
        <f t="shared" si="3"/>
        <v/>
      </c>
      <c r="BR60" s="288" t="str">
        <f t="shared" si="4"/>
        <v/>
      </c>
      <c r="BS60" s="288" t="str">
        <f t="shared" si="5"/>
        <v/>
      </c>
      <c r="BT60" s="288" t="str">
        <f t="shared" si="6"/>
        <v/>
      </c>
      <c r="BU60" s="288" t="str">
        <f t="shared" si="7"/>
        <v/>
      </c>
      <c r="BV60" s="288" t="str">
        <f t="shared" si="8"/>
        <v/>
      </c>
      <c r="BW60" s="288" t="str">
        <f t="shared" si="9"/>
        <v/>
      </c>
      <c r="BX60" s="288" t="str">
        <f t="shared" si="10"/>
        <v/>
      </c>
      <c r="BY60" s="288" t="str">
        <f t="shared" si="11"/>
        <v/>
      </c>
      <c r="BZ60" s="289"/>
    </row>
    <row r="61" spans="1:78" ht="15.95" customHeight="1">
      <c r="A61" s="276">
        <f>IF('Statement of Marks'!A64="","",'Statement of Marks'!A64)</f>
        <v>58</v>
      </c>
      <c r="B61" s="277" t="str">
        <f>IF('Statement of Marks'!B64="","",'Statement of Marks'!B64)</f>
        <v/>
      </c>
      <c r="C61" s="278" t="str">
        <f>IF('Statement of Marks'!D64="","",'Statement of Marks'!D64)</f>
        <v/>
      </c>
      <c r="D61" s="314" t="str">
        <f>IF('Statement of Marks'!E64="","",'Statement of Marks'!E64)</f>
        <v/>
      </c>
      <c r="E61" s="279" t="str">
        <f>IF('Statement of Marks'!F64="","",'Statement of Marks'!F64)</f>
        <v/>
      </c>
      <c r="F61" s="279" t="str">
        <f>IF('Statement of Marks'!G64="","",'Statement of Marks'!G64)</f>
        <v/>
      </c>
      <c r="G61" s="279" t="str">
        <f>IF('Statement of Marks'!H64="","",'Statement of Marks'!H64)</f>
        <v/>
      </c>
      <c r="H61" s="280" t="str">
        <f>IF('Statement of Marks'!I64="","",'Statement of Marks'!I64)</f>
        <v/>
      </c>
      <c r="I61" s="280" t="str">
        <f>IF('Statement of Marks'!J64="","",'Statement of Marks'!J64)</f>
        <v/>
      </c>
      <c r="J61" s="827" t="str">
        <f>IF('Statement of Marks'!HS64="","",'Statement of Marks'!HS64)</f>
        <v/>
      </c>
      <c r="K61" s="281" t="str">
        <f>IF('Statement of Marks'!HT64="","",'Statement of Marks'!HT64)</f>
        <v/>
      </c>
      <c r="L61" s="828" t="str">
        <f>IF('Statement of Marks'!HW64="","",'Statement of Marks'!HW64)</f>
        <v/>
      </c>
      <c r="M61" s="281" t="str">
        <f>IF('Statement of Marks'!HV64="","",'Statement of Marks'!HV64)</f>
        <v/>
      </c>
      <c r="N61" s="829" t="str">
        <f>IF('Statement of Marks'!HX64="","",'Statement of Marks'!HX64)</f>
        <v/>
      </c>
      <c r="O61" s="282" t="str">
        <f>IF(J61="FAIL","",IF('Statement of Marks'!HO64="","",'Statement of Marks'!HO64))</f>
        <v xml:space="preserve">      </v>
      </c>
      <c r="P61" s="283" t="str">
        <f>IF('Supp. Result Entry'!AQ62="","",'Supp. Result Entry'!AQ62)</f>
        <v/>
      </c>
      <c r="Q61" s="284" t="str">
        <f>IF('Supp. Result Entry'!AR62="","",'Supp. Result Entry'!AR62)</f>
        <v/>
      </c>
      <c r="R61" s="285" t="str">
        <f>IF('Statement of Marks'!IA64="","",'Statement of Marks'!IA64)</f>
        <v/>
      </c>
      <c r="S61" s="286" t="str">
        <f>IF('Statement of Marks'!GL64="","",'Statement of Marks'!GL64)</f>
        <v/>
      </c>
      <c r="BM61" s="287" t="str">
        <f>'Statement of Marks'!F64</f>
        <v/>
      </c>
      <c r="BN61" s="288" t="str">
        <f t="shared" si="0"/>
        <v/>
      </c>
      <c r="BO61" s="288" t="str">
        <f t="shared" si="1"/>
        <v/>
      </c>
      <c r="BP61" s="288" t="str">
        <f t="shared" si="2"/>
        <v/>
      </c>
      <c r="BQ61" s="288" t="str">
        <f t="shared" si="3"/>
        <v/>
      </c>
      <c r="BR61" s="288" t="str">
        <f t="shared" si="4"/>
        <v/>
      </c>
      <c r="BS61" s="288" t="str">
        <f t="shared" si="5"/>
        <v/>
      </c>
      <c r="BT61" s="288" t="str">
        <f t="shared" si="6"/>
        <v/>
      </c>
      <c r="BU61" s="288" t="str">
        <f t="shared" si="7"/>
        <v/>
      </c>
      <c r="BV61" s="288" t="str">
        <f t="shared" si="8"/>
        <v/>
      </c>
      <c r="BW61" s="288" t="str">
        <f t="shared" si="9"/>
        <v/>
      </c>
      <c r="BX61" s="288" t="str">
        <f t="shared" si="10"/>
        <v/>
      </c>
      <c r="BY61" s="288" t="str">
        <f t="shared" si="11"/>
        <v/>
      </c>
      <c r="BZ61" s="289"/>
    </row>
    <row r="62" spans="1:78" ht="15.95" customHeight="1">
      <c r="A62" s="276">
        <f>IF('Statement of Marks'!A65="","",'Statement of Marks'!A65)</f>
        <v>59</v>
      </c>
      <c r="B62" s="277" t="str">
        <f>IF('Statement of Marks'!B65="","",'Statement of Marks'!B65)</f>
        <v/>
      </c>
      <c r="C62" s="278" t="str">
        <f>IF('Statement of Marks'!D65="","",'Statement of Marks'!D65)</f>
        <v/>
      </c>
      <c r="D62" s="314" t="str">
        <f>IF('Statement of Marks'!E65="","",'Statement of Marks'!E65)</f>
        <v/>
      </c>
      <c r="E62" s="279" t="str">
        <f>IF('Statement of Marks'!F65="","",'Statement of Marks'!F65)</f>
        <v/>
      </c>
      <c r="F62" s="279" t="str">
        <f>IF('Statement of Marks'!G65="","",'Statement of Marks'!G65)</f>
        <v/>
      </c>
      <c r="G62" s="279" t="str">
        <f>IF('Statement of Marks'!H65="","",'Statement of Marks'!H65)</f>
        <v/>
      </c>
      <c r="H62" s="280" t="str">
        <f>IF('Statement of Marks'!I65="","",'Statement of Marks'!I65)</f>
        <v/>
      </c>
      <c r="I62" s="280" t="str">
        <f>IF('Statement of Marks'!J65="","",'Statement of Marks'!J65)</f>
        <v/>
      </c>
      <c r="J62" s="827" t="str">
        <f>IF('Statement of Marks'!HS65="","",'Statement of Marks'!HS65)</f>
        <v/>
      </c>
      <c r="K62" s="281" t="str">
        <f>IF('Statement of Marks'!HT65="","",'Statement of Marks'!HT65)</f>
        <v/>
      </c>
      <c r="L62" s="828" t="str">
        <f>IF('Statement of Marks'!HW65="","",'Statement of Marks'!HW65)</f>
        <v/>
      </c>
      <c r="M62" s="281" t="str">
        <f>IF('Statement of Marks'!HV65="","",'Statement of Marks'!HV65)</f>
        <v/>
      </c>
      <c r="N62" s="829" t="str">
        <f>IF('Statement of Marks'!HX65="","",'Statement of Marks'!HX65)</f>
        <v/>
      </c>
      <c r="O62" s="282" t="str">
        <f>IF(J62="FAIL","",IF('Statement of Marks'!HO65="","",'Statement of Marks'!HO65))</f>
        <v xml:space="preserve">      </v>
      </c>
      <c r="P62" s="283" t="str">
        <f>IF('Supp. Result Entry'!AQ63="","",'Supp. Result Entry'!AQ63)</f>
        <v/>
      </c>
      <c r="Q62" s="284" t="str">
        <f>IF('Supp. Result Entry'!AR63="","",'Supp. Result Entry'!AR63)</f>
        <v/>
      </c>
      <c r="R62" s="285" t="str">
        <f>IF('Statement of Marks'!IA65="","",'Statement of Marks'!IA65)</f>
        <v/>
      </c>
      <c r="S62" s="286" t="str">
        <f>IF('Statement of Marks'!GL65="","",'Statement of Marks'!GL65)</f>
        <v/>
      </c>
      <c r="BM62" s="287" t="str">
        <f>'Statement of Marks'!F65</f>
        <v/>
      </c>
      <c r="BN62" s="288" t="str">
        <f t="shared" si="0"/>
        <v/>
      </c>
      <c r="BO62" s="288" t="str">
        <f t="shared" si="1"/>
        <v/>
      </c>
      <c r="BP62" s="288" t="str">
        <f t="shared" si="2"/>
        <v/>
      </c>
      <c r="BQ62" s="288" t="str">
        <f t="shared" si="3"/>
        <v/>
      </c>
      <c r="BR62" s="288" t="str">
        <f t="shared" si="4"/>
        <v/>
      </c>
      <c r="BS62" s="288" t="str">
        <f t="shared" si="5"/>
        <v/>
      </c>
      <c r="BT62" s="288" t="str">
        <f t="shared" si="6"/>
        <v/>
      </c>
      <c r="BU62" s="288" t="str">
        <f t="shared" si="7"/>
        <v/>
      </c>
      <c r="BV62" s="288" t="str">
        <f t="shared" si="8"/>
        <v/>
      </c>
      <c r="BW62" s="288" t="str">
        <f t="shared" si="9"/>
        <v/>
      </c>
      <c r="BX62" s="288" t="str">
        <f t="shared" si="10"/>
        <v/>
      </c>
      <c r="BY62" s="288" t="str">
        <f t="shared" si="11"/>
        <v/>
      </c>
      <c r="BZ62" s="289"/>
    </row>
    <row r="63" spans="1:78" ht="15.95" customHeight="1">
      <c r="A63" s="276">
        <f>IF('Statement of Marks'!A66="","",'Statement of Marks'!A66)</f>
        <v>60</v>
      </c>
      <c r="B63" s="277" t="str">
        <f>IF('Statement of Marks'!B66="","",'Statement of Marks'!B66)</f>
        <v/>
      </c>
      <c r="C63" s="278" t="str">
        <f>IF('Statement of Marks'!D66="","",'Statement of Marks'!D66)</f>
        <v/>
      </c>
      <c r="D63" s="314" t="str">
        <f>IF('Statement of Marks'!E66="","",'Statement of Marks'!E66)</f>
        <v/>
      </c>
      <c r="E63" s="279" t="str">
        <f>IF('Statement of Marks'!F66="","",'Statement of Marks'!F66)</f>
        <v/>
      </c>
      <c r="F63" s="279" t="str">
        <f>IF('Statement of Marks'!G66="","",'Statement of Marks'!G66)</f>
        <v/>
      </c>
      <c r="G63" s="279" t="str">
        <f>IF('Statement of Marks'!H66="","",'Statement of Marks'!H66)</f>
        <v/>
      </c>
      <c r="H63" s="280" t="str">
        <f>IF('Statement of Marks'!I66="","",'Statement of Marks'!I66)</f>
        <v/>
      </c>
      <c r="I63" s="280" t="str">
        <f>IF('Statement of Marks'!J66="","",'Statement of Marks'!J66)</f>
        <v/>
      </c>
      <c r="J63" s="827" t="str">
        <f>IF('Statement of Marks'!HS66="","",'Statement of Marks'!HS66)</f>
        <v/>
      </c>
      <c r="K63" s="281" t="str">
        <f>IF('Statement of Marks'!HT66="","",'Statement of Marks'!HT66)</f>
        <v/>
      </c>
      <c r="L63" s="828" t="str">
        <f>IF('Statement of Marks'!HW66="","",'Statement of Marks'!HW66)</f>
        <v/>
      </c>
      <c r="M63" s="281" t="str">
        <f>IF('Statement of Marks'!HV66="","",'Statement of Marks'!HV66)</f>
        <v/>
      </c>
      <c r="N63" s="829" t="str">
        <f>IF('Statement of Marks'!HX66="","",'Statement of Marks'!HX66)</f>
        <v/>
      </c>
      <c r="O63" s="282" t="str">
        <f>IF(J63="FAIL","",IF('Statement of Marks'!HO66="","",'Statement of Marks'!HO66))</f>
        <v xml:space="preserve">      </v>
      </c>
      <c r="P63" s="283" t="str">
        <f>IF('Supp. Result Entry'!AQ64="","",'Supp. Result Entry'!AQ64)</f>
        <v/>
      </c>
      <c r="Q63" s="284" t="str">
        <f>IF('Supp. Result Entry'!AR64="","",'Supp. Result Entry'!AR64)</f>
        <v/>
      </c>
      <c r="R63" s="285" t="str">
        <f>IF('Statement of Marks'!IA66="","",'Statement of Marks'!IA66)</f>
        <v/>
      </c>
      <c r="S63" s="286" t="str">
        <f>IF('Statement of Marks'!GL66="","",'Statement of Marks'!GL66)</f>
        <v/>
      </c>
      <c r="BM63" s="287" t="str">
        <f>'Statement of Marks'!F66</f>
        <v/>
      </c>
      <c r="BN63" s="288" t="str">
        <f t="shared" si="0"/>
        <v/>
      </c>
      <c r="BO63" s="288" t="str">
        <f t="shared" si="1"/>
        <v/>
      </c>
      <c r="BP63" s="288" t="str">
        <f t="shared" si="2"/>
        <v/>
      </c>
      <c r="BQ63" s="288" t="str">
        <f t="shared" si="3"/>
        <v/>
      </c>
      <c r="BR63" s="288" t="str">
        <f t="shared" si="4"/>
        <v/>
      </c>
      <c r="BS63" s="288" t="str">
        <f t="shared" si="5"/>
        <v/>
      </c>
      <c r="BT63" s="288" t="str">
        <f t="shared" si="6"/>
        <v/>
      </c>
      <c r="BU63" s="288" t="str">
        <f t="shared" si="7"/>
        <v/>
      </c>
      <c r="BV63" s="288" t="str">
        <f t="shared" si="8"/>
        <v/>
      </c>
      <c r="BW63" s="288" t="str">
        <f t="shared" si="9"/>
        <v/>
      </c>
      <c r="BX63" s="288" t="str">
        <f t="shared" si="10"/>
        <v/>
      </c>
      <c r="BY63" s="288" t="str">
        <f t="shared" si="11"/>
        <v/>
      </c>
      <c r="BZ63" s="289"/>
    </row>
    <row r="64" spans="1:78" ht="15.95" customHeight="1">
      <c r="A64" s="276">
        <f>IF('Statement of Marks'!A67="","",'Statement of Marks'!A67)</f>
        <v>61</v>
      </c>
      <c r="B64" s="277" t="str">
        <f>IF('Statement of Marks'!B67="","",'Statement of Marks'!B67)</f>
        <v/>
      </c>
      <c r="C64" s="278" t="str">
        <f>IF('Statement of Marks'!D67="","",'Statement of Marks'!D67)</f>
        <v/>
      </c>
      <c r="D64" s="314" t="str">
        <f>IF('Statement of Marks'!E67="","",'Statement of Marks'!E67)</f>
        <v/>
      </c>
      <c r="E64" s="279" t="str">
        <f>IF('Statement of Marks'!F67="","",'Statement of Marks'!F67)</f>
        <v/>
      </c>
      <c r="F64" s="279" t="str">
        <f>IF('Statement of Marks'!G67="","",'Statement of Marks'!G67)</f>
        <v/>
      </c>
      <c r="G64" s="279" t="str">
        <f>IF('Statement of Marks'!H67="","",'Statement of Marks'!H67)</f>
        <v/>
      </c>
      <c r="H64" s="280" t="str">
        <f>IF('Statement of Marks'!I67="","",'Statement of Marks'!I67)</f>
        <v/>
      </c>
      <c r="I64" s="280" t="str">
        <f>IF('Statement of Marks'!J67="","",'Statement of Marks'!J67)</f>
        <v/>
      </c>
      <c r="J64" s="827" t="str">
        <f>IF('Statement of Marks'!HS67="","",'Statement of Marks'!HS67)</f>
        <v/>
      </c>
      <c r="K64" s="281" t="str">
        <f>IF('Statement of Marks'!HT67="","",'Statement of Marks'!HT67)</f>
        <v/>
      </c>
      <c r="L64" s="828" t="str">
        <f>IF('Statement of Marks'!HW67="","",'Statement of Marks'!HW67)</f>
        <v/>
      </c>
      <c r="M64" s="281" t="str">
        <f>IF('Statement of Marks'!HV67="","",'Statement of Marks'!HV67)</f>
        <v/>
      </c>
      <c r="N64" s="829" t="str">
        <f>IF('Statement of Marks'!HX67="","",'Statement of Marks'!HX67)</f>
        <v/>
      </c>
      <c r="O64" s="282" t="str">
        <f>IF(J64="FAIL","",IF('Statement of Marks'!HO67="","",'Statement of Marks'!HO67))</f>
        <v xml:space="preserve">      </v>
      </c>
      <c r="P64" s="283" t="str">
        <f>IF('Supp. Result Entry'!AQ65="","",'Supp. Result Entry'!AQ65)</f>
        <v/>
      </c>
      <c r="Q64" s="284" t="str">
        <f>IF('Supp. Result Entry'!AR65="","",'Supp. Result Entry'!AR65)</f>
        <v/>
      </c>
      <c r="R64" s="285" t="str">
        <f>IF('Statement of Marks'!IA67="","",'Statement of Marks'!IA67)</f>
        <v/>
      </c>
      <c r="S64" s="286" t="str">
        <f>IF('Statement of Marks'!GL67="","",'Statement of Marks'!GL67)</f>
        <v/>
      </c>
      <c r="BM64" s="287" t="str">
        <f>'Statement of Marks'!F67</f>
        <v/>
      </c>
      <c r="BN64" s="288" t="str">
        <f t="shared" si="0"/>
        <v/>
      </c>
      <c r="BO64" s="288" t="str">
        <f t="shared" si="1"/>
        <v/>
      </c>
      <c r="BP64" s="288" t="str">
        <f t="shared" si="2"/>
        <v/>
      </c>
      <c r="BQ64" s="288" t="str">
        <f t="shared" si="3"/>
        <v/>
      </c>
      <c r="BR64" s="288" t="str">
        <f t="shared" si="4"/>
        <v/>
      </c>
      <c r="BS64" s="288" t="str">
        <f t="shared" si="5"/>
        <v/>
      </c>
      <c r="BT64" s="288" t="str">
        <f t="shared" si="6"/>
        <v/>
      </c>
      <c r="BU64" s="288" t="str">
        <f t="shared" si="7"/>
        <v/>
      </c>
      <c r="BV64" s="288" t="str">
        <f t="shared" si="8"/>
        <v/>
      </c>
      <c r="BW64" s="288" t="str">
        <f t="shared" si="9"/>
        <v/>
      </c>
      <c r="BX64" s="288" t="str">
        <f t="shared" si="10"/>
        <v/>
      </c>
      <c r="BY64" s="288" t="str">
        <f t="shared" si="11"/>
        <v/>
      </c>
      <c r="BZ64" s="289"/>
    </row>
    <row r="65" spans="1:78" ht="15.95" customHeight="1">
      <c r="A65" s="276">
        <f>IF('Statement of Marks'!A68="","",'Statement of Marks'!A68)</f>
        <v>62</v>
      </c>
      <c r="B65" s="277" t="str">
        <f>IF('Statement of Marks'!B68="","",'Statement of Marks'!B68)</f>
        <v/>
      </c>
      <c r="C65" s="278" t="str">
        <f>IF('Statement of Marks'!D68="","",'Statement of Marks'!D68)</f>
        <v/>
      </c>
      <c r="D65" s="314" t="str">
        <f>IF('Statement of Marks'!E68="","",'Statement of Marks'!E68)</f>
        <v/>
      </c>
      <c r="E65" s="279" t="str">
        <f>IF('Statement of Marks'!F68="","",'Statement of Marks'!F68)</f>
        <v/>
      </c>
      <c r="F65" s="279" t="str">
        <f>IF('Statement of Marks'!G68="","",'Statement of Marks'!G68)</f>
        <v/>
      </c>
      <c r="G65" s="279" t="str">
        <f>IF('Statement of Marks'!H68="","",'Statement of Marks'!H68)</f>
        <v/>
      </c>
      <c r="H65" s="280" t="str">
        <f>IF('Statement of Marks'!I68="","",'Statement of Marks'!I68)</f>
        <v/>
      </c>
      <c r="I65" s="280" t="str">
        <f>IF('Statement of Marks'!J68="","",'Statement of Marks'!J68)</f>
        <v/>
      </c>
      <c r="J65" s="827" t="str">
        <f>IF('Statement of Marks'!HS68="","",'Statement of Marks'!HS68)</f>
        <v/>
      </c>
      <c r="K65" s="281" t="str">
        <f>IF('Statement of Marks'!HT68="","",'Statement of Marks'!HT68)</f>
        <v/>
      </c>
      <c r="L65" s="828" t="str">
        <f>IF('Statement of Marks'!HW68="","",'Statement of Marks'!HW68)</f>
        <v/>
      </c>
      <c r="M65" s="281" t="str">
        <f>IF('Statement of Marks'!HV68="","",'Statement of Marks'!HV68)</f>
        <v/>
      </c>
      <c r="N65" s="829" t="str">
        <f>IF('Statement of Marks'!HX68="","",'Statement of Marks'!HX68)</f>
        <v/>
      </c>
      <c r="O65" s="282" t="str">
        <f>IF(J65="FAIL","",IF('Statement of Marks'!HO68="","",'Statement of Marks'!HO68))</f>
        <v xml:space="preserve">      </v>
      </c>
      <c r="P65" s="283" t="str">
        <f>IF('Supp. Result Entry'!AQ66="","",'Supp. Result Entry'!AQ66)</f>
        <v/>
      </c>
      <c r="Q65" s="284" t="str">
        <f>IF('Supp. Result Entry'!AR66="","",'Supp. Result Entry'!AR66)</f>
        <v/>
      </c>
      <c r="R65" s="285" t="str">
        <f>IF('Statement of Marks'!IA68="","",'Statement of Marks'!IA68)</f>
        <v/>
      </c>
      <c r="S65" s="286" t="str">
        <f>IF('Statement of Marks'!GL68="","",'Statement of Marks'!GL68)</f>
        <v/>
      </c>
      <c r="BM65" s="287" t="str">
        <f>'Statement of Marks'!F68</f>
        <v/>
      </c>
      <c r="BN65" s="288" t="str">
        <f t="shared" si="0"/>
        <v/>
      </c>
      <c r="BO65" s="288" t="str">
        <f t="shared" si="1"/>
        <v/>
      </c>
      <c r="BP65" s="288" t="str">
        <f t="shared" si="2"/>
        <v/>
      </c>
      <c r="BQ65" s="288" t="str">
        <f t="shared" si="3"/>
        <v/>
      </c>
      <c r="BR65" s="288" t="str">
        <f t="shared" si="4"/>
        <v/>
      </c>
      <c r="BS65" s="288" t="str">
        <f t="shared" si="5"/>
        <v/>
      </c>
      <c r="BT65" s="288" t="str">
        <f t="shared" si="6"/>
        <v/>
      </c>
      <c r="BU65" s="288" t="str">
        <f t="shared" si="7"/>
        <v/>
      </c>
      <c r="BV65" s="288" t="str">
        <f t="shared" si="8"/>
        <v/>
      </c>
      <c r="BW65" s="288" t="str">
        <f t="shared" si="9"/>
        <v/>
      </c>
      <c r="BX65" s="288" t="str">
        <f t="shared" si="10"/>
        <v/>
      </c>
      <c r="BY65" s="288" t="str">
        <f t="shared" si="11"/>
        <v/>
      </c>
      <c r="BZ65" s="289"/>
    </row>
    <row r="66" spans="1:78" ht="15.95" customHeight="1">
      <c r="A66" s="276">
        <f>IF('Statement of Marks'!A69="","",'Statement of Marks'!A69)</f>
        <v>63</v>
      </c>
      <c r="B66" s="277" t="str">
        <f>IF('Statement of Marks'!B69="","",'Statement of Marks'!B69)</f>
        <v/>
      </c>
      <c r="C66" s="278" t="str">
        <f>IF('Statement of Marks'!D69="","",'Statement of Marks'!D69)</f>
        <v/>
      </c>
      <c r="D66" s="314" t="str">
        <f>IF('Statement of Marks'!E69="","",'Statement of Marks'!E69)</f>
        <v/>
      </c>
      <c r="E66" s="279" t="str">
        <f>IF('Statement of Marks'!F69="","",'Statement of Marks'!F69)</f>
        <v/>
      </c>
      <c r="F66" s="279" t="str">
        <f>IF('Statement of Marks'!G69="","",'Statement of Marks'!G69)</f>
        <v/>
      </c>
      <c r="G66" s="279" t="str">
        <f>IF('Statement of Marks'!H69="","",'Statement of Marks'!H69)</f>
        <v/>
      </c>
      <c r="H66" s="280" t="str">
        <f>IF('Statement of Marks'!I69="","",'Statement of Marks'!I69)</f>
        <v/>
      </c>
      <c r="I66" s="280" t="str">
        <f>IF('Statement of Marks'!J69="","",'Statement of Marks'!J69)</f>
        <v/>
      </c>
      <c r="J66" s="827" t="str">
        <f>IF('Statement of Marks'!HS69="","",'Statement of Marks'!HS69)</f>
        <v/>
      </c>
      <c r="K66" s="281" t="str">
        <f>IF('Statement of Marks'!HT69="","",'Statement of Marks'!HT69)</f>
        <v/>
      </c>
      <c r="L66" s="828" t="str">
        <f>IF('Statement of Marks'!HW69="","",'Statement of Marks'!HW69)</f>
        <v/>
      </c>
      <c r="M66" s="281" t="str">
        <f>IF('Statement of Marks'!HV69="","",'Statement of Marks'!HV69)</f>
        <v/>
      </c>
      <c r="N66" s="829" t="str">
        <f>IF('Statement of Marks'!HX69="","",'Statement of Marks'!HX69)</f>
        <v/>
      </c>
      <c r="O66" s="282" t="str">
        <f>IF(J66="FAIL","",IF('Statement of Marks'!HO69="","",'Statement of Marks'!HO69))</f>
        <v xml:space="preserve">      </v>
      </c>
      <c r="P66" s="283" t="str">
        <f>IF('Supp. Result Entry'!AQ67="","",'Supp. Result Entry'!AQ67)</f>
        <v/>
      </c>
      <c r="Q66" s="284" t="str">
        <f>IF('Supp. Result Entry'!AR67="","",'Supp. Result Entry'!AR67)</f>
        <v/>
      </c>
      <c r="R66" s="285" t="str">
        <f>IF('Statement of Marks'!IA69="","",'Statement of Marks'!IA69)</f>
        <v/>
      </c>
      <c r="S66" s="286" t="str">
        <f>IF('Statement of Marks'!GL69="","",'Statement of Marks'!GL69)</f>
        <v/>
      </c>
      <c r="BM66" s="287" t="str">
        <f>'Statement of Marks'!F69</f>
        <v/>
      </c>
      <c r="BN66" s="288" t="str">
        <f t="shared" si="0"/>
        <v/>
      </c>
      <c r="BO66" s="288" t="str">
        <f t="shared" si="1"/>
        <v/>
      </c>
      <c r="BP66" s="288" t="str">
        <f t="shared" si="2"/>
        <v/>
      </c>
      <c r="BQ66" s="288" t="str">
        <f t="shared" si="3"/>
        <v/>
      </c>
      <c r="BR66" s="288" t="str">
        <f t="shared" si="4"/>
        <v/>
      </c>
      <c r="BS66" s="288" t="str">
        <f t="shared" si="5"/>
        <v/>
      </c>
      <c r="BT66" s="288" t="str">
        <f t="shared" si="6"/>
        <v/>
      </c>
      <c r="BU66" s="288" t="str">
        <f t="shared" si="7"/>
        <v/>
      </c>
      <c r="BV66" s="288" t="str">
        <f t="shared" si="8"/>
        <v/>
      </c>
      <c r="BW66" s="288" t="str">
        <f t="shared" si="9"/>
        <v/>
      </c>
      <c r="BX66" s="288" t="str">
        <f t="shared" si="10"/>
        <v/>
      </c>
      <c r="BY66" s="288" t="str">
        <f t="shared" si="11"/>
        <v/>
      </c>
      <c r="BZ66" s="289"/>
    </row>
    <row r="67" spans="1:78" ht="15.95" customHeight="1">
      <c r="A67" s="276">
        <f>IF('Statement of Marks'!A70="","",'Statement of Marks'!A70)</f>
        <v>64</v>
      </c>
      <c r="B67" s="277" t="str">
        <f>IF('Statement of Marks'!B70="","",'Statement of Marks'!B70)</f>
        <v/>
      </c>
      <c r="C67" s="278" t="str">
        <f>IF('Statement of Marks'!D70="","",'Statement of Marks'!D70)</f>
        <v/>
      </c>
      <c r="D67" s="314" t="str">
        <f>IF('Statement of Marks'!E70="","",'Statement of Marks'!E70)</f>
        <v/>
      </c>
      <c r="E67" s="279" t="str">
        <f>IF('Statement of Marks'!F70="","",'Statement of Marks'!F70)</f>
        <v/>
      </c>
      <c r="F67" s="279" t="str">
        <f>IF('Statement of Marks'!G70="","",'Statement of Marks'!G70)</f>
        <v/>
      </c>
      <c r="G67" s="279" t="str">
        <f>IF('Statement of Marks'!H70="","",'Statement of Marks'!H70)</f>
        <v/>
      </c>
      <c r="H67" s="280" t="str">
        <f>IF('Statement of Marks'!I70="","",'Statement of Marks'!I70)</f>
        <v/>
      </c>
      <c r="I67" s="280" t="str">
        <f>IF('Statement of Marks'!J70="","",'Statement of Marks'!J70)</f>
        <v/>
      </c>
      <c r="J67" s="827" t="str">
        <f>IF('Statement of Marks'!HS70="","",'Statement of Marks'!HS70)</f>
        <v/>
      </c>
      <c r="K67" s="281" t="str">
        <f>IF('Statement of Marks'!HT70="","",'Statement of Marks'!HT70)</f>
        <v/>
      </c>
      <c r="L67" s="828" t="str">
        <f>IF('Statement of Marks'!HW70="","",'Statement of Marks'!HW70)</f>
        <v/>
      </c>
      <c r="M67" s="281" t="str">
        <f>IF('Statement of Marks'!HV70="","",'Statement of Marks'!HV70)</f>
        <v/>
      </c>
      <c r="N67" s="829" t="str">
        <f>IF('Statement of Marks'!HX70="","",'Statement of Marks'!HX70)</f>
        <v/>
      </c>
      <c r="O67" s="282" t="str">
        <f>IF(J67="FAIL","",IF('Statement of Marks'!HO70="","",'Statement of Marks'!HO70))</f>
        <v xml:space="preserve">      </v>
      </c>
      <c r="P67" s="283" t="str">
        <f>IF('Supp. Result Entry'!AQ68="","",'Supp. Result Entry'!AQ68)</f>
        <v/>
      </c>
      <c r="Q67" s="284" t="str">
        <f>IF('Supp. Result Entry'!AR68="","",'Supp. Result Entry'!AR68)</f>
        <v/>
      </c>
      <c r="R67" s="285" t="str">
        <f>IF('Statement of Marks'!IA70="","",'Statement of Marks'!IA70)</f>
        <v/>
      </c>
      <c r="S67" s="286" t="str">
        <f>IF('Statement of Marks'!GL70="","",'Statement of Marks'!GL70)</f>
        <v/>
      </c>
      <c r="BM67" s="287" t="str">
        <f>'Statement of Marks'!F70</f>
        <v/>
      </c>
      <c r="BN67" s="288" t="str">
        <f t="shared" si="0"/>
        <v/>
      </c>
      <c r="BO67" s="288" t="str">
        <f t="shared" si="1"/>
        <v/>
      </c>
      <c r="BP67" s="288" t="str">
        <f t="shared" si="2"/>
        <v/>
      </c>
      <c r="BQ67" s="288" t="str">
        <f t="shared" si="3"/>
        <v/>
      </c>
      <c r="BR67" s="288" t="str">
        <f t="shared" si="4"/>
        <v/>
      </c>
      <c r="BS67" s="288" t="str">
        <f t="shared" si="5"/>
        <v/>
      </c>
      <c r="BT67" s="288" t="str">
        <f t="shared" si="6"/>
        <v/>
      </c>
      <c r="BU67" s="288" t="str">
        <f t="shared" si="7"/>
        <v/>
      </c>
      <c r="BV67" s="288" t="str">
        <f t="shared" si="8"/>
        <v/>
      </c>
      <c r="BW67" s="288" t="str">
        <f t="shared" si="9"/>
        <v/>
      </c>
      <c r="BX67" s="288" t="str">
        <f t="shared" si="10"/>
        <v/>
      </c>
      <c r="BY67" s="288" t="str">
        <f t="shared" si="11"/>
        <v/>
      </c>
      <c r="BZ67" s="289"/>
    </row>
    <row r="68" spans="1:78" ht="15.95" customHeight="1">
      <c r="A68" s="276">
        <f>IF('Statement of Marks'!A71="","",'Statement of Marks'!A71)</f>
        <v>65</v>
      </c>
      <c r="B68" s="277" t="str">
        <f>IF('Statement of Marks'!B71="","",'Statement of Marks'!B71)</f>
        <v/>
      </c>
      <c r="C68" s="278" t="str">
        <f>IF('Statement of Marks'!D71="","",'Statement of Marks'!D71)</f>
        <v/>
      </c>
      <c r="D68" s="314" t="str">
        <f>IF('Statement of Marks'!E71="","",'Statement of Marks'!E71)</f>
        <v/>
      </c>
      <c r="E68" s="279" t="str">
        <f>IF('Statement of Marks'!F71="","",'Statement of Marks'!F71)</f>
        <v/>
      </c>
      <c r="F68" s="279" t="str">
        <f>IF('Statement of Marks'!G71="","",'Statement of Marks'!G71)</f>
        <v/>
      </c>
      <c r="G68" s="279" t="str">
        <f>IF('Statement of Marks'!H71="","",'Statement of Marks'!H71)</f>
        <v/>
      </c>
      <c r="H68" s="280" t="str">
        <f>IF('Statement of Marks'!I71="","",'Statement of Marks'!I71)</f>
        <v/>
      </c>
      <c r="I68" s="280" t="str">
        <f>IF('Statement of Marks'!J71="","",'Statement of Marks'!J71)</f>
        <v/>
      </c>
      <c r="J68" s="827" t="str">
        <f>IF('Statement of Marks'!HS71="","",'Statement of Marks'!HS71)</f>
        <v/>
      </c>
      <c r="K68" s="281" t="str">
        <f>IF('Statement of Marks'!HT71="","",'Statement of Marks'!HT71)</f>
        <v/>
      </c>
      <c r="L68" s="828" t="str">
        <f>IF('Statement of Marks'!HW71="","",'Statement of Marks'!HW71)</f>
        <v/>
      </c>
      <c r="M68" s="281" t="str">
        <f>IF('Statement of Marks'!HV71="","",'Statement of Marks'!HV71)</f>
        <v/>
      </c>
      <c r="N68" s="829" t="str">
        <f>IF('Statement of Marks'!HX71="","",'Statement of Marks'!HX71)</f>
        <v/>
      </c>
      <c r="O68" s="282" t="str">
        <f>IF(J68="FAIL","",IF('Statement of Marks'!HO71="","",'Statement of Marks'!HO71))</f>
        <v xml:space="preserve">      </v>
      </c>
      <c r="P68" s="283" t="str">
        <f>IF('Supp. Result Entry'!AQ69="","",'Supp. Result Entry'!AQ69)</f>
        <v/>
      </c>
      <c r="Q68" s="284" t="str">
        <f>IF('Supp. Result Entry'!AR69="","",'Supp. Result Entry'!AR69)</f>
        <v/>
      </c>
      <c r="R68" s="285" t="str">
        <f>IF('Statement of Marks'!IA71="","",'Statement of Marks'!IA71)</f>
        <v/>
      </c>
      <c r="S68" s="286" t="str">
        <f>IF('Statement of Marks'!GL71="","",'Statement of Marks'!GL71)</f>
        <v/>
      </c>
      <c r="BM68" s="287" t="str">
        <f>'Statement of Marks'!F71</f>
        <v/>
      </c>
      <c r="BN68" s="288" t="str">
        <f t="shared" si="0"/>
        <v/>
      </c>
      <c r="BO68" s="288" t="str">
        <f t="shared" si="1"/>
        <v/>
      </c>
      <c r="BP68" s="288" t="str">
        <f t="shared" si="2"/>
        <v/>
      </c>
      <c r="BQ68" s="288" t="str">
        <f t="shared" si="3"/>
        <v/>
      </c>
      <c r="BR68" s="288" t="str">
        <f t="shared" si="4"/>
        <v/>
      </c>
      <c r="BS68" s="288" t="str">
        <f t="shared" si="5"/>
        <v/>
      </c>
      <c r="BT68" s="288" t="str">
        <f t="shared" si="6"/>
        <v/>
      </c>
      <c r="BU68" s="288" t="str">
        <f t="shared" si="7"/>
        <v/>
      </c>
      <c r="BV68" s="288" t="str">
        <f t="shared" si="8"/>
        <v/>
      </c>
      <c r="BW68" s="288" t="str">
        <f t="shared" si="9"/>
        <v/>
      </c>
      <c r="BX68" s="288" t="str">
        <f t="shared" si="10"/>
        <v/>
      </c>
      <c r="BY68" s="288" t="str">
        <f t="shared" si="11"/>
        <v/>
      </c>
      <c r="BZ68" s="289"/>
    </row>
    <row r="69" spans="1:78" ht="15.95" customHeight="1">
      <c r="A69" s="276">
        <f>IF('Statement of Marks'!A72="","",'Statement of Marks'!A72)</f>
        <v>66</v>
      </c>
      <c r="B69" s="277" t="str">
        <f>IF('Statement of Marks'!B72="","",'Statement of Marks'!B72)</f>
        <v/>
      </c>
      <c r="C69" s="278" t="str">
        <f>IF('Statement of Marks'!D72="","",'Statement of Marks'!D72)</f>
        <v/>
      </c>
      <c r="D69" s="314" t="str">
        <f>IF('Statement of Marks'!E72="","",'Statement of Marks'!E72)</f>
        <v/>
      </c>
      <c r="E69" s="279" t="str">
        <f>IF('Statement of Marks'!F72="","",'Statement of Marks'!F72)</f>
        <v/>
      </c>
      <c r="F69" s="279" t="str">
        <f>IF('Statement of Marks'!G72="","",'Statement of Marks'!G72)</f>
        <v/>
      </c>
      <c r="G69" s="279" t="str">
        <f>IF('Statement of Marks'!H72="","",'Statement of Marks'!H72)</f>
        <v/>
      </c>
      <c r="H69" s="280" t="str">
        <f>IF('Statement of Marks'!I72="","",'Statement of Marks'!I72)</f>
        <v/>
      </c>
      <c r="I69" s="280" t="str">
        <f>IF('Statement of Marks'!J72="","",'Statement of Marks'!J72)</f>
        <v/>
      </c>
      <c r="J69" s="827" t="str">
        <f>IF('Statement of Marks'!HS72="","",'Statement of Marks'!HS72)</f>
        <v/>
      </c>
      <c r="K69" s="281" t="str">
        <f>IF('Statement of Marks'!HT72="","",'Statement of Marks'!HT72)</f>
        <v/>
      </c>
      <c r="L69" s="828" t="str">
        <f>IF('Statement of Marks'!HW72="","",'Statement of Marks'!HW72)</f>
        <v/>
      </c>
      <c r="M69" s="281" t="str">
        <f>IF('Statement of Marks'!HV72="","",'Statement of Marks'!HV72)</f>
        <v/>
      </c>
      <c r="N69" s="829" t="str">
        <f>IF('Statement of Marks'!HX72="","",'Statement of Marks'!HX72)</f>
        <v/>
      </c>
      <c r="O69" s="282" t="str">
        <f>IF(J69="FAIL","",IF('Statement of Marks'!HO72="","",'Statement of Marks'!HO72))</f>
        <v xml:space="preserve">      </v>
      </c>
      <c r="P69" s="283" t="str">
        <f>IF('Supp. Result Entry'!AQ70="","",'Supp. Result Entry'!AQ70)</f>
        <v/>
      </c>
      <c r="Q69" s="284" t="str">
        <f>IF('Supp. Result Entry'!AR70="","",'Supp. Result Entry'!AR70)</f>
        <v/>
      </c>
      <c r="R69" s="285" t="str">
        <f>IF('Statement of Marks'!IA72="","",'Statement of Marks'!IA72)</f>
        <v/>
      </c>
      <c r="S69" s="286" t="str">
        <f>IF('Statement of Marks'!GL72="","",'Statement of Marks'!GL72)</f>
        <v/>
      </c>
      <c r="BM69" s="287" t="str">
        <f>'Statement of Marks'!F72</f>
        <v/>
      </c>
      <c r="BN69" s="288" t="str">
        <f t="shared" ref="BN69:BN132" si="12">IFERROR(IF(AND(M69="",R69="",H69="SC",I69="M"),J69,IF(AND(M69="",H69="SC",I69="M"),R69,IF(AND(R69="",H69="SC",I69="M"),M69,""))),"")</f>
        <v/>
      </c>
      <c r="BO69" s="288" t="str">
        <f t="shared" ref="BO69:BO132" si="13">IFERROR(IF(AND(M69="",R69="",H69="SC",I69="F"),J69,IF(AND(M69="",H69="SC",I69="F"),R69,IF(AND(R69="",H69="SC",I69="F"),M69,""))),"")</f>
        <v/>
      </c>
      <c r="BP69" s="288" t="str">
        <f t="shared" ref="BP69:BP132" si="14">IFERROR(IF(AND(M69="",R69="",H69="ST",I69="M"),J69,IF(AND(M69="",H69="ST",I69="M"),R69,IF(AND(R69="",H69="ST",I69="M"),M69,""))),"")</f>
        <v/>
      </c>
      <c r="BQ69" s="288" t="str">
        <f t="shared" ref="BQ69:BQ132" si="15">IFERROR(IF(AND(M69="",R69="",H69="ST",I69="F"),J69,IF(AND(M69="",H69="ST",I69="F"),R69,IF(AND(R69="",H69="ST",I69="F"),M69,""))),"")</f>
        <v/>
      </c>
      <c r="BR69" s="288" t="str">
        <f t="shared" ref="BR69:BR132" si="16">IFERROR(IF(AND(M69="",R69="",H69="OBC",I69="M"),J69,IF(AND(M69="",H69="OBC",I69="M"),R69,IF(AND(R69="",H69="OBC",I69="M"),M69,""))),"")</f>
        <v/>
      </c>
      <c r="BS69" s="288" t="str">
        <f t="shared" ref="BS69:BS132" si="17">IFERROR(IF(AND(M69="",R69="",H69="OBC",I69="F"),J69,IF(AND(M69="",H69="OBC",I69="F"),R69,IF(AND(R69="",H69="OBC",I69="F"),M69,""))),"")</f>
        <v/>
      </c>
      <c r="BT69" s="288" t="str">
        <f t="shared" ref="BT69:BT132" si="18">IFERROR(IF(AND(M69="",R69="",H69="GEN",I69="M"),J69,IF(AND(M69="",H69="GEN",I69="M"),R69,IF(AND(R69="",H69="GEN",I69="M"),M69,""))),"")</f>
        <v/>
      </c>
      <c r="BU69" s="288" t="str">
        <f t="shared" ref="BU69:BU132" si="19">IFERROR(IF(AND(M69="",R69="",H69="GEN",I69="F"),J69,IF(AND(M69="",H69="GEN",I69="F"),R69,IF(AND(R69="",H69="GEN",I69="F"),M69,""))),"")</f>
        <v/>
      </c>
      <c r="BV69" s="288" t="str">
        <f t="shared" ref="BV69:BV132" si="20">IFERROR(IF(AND(M69="",R69="",H69="MIN",I69="M"),J69,IF(AND(M69="",H69="MIN",I69="M"),R69,IF(AND(R69="",H69="MIN",I69="M"),M69,""))),"")</f>
        <v/>
      </c>
      <c r="BW69" s="288" t="str">
        <f t="shared" ref="BW69:BW132" si="21">IFERROR(IF(AND(M69="",R69="",H69="MIN",I69="F"),J69,IF(AND(M69="",H69="MIN",I69="F"),R69,IF(AND(R69="",H69="MIN",I69="F"),M69,""))),"")</f>
        <v/>
      </c>
      <c r="BX69" s="288" t="str">
        <f t="shared" ref="BX69:BX132" si="22">IFERROR(IF(AND(M69="",R69="",H69="SBC",I69="M"),J69,IF(AND(M69="",H69="SBC",I69="M"),R69,IF(AND(R69="",H69="SBC",I69="M"),M69,""))),"")</f>
        <v/>
      </c>
      <c r="BY69" s="288" t="str">
        <f t="shared" ref="BY69:BY132" si="23">IFERROR(IF(AND(M69="",R69="",H69="SBC",I69="F"),J69,IF(AND(M69="",H69="SBC",I69="F"),R69,IF(AND(R69="",H69="SBC",I69="F"),M69,""))),"")</f>
        <v/>
      </c>
      <c r="BZ69" s="289"/>
    </row>
    <row r="70" spans="1:78" ht="15.95" customHeight="1">
      <c r="A70" s="276">
        <f>IF('Statement of Marks'!A73="","",'Statement of Marks'!A73)</f>
        <v>67</v>
      </c>
      <c r="B70" s="277" t="str">
        <f>IF('Statement of Marks'!B73="","",'Statement of Marks'!B73)</f>
        <v/>
      </c>
      <c r="C70" s="278" t="str">
        <f>IF('Statement of Marks'!D73="","",'Statement of Marks'!D73)</f>
        <v/>
      </c>
      <c r="D70" s="314" t="str">
        <f>IF('Statement of Marks'!E73="","",'Statement of Marks'!E73)</f>
        <v/>
      </c>
      <c r="E70" s="279" t="str">
        <f>IF('Statement of Marks'!F73="","",'Statement of Marks'!F73)</f>
        <v/>
      </c>
      <c r="F70" s="279" t="str">
        <f>IF('Statement of Marks'!G73="","",'Statement of Marks'!G73)</f>
        <v/>
      </c>
      <c r="G70" s="279" t="str">
        <f>IF('Statement of Marks'!H73="","",'Statement of Marks'!H73)</f>
        <v/>
      </c>
      <c r="H70" s="280" t="str">
        <f>IF('Statement of Marks'!I73="","",'Statement of Marks'!I73)</f>
        <v/>
      </c>
      <c r="I70" s="280" t="str">
        <f>IF('Statement of Marks'!J73="","",'Statement of Marks'!J73)</f>
        <v/>
      </c>
      <c r="J70" s="827" t="str">
        <f>IF('Statement of Marks'!HS73="","",'Statement of Marks'!HS73)</f>
        <v/>
      </c>
      <c r="K70" s="281" t="str">
        <f>IF('Statement of Marks'!HT73="","",'Statement of Marks'!HT73)</f>
        <v/>
      </c>
      <c r="L70" s="828" t="str">
        <f>IF('Statement of Marks'!HW73="","",'Statement of Marks'!HW73)</f>
        <v/>
      </c>
      <c r="M70" s="281" t="str">
        <f>IF('Statement of Marks'!HV73="","",'Statement of Marks'!HV73)</f>
        <v/>
      </c>
      <c r="N70" s="829" t="str">
        <f>IF('Statement of Marks'!HX73="","",'Statement of Marks'!HX73)</f>
        <v/>
      </c>
      <c r="O70" s="282" t="str">
        <f>IF(J70="FAIL","",IF('Statement of Marks'!HO73="","",'Statement of Marks'!HO73))</f>
        <v xml:space="preserve">      </v>
      </c>
      <c r="P70" s="283" t="str">
        <f>IF('Supp. Result Entry'!AQ71="","",'Supp. Result Entry'!AQ71)</f>
        <v/>
      </c>
      <c r="Q70" s="284" t="str">
        <f>IF('Supp. Result Entry'!AR71="","",'Supp. Result Entry'!AR71)</f>
        <v/>
      </c>
      <c r="R70" s="285" t="str">
        <f>IF('Statement of Marks'!IA73="","",'Statement of Marks'!IA73)</f>
        <v/>
      </c>
      <c r="S70" s="286" t="str">
        <f>IF('Statement of Marks'!GL73="","",'Statement of Marks'!GL73)</f>
        <v/>
      </c>
      <c r="BM70" s="287" t="str">
        <f>'Statement of Marks'!F73</f>
        <v/>
      </c>
      <c r="BN70" s="288" t="str">
        <f t="shared" si="12"/>
        <v/>
      </c>
      <c r="BO70" s="288" t="str">
        <f t="shared" si="13"/>
        <v/>
      </c>
      <c r="BP70" s="288" t="str">
        <f t="shared" si="14"/>
        <v/>
      </c>
      <c r="BQ70" s="288" t="str">
        <f t="shared" si="15"/>
        <v/>
      </c>
      <c r="BR70" s="288" t="str">
        <f t="shared" si="16"/>
        <v/>
      </c>
      <c r="BS70" s="288" t="str">
        <f t="shared" si="17"/>
        <v/>
      </c>
      <c r="BT70" s="288" t="str">
        <f t="shared" si="18"/>
        <v/>
      </c>
      <c r="BU70" s="288" t="str">
        <f t="shared" si="19"/>
        <v/>
      </c>
      <c r="BV70" s="288" t="str">
        <f t="shared" si="20"/>
        <v/>
      </c>
      <c r="BW70" s="288" t="str">
        <f t="shared" si="21"/>
        <v/>
      </c>
      <c r="BX70" s="288" t="str">
        <f t="shared" si="22"/>
        <v/>
      </c>
      <c r="BY70" s="288" t="str">
        <f t="shared" si="23"/>
        <v/>
      </c>
      <c r="BZ70" s="289"/>
    </row>
    <row r="71" spans="1:78" ht="15.95" customHeight="1">
      <c r="A71" s="276">
        <f>IF('Statement of Marks'!A74="","",'Statement of Marks'!A74)</f>
        <v>68</v>
      </c>
      <c r="B71" s="277" t="str">
        <f>IF('Statement of Marks'!B74="","",'Statement of Marks'!B74)</f>
        <v/>
      </c>
      <c r="C71" s="278" t="str">
        <f>IF('Statement of Marks'!D74="","",'Statement of Marks'!D74)</f>
        <v/>
      </c>
      <c r="D71" s="314" t="str">
        <f>IF('Statement of Marks'!E74="","",'Statement of Marks'!E74)</f>
        <v/>
      </c>
      <c r="E71" s="279" t="str">
        <f>IF('Statement of Marks'!F74="","",'Statement of Marks'!F74)</f>
        <v/>
      </c>
      <c r="F71" s="279" t="str">
        <f>IF('Statement of Marks'!G74="","",'Statement of Marks'!G74)</f>
        <v/>
      </c>
      <c r="G71" s="279" t="str">
        <f>IF('Statement of Marks'!H74="","",'Statement of Marks'!H74)</f>
        <v/>
      </c>
      <c r="H71" s="280" t="str">
        <f>IF('Statement of Marks'!I74="","",'Statement of Marks'!I74)</f>
        <v/>
      </c>
      <c r="I71" s="280" t="str">
        <f>IF('Statement of Marks'!J74="","",'Statement of Marks'!J74)</f>
        <v/>
      </c>
      <c r="J71" s="827" t="str">
        <f>IF('Statement of Marks'!HS74="","",'Statement of Marks'!HS74)</f>
        <v/>
      </c>
      <c r="K71" s="281" t="str">
        <f>IF('Statement of Marks'!HT74="","",'Statement of Marks'!HT74)</f>
        <v/>
      </c>
      <c r="L71" s="828" t="str">
        <f>IF('Statement of Marks'!HW74="","",'Statement of Marks'!HW74)</f>
        <v/>
      </c>
      <c r="M71" s="281" t="str">
        <f>IF('Statement of Marks'!HV74="","",'Statement of Marks'!HV74)</f>
        <v/>
      </c>
      <c r="N71" s="829" t="str">
        <f>IF('Statement of Marks'!HX74="","",'Statement of Marks'!HX74)</f>
        <v/>
      </c>
      <c r="O71" s="282" t="str">
        <f>IF(J71="FAIL","",IF('Statement of Marks'!HO74="","",'Statement of Marks'!HO74))</f>
        <v xml:space="preserve">      </v>
      </c>
      <c r="P71" s="283" t="str">
        <f>IF('Supp. Result Entry'!AQ72="","",'Supp. Result Entry'!AQ72)</f>
        <v/>
      </c>
      <c r="Q71" s="284" t="str">
        <f>IF('Supp. Result Entry'!AR72="","",'Supp. Result Entry'!AR72)</f>
        <v/>
      </c>
      <c r="R71" s="285" t="str">
        <f>IF('Statement of Marks'!IA74="","",'Statement of Marks'!IA74)</f>
        <v/>
      </c>
      <c r="S71" s="286" t="str">
        <f>IF('Statement of Marks'!GL74="","",'Statement of Marks'!GL74)</f>
        <v/>
      </c>
      <c r="BM71" s="287" t="str">
        <f>'Statement of Marks'!F74</f>
        <v/>
      </c>
      <c r="BN71" s="288" t="str">
        <f t="shared" si="12"/>
        <v/>
      </c>
      <c r="BO71" s="288" t="str">
        <f t="shared" si="13"/>
        <v/>
      </c>
      <c r="BP71" s="288" t="str">
        <f t="shared" si="14"/>
        <v/>
      </c>
      <c r="BQ71" s="288" t="str">
        <f t="shared" si="15"/>
        <v/>
      </c>
      <c r="BR71" s="288" t="str">
        <f t="shared" si="16"/>
        <v/>
      </c>
      <c r="BS71" s="288" t="str">
        <f t="shared" si="17"/>
        <v/>
      </c>
      <c r="BT71" s="288" t="str">
        <f t="shared" si="18"/>
        <v/>
      </c>
      <c r="BU71" s="288" t="str">
        <f t="shared" si="19"/>
        <v/>
      </c>
      <c r="BV71" s="288" t="str">
        <f t="shared" si="20"/>
        <v/>
      </c>
      <c r="BW71" s="288" t="str">
        <f t="shared" si="21"/>
        <v/>
      </c>
      <c r="BX71" s="288" t="str">
        <f t="shared" si="22"/>
        <v/>
      </c>
      <c r="BY71" s="288" t="str">
        <f t="shared" si="23"/>
        <v/>
      </c>
      <c r="BZ71" s="289"/>
    </row>
    <row r="72" spans="1:78" ht="15.95" customHeight="1">
      <c r="A72" s="276">
        <f>IF('Statement of Marks'!A75="","",'Statement of Marks'!A75)</f>
        <v>69</v>
      </c>
      <c r="B72" s="277" t="str">
        <f>IF('Statement of Marks'!B75="","",'Statement of Marks'!B75)</f>
        <v/>
      </c>
      <c r="C72" s="278" t="str">
        <f>IF('Statement of Marks'!D75="","",'Statement of Marks'!D75)</f>
        <v/>
      </c>
      <c r="D72" s="314" t="str">
        <f>IF('Statement of Marks'!E75="","",'Statement of Marks'!E75)</f>
        <v/>
      </c>
      <c r="E72" s="279" t="str">
        <f>IF('Statement of Marks'!F75="","",'Statement of Marks'!F75)</f>
        <v/>
      </c>
      <c r="F72" s="279" t="str">
        <f>IF('Statement of Marks'!G75="","",'Statement of Marks'!G75)</f>
        <v/>
      </c>
      <c r="G72" s="279" t="str">
        <f>IF('Statement of Marks'!H75="","",'Statement of Marks'!H75)</f>
        <v/>
      </c>
      <c r="H72" s="280" t="str">
        <f>IF('Statement of Marks'!I75="","",'Statement of Marks'!I75)</f>
        <v/>
      </c>
      <c r="I72" s="280" t="str">
        <f>IF('Statement of Marks'!J75="","",'Statement of Marks'!J75)</f>
        <v/>
      </c>
      <c r="J72" s="827" t="str">
        <f>IF('Statement of Marks'!HS75="","",'Statement of Marks'!HS75)</f>
        <v/>
      </c>
      <c r="K72" s="281" t="str">
        <f>IF('Statement of Marks'!HT75="","",'Statement of Marks'!HT75)</f>
        <v/>
      </c>
      <c r="L72" s="828" t="str">
        <f>IF('Statement of Marks'!HW75="","",'Statement of Marks'!HW75)</f>
        <v/>
      </c>
      <c r="M72" s="281" t="str">
        <f>IF('Statement of Marks'!HV75="","",'Statement of Marks'!HV75)</f>
        <v/>
      </c>
      <c r="N72" s="829" t="str">
        <f>IF('Statement of Marks'!HX75="","",'Statement of Marks'!HX75)</f>
        <v/>
      </c>
      <c r="O72" s="282" t="str">
        <f>IF(J72="FAIL","",IF('Statement of Marks'!HO75="","",'Statement of Marks'!HO75))</f>
        <v xml:space="preserve">      </v>
      </c>
      <c r="P72" s="283" t="str">
        <f>IF('Supp. Result Entry'!AQ73="","",'Supp. Result Entry'!AQ73)</f>
        <v/>
      </c>
      <c r="Q72" s="284" t="str">
        <f>IF('Supp. Result Entry'!AR73="","",'Supp. Result Entry'!AR73)</f>
        <v/>
      </c>
      <c r="R72" s="285" t="str">
        <f>IF('Statement of Marks'!IA75="","",'Statement of Marks'!IA75)</f>
        <v/>
      </c>
      <c r="S72" s="286" t="str">
        <f>IF('Statement of Marks'!GL75="","",'Statement of Marks'!GL75)</f>
        <v/>
      </c>
      <c r="BM72" s="287" t="str">
        <f>'Statement of Marks'!F75</f>
        <v/>
      </c>
      <c r="BN72" s="288" t="str">
        <f t="shared" si="12"/>
        <v/>
      </c>
      <c r="BO72" s="288" t="str">
        <f t="shared" si="13"/>
        <v/>
      </c>
      <c r="BP72" s="288" t="str">
        <f t="shared" si="14"/>
        <v/>
      </c>
      <c r="BQ72" s="288" t="str">
        <f t="shared" si="15"/>
        <v/>
      </c>
      <c r="BR72" s="288" t="str">
        <f t="shared" si="16"/>
        <v/>
      </c>
      <c r="BS72" s="288" t="str">
        <f t="shared" si="17"/>
        <v/>
      </c>
      <c r="BT72" s="288" t="str">
        <f t="shared" si="18"/>
        <v/>
      </c>
      <c r="BU72" s="288" t="str">
        <f t="shared" si="19"/>
        <v/>
      </c>
      <c r="BV72" s="288" t="str">
        <f t="shared" si="20"/>
        <v/>
      </c>
      <c r="BW72" s="288" t="str">
        <f t="shared" si="21"/>
        <v/>
      </c>
      <c r="BX72" s="288" t="str">
        <f t="shared" si="22"/>
        <v/>
      </c>
      <c r="BY72" s="288" t="str">
        <f t="shared" si="23"/>
        <v/>
      </c>
      <c r="BZ72" s="289"/>
    </row>
    <row r="73" spans="1:78" ht="15" customHeight="1">
      <c r="A73" s="276">
        <f>IF('Statement of Marks'!A76="","",'Statement of Marks'!A76)</f>
        <v>70</v>
      </c>
      <c r="B73" s="277" t="str">
        <f>IF('Statement of Marks'!B76="","",'Statement of Marks'!B76)</f>
        <v/>
      </c>
      <c r="C73" s="278" t="str">
        <f>IF('Statement of Marks'!D76="","",'Statement of Marks'!D76)</f>
        <v/>
      </c>
      <c r="D73" s="314" t="str">
        <f>IF('Statement of Marks'!E76="","",'Statement of Marks'!E76)</f>
        <v/>
      </c>
      <c r="E73" s="279" t="str">
        <f>IF('Statement of Marks'!F76="","",'Statement of Marks'!F76)</f>
        <v/>
      </c>
      <c r="F73" s="279" t="str">
        <f>IF('Statement of Marks'!G76="","",'Statement of Marks'!G76)</f>
        <v/>
      </c>
      <c r="G73" s="279" t="str">
        <f>IF('Statement of Marks'!H76="","",'Statement of Marks'!H76)</f>
        <v/>
      </c>
      <c r="H73" s="280" t="str">
        <f>IF('Statement of Marks'!I76="","",'Statement of Marks'!I76)</f>
        <v/>
      </c>
      <c r="I73" s="280" t="str">
        <f>IF('Statement of Marks'!J76="","",'Statement of Marks'!J76)</f>
        <v/>
      </c>
      <c r="J73" s="827" t="str">
        <f>IF('Statement of Marks'!HS76="","",'Statement of Marks'!HS76)</f>
        <v/>
      </c>
      <c r="K73" s="281" t="str">
        <f>IF('Statement of Marks'!HT76="","",'Statement of Marks'!HT76)</f>
        <v/>
      </c>
      <c r="L73" s="828" t="str">
        <f>IF('Statement of Marks'!HW76="","",'Statement of Marks'!HW76)</f>
        <v/>
      </c>
      <c r="M73" s="281" t="str">
        <f>IF('Statement of Marks'!HV76="","",'Statement of Marks'!HV76)</f>
        <v/>
      </c>
      <c r="N73" s="829" t="str">
        <f>IF('Statement of Marks'!HX76="","",'Statement of Marks'!HX76)</f>
        <v/>
      </c>
      <c r="O73" s="282" t="str">
        <f>IF(J73="FAIL","",IF('Statement of Marks'!HO76="","",'Statement of Marks'!HO76))</f>
        <v xml:space="preserve">      </v>
      </c>
      <c r="P73" s="283" t="str">
        <f>IF('Supp. Result Entry'!AQ74="","",'Supp. Result Entry'!AQ74)</f>
        <v/>
      </c>
      <c r="Q73" s="284" t="str">
        <f>IF('Supp. Result Entry'!AR74="","",'Supp. Result Entry'!AR74)</f>
        <v/>
      </c>
      <c r="R73" s="285" t="str">
        <f>IF('Statement of Marks'!IA76="","",'Statement of Marks'!IA76)</f>
        <v/>
      </c>
      <c r="S73" s="286" t="str">
        <f>IF('Statement of Marks'!GL76="","",'Statement of Marks'!GL76)</f>
        <v/>
      </c>
      <c r="BM73" s="287" t="str">
        <f>'Statement of Marks'!F76</f>
        <v/>
      </c>
      <c r="BN73" s="288" t="str">
        <f t="shared" si="12"/>
        <v/>
      </c>
      <c r="BO73" s="288" t="str">
        <f t="shared" si="13"/>
        <v/>
      </c>
      <c r="BP73" s="288" t="str">
        <f t="shared" si="14"/>
        <v/>
      </c>
      <c r="BQ73" s="288" t="str">
        <f t="shared" si="15"/>
        <v/>
      </c>
      <c r="BR73" s="288" t="str">
        <f t="shared" si="16"/>
        <v/>
      </c>
      <c r="BS73" s="288" t="str">
        <f t="shared" si="17"/>
        <v/>
      </c>
      <c r="BT73" s="288" t="str">
        <f t="shared" si="18"/>
        <v/>
      </c>
      <c r="BU73" s="288" t="str">
        <f t="shared" si="19"/>
        <v/>
      </c>
      <c r="BV73" s="288" t="str">
        <f t="shared" si="20"/>
        <v/>
      </c>
      <c r="BW73" s="288" t="str">
        <f t="shared" si="21"/>
        <v/>
      </c>
      <c r="BX73" s="288" t="str">
        <f t="shared" si="22"/>
        <v/>
      </c>
      <c r="BY73" s="288" t="str">
        <f t="shared" si="23"/>
        <v/>
      </c>
      <c r="BZ73" s="289"/>
    </row>
    <row r="74" spans="1:78" ht="15" customHeight="1">
      <c r="A74" s="276">
        <f>IF('Statement of Marks'!A77="","",'Statement of Marks'!A77)</f>
        <v>71</v>
      </c>
      <c r="B74" s="277" t="str">
        <f>IF('Statement of Marks'!B77="","",'Statement of Marks'!B77)</f>
        <v/>
      </c>
      <c r="C74" s="278" t="str">
        <f>IF('Statement of Marks'!D77="","",'Statement of Marks'!D77)</f>
        <v/>
      </c>
      <c r="D74" s="314" t="str">
        <f>IF('Statement of Marks'!E77="","",'Statement of Marks'!E77)</f>
        <v/>
      </c>
      <c r="E74" s="279" t="str">
        <f>IF('Statement of Marks'!F77="","",'Statement of Marks'!F77)</f>
        <v/>
      </c>
      <c r="F74" s="279" t="str">
        <f>IF('Statement of Marks'!G77="","",'Statement of Marks'!G77)</f>
        <v/>
      </c>
      <c r="G74" s="279" t="str">
        <f>IF('Statement of Marks'!H77="","",'Statement of Marks'!H77)</f>
        <v/>
      </c>
      <c r="H74" s="280" t="str">
        <f>IF('Statement of Marks'!I77="","",'Statement of Marks'!I77)</f>
        <v/>
      </c>
      <c r="I74" s="280" t="str">
        <f>IF('Statement of Marks'!J77="","",'Statement of Marks'!J77)</f>
        <v/>
      </c>
      <c r="J74" s="827" t="str">
        <f>IF('Statement of Marks'!HS77="","",'Statement of Marks'!HS77)</f>
        <v/>
      </c>
      <c r="K74" s="281" t="str">
        <f>IF('Statement of Marks'!HT77="","",'Statement of Marks'!HT77)</f>
        <v/>
      </c>
      <c r="L74" s="828" t="str">
        <f>IF('Statement of Marks'!HW77="","",'Statement of Marks'!HW77)</f>
        <v/>
      </c>
      <c r="M74" s="281" t="str">
        <f>IF('Statement of Marks'!HV77="","",'Statement of Marks'!HV77)</f>
        <v/>
      </c>
      <c r="N74" s="829" t="str">
        <f>IF('Statement of Marks'!HX77="","",'Statement of Marks'!HX77)</f>
        <v/>
      </c>
      <c r="O74" s="282" t="str">
        <f>IF(J74="FAIL","",IF('Statement of Marks'!HO77="","",'Statement of Marks'!HO77))</f>
        <v xml:space="preserve">      </v>
      </c>
      <c r="P74" s="283" t="str">
        <f>IF('Supp. Result Entry'!AQ75="","",'Supp. Result Entry'!AQ75)</f>
        <v/>
      </c>
      <c r="Q74" s="284" t="str">
        <f>IF('Supp. Result Entry'!AR75="","",'Supp. Result Entry'!AR75)</f>
        <v/>
      </c>
      <c r="R74" s="285" t="str">
        <f>IF('Statement of Marks'!IA77="","",'Statement of Marks'!IA77)</f>
        <v/>
      </c>
      <c r="S74" s="286" t="str">
        <f>IF('Statement of Marks'!GL77="","",'Statement of Marks'!GL77)</f>
        <v/>
      </c>
      <c r="BM74" s="287" t="str">
        <f>'Statement of Marks'!F77</f>
        <v/>
      </c>
      <c r="BN74" s="288" t="str">
        <f t="shared" si="12"/>
        <v/>
      </c>
      <c r="BO74" s="288" t="str">
        <f t="shared" si="13"/>
        <v/>
      </c>
      <c r="BP74" s="288" t="str">
        <f t="shared" si="14"/>
        <v/>
      </c>
      <c r="BQ74" s="288" t="str">
        <f t="shared" si="15"/>
        <v/>
      </c>
      <c r="BR74" s="288" t="str">
        <f t="shared" si="16"/>
        <v/>
      </c>
      <c r="BS74" s="288" t="str">
        <f t="shared" si="17"/>
        <v/>
      </c>
      <c r="BT74" s="288" t="str">
        <f t="shared" si="18"/>
        <v/>
      </c>
      <c r="BU74" s="288" t="str">
        <f t="shared" si="19"/>
        <v/>
      </c>
      <c r="BV74" s="288" t="str">
        <f t="shared" si="20"/>
        <v/>
      </c>
      <c r="BW74" s="288" t="str">
        <f t="shared" si="21"/>
        <v/>
      </c>
      <c r="BX74" s="288" t="str">
        <f t="shared" si="22"/>
        <v/>
      </c>
      <c r="BY74" s="288" t="str">
        <f t="shared" si="23"/>
        <v/>
      </c>
      <c r="BZ74" s="289"/>
    </row>
    <row r="75" spans="1:78" ht="15" customHeight="1">
      <c r="A75" s="276">
        <f>IF('Statement of Marks'!A78="","",'Statement of Marks'!A78)</f>
        <v>72</v>
      </c>
      <c r="B75" s="277" t="str">
        <f>IF('Statement of Marks'!B78="","",'Statement of Marks'!B78)</f>
        <v/>
      </c>
      <c r="C75" s="278" t="str">
        <f>IF('Statement of Marks'!D78="","",'Statement of Marks'!D78)</f>
        <v/>
      </c>
      <c r="D75" s="314" t="str">
        <f>IF('Statement of Marks'!E78="","",'Statement of Marks'!E78)</f>
        <v/>
      </c>
      <c r="E75" s="279" t="str">
        <f>IF('Statement of Marks'!F78="","",'Statement of Marks'!F78)</f>
        <v/>
      </c>
      <c r="F75" s="279" t="str">
        <f>IF('Statement of Marks'!G78="","",'Statement of Marks'!G78)</f>
        <v/>
      </c>
      <c r="G75" s="279" t="str">
        <f>IF('Statement of Marks'!H78="","",'Statement of Marks'!H78)</f>
        <v/>
      </c>
      <c r="H75" s="280" t="str">
        <f>IF('Statement of Marks'!I78="","",'Statement of Marks'!I78)</f>
        <v/>
      </c>
      <c r="I75" s="280" t="str">
        <f>IF('Statement of Marks'!J78="","",'Statement of Marks'!J78)</f>
        <v/>
      </c>
      <c r="J75" s="827" t="str">
        <f>IF('Statement of Marks'!HS78="","",'Statement of Marks'!HS78)</f>
        <v/>
      </c>
      <c r="K75" s="281" t="str">
        <f>IF('Statement of Marks'!HT78="","",'Statement of Marks'!HT78)</f>
        <v/>
      </c>
      <c r="L75" s="828" t="str">
        <f>IF('Statement of Marks'!HW78="","",'Statement of Marks'!HW78)</f>
        <v/>
      </c>
      <c r="M75" s="281" t="str">
        <f>IF('Statement of Marks'!HV78="","",'Statement of Marks'!HV78)</f>
        <v/>
      </c>
      <c r="N75" s="829" t="str">
        <f>IF('Statement of Marks'!HX78="","",'Statement of Marks'!HX78)</f>
        <v/>
      </c>
      <c r="O75" s="282" t="str">
        <f>IF(J75="FAIL","",IF('Statement of Marks'!HO78="","",'Statement of Marks'!HO78))</f>
        <v xml:space="preserve">      </v>
      </c>
      <c r="P75" s="283" t="str">
        <f>IF('Supp. Result Entry'!AQ76="","",'Supp. Result Entry'!AQ76)</f>
        <v/>
      </c>
      <c r="Q75" s="284" t="str">
        <f>IF('Supp. Result Entry'!AR76="","",'Supp. Result Entry'!AR76)</f>
        <v/>
      </c>
      <c r="R75" s="285" t="str">
        <f>IF('Statement of Marks'!IA78="","",'Statement of Marks'!IA78)</f>
        <v/>
      </c>
      <c r="S75" s="286" t="str">
        <f>IF('Statement of Marks'!GL78="","",'Statement of Marks'!GL78)</f>
        <v/>
      </c>
      <c r="BM75" s="287" t="str">
        <f>'Statement of Marks'!F78</f>
        <v/>
      </c>
      <c r="BN75" s="288" t="str">
        <f t="shared" si="12"/>
        <v/>
      </c>
      <c r="BO75" s="288" t="str">
        <f t="shared" si="13"/>
        <v/>
      </c>
      <c r="BP75" s="288" t="str">
        <f t="shared" si="14"/>
        <v/>
      </c>
      <c r="BQ75" s="288" t="str">
        <f t="shared" si="15"/>
        <v/>
      </c>
      <c r="BR75" s="288" t="str">
        <f t="shared" si="16"/>
        <v/>
      </c>
      <c r="BS75" s="288" t="str">
        <f t="shared" si="17"/>
        <v/>
      </c>
      <c r="BT75" s="288" t="str">
        <f t="shared" si="18"/>
        <v/>
      </c>
      <c r="BU75" s="288" t="str">
        <f t="shared" si="19"/>
        <v/>
      </c>
      <c r="BV75" s="288" t="str">
        <f t="shared" si="20"/>
        <v/>
      </c>
      <c r="BW75" s="288" t="str">
        <f t="shared" si="21"/>
        <v/>
      </c>
      <c r="BX75" s="288" t="str">
        <f t="shared" si="22"/>
        <v/>
      </c>
      <c r="BY75" s="288" t="str">
        <f t="shared" si="23"/>
        <v/>
      </c>
      <c r="BZ75" s="289"/>
    </row>
    <row r="76" spans="1:78" ht="15" customHeight="1">
      <c r="A76" s="276">
        <f>IF('Statement of Marks'!A79="","",'Statement of Marks'!A79)</f>
        <v>73</v>
      </c>
      <c r="B76" s="277" t="str">
        <f>IF('Statement of Marks'!B79="","",'Statement of Marks'!B79)</f>
        <v/>
      </c>
      <c r="C76" s="278" t="str">
        <f>IF('Statement of Marks'!D79="","",'Statement of Marks'!D79)</f>
        <v/>
      </c>
      <c r="D76" s="314" t="str">
        <f>IF('Statement of Marks'!E79="","",'Statement of Marks'!E79)</f>
        <v/>
      </c>
      <c r="E76" s="279" t="str">
        <f>IF('Statement of Marks'!F79="","",'Statement of Marks'!F79)</f>
        <v/>
      </c>
      <c r="F76" s="279" t="str">
        <f>IF('Statement of Marks'!G79="","",'Statement of Marks'!G79)</f>
        <v/>
      </c>
      <c r="G76" s="279" t="str">
        <f>IF('Statement of Marks'!H79="","",'Statement of Marks'!H79)</f>
        <v/>
      </c>
      <c r="H76" s="280" t="str">
        <f>IF('Statement of Marks'!I79="","",'Statement of Marks'!I79)</f>
        <v/>
      </c>
      <c r="I76" s="280" t="str">
        <f>IF('Statement of Marks'!J79="","",'Statement of Marks'!J79)</f>
        <v/>
      </c>
      <c r="J76" s="826" t="str">
        <f>IF('Statement of Marks'!HS79="","",'Statement of Marks'!HS79)</f>
        <v/>
      </c>
      <c r="K76" s="281" t="str">
        <f>IF('Statement of Marks'!HT79="","",'Statement of Marks'!HT79)</f>
        <v/>
      </c>
      <c r="L76" s="828" t="str">
        <f>IF('Statement of Marks'!HW79="","",'Statement of Marks'!HW79)</f>
        <v/>
      </c>
      <c r="M76" s="281" t="str">
        <f>IF('Statement of Marks'!HV79="","",'Statement of Marks'!HV79)</f>
        <v/>
      </c>
      <c r="N76" s="829" t="str">
        <f>IF('Statement of Marks'!HX79="","",'Statement of Marks'!HX79)</f>
        <v/>
      </c>
      <c r="O76" s="282" t="str">
        <f>IF(J76="FAIL","",IF('Statement of Marks'!HO79="","",'Statement of Marks'!HO79))</f>
        <v xml:space="preserve">      </v>
      </c>
      <c r="P76" s="283" t="str">
        <f>IF('Supp. Result Entry'!AQ77="","",'Supp. Result Entry'!AQ77)</f>
        <v/>
      </c>
      <c r="Q76" s="284" t="str">
        <f>IF('Supp. Result Entry'!AR77="","",'Supp. Result Entry'!AR77)</f>
        <v/>
      </c>
      <c r="R76" s="285" t="str">
        <f>IF('Statement of Marks'!IA79="","",'Statement of Marks'!IA79)</f>
        <v/>
      </c>
      <c r="S76" s="286" t="str">
        <f>IF('Statement of Marks'!GL79="","",'Statement of Marks'!GL79)</f>
        <v/>
      </c>
      <c r="BM76" s="287" t="str">
        <f>'Statement of Marks'!F79</f>
        <v/>
      </c>
      <c r="BN76" s="288" t="str">
        <f t="shared" si="12"/>
        <v/>
      </c>
      <c r="BO76" s="288" t="str">
        <f t="shared" si="13"/>
        <v/>
      </c>
      <c r="BP76" s="288" t="str">
        <f t="shared" si="14"/>
        <v/>
      </c>
      <c r="BQ76" s="288" t="str">
        <f t="shared" si="15"/>
        <v/>
      </c>
      <c r="BR76" s="288" t="str">
        <f t="shared" si="16"/>
        <v/>
      </c>
      <c r="BS76" s="288" t="str">
        <f t="shared" si="17"/>
        <v/>
      </c>
      <c r="BT76" s="288" t="str">
        <f t="shared" si="18"/>
        <v/>
      </c>
      <c r="BU76" s="288" t="str">
        <f t="shared" si="19"/>
        <v/>
      </c>
      <c r="BV76" s="288" t="str">
        <f t="shared" si="20"/>
        <v/>
      </c>
      <c r="BW76" s="288" t="str">
        <f t="shared" si="21"/>
        <v/>
      </c>
      <c r="BX76" s="288" t="str">
        <f t="shared" si="22"/>
        <v/>
      </c>
      <c r="BY76" s="288" t="str">
        <f t="shared" si="23"/>
        <v/>
      </c>
      <c r="BZ76" s="289"/>
    </row>
    <row r="77" spans="1:78" ht="15" customHeight="1">
      <c r="A77" s="276">
        <f>IF('Statement of Marks'!A80="","",'Statement of Marks'!A80)</f>
        <v>74</v>
      </c>
      <c r="B77" s="277" t="str">
        <f>IF('Statement of Marks'!B80="","",'Statement of Marks'!B80)</f>
        <v/>
      </c>
      <c r="C77" s="278" t="str">
        <f>IF('Statement of Marks'!D80="","",'Statement of Marks'!D80)</f>
        <v/>
      </c>
      <c r="D77" s="314" t="str">
        <f>IF('Statement of Marks'!E80="","",'Statement of Marks'!E80)</f>
        <v/>
      </c>
      <c r="E77" s="279" t="str">
        <f>IF('Statement of Marks'!F80="","",'Statement of Marks'!F80)</f>
        <v/>
      </c>
      <c r="F77" s="279" t="str">
        <f>IF('Statement of Marks'!G80="","",'Statement of Marks'!G80)</f>
        <v/>
      </c>
      <c r="G77" s="279" t="str">
        <f>IF('Statement of Marks'!H80="","",'Statement of Marks'!H80)</f>
        <v/>
      </c>
      <c r="H77" s="280" t="str">
        <f>IF('Statement of Marks'!I80="","",'Statement of Marks'!I80)</f>
        <v/>
      </c>
      <c r="I77" s="280" t="str">
        <f>IF('Statement of Marks'!J80="","",'Statement of Marks'!J80)</f>
        <v/>
      </c>
      <c r="J77" s="827" t="str">
        <f>IF('Statement of Marks'!HS80="","",'Statement of Marks'!HS80)</f>
        <v/>
      </c>
      <c r="K77" s="281" t="str">
        <f>IF('Statement of Marks'!HT80="","",'Statement of Marks'!HT80)</f>
        <v/>
      </c>
      <c r="L77" s="828" t="str">
        <f>IF('Statement of Marks'!HW80="","",'Statement of Marks'!HW80)</f>
        <v/>
      </c>
      <c r="M77" s="281" t="str">
        <f>IF('Statement of Marks'!HV80="","",'Statement of Marks'!HV80)</f>
        <v/>
      </c>
      <c r="N77" s="829" t="str">
        <f>IF('Statement of Marks'!HX80="","",'Statement of Marks'!HX80)</f>
        <v/>
      </c>
      <c r="O77" s="282" t="str">
        <f>IF(J77="FAIL","",IF('Statement of Marks'!HO80="","",'Statement of Marks'!HO80))</f>
        <v xml:space="preserve">      </v>
      </c>
      <c r="P77" s="283" t="str">
        <f>IF('Supp. Result Entry'!AQ78="","",'Supp. Result Entry'!AQ78)</f>
        <v/>
      </c>
      <c r="Q77" s="284" t="str">
        <f>IF('Supp. Result Entry'!AR78="","",'Supp. Result Entry'!AR78)</f>
        <v/>
      </c>
      <c r="R77" s="285" t="str">
        <f>IF('Statement of Marks'!IA80="","",'Statement of Marks'!IA80)</f>
        <v/>
      </c>
      <c r="S77" s="286" t="str">
        <f>IF('Statement of Marks'!GL80="","",'Statement of Marks'!GL80)</f>
        <v/>
      </c>
      <c r="BM77" s="287" t="str">
        <f>'Statement of Marks'!F80</f>
        <v/>
      </c>
      <c r="BN77" s="288" t="str">
        <f t="shared" si="12"/>
        <v/>
      </c>
      <c r="BO77" s="288" t="str">
        <f t="shared" si="13"/>
        <v/>
      </c>
      <c r="BP77" s="288" t="str">
        <f t="shared" si="14"/>
        <v/>
      </c>
      <c r="BQ77" s="288" t="str">
        <f t="shared" si="15"/>
        <v/>
      </c>
      <c r="BR77" s="288" t="str">
        <f t="shared" si="16"/>
        <v/>
      </c>
      <c r="BS77" s="288" t="str">
        <f t="shared" si="17"/>
        <v/>
      </c>
      <c r="BT77" s="288" t="str">
        <f t="shared" si="18"/>
        <v/>
      </c>
      <c r="BU77" s="288" t="str">
        <f t="shared" si="19"/>
        <v/>
      </c>
      <c r="BV77" s="288" t="str">
        <f t="shared" si="20"/>
        <v/>
      </c>
      <c r="BW77" s="288" t="str">
        <f t="shared" si="21"/>
        <v/>
      </c>
      <c r="BX77" s="288" t="str">
        <f t="shared" si="22"/>
        <v/>
      </c>
      <c r="BY77" s="288" t="str">
        <f t="shared" si="23"/>
        <v/>
      </c>
      <c r="BZ77" s="289"/>
    </row>
    <row r="78" spans="1:78" ht="15" customHeight="1">
      <c r="A78" s="276">
        <f>IF('Statement of Marks'!A81="","",'Statement of Marks'!A81)</f>
        <v>75</v>
      </c>
      <c r="B78" s="277" t="str">
        <f>IF('Statement of Marks'!B81="","",'Statement of Marks'!B81)</f>
        <v/>
      </c>
      <c r="C78" s="278" t="str">
        <f>IF('Statement of Marks'!D81="","",'Statement of Marks'!D81)</f>
        <v/>
      </c>
      <c r="D78" s="314" t="str">
        <f>IF('Statement of Marks'!E81="","",'Statement of Marks'!E81)</f>
        <v/>
      </c>
      <c r="E78" s="279" t="str">
        <f>IF('Statement of Marks'!F81="","",'Statement of Marks'!F81)</f>
        <v/>
      </c>
      <c r="F78" s="279" t="str">
        <f>IF('Statement of Marks'!G81="","",'Statement of Marks'!G81)</f>
        <v/>
      </c>
      <c r="G78" s="279" t="str">
        <f>IF('Statement of Marks'!H81="","",'Statement of Marks'!H81)</f>
        <v/>
      </c>
      <c r="H78" s="280" t="str">
        <f>IF('Statement of Marks'!I81="","",'Statement of Marks'!I81)</f>
        <v/>
      </c>
      <c r="I78" s="280" t="str">
        <f>IF('Statement of Marks'!J81="","",'Statement of Marks'!J81)</f>
        <v/>
      </c>
      <c r="J78" s="827" t="str">
        <f>IF('Statement of Marks'!HS81="","",'Statement of Marks'!HS81)</f>
        <v/>
      </c>
      <c r="K78" s="281" t="str">
        <f>IF('Statement of Marks'!HT81="","",'Statement of Marks'!HT81)</f>
        <v/>
      </c>
      <c r="L78" s="828" t="str">
        <f>IF('Statement of Marks'!HW81="","",'Statement of Marks'!HW81)</f>
        <v/>
      </c>
      <c r="M78" s="281" t="str">
        <f>IF('Statement of Marks'!HV81="","",'Statement of Marks'!HV81)</f>
        <v/>
      </c>
      <c r="N78" s="829" t="str">
        <f>IF('Statement of Marks'!HX81="","",'Statement of Marks'!HX81)</f>
        <v/>
      </c>
      <c r="O78" s="282" t="str">
        <f>IF(J78="FAIL","",IF('Statement of Marks'!HO81="","",'Statement of Marks'!HO81))</f>
        <v xml:space="preserve">      </v>
      </c>
      <c r="P78" s="283" t="str">
        <f>IF('Supp. Result Entry'!AQ79="","",'Supp. Result Entry'!AQ79)</f>
        <v/>
      </c>
      <c r="Q78" s="284" t="str">
        <f>IF('Supp. Result Entry'!AR79="","",'Supp. Result Entry'!AR79)</f>
        <v/>
      </c>
      <c r="R78" s="285" t="str">
        <f>IF('Statement of Marks'!IA81="","",'Statement of Marks'!IA81)</f>
        <v/>
      </c>
      <c r="S78" s="286" t="str">
        <f>IF('Statement of Marks'!GL81="","",'Statement of Marks'!GL81)</f>
        <v/>
      </c>
      <c r="BM78" s="287" t="str">
        <f>'Statement of Marks'!F81</f>
        <v/>
      </c>
      <c r="BN78" s="288" t="str">
        <f t="shared" si="12"/>
        <v/>
      </c>
      <c r="BO78" s="288" t="str">
        <f t="shared" si="13"/>
        <v/>
      </c>
      <c r="BP78" s="288" t="str">
        <f t="shared" si="14"/>
        <v/>
      </c>
      <c r="BQ78" s="288" t="str">
        <f t="shared" si="15"/>
        <v/>
      </c>
      <c r="BR78" s="288" t="str">
        <f t="shared" si="16"/>
        <v/>
      </c>
      <c r="BS78" s="288" t="str">
        <f t="shared" si="17"/>
        <v/>
      </c>
      <c r="BT78" s="288" t="str">
        <f t="shared" si="18"/>
        <v/>
      </c>
      <c r="BU78" s="288" t="str">
        <f t="shared" si="19"/>
        <v/>
      </c>
      <c r="BV78" s="288" t="str">
        <f t="shared" si="20"/>
        <v/>
      </c>
      <c r="BW78" s="288" t="str">
        <f t="shared" si="21"/>
        <v/>
      </c>
      <c r="BX78" s="288" t="str">
        <f t="shared" si="22"/>
        <v/>
      </c>
      <c r="BY78" s="288" t="str">
        <f t="shared" si="23"/>
        <v/>
      </c>
      <c r="BZ78" s="289"/>
    </row>
    <row r="79" spans="1:78" ht="15" customHeight="1">
      <c r="A79" s="276">
        <f>IF('Statement of Marks'!A82="","",'Statement of Marks'!A82)</f>
        <v>76</v>
      </c>
      <c r="B79" s="277" t="str">
        <f>IF('Statement of Marks'!B82="","",'Statement of Marks'!B82)</f>
        <v/>
      </c>
      <c r="C79" s="278" t="str">
        <f>IF('Statement of Marks'!D82="","",'Statement of Marks'!D82)</f>
        <v/>
      </c>
      <c r="D79" s="314" t="str">
        <f>IF('Statement of Marks'!E82="","",'Statement of Marks'!E82)</f>
        <v/>
      </c>
      <c r="E79" s="279" t="str">
        <f>IF('Statement of Marks'!F82="","",'Statement of Marks'!F82)</f>
        <v/>
      </c>
      <c r="F79" s="279" t="str">
        <f>IF('Statement of Marks'!G82="","",'Statement of Marks'!G82)</f>
        <v/>
      </c>
      <c r="G79" s="279" t="str">
        <f>IF('Statement of Marks'!H82="","",'Statement of Marks'!H82)</f>
        <v/>
      </c>
      <c r="H79" s="280" t="str">
        <f>IF('Statement of Marks'!I82="","",'Statement of Marks'!I82)</f>
        <v/>
      </c>
      <c r="I79" s="280" t="str">
        <f>IF('Statement of Marks'!J82="","",'Statement of Marks'!J82)</f>
        <v/>
      </c>
      <c r="J79" s="827" t="str">
        <f>IF('Statement of Marks'!HS82="","",'Statement of Marks'!HS82)</f>
        <v/>
      </c>
      <c r="K79" s="281" t="str">
        <f>IF('Statement of Marks'!HT82="","",'Statement of Marks'!HT82)</f>
        <v/>
      </c>
      <c r="L79" s="828" t="str">
        <f>IF('Statement of Marks'!HW82="","",'Statement of Marks'!HW82)</f>
        <v/>
      </c>
      <c r="M79" s="281" t="str">
        <f>IF('Statement of Marks'!HV82="","",'Statement of Marks'!HV82)</f>
        <v/>
      </c>
      <c r="N79" s="829" t="str">
        <f>IF('Statement of Marks'!HX82="","",'Statement of Marks'!HX82)</f>
        <v/>
      </c>
      <c r="O79" s="282" t="str">
        <f>IF(J79="FAIL","",IF('Statement of Marks'!HO82="","",'Statement of Marks'!HO82))</f>
        <v xml:space="preserve">      </v>
      </c>
      <c r="P79" s="283" t="str">
        <f>IF('Supp. Result Entry'!AQ80="","",'Supp. Result Entry'!AQ80)</f>
        <v/>
      </c>
      <c r="Q79" s="284" t="str">
        <f>IF('Supp. Result Entry'!AR80="","",'Supp. Result Entry'!AR80)</f>
        <v/>
      </c>
      <c r="R79" s="285" t="str">
        <f>IF('Statement of Marks'!IA82="","",'Statement of Marks'!IA82)</f>
        <v/>
      </c>
      <c r="S79" s="286" t="str">
        <f>IF('Statement of Marks'!GL82="","",'Statement of Marks'!GL82)</f>
        <v/>
      </c>
      <c r="BM79" s="287" t="str">
        <f>'Statement of Marks'!F82</f>
        <v/>
      </c>
      <c r="BN79" s="288" t="str">
        <f t="shared" si="12"/>
        <v/>
      </c>
      <c r="BO79" s="288" t="str">
        <f t="shared" si="13"/>
        <v/>
      </c>
      <c r="BP79" s="288" t="str">
        <f t="shared" si="14"/>
        <v/>
      </c>
      <c r="BQ79" s="288" t="str">
        <f t="shared" si="15"/>
        <v/>
      </c>
      <c r="BR79" s="288" t="str">
        <f t="shared" si="16"/>
        <v/>
      </c>
      <c r="BS79" s="288" t="str">
        <f t="shared" si="17"/>
        <v/>
      </c>
      <c r="BT79" s="288" t="str">
        <f t="shared" si="18"/>
        <v/>
      </c>
      <c r="BU79" s="288" t="str">
        <f t="shared" si="19"/>
        <v/>
      </c>
      <c r="BV79" s="288" t="str">
        <f t="shared" si="20"/>
        <v/>
      </c>
      <c r="BW79" s="288" t="str">
        <f t="shared" si="21"/>
        <v/>
      </c>
      <c r="BX79" s="288" t="str">
        <f t="shared" si="22"/>
        <v/>
      </c>
      <c r="BY79" s="288" t="str">
        <f t="shared" si="23"/>
        <v/>
      </c>
      <c r="BZ79" s="289"/>
    </row>
    <row r="80" spans="1:78" ht="15" customHeight="1">
      <c r="A80" s="276">
        <f>IF('Statement of Marks'!A83="","",'Statement of Marks'!A83)</f>
        <v>77</v>
      </c>
      <c r="B80" s="277" t="str">
        <f>IF('Statement of Marks'!B83="","",'Statement of Marks'!B83)</f>
        <v/>
      </c>
      <c r="C80" s="278" t="str">
        <f>IF('Statement of Marks'!D83="","",'Statement of Marks'!D83)</f>
        <v/>
      </c>
      <c r="D80" s="314" t="str">
        <f>IF('Statement of Marks'!E83="","",'Statement of Marks'!E83)</f>
        <v/>
      </c>
      <c r="E80" s="279" t="str">
        <f>IF('Statement of Marks'!F83="","",'Statement of Marks'!F83)</f>
        <v/>
      </c>
      <c r="F80" s="279" t="str">
        <f>IF('Statement of Marks'!G83="","",'Statement of Marks'!G83)</f>
        <v/>
      </c>
      <c r="G80" s="279" t="str">
        <f>IF('Statement of Marks'!H83="","",'Statement of Marks'!H83)</f>
        <v/>
      </c>
      <c r="H80" s="280" t="str">
        <f>IF('Statement of Marks'!I83="","",'Statement of Marks'!I83)</f>
        <v/>
      </c>
      <c r="I80" s="280" t="str">
        <f>IF('Statement of Marks'!J83="","",'Statement of Marks'!J83)</f>
        <v/>
      </c>
      <c r="J80" s="827" t="str">
        <f>IF('Statement of Marks'!HS83="","",'Statement of Marks'!HS83)</f>
        <v/>
      </c>
      <c r="K80" s="281" t="str">
        <f>IF('Statement of Marks'!HT83="","",'Statement of Marks'!HT83)</f>
        <v/>
      </c>
      <c r="L80" s="828" t="str">
        <f>IF('Statement of Marks'!HW83="","",'Statement of Marks'!HW83)</f>
        <v/>
      </c>
      <c r="M80" s="281" t="str">
        <f>IF('Statement of Marks'!HV83="","",'Statement of Marks'!HV83)</f>
        <v/>
      </c>
      <c r="N80" s="829" t="str">
        <f>IF('Statement of Marks'!HX83="","",'Statement of Marks'!HX83)</f>
        <v/>
      </c>
      <c r="O80" s="282" t="str">
        <f>IF(J80="FAIL","",IF('Statement of Marks'!HO83="","",'Statement of Marks'!HO83))</f>
        <v xml:space="preserve">      </v>
      </c>
      <c r="P80" s="283" t="str">
        <f>IF('Supp. Result Entry'!AQ81="","",'Supp. Result Entry'!AQ81)</f>
        <v/>
      </c>
      <c r="Q80" s="284" t="str">
        <f>IF('Supp. Result Entry'!AR81="","",'Supp. Result Entry'!AR81)</f>
        <v/>
      </c>
      <c r="R80" s="285" t="str">
        <f>IF('Statement of Marks'!IA83="","",'Statement of Marks'!IA83)</f>
        <v/>
      </c>
      <c r="S80" s="286" t="str">
        <f>IF('Statement of Marks'!GL83="","",'Statement of Marks'!GL83)</f>
        <v/>
      </c>
      <c r="BM80" s="287" t="str">
        <f>'Statement of Marks'!F83</f>
        <v/>
      </c>
      <c r="BN80" s="288" t="str">
        <f t="shared" si="12"/>
        <v/>
      </c>
      <c r="BO80" s="288" t="str">
        <f t="shared" si="13"/>
        <v/>
      </c>
      <c r="BP80" s="288" t="str">
        <f t="shared" si="14"/>
        <v/>
      </c>
      <c r="BQ80" s="288" t="str">
        <f t="shared" si="15"/>
        <v/>
      </c>
      <c r="BR80" s="288" t="str">
        <f t="shared" si="16"/>
        <v/>
      </c>
      <c r="BS80" s="288" t="str">
        <f t="shared" si="17"/>
        <v/>
      </c>
      <c r="BT80" s="288" t="str">
        <f t="shared" si="18"/>
        <v/>
      </c>
      <c r="BU80" s="288" t="str">
        <f t="shared" si="19"/>
        <v/>
      </c>
      <c r="BV80" s="288" t="str">
        <f t="shared" si="20"/>
        <v/>
      </c>
      <c r="BW80" s="288" t="str">
        <f t="shared" si="21"/>
        <v/>
      </c>
      <c r="BX80" s="288" t="str">
        <f t="shared" si="22"/>
        <v/>
      </c>
      <c r="BY80" s="288" t="str">
        <f t="shared" si="23"/>
        <v/>
      </c>
      <c r="BZ80" s="289"/>
    </row>
    <row r="81" spans="1:78" ht="15" customHeight="1">
      <c r="A81" s="276">
        <f>IF('Statement of Marks'!A84="","",'Statement of Marks'!A84)</f>
        <v>78</v>
      </c>
      <c r="B81" s="277" t="str">
        <f>IF('Statement of Marks'!B84="","",'Statement of Marks'!B84)</f>
        <v/>
      </c>
      <c r="C81" s="278" t="str">
        <f>IF('Statement of Marks'!D84="","",'Statement of Marks'!D84)</f>
        <v/>
      </c>
      <c r="D81" s="314" t="str">
        <f>IF('Statement of Marks'!E84="","",'Statement of Marks'!E84)</f>
        <v/>
      </c>
      <c r="E81" s="279" t="str">
        <f>IF('Statement of Marks'!F84="","",'Statement of Marks'!F84)</f>
        <v/>
      </c>
      <c r="F81" s="279" t="str">
        <f>IF('Statement of Marks'!G84="","",'Statement of Marks'!G84)</f>
        <v/>
      </c>
      <c r="G81" s="279" t="str">
        <f>IF('Statement of Marks'!H84="","",'Statement of Marks'!H84)</f>
        <v/>
      </c>
      <c r="H81" s="280" t="str">
        <f>IF('Statement of Marks'!I84="","",'Statement of Marks'!I84)</f>
        <v/>
      </c>
      <c r="I81" s="280" t="str">
        <f>IF('Statement of Marks'!J84="","",'Statement of Marks'!J84)</f>
        <v/>
      </c>
      <c r="J81" s="827" t="str">
        <f>IF('Statement of Marks'!HS84="","",'Statement of Marks'!HS84)</f>
        <v/>
      </c>
      <c r="K81" s="281" t="str">
        <f>IF('Statement of Marks'!HT84="","",'Statement of Marks'!HT84)</f>
        <v/>
      </c>
      <c r="L81" s="828" t="str">
        <f>IF('Statement of Marks'!HW84="","",'Statement of Marks'!HW84)</f>
        <v/>
      </c>
      <c r="M81" s="281" t="str">
        <f>IF('Statement of Marks'!HV84="","",'Statement of Marks'!HV84)</f>
        <v/>
      </c>
      <c r="N81" s="829" t="str">
        <f>IF('Statement of Marks'!HX84="","",'Statement of Marks'!HX84)</f>
        <v/>
      </c>
      <c r="O81" s="282" t="str">
        <f>IF(J81="FAIL","",IF('Statement of Marks'!HO84="","",'Statement of Marks'!HO84))</f>
        <v xml:space="preserve">      </v>
      </c>
      <c r="P81" s="283" t="str">
        <f>IF('Supp. Result Entry'!AQ82="","",'Supp. Result Entry'!AQ82)</f>
        <v/>
      </c>
      <c r="Q81" s="284" t="str">
        <f>IF('Supp. Result Entry'!AR82="","",'Supp. Result Entry'!AR82)</f>
        <v/>
      </c>
      <c r="R81" s="285" t="str">
        <f>IF('Statement of Marks'!IA84="","",'Statement of Marks'!IA84)</f>
        <v/>
      </c>
      <c r="S81" s="286" t="str">
        <f>IF('Statement of Marks'!GL84="","",'Statement of Marks'!GL84)</f>
        <v/>
      </c>
      <c r="BM81" s="287" t="str">
        <f>'Statement of Marks'!F84</f>
        <v/>
      </c>
      <c r="BN81" s="288" t="str">
        <f t="shared" si="12"/>
        <v/>
      </c>
      <c r="BO81" s="288" t="str">
        <f t="shared" si="13"/>
        <v/>
      </c>
      <c r="BP81" s="288" t="str">
        <f t="shared" si="14"/>
        <v/>
      </c>
      <c r="BQ81" s="288" t="str">
        <f t="shared" si="15"/>
        <v/>
      </c>
      <c r="BR81" s="288" t="str">
        <f t="shared" si="16"/>
        <v/>
      </c>
      <c r="BS81" s="288" t="str">
        <f t="shared" si="17"/>
        <v/>
      </c>
      <c r="BT81" s="288" t="str">
        <f t="shared" si="18"/>
        <v/>
      </c>
      <c r="BU81" s="288" t="str">
        <f t="shared" si="19"/>
        <v/>
      </c>
      <c r="BV81" s="288" t="str">
        <f t="shared" si="20"/>
        <v/>
      </c>
      <c r="BW81" s="288" t="str">
        <f t="shared" si="21"/>
        <v/>
      </c>
      <c r="BX81" s="288" t="str">
        <f t="shared" si="22"/>
        <v/>
      </c>
      <c r="BY81" s="288" t="str">
        <f t="shared" si="23"/>
        <v/>
      </c>
      <c r="BZ81" s="289"/>
    </row>
    <row r="82" spans="1:78" ht="15" customHeight="1">
      <c r="A82" s="276">
        <f>IF('Statement of Marks'!A85="","",'Statement of Marks'!A85)</f>
        <v>79</v>
      </c>
      <c r="B82" s="277" t="str">
        <f>IF('Statement of Marks'!B85="","",'Statement of Marks'!B85)</f>
        <v/>
      </c>
      <c r="C82" s="278" t="str">
        <f>IF('Statement of Marks'!D85="","",'Statement of Marks'!D85)</f>
        <v/>
      </c>
      <c r="D82" s="314" t="str">
        <f>IF('Statement of Marks'!E85="","",'Statement of Marks'!E85)</f>
        <v/>
      </c>
      <c r="E82" s="279" t="str">
        <f>IF('Statement of Marks'!F85="","",'Statement of Marks'!F85)</f>
        <v/>
      </c>
      <c r="F82" s="279" t="str">
        <f>IF('Statement of Marks'!G85="","",'Statement of Marks'!G85)</f>
        <v/>
      </c>
      <c r="G82" s="279" t="str">
        <f>IF('Statement of Marks'!H85="","",'Statement of Marks'!H85)</f>
        <v/>
      </c>
      <c r="H82" s="280" t="str">
        <f>IF('Statement of Marks'!I85="","",'Statement of Marks'!I85)</f>
        <v/>
      </c>
      <c r="I82" s="280" t="str">
        <f>IF('Statement of Marks'!J85="","",'Statement of Marks'!J85)</f>
        <v/>
      </c>
      <c r="J82" s="827" t="str">
        <f>IF('Statement of Marks'!HS85="","",'Statement of Marks'!HS85)</f>
        <v/>
      </c>
      <c r="K82" s="281" t="str">
        <f>IF('Statement of Marks'!HT85="","",'Statement of Marks'!HT85)</f>
        <v/>
      </c>
      <c r="L82" s="828" t="str">
        <f>IF('Statement of Marks'!HW85="","",'Statement of Marks'!HW85)</f>
        <v/>
      </c>
      <c r="M82" s="281" t="str">
        <f>IF('Statement of Marks'!HV85="","",'Statement of Marks'!HV85)</f>
        <v/>
      </c>
      <c r="N82" s="829" t="str">
        <f>IF('Statement of Marks'!HX85="","",'Statement of Marks'!HX85)</f>
        <v/>
      </c>
      <c r="O82" s="282" t="str">
        <f>IF(J82="FAIL","",IF('Statement of Marks'!HO85="","",'Statement of Marks'!HO85))</f>
        <v xml:space="preserve">      </v>
      </c>
      <c r="P82" s="283" t="str">
        <f>IF('Supp. Result Entry'!AQ83="","",'Supp. Result Entry'!AQ83)</f>
        <v/>
      </c>
      <c r="Q82" s="284" t="str">
        <f>IF('Supp. Result Entry'!AR83="","",'Supp. Result Entry'!AR83)</f>
        <v/>
      </c>
      <c r="R82" s="285" t="str">
        <f>IF('Statement of Marks'!IA85="","",'Statement of Marks'!IA85)</f>
        <v/>
      </c>
      <c r="S82" s="286" t="str">
        <f>IF('Statement of Marks'!GL85="","",'Statement of Marks'!GL85)</f>
        <v/>
      </c>
      <c r="BM82" s="287" t="str">
        <f>'Statement of Marks'!F85</f>
        <v/>
      </c>
      <c r="BN82" s="288" t="str">
        <f t="shared" si="12"/>
        <v/>
      </c>
      <c r="BO82" s="288" t="str">
        <f t="shared" si="13"/>
        <v/>
      </c>
      <c r="BP82" s="288" t="str">
        <f t="shared" si="14"/>
        <v/>
      </c>
      <c r="BQ82" s="288" t="str">
        <f t="shared" si="15"/>
        <v/>
      </c>
      <c r="BR82" s="288" t="str">
        <f t="shared" si="16"/>
        <v/>
      </c>
      <c r="BS82" s="288" t="str">
        <f t="shared" si="17"/>
        <v/>
      </c>
      <c r="BT82" s="288" t="str">
        <f t="shared" si="18"/>
        <v/>
      </c>
      <c r="BU82" s="288" t="str">
        <f t="shared" si="19"/>
        <v/>
      </c>
      <c r="BV82" s="288" t="str">
        <f t="shared" si="20"/>
        <v/>
      </c>
      <c r="BW82" s="288" t="str">
        <f t="shared" si="21"/>
        <v/>
      </c>
      <c r="BX82" s="288" t="str">
        <f t="shared" si="22"/>
        <v/>
      </c>
      <c r="BY82" s="288" t="str">
        <f t="shared" si="23"/>
        <v/>
      </c>
      <c r="BZ82" s="289"/>
    </row>
    <row r="83" spans="1:78" ht="15" customHeight="1">
      <c r="A83" s="276">
        <f>IF('Statement of Marks'!A86="","",'Statement of Marks'!A86)</f>
        <v>80</v>
      </c>
      <c r="B83" s="277" t="str">
        <f>IF('Statement of Marks'!B86="","",'Statement of Marks'!B86)</f>
        <v/>
      </c>
      <c r="C83" s="278" t="str">
        <f>IF('Statement of Marks'!D86="","",'Statement of Marks'!D86)</f>
        <v/>
      </c>
      <c r="D83" s="314" t="str">
        <f>IF('Statement of Marks'!E86="","",'Statement of Marks'!E86)</f>
        <v/>
      </c>
      <c r="E83" s="279" t="str">
        <f>IF('Statement of Marks'!F86="","",'Statement of Marks'!F86)</f>
        <v/>
      </c>
      <c r="F83" s="279" t="str">
        <f>IF('Statement of Marks'!G86="","",'Statement of Marks'!G86)</f>
        <v/>
      </c>
      <c r="G83" s="279" t="str">
        <f>IF('Statement of Marks'!H86="","",'Statement of Marks'!H86)</f>
        <v/>
      </c>
      <c r="H83" s="280" t="str">
        <f>IF('Statement of Marks'!I86="","",'Statement of Marks'!I86)</f>
        <v/>
      </c>
      <c r="I83" s="280" t="str">
        <f>IF('Statement of Marks'!J86="","",'Statement of Marks'!J86)</f>
        <v/>
      </c>
      <c r="J83" s="827" t="str">
        <f>IF('Statement of Marks'!HS86="","",'Statement of Marks'!HS86)</f>
        <v/>
      </c>
      <c r="K83" s="281" t="str">
        <f>IF('Statement of Marks'!HT86="","",'Statement of Marks'!HT86)</f>
        <v/>
      </c>
      <c r="L83" s="828" t="str">
        <f>IF('Statement of Marks'!HW86="","",'Statement of Marks'!HW86)</f>
        <v/>
      </c>
      <c r="M83" s="281" t="str">
        <f>IF('Statement of Marks'!HV86="","",'Statement of Marks'!HV86)</f>
        <v/>
      </c>
      <c r="N83" s="829" t="str">
        <f>IF('Statement of Marks'!HX86="","",'Statement of Marks'!HX86)</f>
        <v/>
      </c>
      <c r="O83" s="282" t="str">
        <f>IF(J83="FAIL","",IF('Statement of Marks'!HO86="","",'Statement of Marks'!HO86))</f>
        <v xml:space="preserve">      </v>
      </c>
      <c r="P83" s="283" t="str">
        <f>IF('Supp. Result Entry'!AQ84="","",'Supp. Result Entry'!AQ84)</f>
        <v/>
      </c>
      <c r="Q83" s="284" t="str">
        <f>IF('Supp. Result Entry'!AR84="","",'Supp. Result Entry'!AR84)</f>
        <v/>
      </c>
      <c r="R83" s="285" t="str">
        <f>IF('Statement of Marks'!IA86="","",'Statement of Marks'!IA86)</f>
        <v/>
      </c>
      <c r="S83" s="286" t="str">
        <f>IF('Statement of Marks'!GL86="","",'Statement of Marks'!GL86)</f>
        <v/>
      </c>
      <c r="BM83" s="287" t="str">
        <f>'Statement of Marks'!F86</f>
        <v/>
      </c>
      <c r="BN83" s="288" t="str">
        <f t="shared" si="12"/>
        <v/>
      </c>
      <c r="BO83" s="288" t="str">
        <f t="shared" si="13"/>
        <v/>
      </c>
      <c r="BP83" s="288" t="str">
        <f t="shared" si="14"/>
        <v/>
      </c>
      <c r="BQ83" s="288" t="str">
        <f t="shared" si="15"/>
        <v/>
      </c>
      <c r="BR83" s="288" t="str">
        <f t="shared" si="16"/>
        <v/>
      </c>
      <c r="BS83" s="288" t="str">
        <f t="shared" si="17"/>
        <v/>
      </c>
      <c r="BT83" s="288" t="str">
        <f t="shared" si="18"/>
        <v/>
      </c>
      <c r="BU83" s="288" t="str">
        <f t="shared" si="19"/>
        <v/>
      </c>
      <c r="BV83" s="288" t="str">
        <f t="shared" si="20"/>
        <v/>
      </c>
      <c r="BW83" s="288" t="str">
        <f t="shared" si="21"/>
        <v/>
      </c>
      <c r="BX83" s="288" t="str">
        <f t="shared" si="22"/>
        <v/>
      </c>
      <c r="BY83" s="288" t="str">
        <f t="shared" si="23"/>
        <v/>
      </c>
      <c r="BZ83" s="289"/>
    </row>
    <row r="84" spans="1:78" ht="15" customHeight="1">
      <c r="A84" s="276">
        <f>IF('Statement of Marks'!A87="","",'Statement of Marks'!A87)</f>
        <v>81</v>
      </c>
      <c r="B84" s="277" t="str">
        <f>IF('Statement of Marks'!B87="","",'Statement of Marks'!B87)</f>
        <v/>
      </c>
      <c r="C84" s="278" t="str">
        <f>IF('Statement of Marks'!D87="","",'Statement of Marks'!D87)</f>
        <v/>
      </c>
      <c r="D84" s="314" t="str">
        <f>IF('Statement of Marks'!E87="","",'Statement of Marks'!E87)</f>
        <v/>
      </c>
      <c r="E84" s="279" t="str">
        <f>IF('Statement of Marks'!F87="","",'Statement of Marks'!F87)</f>
        <v/>
      </c>
      <c r="F84" s="279" t="str">
        <f>IF('Statement of Marks'!G87="","",'Statement of Marks'!G87)</f>
        <v/>
      </c>
      <c r="G84" s="279" t="str">
        <f>IF('Statement of Marks'!H87="","",'Statement of Marks'!H87)</f>
        <v/>
      </c>
      <c r="H84" s="280" t="str">
        <f>IF('Statement of Marks'!I87="","",'Statement of Marks'!I87)</f>
        <v/>
      </c>
      <c r="I84" s="280" t="str">
        <f>IF('Statement of Marks'!J87="","",'Statement of Marks'!J87)</f>
        <v/>
      </c>
      <c r="J84" s="827" t="str">
        <f>IF('Statement of Marks'!HS87="","",'Statement of Marks'!HS87)</f>
        <v/>
      </c>
      <c r="K84" s="281" t="str">
        <f>IF('Statement of Marks'!HT87="","",'Statement of Marks'!HT87)</f>
        <v/>
      </c>
      <c r="L84" s="828" t="str">
        <f>IF('Statement of Marks'!HW87="","",'Statement of Marks'!HW87)</f>
        <v/>
      </c>
      <c r="M84" s="281" t="str">
        <f>IF('Statement of Marks'!HV87="","",'Statement of Marks'!HV87)</f>
        <v/>
      </c>
      <c r="N84" s="829" t="str">
        <f>IF('Statement of Marks'!HX87="","",'Statement of Marks'!HX87)</f>
        <v/>
      </c>
      <c r="O84" s="282" t="str">
        <f>IF(J84="FAIL","",IF('Statement of Marks'!HO87="","",'Statement of Marks'!HO87))</f>
        <v xml:space="preserve">      </v>
      </c>
      <c r="P84" s="283" t="str">
        <f>IF('Supp. Result Entry'!AQ85="","",'Supp. Result Entry'!AQ85)</f>
        <v/>
      </c>
      <c r="Q84" s="284" t="str">
        <f>IF('Supp. Result Entry'!AR85="","",'Supp. Result Entry'!AR85)</f>
        <v/>
      </c>
      <c r="R84" s="285" t="str">
        <f>IF('Statement of Marks'!IA87="","",'Statement of Marks'!IA87)</f>
        <v/>
      </c>
      <c r="S84" s="286" t="str">
        <f>IF('Statement of Marks'!GL87="","",'Statement of Marks'!GL87)</f>
        <v/>
      </c>
      <c r="BM84" s="287" t="str">
        <f>'Statement of Marks'!F87</f>
        <v/>
      </c>
      <c r="BN84" s="288" t="str">
        <f t="shared" si="12"/>
        <v/>
      </c>
      <c r="BO84" s="288" t="str">
        <f t="shared" si="13"/>
        <v/>
      </c>
      <c r="BP84" s="288" t="str">
        <f t="shared" si="14"/>
        <v/>
      </c>
      <c r="BQ84" s="288" t="str">
        <f t="shared" si="15"/>
        <v/>
      </c>
      <c r="BR84" s="288" t="str">
        <f t="shared" si="16"/>
        <v/>
      </c>
      <c r="BS84" s="288" t="str">
        <f t="shared" si="17"/>
        <v/>
      </c>
      <c r="BT84" s="288" t="str">
        <f t="shared" si="18"/>
        <v/>
      </c>
      <c r="BU84" s="288" t="str">
        <f t="shared" si="19"/>
        <v/>
      </c>
      <c r="BV84" s="288" t="str">
        <f t="shared" si="20"/>
        <v/>
      </c>
      <c r="BW84" s="288" t="str">
        <f t="shared" si="21"/>
        <v/>
      </c>
      <c r="BX84" s="288" t="str">
        <f t="shared" si="22"/>
        <v/>
      </c>
      <c r="BY84" s="288" t="str">
        <f t="shared" si="23"/>
        <v/>
      </c>
      <c r="BZ84" s="289"/>
    </row>
    <row r="85" spans="1:78" ht="15" customHeight="1">
      <c r="A85" s="276">
        <f>IF('Statement of Marks'!A88="","",'Statement of Marks'!A88)</f>
        <v>82</v>
      </c>
      <c r="B85" s="277" t="str">
        <f>IF('Statement of Marks'!B88="","",'Statement of Marks'!B88)</f>
        <v/>
      </c>
      <c r="C85" s="278" t="str">
        <f>IF('Statement of Marks'!D88="","",'Statement of Marks'!D88)</f>
        <v/>
      </c>
      <c r="D85" s="314" t="str">
        <f>IF('Statement of Marks'!E88="","",'Statement of Marks'!E88)</f>
        <v/>
      </c>
      <c r="E85" s="279" t="str">
        <f>IF('Statement of Marks'!F88="","",'Statement of Marks'!F88)</f>
        <v/>
      </c>
      <c r="F85" s="279" t="str">
        <f>IF('Statement of Marks'!G88="","",'Statement of Marks'!G88)</f>
        <v/>
      </c>
      <c r="G85" s="279" t="str">
        <f>IF('Statement of Marks'!H88="","",'Statement of Marks'!H88)</f>
        <v/>
      </c>
      <c r="H85" s="280" t="str">
        <f>IF('Statement of Marks'!I88="","",'Statement of Marks'!I88)</f>
        <v/>
      </c>
      <c r="I85" s="280" t="str">
        <f>IF('Statement of Marks'!J88="","",'Statement of Marks'!J88)</f>
        <v/>
      </c>
      <c r="J85" s="827" t="str">
        <f>IF('Statement of Marks'!HS88="","",'Statement of Marks'!HS88)</f>
        <v/>
      </c>
      <c r="K85" s="281" t="str">
        <f>IF('Statement of Marks'!HT88="","",'Statement of Marks'!HT88)</f>
        <v/>
      </c>
      <c r="L85" s="828" t="str">
        <f>IF('Statement of Marks'!HW88="","",'Statement of Marks'!HW88)</f>
        <v/>
      </c>
      <c r="M85" s="281" t="str">
        <f>IF('Statement of Marks'!HV88="","",'Statement of Marks'!HV88)</f>
        <v/>
      </c>
      <c r="N85" s="829" t="str">
        <f>IF('Statement of Marks'!HX88="","",'Statement of Marks'!HX88)</f>
        <v/>
      </c>
      <c r="O85" s="282" t="str">
        <f>IF(J85="FAIL","",IF('Statement of Marks'!HO88="","",'Statement of Marks'!HO88))</f>
        <v xml:space="preserve">      </v>
      </c>
      <c r="P85" s="283" t="str">
        <f>IF('Supp. Result Entry'!AQ86="","",'Supp. Result Entry'!AQ86)</f>
        <v/>
      </c>
      <c r="Q85" s="284" t="str">
        <f>IF('Supp. Result Entry'!AR86="","",'Supp. Result Entry'!AR86)</f>
        <v/>
      </c>
      <c r="R85" s="285" t="str">
        <f>IF('Statement of Marks'!IA88="","",'Statement of Marks'!IA88)</f>
        <v/>
      </c>
      <c r="S85" s="286" t="str">
        <f>IF('Statement of Marks'!GL88="","",'Statement of Marks'!GL88)</f>
        <v/>
      </c>
      <c r="BM85" s="287" t="str">
        <f>'Statement of Marks'!F88</f>
        <v/>
      </c>
      <c r="BN85" s="288" t="str">
        <f t="shared" si="12"/>
        <v/>
      </c>
      <c r="BO85" s="288" t="str">
        <f t="shared" si="13"/>
        <v/>
      </c>
      <c r="BP85" s="288" t="str">
        <f t="shared" si="14"/>
        <v/>
      </c>
      <c r="BQ85" s="288" t="str">
        <f t="shared" si="15"/>
        <v/>
      </c>
      <c r="BR85" s="288" t="str">
        <f t="shared" si="16"/>
        <v/>
      </c>
      <c r="BS85" s="288" t="str">
        <f t="shared" si="17"/>
        <v/>
      </c>
      <c r="BT85" s="288" t="str">
        <f t="shared" si="18"/>
        <v/>
      </c>
      <c r="BU85" s="288" t="str">
        <f t="shared" si="19"/>
        <v/>
      </c>
      <c r="BV85" s="288" t="str">
        <f t="shared" si="20"/>
        <v/>
      </c>
      <c r="BW85" s="288" t="str">
        <f t="shared" si="21"/>
        <v/>
      </c>
      <c r="BX85" s="288" t="str">
        <f t="shared" si="22"/>
        <v/>
      </c>
      <c r="BY85" s="288" t="str">
        <f t="shared" si="23"/>
        <v/>
      </c>
      <c r="BZ85" s="289"/>
    </row>
    <row r="86" spans="1:78" ht="15" customHeight="1">
      <c r="A86" s="276">
        <f>IF('Statement of Marks'!A89="","",'Statement of Marks'!A89)</f>
        <v>83</v>
      </c>
      <c r="B86" s="277" t="str">
        <f>IF('Statement of Marks'!B89="","",'Statement of Marks'!B89)</f>
        <v/>
      </c>
      <c r="C86" s="278" t="str">
        <f>IF('Statement of Marks'!D89="","",'Statement of Marks'!D89)</f>
        <v/>
      </c>
      <c r="D86" s="314" t="str">
        <f>IF('Statement of Marks'!E89="","",'Statement of Marks'!E89)</f>
        <v/>
      </c>
      <c r="E86" s="279" t="str">
        <f>IF('Statement of Marks'!F89="","",'Statement of Marks'!F89)</f>
        <v/>
      </c>
      <c r="F86" s="279" t="str">
        <f>IF('Statement of Marks'!G89="","",'Statement of Marks'!G89)</f>
        <v/>
      </c>
      <c r="G86" s="279" t="str">
        <f>IF('Statement of Marks'!H89="","",'Statement of Marks'!H89)</f>
        <v/>
      </c>
      <c r="H86" s="280" t="str">
        <f>IF('Statement of Marks'!I89="","",'Statement of Marks'!I89)</f>
        <v/>
      </c>
      <c r="I86" s="280" t="str">
        <f>IF('Statement of Marks'!J89="","",'Statement of Marks'!J89)</f>
        <v/>
      </c>
      <c r="J86" s="827" t="str">
        <f>IF('Statement of Marks'!HS89="","",'Statement of Marks'!HS89)</f>
        <v/>
      </c>
      <c r="K86" s="281" t="str">
        <f>IF('Statement of Marks'!HT89="","",'Statement of Marks'!HT89)</f>
        <v/>
      </c>
      <c r="L86" s="828" t="str">
        <f>IF('Statement of Marks'!HW89="","",'Statement of Marks'!HW89)</f>
        <v/>
      </c>
      <c r="M86" s="281" t="str">
        <f>IF('Statement of Marks'!HV89="","",'Statement of Marks'!HV89)</f>
        <v/>
      </c>
      <c r="N86" s="829" t="str">
        <f>IF('Statement of Marks'!HX89="","",'Statement of Marks'!HX89)</f>
        <v/>
      </c>
      <c r="O86" s="282" t="str">
        <f>IF(J86="FAIL","",IF('Statement of Marks'!HO89="","",'Statement of Marks'!HO89))</f>
        <v xml:space="preserve">      </v>
      </c>
      <c r="P86" s="283" t="str">
        <f>IF('Supp. Result Entry'!AQ87="","",'Supp. Result Entry'!AQ87)</f>
        <v/>
      </c>
      <c r="Q86" s="284" t="str">
        <f>IF('Supp. Result Entry'!AR87="","",'Supp. Result Entry'!AR87)</f>
        <v/>
      </c>
      <c r="R86" s="285" t="str">
        <f>IF('Statement of Marks'!IA89="","",'Statement of Marks'!IA89)</f>
        <v/>
      </c>
      <c r="S86" s="286" t="str">
        <f>IF('Statement of Marks'!GL89="","",'Statement of Marks'!GL89)</f>
        <v/>
      </c>
      <c r="BM86" s="287" t="str">
        <f>'Statement of Marks'!F89</f>
        <v/>
      </c>
      <c r="BN86" s="288" t="str">
        <f t="shared" si="12"/>
        <v/>
      </c>
      <c r="BO86" s="288" t="str">
        <f t="shared" si="13"/>
        <v/>
      </c>
      <c r="BP86" s="288" t="str">
        <f t="shared" si="14"/>
        <v/>
      </c>
      <c r="BQ86" s="288" t="str">
        <f t="shared" si="15"/>
        <v/>
      </c>
      <c r="BR86" s="288" t="str">
        <f t="shared" si="16"/>
        <v/>
      </c>
      <c r="BS86" s="288" t="str">
        <f t="shared" si="17"/>
        <v/>
      </c>
      <c r="BT86" s="288" t="str">
        <f t="shared" si="18"/>
        <v/>
      </c>
      <c r="BU86" s="288" t="str">
        <f t="shared" si="19"/>
        <v/>
      </c>
      <c r="BV86" s="288" t="str">
        <f t="shared" si="20"/>
        <v/>
      </c>
      <c r="BW86" s="288" t="str">
        <f t="shared" si="21"/>
        <v/>
      </c>
      <c r="BX86" s="288" t="str">
        <f t="shared" si="22"/>
        <v/>
      </c>
      <c r="BY86" s="288" t="str">
        <f t="shared" si="23"/>
        <v/>
      </c>
      <c r="BZ86" s="289"/>
    </row>
    <row r="87" spans="1:78" ht="15" customHeight="1">
      <c r="A87" s="276">
        <f>IF('Statement of Marks'!A90="","",'Statement of Marks'!A90)</f>
        <v>84</v>
      </c>
      <c r="B87" s="277" t="str">
        <f>IF('Statement of Marks'!B90="","",'Statement of Marks'!B90)</f>
        <v/>
      </c>
      <c r="C87" s="278" t="str">
        <f>IF('Statement of Marks'!D90="","",'Statement of Marks'!D90)</f>
        <v/>
      </c>
      <c r="D87" s="314" t="str">
        <f>IF('Statement of Marks'!E90="","",'Statement of Marks'!E90)</f>
        <v/>
      </c>
      <c r="E87" s="279" t="str">
        <f>IF('Statement of Marks'!F90="","",'Statement of Marks'!F90)</f>
        <v/>
      </c>
      <c r="F87" s="279" t="str">
        <f>IF('Statement of Marks'!G90="","",'Statement of Marks'!G90)</f>
        <v/>
      </c>
      <c r="G87" s="279" t="str">
        <f>IF('Statement of Marks'!H90="","",'Statement of Marks'!H90)</f>
        <v/>
      </c>
      <c r="H87" s="280" t="str">
        <f>IF('Statement of Marks'!I90="","",'Statement of Marks'!I90)</f>
        <v/>
      </c>
      <c r="I87" s="280" t="str">
        <f>IF('Statement of Marks'!J90="","",'Statement of Marks'!J90)</f>
        <v/>
      </c>
      <c r="J87" s="827" t="str">
        <f>IF('Statement of Marks'!HS90="","",'Statement of Marks'!HS90)</f>
        <v/>
      </c>
      <c r="K87" s="281" t="str">
        <f>IF('Statement of Marks'!HT90="","",'Statement of Marks'!HT90)</f>
        <v/>
      </c>
      <c r="L87" s="828" t="str">
        <f>IF('Statement of Marks'!HW90="","",'Statement of Marks'!HW90)</f>
        <v/>
      </c>
      <c r="M87" s="281" t="str">
        <f>IF('Statement of Marks'!HV90="","",'Statement of Marks'!HV90)</f>
        <v/>
      </c>
      <c r="N87" s="829" t="str">
        <f>IF('Statement of Marks'!HX90="","",'Statement of Marks'!HX90)</f>
        <v/>
      </c>
      <c r="O87" s="282" t="str">
        <f>IF(J87="FAIL","",IF('Statement of Marks'!HO90="","",'Statement of Marks'!HO90))</f>
        <v xml:space="preserve">      </v>
      </c>
      <c r="P87" s="283" t="str">
        <f>IF('Supp. Result Entry'!AQ88="","",'Supp. Result Entry'!AQ88)</f>
        <v/>
      </c>
      <c r="Q87" s="284" t="str">
        <f>IF('Supp. Result Entry'!AR88="","",'Supp. Result Entry'!AR88)</f>
        <v/>
      </c>
      <c r="R87" s="285" t="str">
        <f>IF('Statement of Marks'!IA90="","",'Statement of Marks'!IA90)</f>
        <v/>
      </c>
      <c r="S87" s="286" t="str">
        <f>IF('Statement of Marks'!GL90="","",'Statement of Marks'!GL90)</f>
        <v/>
      </c>
      <c r="BM87" s="287" t="str">
        <f>'Statement of Marks'!F90</f>
        <v/>
      </c>
      <c r="BN87" s="288" t="str">
        <f t="shared" si="12"/>
        <v/>
      </c>
      <c r="BO87" s="288" t="str">
        <f t="shared" si="13"/>
        <v/>
      </c>
      <c r="BP87" s="288" t="str">
        <f t="shared" si="14"/>
        <v/>
      </c>
      <c r="BQ87" s="288" t="str">
        <f t="shared" si="15"/>
        <v/>
      </c>
      <c r="BR87" s="288" t="str">
        <f t="shared" si="16"/>
        <v/>
      </c>
      <c r="BS87" s="288" t="str">
        <f t="shared" si="17"/>
        <v/>
      </c>
      <c r="BT87" s="288" t="str">
        <f t="shared" si="18"/>
        <v/>
      </c>
      <c r="BU87" s="288" t="str">
        <f t="shared" si="19"/>
        <v/>
      </c>
      <c r="BV87" s="288" t="str">
        <f t="shared" si="20"/>
        <v/>
      </c>
      <c r="BW87" s="288" t="str">
        <f t="shared" si="21"/>
        <v/>
      </c>
      <c r="BX87" s="288" t="str">
        <f t="shared" si="22"/>
        <v/>
      </c>
      <c r="BY87" s="288" t="str">
        <f t="shared" si="23"/>
        <v/>
      </c>
      <c r="BZ87" s="289"/>
    </row>
    <row r="88" spans="1:78" ht="15" customHeight="1">
      <c r="A88" s="276">
        <f>IF('Statement of Marks'!A91="","",'Statement of Marks'!A91)</f>
        <v>85</v>
      </c>
      <c r="B88" s="277" t="str">
        <f>IF('Statement of Marks'!B91="","",'Statement of Marks'!B91)</f>
        <v/>
      </c>
      <c r="C88" s="278" t="str">
        <f>IF('Statement of Marks'!D91="","",'Statement of Marks'!D91)</f>
        <v/>
      </c>
      <c r="D88" s="314" t="str">
        <f>IF('Statement of Marks'!E91="","",'Statement of Marks'!E91)</f>
        <v/>
      </c>
      <c r="E88" s="279" t="str">
        <f>IF('Statement of Marks'!F91="","",'Statement of Marks'!F91)</f>
        <v/>
      </c>
      <c r="F88" s="279" t="str">
        <f>IF('Statement of Marks'!G91="","",'Statement of Marks'!G91)</f>
        <v/>
      </c>
      <c r="G88" s="279" t="str">
        <f>IF('Statement of Marks'!H91="","",'Statement of Marks'!H91)</f>
        <v/>
      </c>
      <c r="H88" s="280" t="str">
        <f>IF('Statement of Marks'!I91="","",'Statement of Marks'!I91)</f>
        <v/>
      </c>
      <c r="I88" s="280" t="str">
        <f>IF('Statement of Marks'!J91="","",'Statement of Marks'!J91)</f>
        <v/>
      </c>
      <c r="J88" s="827" t="str">
        <f>IF('Statement of Marks'!HS91="","",'Statement of Marks'!HS91)</f>
        <v/>
      </c>
      <c r="K88" s="281" t="str">
        <f>IF('Statement of Marks'!HT91="","",'Statement of Marks'!HT91)</f>
        <v/>
      </c>
      <c r="L88" s="828" t="str">
        <f>IF('Statement of Marks'!HW91="","",'Statement of Marks'!HW91)</f>
        <v/>
      </c>
      <c r="M88" s="281" t="str">
        <f>IF('Statement of Marks'!HV91="","",'Statement of Marks'!HV91)</f>
        <v/>
      </c>
      <c r="N88" s="829" t="str">
        <f>IF('Statement of Marks'!HX91="","",'Statement of Marks'!HX91)</f>
        <v/>
      </c>
      <c r="O88" s="282" t="str">
        <f>IF(J88="FAIL","",IF('Statement of Marks'!HO91="","",'Statement of Marks'!HO91))</f>
        <v xml:space="preserve">      </v>
      </c>
      <c r="P88" s="283" t="str">
        <f>IF('Supp. Result Entry'!AQ89="","",'Supp. Result Entry'!AQ89)</f>
        <v/>
      </c>
      <c r="Q88" s="284" t="str">
        <f>IF('Supp. Result Entry'!AR89="","",'Supp. Result Entry'!AR89)</f>
        <v/>
      </c>
      <c r="R88" s="285" t="str">
        <f>IF('Statement of Marks'!IA91="","",'Statement of Marks'!IA91)</f>
        <v/>
      </c>
      <c r="S88" s="286" t="str">
        <f>IF('Statement of Marks'!GL91="","",'Statement of Marks'!GL91)</f>
        <v/>
      </c>
      <c r="BM88" s="287" t="str">
        <f>'Statement of Marks'!F91</f>
        <v/>
      </c>
      <c r="BN88" s="288" t="str">
        <f t="shared" si="12"/>
        <v/>
      </c>
      <c r="BO88" s="288" t="str">
        <f t="shared" si="13"/>
        <v/>
      </c>
      <c r="BP88" s="288" t="str">
        <f t="shared" si="14"/>
        <v/>
      </c>
      <c r="BQ88" s="288" t="str">
        <f t="shared" si="15"/>
        <v/>
      </c>
      <c r="BR88" s="288" t="str">
        <f t="shared" si="16"/>
        <v/>
      </c>
      <c r="BS88" s="288" t="str">
        <f t="shared" si="17"/>
        <v/>
      </c>
      <c r="BT88" s="288" t="str">
        <f t="shared" si="18"/>
        <v/>
      </c>
      <c r="BU88" s="288" t="str">
        <f t="shared" si="19"/>
        <v/>
      </c>
      <c r="BV88" s="288" t="str">
        <f t="shared" si="20"/>
        <v/>
      </c>
      <c r="BW88" s="288" t="str">
        <f t="shared" si="21"/>
        <v/>
      </c>
      <c r="BX88" s="288" t="str">
        <f t="shared" si="22"/>
        <v/>
      </c>
      <c r="BY88" s="288" t="str">
        <f t="shared" si="23"/>
        <v/>
      </c>
      <c r="BZ88" s="289"/>
    </row>
    <row r="89" spans="1:78" ht="15" customHeight="1">
      <c r="A89" s="276">
        <f>IF('Statement of Marks'!A92="","",'Statement of Marks'!A92)</f>
        <v>86</v>
      </c>
      <c r="B89" s="277" t="str">
        <f>IF('Statement of Marks'!B92="","",'Statement of Marks'!B92)</f>
        <v/>
      </c>
      <c r="C89" s="278" t="str">
        <f>IF('Statement of Marks'!D92="","",'Statement of Marks'!D92)</f>
        <v/>
      </c>
      <c r="D89" s="314" t="str">
        <f>IF('Statement of Marks'!E92="","",'Statement of Marks'!E92)</f>
        <v/>
      </c>
      <c r="E89" s="279" t="str">
        <f>IF('Statement of Marks'!F92="","",'Statement of Marks'!F92)</f>
        <v/>
      </c>
      <c r="F89" s="279" t="str">
        <f>IF('Statement of Marks'!G92="","",'Statement of Marks'!G92)</f>
        <v/>
      </c>
      <c r="G89" s="279" t="str">
        <f>IF('Statement of Marks'!H92="","",'Statement of Marks'!H92)</f>
        <v/>
      </c>
      <c r="H89" s="280" t="str">
        <f>IF('Statement of Marks'!I92="","",'Statement of Marks'!I92)</f>
        <v/>
      </c>
      <c r="I89" s="280" t="str">
        <f>IF('Statement of Marks'!J92="","",'Statement of Marks'!J92)</f>
        <v/>
      </c>
      <c r="J89" s="827" t="str">
        <f>IF('Statement of Marks'!HS92="","",'Statement of Marks'!HS92)</f>
        <v/>
      </c>
      <c r="K89" s="281" t="str">
        <f>IF('Statement of Marks'!HT92="","",'Statement of Marks'!HT92)</f>
        <v/>
      </c>
      <c r="L89" s="828" t="str">
        <f>IF('Statement of Marks'!HW92="","",'Statement of Marks'!HW92)</f>
        <v/>
      </c>
      <c r="M89" s="281" t="str">
        <f>IF('Statement of Marks'!HV92="","",'Statement of Marks'!HV92)</f>
        <v/>
      </c>
      <c r="N89" s="829" t="str">
        <f>IF('Statement of Marks'!HX92="","",'Statement of Marks'!HX92)</f>
        <v/>
      </c>
      <c r="O89" s="282" t="str">
        <f>IF(J89="FAIL","",IF('Statement of Marks'!HO92="","",'Statement of Marks'!HO92))</f>
        <v xml:space="preserve">      </v>
      </c>
      <c r="P89" s="283" t="str">
        <f>IF('Supp. Result Entry'!AQ90="","",'Supp. Result Entry'!AQ90)</f>
        <v/>
      </c>
      <c r="Q89" s="284" t="str">
        <f>IF('Supp. Result Entry'!AR90="","",'Supp. Result Entry'!AR90)</f>
        <v/>
      </c>
      <c r="R89" s="285" t="str">
        <f>IF('Statement of Marks'!IA92="","",'Statement of Marks'!IA92)</f>
        <v/>
      </c>
      <c r="S89" s="286" t="str">
        <f>IF('Statement of Marks'!GL92="","",'Statement of Marks'!GL92)</f>
        <v/>
      </c>
      <c r="BM89" s="287" t="str">
        <f>'Statement of Marks'!F92</f>
        <v/>
      </c>
      <c r="BN89" s="288" t="str">
        <f t="shared" si="12"/>
        <v/>
      </c>
      <c r="BO89" s="288" t="str">
        <f t="shared" si="13"/>
        <v/>
      </c>
      <c r="BP89" s="288" t="str">
        <f t="shared" si="14"/>
        <v/>
      </c>
      <c r="BQ89" s="288" t="str">
        <f t="shared" si="15"/>
        <v/>
      </c>
      <c r="BR89" s="288" t="str">
        <f t="shared" si="16"/>
        <v/>
      </c>
      <c r="BS89" s="288" t="str">
        <f t="shared" si="17"/>
        <v/>
      </c>
      <c r="BT89" s="288" t="str">
        <f t="shared" si="18"/>
        <v/>
      </c>
      <c r="BU89" s="288" t="str">
        <f t="shared" si="19"/>
        <v/>
      </c>
      <c r="BV89" s="288" t="str">
        <f t="shared" si="20"/>
        <v/>
      </c>
      <c r="BW89" s="288" t="str">
        <f t="shared" si="21"/>
        <v/>
      </c>
      <c r="BX89" s="288" t="str">
        <f t="shared" si="22"/>
        <v/>
      </c>
      <c r="BY89" s="288" t="str">
        <f t="shared" si="23"/>
        <v/>
      </c>
      <c r="BZ89" s="289"/>
    </row>
    <row r="90" spans="1:78" ht="15" customHeight="1">
      <c r="A90" s="276">
        <f>IF('Statement of Marks'!A93="","",'Statement of Marks'!A93)</f>
        <v>87</v>
      </c>
      <c r="B90" s="277" t="str">
        <f>IF('Statement of Marks'!B93="","",'Statement of Marks'!B93)</f>
        <v/>
      </c>
      <c r="C90" s="278" t="str">
        <f>IF('Statement of Marks'!D93="","",'Statement of Marks'!D93)</f>
        <v/>
      </c>
      <c r="D90" s="314" t="str">
        <f>IF('Statement of Marks'!E93="","",'Statement of Marks'!E93)</f>
        <v/>
      </c>
      <c r="E90" s="279" t="str">
        <f>IF('Statement of Marks'!F93="","",'Statement of Marks'!F93)</f>
        <v/>
      </c>
      <c r="F90" s="279" t="str">
        <f>IF('Statement of Marks'!G93="","",'Statement of Marks'!G93)</f>
        <v/>
      </c>
      <c r="G90" s="279" t="str">
        <f>IF('Statement of Marks'!H93="","",'Statement of Marks'!H93)</f>
        <v/>
      </c>
      <c r="H90" s="280" t="str">
        <f>IF('Statement of Marks'!I93="","",'Statement of Marks'!I93)</f>
        <v/>
      </c>
      <c r="I90" s="280" t="str">
        <f>IF('Statement of Marks'!J93="","",'Statement of Marks'!J93)</f>
        <v/>
      </c>
      <c r="J90" s="827" t="str">
        <f>IF('Statement of Marks'!HS93="","",'Statement of Marks'!HS93)</f>
        <v/>
      </c>
      <c r="K90" s="281" t="str">
        <f>IF('Statement of Marks'!HT93="","",'Statement of Marks'!HT93)</f>
        <v/>
      </c>
      <c r="L90" s="828" t="str">
        <f>IF('Statement of Marks'!HW93="","",'Statement of Marks'!HW93)</f>
        <v/>
      </c>
      <c r="M90" s="281" t="str">
        <f>IF('Statement of Marks'!HV93="","",'Statement of Marks'!HV93)</f>
        <v/>
      </c>
      <c r="N90" s="829" t="str">
        <f>IF('Statement of Marks'!HX93="","",'Statement of Marks'!HX93)</f>
        <v/>
      </c>
      <c r="O90" s="282" t="str">
        <f>IF(J90="FAIL","",IF('Statement of Marks'!HO93="","",'Statement of Marks'!HO93))</f>
        <v xml:space="preserve">      </v>
      </c>
      <c r="P90" s="283" t="str">
        <f>IF('Supp. Result Entry'!AQ91="","",'Supp. Result Entry'!AQ91)</f>
        <v/>
      </c>
      <c r="Q90" s="284" t="str">
        <f>IF('Supp. Result Entry'!AR91="","",'Supp. Result Entry'!AR91)</f>
        <v/>
      </c>
      <c r="R90" s="285" t="str">
        <f>IF('Statement of Marks'!IA93="","",'Statement of Marks'!IA93)</f>
        <v/>
      </c>
      <c r="S90" s="286" t="str">
        <f>IF('Statement of Marks'!GL93="","",'Statement of Marks'!GL93)</f>
        <v/>
      </c>
      <c r="BM90" s="287" t="str">
        <f>'Statement of Marks'!F93</f>
        <v/>
      </c>
      <c r="BN90" s="288" t="str">
        <f t="shared" si="12"/>
        <v/>
      </c>
      <c r="BO90" s="288" t="str">
        <f t="shared" si="13"/>
        <v/>
      </c>
      <c r="BP90" s="288" t="str">
        <f t="shared" si="14"/>
        <v/>
      </c>
      <c r="BQ90" s="288" t="str">
        <f t="shared" si="15"/>
        <v/>
      </c>
      <c r="BR90" s="288" t="str">
        <f t="shared" si="16"/>
        <v/>
      </c>
      <c r="BS90" s="288" t="str">
        <f t="shared" si="17"/>
        <v/>
      </c>
      <c r="BT90" s="288" t="str">
        <f t="shared" si="18"/>
        <v/>
      </c>
      <c r="BU90" s="288" t="str">
        <f t="shared" si="19"/>
        <v/>
      </c>
      <c r="BV90" s="288" t="str">
        <f t="shared" si="20"/>
        <v/>
      </c>
      <c r="BW90" s="288" t="str">
        <f t="shared" si="21"/>
        <v/>
      </c>
      <c r="BX90" s="288" t="str">
        <f t="shared" si="22"/>
        <v/>
      </c>
      <c r="BY90" s="288" t="str">
        <f t="shared" si="23"/>
        <v/>
      </c>
      <c r="BZ90" s="289"/>
    </row>
    <row r="91" spans="1:78" ht="15" customHeight="1">
      <c r="A91" s="276">
        <f>IF('Statement of Marks'!A94="","",'Statement of Marks'!A94)</f>
        <v>88</v>
      </c>
      <c r="B91" s="277" t="str">
        <f>IF('Statement of Marks'!B94="","",'Statement of Marks'!B94)</f>
        <v/>
      </c>
      <c r="C91" s="278" t="str">
        <f>IF('Statement of Marks'!D94="","",'Statement of Marks'!D94)</f>
        <v/>
      </c>
      <c r="D91" s="314" t="str">
        <f>IF('Statement of Marks'!E94="","",'Statement of Marks'!E94)</f>
        <v/>
      </c>
      <c r="E91" s="279" t="str">
        <f>IF('Statement of Marks'!F94="","",'Statement of Marks'!F94)</f>
        <v/>
      </c>
      <c r="F91" s="279" t="str">
        <f>IF('Statement of Marks'!G94="","",'Statement of Marks'!G94)</f>
        <v/>
      </c>
      <c r="G91" s="279" t="str">
        <f>IF('Statement of Marks'!H94="","",'Statement of Marks'!H94)</f>
        <v/>
      </c>
      <c r="H91" s="280" t="str">
        <f>IF('Statement of Marks'!I94="","",'Statement of Marks'!I94)</f>
        <v/>
      </c>
      <c r="I91" s="280" t="str">
        <f>IF('Statement of Marks'!J94="","",'Statement of Marks'!J94)</f>
        <v/>
      </c>
      <c r="J91" s="827" t="str">
        <f>IF('Statement of Marks'!HS94="","",'Statement of Marks'!HS94)</f>
        <v/>
      </c>
      <c r="K91" s="281" t="str">
        <f>IF('Statement of Marks'!HT94="","",'Statement of Marks'!HT94)</f>
        <v/>
      </c>
      <c r="L91" s="828" t="str">
        <f>IF('Statement of Marks'!HW94="","",'Statement of Marks'!HW94)</f>
        <v/>
      </c>
      <c r="M91" s="281" t="str">
        <f>IF('Statement of Marks'!HV94="","",'Statement of Marks'!HV94)</f>
        <v/>
      </c>
      <c r="N91" s="829" t="str">
        <f>IF('Statement of Marks'!HX94="","",'Statement of Marks'!HX94)</f>
        <v/>
      </c>
      <c r="O91" s="282" t="str">
        <f>IF(J91="FAIL","",IF('Statement of Marks'!HO94="","",'Statement of Marks'!HO94))</f>
        <v xml:space="preserve">      </v>
      </c>
      <c r="P91" s="283" t="str">
        <f>IF('Supp. Result Entry'!AQ92="","",'Supp. Result Entry'!AQ92)</f>
        <v/>
      </c>
      <c r="Q91" s="284" t="str">
        <f>IF('Supp. Result Entry'!AR92="","",'Supp. Result Entry'!AR92)</f>
        <v/>
      </c>
      <c r="R91" s="285" t="str">
        <f>IF('Statement of Marks'!IA94="","",'Statement of Marks'!IA94)</f>
        <v/>
      </c>
      <c r="S91" s="286" t="str">
        <f>IF('Statement of Marks'!GL94="","",'Statement of Marks'!GL94)</f>
        <v/>
      </c>
      <c r="BM91" s="287" t="str">
        <f>'Statement of Marks'!F94</f>
        <v/>
      </c>
      <c r="BN91" s="288" t="str">
        <f t="shared" si="12"/>
        <v/>
      </c>
      <c r="BO91" s="288" t="str">
        <f t="shared" si="13"/>
        <v/>
      </c>
      <c r="BP91" s="288" t="str">
        <f t="shared" si="14"/>
        <v/>
      </c>
      <c r="BQ91" s="288" t="str">
        <f t="shared" si="15"/>
        <v/>
      </c>
      <c r="BR91" s="288" t="str">
        <f t="shared" si="16"/>
        <v/>
      </c>
      <c r="BS91" s="288" t="str">
        <f t="shared" si="17"/>
        <v/>
      </c>
      <c r="BT91" s="288" t="str">
        <f t="shared" si="18"/>
        <v/>
      </c>
      <c r="BU91" s="288" t="str">
        <f t="shared" si="19"/>
        <v/>
      </c>
      <c r="BV91" s="288" t="str">
        <f t="shared" si="20"/>
        <v/>
      </c>
      <c r="BW91" s="288" t="str">
        <f t="shared" si="21"/>
        <v/>
      </c>
      <c r="BX91" s="288" t="str">
        <f t="shared" si="22"/>
        <v/>
      </c>
      <c r="BY91" s="288" t="str">
        <f t="shared" si="23"/>
        <v/>
      </c>
      <c r="BZ91" s="289"/>
    </row>
    <row r="92" spans="1:78" ht="15" customHeight="1">
      <c r="A92" s="276">
        <f>IF('Statement of Marks'!A95="","",'Statement of Marks'!A95)</f>
        <v>89</v>
      </c>
      <c r="B92" s="277" t="str">
        <f>IF('Statement of Marks'!B95="","",'Statement of Marks'!B95)</f>
        <v/>
      </c>
      <c r="C92" s="278" t="str">
        <f>IF('Statement of Marks'!D95="","",'Statement of Marks'!D95)</f>
        <v/>
      </c>
      <c r="D92" s="314" t="str">
        <f>IF('Statement of Marks'!E95="","",'Statement of Marks'!E95)</f>
        <v/>
      </c>
      <c r="E92" s="279" t="str">
        <f>IF('Statement of Marks'!F95="","",'Statement of Marks'!F95)</f>
        <v/>
      </c>
      <c r="F92" s="279" t="str">
        <f>IF('Statement of Marks'!G95="","",'Statement of Marks'!G95)</f>
        <v/>
      </c>
      <c r="G92" s="279" t="str">
        <f>IF('Statement of Marks'!H95="","",'Statement of Marks'!H95)</f>
        <v/>
      </c>
      <c r="H92" s="280" t="str">
        <f>IF('Statement of Marks'!I95="","",'Statement of Marks'!I95)</f>
        <v/>
      </c>
      <c r="I92" s="280" t="str">
        <f>IF('Statement of Marks'!J95="","",'Statement of Marks'!J95)</f>
        <v/>
      </c>
      <c r="J92" s="827" t="str">
        <f>IF('Statement of Marks'!HS95="","",'Statement of Marks'!HS95)</f>
        <v/>
      </c>
      <c r="K92" s="281" t="str">
        <f>IF('Statement of Marks'!HT95="","",'Statement of Marks'!HT95)</f>
        <v/>
      </c>
      <c r="L92" s="828" t="str">
        <f>IF('Statement of Marks'!HW95="","",'Statement of Marks'!HW95)</f>
        <v/>
      </c>
      <c r="M92" s="281" t="str">
        <f>IF('Statement of Marks'!HV95="","",'Statement of Marks'!HV95)</f>
        <v/>
      </c>
      <c r="N92" s="829" t="str">
        <f>IF('Statement of Marks'!HX95="","",'Statement of Marks'!HX95)</f>
        <v/>
      </c>
      <c r="O92" s="282" t="str">
        <f>IF(J92="FAIL","",IF('Statement of Marks'!HO95="","",'Statement of Marks'!HO95))</f>
        <v xml:space="preserve">      </v>
      </c>
      <c r="P92" s="283" t="str">
        <f>IF('Supp. Result Entry'!AQ93="","",'Supp. Result Entry'!AQ93)</f>
        <v/>
      </c>
      <c r="Q92" s="284" t="str">
        <f>IF('Supp. Result Entry'!AR93="","",'Supp. Result Entry'!AR93)</f>
        <v/>
      </c>
      <c r="R92" s="285" t="str">
        <f>IF('Statement of Marks'!IA95="","",'Statement of Marks'!IA95)</f>
        <v/>
      </c>
      <c r="S92" s="286" t="str">
        <f>IF('Statement of Marks'!GL95="","",'Statement of Marks'!GL95)</f>
        <v/>
      </c>
      <c r="BM92" s="287" t="str">
        <f>'Statement of Marks'!F95</f>
        <v/>
      </c>
      <c r="BN92" s="288" t="str">
        <f t="shared" si="12"/>
        <v/>
      </c>
      <c r="BO92" s="288" t="str">
        <f t="shared" si="13"/>
        <v/>
      </c>
      <c r="BP92" s="288" t="str">
        <f t="shared" si="14"/>
        <v/>
      </c>
      <c r="BQ92" s="288" t="str">
        <f t="shared" si="15"/>
        <v/>
      </c>
      <c r="BR92" s="288" t="str">
        <f t="shared" si="16"/>
        <v/>
      </c>
      <c r="BS92" s="288" t="str">
        <f t="shared" si="17"/>
        <v/>
      </c>
      <c r="BT92" s="288" t="str">
        <f t="shared" si="18"/>
        <v/>
      </c>
      <c r="BU92" s="288" t="str">
        <f t="shared" si="19"/>
        <v/>
      </c>
      <c r="BV92" s="288" t="str">
        <f t="shared" si="20"/>
        <v/>
      </c>
      <c r="BW92" s="288" t="str">
        <f t="shared" si="21"/>
        <v/>
      </c>
      <c r="BX92" s="288" t="str">
        <f t="shared" si="22"/>
        <v/>
      </c>
      <c r="BY92" s="288" t="str">
        <f t="shared" si="23"/>
        <v/>
      </c>
      <c r="BZ92" s="289"/>
    </row>
    <row r="93" spans="1:78" ht="15" customHeight="1">
      <c r="A93" s="276">
        <f>IF('Statement of Marks'!A96="","",'Statement of Marks'!A96)</f>
        <v>90</v>
      </c>
      <c r="B93" s="277" t="str">
        <f>IF('Statement of Marks'!B96="","",'Statement of Marks'!B96)</f>
        <v/>
      </c>
      <c r="C93" s="278" t="str">
        <f>IF('Statement of Marks'!D96="","",'Statement of Marks'!D96)</f>
        <v/>
      </c>
      <c r="D93" s="314" t="str">
        <f>IF('Statement of Marks'!E96="","",'Statement of Marks'!E96)</f>
        <v/>
      </c>
      <c r="E93" s="279" t="str">
        <f>IF('Statement of Marks'!F96="","",'Statement of Marks'!F96)</f>
        <v/>
      </c>
      <c r="F93" s="279" t="str">
        <f>IF('Statement of Marks'!G96="","",'Statement of Marks'!G96)</f>
        <v/>
      </c>
      <c r="G93" s="279" t="str">
        <f>IF('Statement of Marks'!H96="","",'Statement of Marks'!H96)</f>
        <v/>
      </c>
      <c r="H93" s="280" t="str">
        <f>IF('Statement of Marks'!I96="","",'Statement of Marks'!I96)</f>
        <v/>
      </c>
      <c r="I93" s="280" t="str">
        <f>IF('Statement of Marks'!J96="","",'Statement of Marks'!J96)</f>
        <v/>
      </c>
      <c r="J93" s="827" t="str">
        <f>IF('Statement of Marks'!HS96="","",'Statement of Marks'!HS96)</f>
        <v/>
      </c>
      <c r="K93" s="281" t="str">
        <f>IF('Statement of Marks'!HT96="","",'Statement of Marks'!HT96)</f>
        <v/>
      </c>
      <c r="L93" s="828" t="str">
        <f>IF('Statement of Marks'!HW96="","",'Statement of Marks'!HW96)</f>
        <v/>
      </c>
      <c r="M93" s="281" t="str">
        <f>IF('Statement of Marks'!HV96="","",'Statement of Marks'!HV96)</f>
        <v/>
      </c>
      <c r="N93" s="829" t="str">
        <f>IF('Statement of Marks'!HX96="","",'Statement of Marks'!HX96)</f>
        <v/>
      </c>
      <c r="O93" s="282" t="str">
        <f>IF(J93="FAIL","",IF('Statement of Marks'!HO96="","",'Statement of Marks'!HO96))</f>
        <v xml:space="preserve">      </v>
      </c>
      <c r="P93" s="283" t="str">
        <f>IF('Supp. Result Entry'!AQ94="","",'Supp. Result Entry'!AQ94)</f>
        <v/>
      </c>
      <c r="Q93" s="284" t="str">
        <f>IF('Supp. Result Entry'!AR94="","",'Supp. Result Entry'!AR94)</f>
        <v/>
      </c>
      <c r="R93" s="285" t="str">
        <f>IF('Statement of Marks'!IA96="","",'Statement of Marks'!IA96)</f>
        <v/>
      </c>
      <c r="S93" s="286" t="str">
        <f>IF('Statement of Marks'!GL96="","",'Statement of Marks'!GL96)</f>
        <v/>
      </c>
      <c r="BM93" s="287" t="str">
        <f>'Statement of Marks'!F96</f>
        <v/>
      </c>
      <c r="BN93" s="288" t="str">
        <f t="shared" si="12"/>
        <v/>
      </c>
      <c r="BO93" s="288" t="str">
        <f t="shared" si="13"/>
        <v/>
      </c>
      <c r="BP93" s="288" t="str">
        <f t="shared" si="14"/>
        <v/>
      </c>
      <c r="BQ93" s="288" t="str">
        <f t="shared" si="15"/>
        <v/>
      </c>
      <c r="BR93" s="288" t="str">
        <f t="shared" si="16"/>
        <v/>
      </c>
      <c r="BS93" s="288" t="str">
        <f t="shared" si="17"/>
        <v/>
      </c>
      <c r="BT93" s="288" t="str">
        <f t="shared" si="18"/>
        <v/>
      </c>
      <c r="BU93" s="288" t="str">
        <f t="shared" si="19"/>
        <v/>
      </c>
      <c r="BV93" s="288" t="str">
        <f t="shared" si="20"/>
        <v/>
      </c>
      <c r="BW93" s="288" t="str">
        <f t="shared" si="21"/>
        <v/>
      </c>
      <c r="BX93" s="288" t="str">
        <f t="shared" si="22"/>
        <v/>
      </c>
      <c r="BY93" s="288" t="str">
        <f t="shared" si="23"/>
        <v/>
      </c>
      <c r="BZ93" s="289"/>
    </row>
    <row r="94" spans="1:78" ht="15" customHeight="1">
      <c r="A94" s="276">
        <f>IF('Statement of Marks'!A97="","",'Statement of Marks'!A97)</f>
        <v>91</v>
      </c>
      <c r="B94" s="277" t="str">
        <f>IF('Statement of Marks'!B97="","",'Statement of Marks'!B97)</f>
        <v/>
      </c>
      <c r="C94" s="278" t="str">
        <f>IF('Statement of Marks'!D97="","",'Statement of Marks'!D97)</f>
        <v/>
      </c>
      <c r="D94" s="314" t="str">
        <f>IF('Statement of Marks'!E97="","",'Statement of Marks'!E97)</f>
        <v/>
      </c>
      <c r="E94" s="279" t="str">
        <f>IF('Statement of Marks'!F97="","",'Statement of Marks'!F97)</f>
        <v/>
      </c>
      <c r="F94" s="279" t="str">
        <f>IF('Statement of Marks'!G97="","",'Statement of Marks'!G97)</f>
        <v/>
      </c>
      <c r="G94" s="279" t="str">
        <f>IF('Statement of Marks'!H97="","",'Statement of Marks'!H97)</f>
        <v/>
      </c>
      <c r="H94" s="280" t="str">
        <f>IF('Statement of Marks'!I97="","",'Statement of Marks'!I97)</f>
        <v/>
      </c>
      <c r="I94" s="280" t="str">
        <f>IF('Statement of Marks'!J97="","",'Statement of Marks'!J97)</f>
        <v/>
      </c>
      <c r="J94" s="826" t="str">
        <f>IF('Statement of Marks'!HS97="","",'Statement of Marks'!HS97)</f>
        <v/>
      </c>
      <c r="K94" s="281" t="str">
        <f>IF('Statement of Marks'!HT97="","",'Statement of Marks'!HT97)</f>
        <v/>
      </c>
      <c r="L94" s="828" t="str">
        <f>IF('Statement of Marks'!HW97="","",'Statement of Marks'!HW97)</f>
        <v/>
      </c>
      <c r="M94" s="281" t="str">
        <f>IF('Statement of Marks'!HV97="","",'Statement of Marks'!HV97)</f>
        <v/>
      </c>
      <c r="N94" s="829" t="str">
        <f>IF('Statement of Marks'!HX97="","",'Statement of Marks'!HX97)</f>
        <v/>
      </c>
      <c r="O94" s="282" t="str">
        <f>IF(J94="FAIL","",IF('Statement of Marks'!HO97="","",'Statement of Marks'!HO97))</f>
        <v xml:space="preserve">      </v>
      </c>
      <c r="P94" s="283" t="str">
        <f>IF('Supp. Result Entry'!AQ95="","",'Supp. Result Entry'!AQ95)</f>
        <v/>
      </c>
      <c r="Q94" s="284" t="str">
        <f>IF('Supp. Result Entry'!AR95="","",'Supp. Result Entry'!AR95)</f>
        <v/>
      </c>
      <c r="R94" s="285" t="str">
        <f>IF('Statement of Marks'!IA97="","",'Statement of Marks'!IA97)</f>
        <v/>
      </c>
      <c r="S94" s="286" t="str">
        <f>IF('Statement of Marks'!GL97="","",'Statement of Marks'!GL97)</f>
        <v/>
      </c>
      <c r="BM94" s="287" t="str">
        <f>'Statement of Marks'!F97</f>
        <v/>
      </c>
      <c r="BN94" s="288" t="str">
        <f t="shared" si="12"/>
        <v/>
      </c>
      <c r="BO94" s="288" t="str">
        <f t="shared" si="13"/>
        <v/>
      </c>
      <c r="BP94" s="288" t="str">
        <f t="shared" si="14"/>
        <v/>
      </c>
      <c r="BQ94" s="288" t="str">
        <f t="shared" si="15"/>
        <v/>
      </c>
      <c r="BR94" s="288" t="str">
        <f t="shared" si="16"/>
        <v/>
      </c>
      <c r="BS94" s="288" t="str">
        <f t="shared" si="17"/>
        <v/>
      </c>
      <c r="BT94" s="288" t="str">
        <f t="shared" si="18"/>
        <v/>
      </c>
      <c r="BU94" s="288" t="str">
        <f t="shared" si="19"/>
        <v/>
      </c>
      <c r="BV94" s="288" t="str">
        <f t="shared" si="20"/>
        <v/>
      </c>
      <c r="BW94" s="288" t="str">
        <f t="shared" si="21"/>
        <v/>
      </c>
      <c r="BX94" s="288" t="str">
        <f t="shared" si="22"/>
        <v/>
      </c>
      <c r="BY94" s="288" t="str">
        <f t="shared" si="23"/>
        <v/>
      </c>
      <c r="BZ94" s="289"/>
    </row>
    <row r="95" spans="1:78" ht="15" customHeight="1">
      <c r="A95" s="276">
        <f>IF('Statement of Marks'!A98="","",'Statement of Marks'!A98)</f>
        <v>92</v>
      </c>
      <c r="B95" s="277" t="str">
        <f>IF('Statement of Marks'!B98="","",'Statement of Marks'!B98)</f>
        <v/>
      </c>
      <c r="C95" s="278" t="str">
        <f>IF('Statement of Marks'!D98="","",'Statement of Marks'!D98)</f>
        <v/>
      </c>
      <c r="D95" s="314" t="str">
        <f>IF('Statement of Marks'!E98="","",'Statement of Marks'!E98)</f>
        <v/>
      </c>
      <c r="E95" s="279" t="str">
        <f>IF('Statement of Marks'!F98="","",'Statement of Marks'!F98)</f>
        <v/>
      </c>
      <c r="F95" s="279" t="str">
        <f>IF('Statement of Marks'!G98="","",'Statement of Marks'!G98)</f>
        <v/>
      </c>
      <c r="G95" s="279" t="str">
        <f>IF('Statement of Marks'!H98="","",'Statement of Marks'!H98)</f>
        <v/>
      </c>
      <c r="H95" s="280" t="str">
        <f>IF('Statement of Marks'!I98="","",'Statement of Marks'!I98)</f>
        <v/>
      </c>
      <c r="I95" s="280" t="str">
        <f>IF('Statement of Marks'!J98="","",'Statement of Marks'!J98)</f>
        <v/>
      </c>
      <c r="J95" s="827" t="str">
        <f>IF('Statement of Marks'!HS98="","",'Statement of Marks'!HS98)</f>
        <v/>
      </c>
      <c r="K95" s="281" t="str">
        <f>IF('Statement of Marks'!HT98="","",'Statement of Marks'!HT98)</f>
        <v/>
      </c>
      <c r="L95" s="828" t="str">
        <f>IF('Statement of Marks'!HW98="","",'Statement of Marks'!HW98)</f>
        <v/>
      </c>
      <c r="M95" s="281" t="str">
        <f>IF('Statement of Marks'!HV98="","",'Statement of Marks'!HV98)</f>
        <v/>
      </c>
      <c r="N95" s="829" t="str">
        <f>IF('Statement of Marks'!HX98="","",'Statement of Marks'!HX98)</f>
        <v/>
      </c>
      <c r="O95" s="282" t="str">
        <f>IF(J95="FAIL","",IF('Statement of Marks'!HO98="","",'Statement of Marks'!HO98))</f>
        <v xml:space="preserve">      </v>
      </c>
      <c r="P95" s="283" t="str">
        <f>IF('Supp. Result Entry'!AQ96="","",'Supp. Result Entry'!AQ96)</f>
        <v/>
      </c>
      <c r="Q95" s="284" t="str">
        <f>IF('Supp. Result Entry'!AR96="","",'Supp. Result Entry'!AR96)</f>
        <v/>
      </c>
      <c r="R95" s="285" t="str">
        <f>IF('Statement of Marks'!IA98="","",'Statement of Marks'!IA98)</f>
        <v/>
      </c>
      <c r="S95" s="286" t="str">
        <f>IF('Statement of Marks'!GL98="","",'Statement of Marks'!GL98)</f>
        <v/>
      </c>
      <c r="BM95" s="287" t="str">
        <f>'Statement of Marks'!F98</f>
        <v/>
      </c>
      <c r="BN95" s="288" t="str">
        <f t="shared" si="12"/>
        <v/>
      </c>
      <c r="BO95" s="288" t="str">
        <f t="shared" si="13"/>
        <v/>
      </c>
      <c r="BP95" s="288" t="str">
        <f t="shared" si="14"/>
        <v/>
      </c>
      <c r="BQ95" s="288" t="str">
        <f t="shared" si="15"/>
        <v/>
      </c>
      <c r="BR95" s="288" t="str">
        <f t="shared" si="16"/>
        <v/>
      </c>
      <c r="BS95" s="288" t="str">
        <f t="shared" si="17"/>
        <v/>
      </c>
      <c r="BT95" s="288" t="str">
        <f t="shared" si="18"/>
        <v/>
      </c>
      <c r="BU95" s="288" t="str">
        <f t="shared" si="19"/>
        <v/>
      </c>
      <c r="BV95" s="288" t="str">
        <f t="shared" si="20"/>
        <v/>
      </c>
      <c r="BW95" s="288" t="str">
        <f t="shared" si="21"/>
        <v/>
      </c>
      <c r="BX95" s="288" t="str">
        <f t="shared" si="22"/>
        <v/>
      </c>
      <c r="BY95" s="288" t="str">
        <f t="shared" si="23"/>
        <v/>
      </c>
      <c r="BZ95" s="289"/>
    </row>
    <row r="96" spans="1:78" ht="15" customHeight="1">
      <c r="A96" s="276">
        <f>IF('Statement of Marks'!A99="","",'Statement of Marks'!A99)</f>
        <v>93</v>
      </c>
      <c r="B96" s="277" t="str">
        <f>IF('Statement of Marks'!B99="","",'Statement of Marks'!B99)</f>
        <v/>
      </c>
      <c r="C96" s="278" t="str">
        <f>IF('Statement of Marks'!D99="","",'Statement of Marks'!D99)</f>
        <v/>
      </c>
      <c r="D96" s="314" t="str">
        <f>IF('Statement of Marks'!E99="","",'Statement of Marks'!E99)</f>
        <v/>
      </c>
      <c r="E96" s="279" t="str">
        <f>IF('Statement of Marks'!F99="","",'Statement of Marks'!F99)</f>
        <v/>
      </c>
      <c r="F96" s="279" t="str">
        <f>IF('Statement of Marks'!G99="","",'Statement of Marks'!G99)</f>
        <v/>
      </c>
      <c r="G96" s="279" t="str">
        <f>IF('Statement of Marks'!H99="","",'Statement of Marks'!H99)</f>
        <v/>
      </c>
      <c r="H96" s="280" t="str">
        <f>IF('Statement of Marks'!I99="","",'Statement of Marks'!I99)</f>
        <v/>
      </c>
      <c r="I96" s="280" t="str">
        <f>IF('Statement of Marks'!J99="","",'Statement of Marks'!J99)</f>
        <v/>
      </c>
      <c r="J96" s="827" t="str">
        <f>IF('Statement of Marks'!HS99="","",'Statement of Marks'!HS99)</f>
        <v/>
      </c>
      <c r="K96" s="281" t="str">
        <f>IF('Statement of Marks'!HT99="","",'Statement of Marks'!HT99)</f>
        <v/>
      </c>
      <c r="L96" s="828" t="str">
        <f>IF('Statement of Marks'!HW99="","",'Statement of Marks'!HW99)</f>
        <v/>
      </c>
      <c r="M96" s="281" t="str">
        <f>IF('Statement of Marks'!HV99="","",'Statement of Marks'!HV99)</f>
        <v/>
      </c>
      <c r="N96" s="829" t="str">
        <f>IF('Statement of Marks'!HX99="","",'Statement of Marks'!HX99)</f>
        <v/>
      </c>
      <c r="O96" s="282" t="str">
        <f>IF(J96="FAIL","",IF('Statement of Marks'!HO99="","",'Statement of Marks'!HO99))</f>
        <v xml:space="preserve">      </v>
      </c>
      <c r="P96" s="283" t="str">
        <f>IF('Supp. Result Entry'!AQ97="","",'Supp. Result Entry'!AQ97)</f>
        <v/>
      </c>
      <c r="Q96" s="284" t="str">
        <f>IF('Supp. Result Entry'!AR97="","",'Supp. Result Entry'!AR97)</f>
        <v/>
      </c>
      <c r="R96" s="285" t="str">
        <f>IF('Statement of Marks'!IA99="","",'Statement of Marks'!IA99)</f>
        <v/>
      </c>
      <c r="S96" s="286" t="str">
        <f>IF('Statement of Marks'!GL99="","",'Statement of Marks'!GL99)</f>
        <v/>
      </c>
      <c r="BM96" s="287" t="str">
        <f>'Statement of Marks'!F99</f>
        <v/>
      </c>
      <c r="BN96" s="288" t="str">
        <f t="shared" si="12"/>
        <v/>
      </c>
      <c r="BO96" s="288" t="str">
        <f t="shared" si="13"/>
        <v/>
      </c>
      <c r="BP96" s="288" t="str">
        <f t="shared" si="14"/>
        <v/>
      </c>
      <c r="BQ96" s="288" t="str">
        <f t="shared" si="15"/>
        <v/>
      </c>
      <c r="BR96" s="288" t="str">
        <f t="shared" si="16"/>
        <v/>
      </c>
      <c r="BS96" s="288" t="str">
        <f t="shared" si="17"/>
        <v/>
      </c>
      <c r="BT96" s="288" t="str">
        <f t="shared" si="18"/>
        <v/>
      </c>
      <c r="BU96" s="288" t="str">
        <f t="shared" si="19"/>
        <v/>
      </c>
      <c r="BV96" s="288" t="str">
        <f t="shared" si="20"/>
        <v/>
      </c>
      <c r="BW96" s="288" t="str">
        <f t="shared" si="21"/>
        <v/>
      </c>
      <c r="BX96" s="288" t="str">
        <f t="shared" si="22"/>
        <v/>
      </c>
      <c r="BY96" s="288" t="str">
        <f t="shared" si="23"/>
        <v/>
      </c>
      <c r="BZ96" s="289"/>
    </row>
    <row r="97" spans="1:78" ht="15" customHeight="1">
      <c r="A97" s="276">
        <f>IF('Statement of Marks'!A100="","",'Statement of Marks'!A100)</f>
        <v>94</v>
      </c>
      <c r="B97" s="277" t="str">
        <f>IF('Statement of Marks'!B100="","",'Statement of Marks'!B100)</f>
        <v/>
      </c>
      <c r="C97" s="278" t="str">
        <f>IF('Statement of Marks'!D100="","",'Statement of Marks'!D100)</f>
        <v/>
      </c>
      <c r="D97" s="314" t="str">
        <f>IF('Statement of Marks'!E100="","",'Statement of Marks'!E100)</f>
        <v/>
      </c>
      <c r="E97" s="279" t="str">
        <f>IF('Statement of Marks'!F100="","",'Statement of Marks'!F100)</f>
        <v/>
      </c>
      <c r="F97" s="279" t="str">
        <f>IF('Statement of Marks'!G100="","",'Statement of Marks'!G100)</f>
        <v/>
      </c>
      <c r="G97" s="279" t="str">
        <f>IF('Statement of Marks'!H100="","",'Statement of Marks'!H100)</f>
        <v/>
      </c>
      <c r="H97" s="280" t="str">
        <f>IF('Statement of Marks'!I100="","",'Statement of Marks'!I100)</f>
        <v/>
      </c>
      <c r="I97" s="280" t="str">
        <f>IF('Statement of Marks'!J100="","",'Statement of Marks'!J100)</f>
        <v/>
      </c>
      <c r="J97" s="827" t="str">
        <f>IF('Statement of Marks'!HS100="","",'Statement of Marks'!HS100)</f>
        <v/>
      </c>
      <c r="K97" s="281" t="str">
        <f>IF('Statement of Marks'!HT100="","",'Statement of Marks'!HT100)</f>
        <v/>
      </c>
      <c r="L97" s="828" t="str">
        <f>IF('Statement of Marks'!HW100="","",'Statement of Marks'!HW100)</f>
        <v/>
      </c>
      <c r="M97" s="281" t="str">
        <f>IF('Statement of Marks'!HV100="","",'Statement of Marks'!HV100)</f>
        <v/>
      </c>
      <c r="N97" s="829" t="str">
        <f>IF('Statement of Marks'!HX100="","",'Statement of Marks'!HX100)</f>
        <v/>
      </c>
      <c r="O97" s="282" t="str">
        <f>IF(J97="FAIL","",IF('Statement of Marks'!HO100="","",'Statement of Marks'!HO100))</f>
        <v xml:space="preserve">      </v>
      </c>
      <c r="P97" s="283" t="str">
        <f>IF('Supp. Result Entry'!AQ98="","",'Supp. Result Entry'!AQ98)</f>
        <v/>
      </c>
      <c r="Q97" s="284" t="str">
        <f>IF('Supp. Result Entry'!AR98="","",'Supp. Result Entry'!AR98)</f>
        <v/>
      </c>
      <c r="R97" s="285" t="str">
        <f>IF('Statement of Marks'!IA100="","",'Statement of Marks'!IA100)</f>
        <v/>
      </c>
      <c r="S97" s="286" t="str">
        <f>IF('Statement of Marks'!GL100="","",'Statement of Marks'!GL100)</f>
        <v/>
      </c>
      <c r="BM97" s="287" t="str">
        <f>'Statement of Marks'!F100</f>
        <v/>
      </c>
      <c r="BN97" s="288" t="str">
        <f t="shared" si="12"/>
        <v/>
      </c>
      <c r="BO97" s="288" t="str">
        <f t="shared" si="13"/>
        <v/>
      </c>
      <c r="BP97" s="288" t="str">
        <f t="shared" si="14"/>
        <v/>
      </c>
      <c r="BQ97" s="288" t="str">
        <f t="shared" si="15"/>
        <v/>
      </c>
      <c r="BR97" s="288" t="str">
        <f t="shared" si="16"/>
        <v/>
      </c>
      <c r="BS97" s="288" t="str">
        <f t="shared" si="17"/>
        <v/>
      </c>
      <c r="BT97" s="288" t="str">
        <f t="shared" si="18"/>
        <v/>
      </c>
      <c r="BU97" s="288" t="str">
        <f t="shared" si="19"/>
        <v/>
      </c>
      <c r="BV97" s="288" t="str">
        <f t="shared" si="20"/>
        <v/>
      </c>
      <c r="BW97" s="288" t="str">
        <f t="shared" si="21"/>
        <v/>
      </c>
      <c r="BX97" s="288" t="str">
        <f t="shared" si="22"/>
        <v/>
      </c>
      <c r="BY97" s="288" t="str">
        <f t="shared" si="23"/>
        <v/>
      </c>
      <c r="BZ97" s="289"/>
    </row>
    <row r="98" spans="1:78" ht="15" customHeight="1">
      <c r="A98" s="276">
        <f>IF('Statement of Marks'!A101="","",'Statement of Marks'!A101)</f>
        <v>95</v>
      </c>
      <c r="B98" s="277" t="str">
        <f>IF('Statement of Marks'!B101="","",'Statement of Marks'!B101)</f>
        <v/>
      </c>
      <c r="C98" s="278" t="str">
        <f>IF('Statement of Marks'!D101="","",'Statement of Marks'!D101)</f>
        <v/>
      </c>
      <c r="D98" s="314" t="str">
        <f>IF('Statement of Marks'!E101="","",'Statement of Marks'!E101)</f>
        <v/>
      </c>
      <c r="E98" s="279" t="str">
        <f>IF('Statement of Marks'!F101="","",'Statement of Marks'!F101)</f>
        <v/>
      </c>
      <c r="F98" s="279" t="str">
        <f>IF('Statement of Marks'!G101="","",'Statement of Marks'!G101)</f>
        <v/>
      </c>
      <c r="G98" s="279" t="str">
        <f>IF('Statement of Marks'!H101="","",'Statement of Marks'!H101)</f>
        <v/>
      </c>
      <c r="H98" s="280" t="str">
        <f>IF('Statement of Marks'!I101="","",'Statement of Marks'!I101)</f>
        <v/>
      </c>
      <c r="I98" s="280" t="str">
        <f>IF('Statement of Marks'!J101="","",'Statement of Marks'!J101)</f>
        <v/>
      </c>
      <c r="J98" s="827" t="str">
        <f>IF('Statement of Marks'!HS101="","",'Statement of Marks'!HS101)</f>
        <v/>
      </c>
      <c r="K98" s="281" t="str">
        <f>IF('Statement of Marks'!HT101="","",'Statement of Marks'!HT101)</f>
        <v/>
      </c>
      <c r="L98" s="828" t="str">
        <f>IF('Statement of Marks'!HW101="","",'Statement of Marks'!HW101)</f>
        <v/>
      </c>
      <c r="M98" s="281" t="str">
        <f>IF('Statement of Marks'!HV101="","",'Statement of Marks'!HV101)</f>
        <v/>
      </c>
      <c r="N98" s="829" t="str">
        <f>IF('Statement of Marks'!HX101="","",'Statement of Marks'!HX101)</f>
        <v/>
      </c>
      <c r="O98" s="282" t="str">
        <f>IF(J98="FAIL","",IF('Statement of Marks'!HO101="","",'Statement of Marks'!HO101))</f>
        <v xml:space="preserve">      </v>
      </c>
      <c r="P98" s="283" t="str">
        <f>IF('Supp. Result Entry'!AQ99="","",'Supp. Result Entry'!AQ99)</f>
        <v/>
      </c>
      <c r="Q98" s="284" t="str">
        <f>IF('Supp. Result Entry'!AR99="","",'Supp. Result Entry'!AR99)</f>
        <v/>
      </c>
      <c r="R98" s="285" t="str">
        <f>IF('Statement of Marks'!IA101="","",'Statement of Marks'!IA101)</f>
        <v/>
      </c>
      <c r="S98" s="286" t="str">
        <f>IF('Statement of Marks'!GL101="","",'Statement of Marks'!GL101)</f>
        <v/>
      </c>
      <c r="BM98" s="287" t="str">
        <f>'Statement of Marks'!F101</f>
        <v/>
      </c>
      <c r="BN98" s="288" t="str">
        <f t="shared" si="12"/>
        <v/>
      </c>
      <c r="BO98" s="288" t="str">
        <f t="shared" si="13"/>
        <v/>
      </c>
      <c r="BP98" s="288" t="str">
        <f t="shared" si="14"/>
        <v/>
      </c>
      <c r="BQ98" s="288" t="str">
        <f t="shared" si="15"/>
        <v/>
      </c>
      <c r="BR98" s="288" t="str">
        <f t="shared" si="16"/>
        <v/>
      </c>
      <c r="BS98" s="288" t="str">
        <f t="shared" si="17"/>
        <v/>
      </c>
      <c r="BT98" s="288" t="str">
        <f t="shared" si="18"/>
        <v/>
      </c>
      <c r="BU98" s="288" t="str">
        <f t="shared" si="19"/>
        <v/>
      </c>
      <c r="BV98" s="288" t="str">
        <f t="shared" si="20"/>
        <v/>
      </c>
      <c r="BW98" s="288" t="str">
        <f t="shared" si="21"/>
        <v/>
      </c>
      <c r="BX98" s="288" t="str">
        <f t="shared" si="22"/>
        <v/>
      </c>
      <c r="BY98" s="288" t="str">
        <f t="shared" si="23"/>
        <v/>
      </c>
      <c r="BZ98" s="289"/>
    </row>
    <row r="99" spans="1:78" ht="15" customHeight="1">
      <c r="A99" s="276">
        <f>IF('Statement of Marks'!A102="","",'Statement of Marks'!A102)</f>
        <v>96</v>
      </c>
      <c r="B99" s="277" t="str">
        <f>IF('Statement of Marks'!B102="","",'Statement of Marks'!B102)</f>
        <v/>
      </c>
      <c r="C99" s="278" t="str">
        <f>IF('Statement of Marks'!D102="","",'Statement of Marks'!D102)</f>
        <v/>
      </c>
      <c r="D99" s="314" t="str">
        <f>IF('Statement of Marks'!E102="","",'Statement of Marks'!E102)</f>
        <v/>
      </c>
      <c r="E99" s="279" t="str">
        <f>IF('Statement of Marks'!F102="","",'Statement of Marks'!F102)</f>
        <v/>
      </c>
      <c r="F99" s="279" t="str">
        <f>IF('Statement of Marks'!G102="","",'Statement of Marks'!G102)</f>
        <v/>
      </c>
      <c r="G99" s="279" t="str">
        <f>IF('Statement of Marks'!H102="","",'Statement of Marks'!H102)</f>
        <v/>
      </c>
      <c r="H99" s="280" t="str">
        <f>IF('Statement of Marks'!I102="","",'Statement of Marks'!I102)</f>
        <v/>
      </c>
      <c r="I99" s="280" t="str">
        <f>IF('Statement of Marks'!J102="","",'Statement of Marks'!J102)</f>
        <v/>
      </c>
      <c r="J99" s="827" t="str">
        <f>IF('Statement of Marks'!HS102="","",'Statement of Marks'!HS102)</f>
        <v/>
      </c>
      <c r="K99" s="281" t="str">
        <f>IF('Statement of Marks'!HT102="","",'Statement of Marks'!HT102)</f>
        <v/>
      </c>
      <c r="L99" s="828" t="str">
        <f>IF('Statement of Marks'!HW102="","",'Statement of Marks'!HW102)</f>
        <v/>
      </c>
      <c r="M99" s="281" t="str">
        <f>IF('Statement of Marks'!HV102="","",'Statement of Marks'!HV102)</f>
        <v/>
      </c>
      <c r="N99" s="829" t="str">
        <f>IF('Statement of Marks'!HX102="","",'Statement of Marks'!HX102)</f>
        <v/>
      </c>
      <c r="O99" s="282" t="str">
        <f>IF(J99="FAIL","",IF('Statement of Marks'!HO102="","",'Statement of Marks'!HO102))</f>
        <v xml:space="preserve">      </v>
      </c>
      <c r="P99" s="283" t="str">
        <f>IF('Supp. Result Entry'!AQ100="","",'Supp. Result Entry'!AQ100)</f>
        <v/>
      </c>
      <c r="Q99" s="284" t="str">
        <f>IF('Supp. Result Entry'!AR100="","",'Supp. Result Entry'!AR100)</f>
        <v/>
      </c>
      <c r="R99" s="285" t="str">
        <f>IF('Statement of Marks'!IA102="","",'Statement of Marks'!IA102)</f>
        <v/>
      </c>
      <c r="S99" s="286" t="str">
        <f>IF('Statement of Marks'!GL102="","",'Statement of Marks'!GL102)</f>
        <v/>
      </c>
      <c r="BM99" s="287" t="str">
        <f>'Statement of Marks'!F102</f>
        <v/>
      </c>
      <c r="BN99" s="288" t="str">
        <f t="shared" si="12"/>
        <v/>
      </c>
      <c r="BO99" s="288" t="str">
        <f t="shared" si="13"/>
        <v/>
      </c>
      <c r="BP99" s="288" t="str">
        <f t="shared" si="14"/>
        <v/>
      </c>
      <c r="BQ99" s="288" t="str">
        <f t="shared" si="15"/>
        <v/>
      </c>
      <c r="BR99" s="288" t="str">
        <f t="shared" si="16"/>
        <v/>
      </c>
      <c r="BS99" s="288" t="str">
        <f t="shared" si="17"/>
        <v/>
      </c>
      <c r="BT99" s="288" t="str">
        <f t="shared" si="18"/>
        <v/>
      </c>
      <c r="BU99" s="288" t="str">
        <f t="shared" si="19"/>
        <v/>
      </c>
      <c r="BV99" s="288" t="str">
        <f t="shared" si="20"/>
        <v/>
      </c>
      <c r="BW99" s="288" t="str">
        <f t="shared" si="21"/>
        <v/>
      </c>
      <c r="BX99" s="288" t="str">
        <f t="shared" si="22"/>
        <v/>
      </c>
      <c r="BY99" s="288" t="str">
        <f t="shared" si="23"/>
        <v/>
      </c>
      <c r="BZ99" s="289"/>
    </row>
    <row r="100" spans="1:78" ht="15" customHeight="1">
      <c r="A100" s="276">
        <f>IF('Statement of Marks'!A103="","",'Statement of Marks'!A103)</f>
        <v>97</v>
      </c>
      <c r="B100" s="277" t="str">
        <f>IF('Statement of Marks'!B103="","",'Statement of Marks'!B103)</f>
        <v/>
      </c>
      <c r="C100" s="278" t="str">
        <f>IF('Statement of Marks'!D103="","",'Statement of Marks'!D103)</f>
        <v/>
      </c>
      <c r="D100" s="314" t="str">
        <f>IF('Statement of Marks'!E103="","",'Statement of Marks'!E103)</f>
        <v/>
      </c>
      <c r="E100" s="279" t="str">
        <f>IF('Statement of Marks'!F103="","",'Statement of Marks'!F103)</f>
        <v/>
      </c>
      <c r="F100" s="279" t="str">
        <f>IF('Statement of Marks'!G103="","",'Statement of Marks'!G103)</f>
        <v/>
      </c>
      <c r="G100" s="279" t="str">
        <f>IF('Statement of Marks'!H103="","",'Statement of Marks'!H103)</f>
        <v/>
      </c>
      <c r="H100" s="280" t="str">
        <f>IF('Statement of Marks'!I103="","",'Statement of Marks'!I103)</f>
        <v/>
      </c>
      <c r="I100" s="280" t="str">
        <f>IF('Statement of Marks'!J103="","",'Statement of Marks'!J103)</f>
        <v/>
      </c>
      <c r="J100" s="827" t="str">
        <f>IF('Statement of Marks'!HS103="","",'Statement of Marks'!HS103)</f>
        <v/>
      </c>
      <c r="K100" s="281" t="str">
        <f>IF('Statement of Marks'!HT103="","",'Statement of Marks'!HT103)</f>
        <v/>
      </c>
      <c r="L100" s="828" t="str">
        <f>IF('Statement of Marks'!HW103="","",'Statement of Marks'!HW103)</f>
        <v/>
      </c>
      <c r="M100" s="281" t="str">
        <f>IF('Statement of Marks'!HV103="","",'Statement of Marks'!HV103)</f>
        <v/>
      </c>
      <c r="N100" s="829" t="str">
        <f>IF('Statement of Marks'!HX103="","",'Statement of Marks'!HX103)</f>
        <v/>
      </c>
      <c r="O100" s="282" t="str">
        <f>IF(J100="FAIL","",IF('Statement of Marks'!HO103="","",'Statement of Marks'!HO103))</f>
        <v xml:space="preserve">      </v>
      </c>
      <c r="P100" s="283" t="str">
        <f>IF('Supp. Result Entry'!AQ101="","",'Supp. Result Entry'!AQ101)</f>
        <v/>
      </c>
      <c r="Q100" s="284" t="str">
        <f>IF('Supp. Result Entry'!AR101="","",'Supp. Result Entry'!AR101)</f>
        <v/>
      </c>
      <c r="R100" s="285" t="str">
        <f>IF('Statement of Marks'!IA103="","",'Statement of Marks'!IA103)</f>
        <v/>
      </c>
      <c r="S100" s="286" t="str">
        <f>IF('Statement of Marks'!GL103="","",'Statement of Marks'!GL103)</f>
        <v/>
      </c>
      <c r="BM100" s="287" t="str">
        <f>'Statement of Marks'!F103</f>
        <v/>
      </c>
      <c r="BN100" s="288" t="str">
        <f t="shared" si="12"/>
        <v/>
      </c>
      <c r="BO100" s="288" t="str">
        <f t="shared" si="13"/>
        <v/>
      </c>
      <c r="BP100" s="288" t="str">
        <f t="shared" si="14"/>
        <v/>
      </c>
      <c r="BQ100" s="288" t="str">
        <f t="shared" si="15"/>
        <v/>
      </c>
      <c r="BR100" s="288" t="str">
        <f t="shared" si="16"/>
        <v/>
      </c>
      <c r="BS100" s="288" t="str">
        <f t="shared" si="17"/>
        <v/>
      </c>
      <c r="BT100" s="288" t="str">
        <f t="shared" si="18"/>
        <v/>
      </c>
      <c r="BU100" s="288" t="str">
        <f t="shared" si="19"/>
        <v/>
      </c>
      <c r="BV100" s="288" t="str">
        <f t="shared" si="20"/>
        <v/>
      </c>
      <c r="BW100" s="288" t="str">
        <f t="shared" si="21"/>
        <v/>
      </c>
      <c r="BX100" s="288" t="str">
        <f t="shared" si="22"/>
        <v/>
      </c>
      <c r="BY100" s="288" t="str">
        <f t="shared" si="23"/>
        <v/>
      </c>
      <c r="BZ100" s="289"/>
    </row>
    <row r="101" spans="1:78" ht="15" customHeight="1">
      <c r="A101" s="276">
        <f>IF('Statement of Marks'!A104="","",'Statement of Marks'!A104)</f>
        <v>98</v>
      </c>
      <c r="B101" s="277" t="str">
        <f>IF('Statement of Marks'!B104="","",'Statement of Marks'!B104)</f>
        <v/>
      </c>
      <c r="C101" s="278" t="str">
        <f>IF('Statement of Marks'!D104="","",'Statement of Marks'!D104)</f>
        <v/>
      </c>
      <c r="D101" s="314" t="str">
        <f>IF('Statement of Marks'!E104="","",'Statement of Marks'!E104)</f>
        <v/>
      </c>
      <c r="E101" s="279" t="str">
        <f>IF('Statement of Marks'!F104="","",'Statement of Marks'!F104)</f>
        <v/>
      </c>
      <c r="F101" s="279" t="str">
        <f>IF('Statement of Marks'!G104="","",'Statement of Marks'!G104)</f>
        <v/>
      </c>
      <c r="G101" s="279" t="str">
        <f>IF('Statement of Marks'!H104="","",'Statement of Marks'!H104)</f>
        <v/>
      </c>
      <c r="H101" s="280" t="str">
        <f>IF('Statement of Marks'!I104="","",'Statement of Marks'!I104)</f>
        <v/>
      </c>
      <c r="I101" s="280" t="str">
        <f>IF('Statement of Marks'!J104="","",'Statement of Marks'!J104)</f>
        <v/>
      </c>
      <c r="J101" s="827" t="str">
        <f>IF('Statement of Marks'!HS104="","",'Statement of Marks'!HS104)</f>
        <v/>
      </c>
      <c r="K101" s="281" t="str">
        <f>IF('Statement of Marks'!HT104="","",'Statement of Marks'!HT104)</f>
        <v/>
      </c>
      <c r="L101" s="828" t="str">
        <f>IF('Statement of Marks'!HW104="","",'Statement of Marks'!HW104)</f>
        <v/>
      </c>
      <c r="M101" s="281" t="str">
        <f>IF('Statement of Marks'!HV104="","",'Statement of Marks'!HV104)</f>
        <v/>
      </c>
      <c r="N101" s="829" t="str">
        <f>IF('Statement of Marks'!HX104="","",'Statement of Marks'!HX104)</f>
        <v/>
      </c>
      <c r="O101" s="282" t="str">
        <f>IF(J101="FAIL","",IF('Statement of Marks'!HO104="","",'Statement of Marks'!HO104))</f>
        <v xml:space="preserve">      </v>
      </c>
      <c r="P101" s="283" t="str">
        <f>IF('Supp. Result Entry'!AQ102="","",'Supp. Result Entry'!AQ102)</f>
        <v/>
      </c>
      <c r="Q101" s="284" t="str">
        <f>IF('Supp. Result Entry'!AR102="","",'Supp. Result Entry'!AR102)</f>
        <v/>
      </c>
      <c r="R101" s="285" t="str">
        <f>IF('Statement of Marks'!IA104="","",'Statement of Marks'!IA104)</f>
        <v/>
      </c>
      <c r="S101" s="286" t="str">
        <f>IF('Statement of Marks'!GL104="","",'Statement of Marks'!GL104)</f>
        <v/>
      </c>
      <c r="BM101" s="287" t="str">
        <f>'Statement of Marks'!F104</f>
        <v/>
      </c>
      <c r="BN101" s="288" t="str">
        <f t="shared" si="12"/>
        <v/>
      </c>
      <c r="BO101" s="288" t="str">
        <f t="shared" si="13"/>
        <v/>
      </c>
      <c r="BP101" s="288" t="str">
        <f t="shared" si="14"/>
        <v/>
      </c>
      <c r="BQ101" s="288" t="str">
        <f t="shared" si="15"/>
        <v/>
      </c>
      <c r="BR101" s="288" t="str">
        <f t="shared" si="16"/>
        <v/>
      </c>
      <c r="BS101" s="288" t="str">
        <f t="shared" si="17"/>
        <v/>
      </c>
      <c r="BT101" s="288" t="str">
        <f t="shared" si="18"/>
        <v/>
      </c>
      <c r="BU101" s="288" t="str">
        <f t="shared" si="19"/>
        <v/>
      </c>
      <c r="BV101" s="288" t="str">
        <f t="shared" si="20"/>
        <v/>
      </c>
      <c r="BW101" s="288" t="str">
        <f t="shared" si="21"/>
        <v/>
      </c>
      <c r="BX101" s="288" t="str">
        <f t="shared" si="22"/>
        <v/>
      </c>
      <c r="BY101" s="288" t="str">
        <f t="shared" si="23"/>
        <v/>
      </c>
      <c r="BZ101" s="289"/>
    </row>
    <row r="102" spans="1:78" ht="15" customHeight="1">
      <c r="A102" s="276">
        <f>IF('Statement of Marks'!A105="","",'Statement of Marks'!A105)</f>
        <v>99</v>
      </c>
      <c r="B102" s="277" t="str">
        <f>IF('Statement of Marks'!B105="","",'Statement of Marks'!B105)</f>
        <v/>
      </c>
      <c r="C102" s="278" t="str">
        <f>IF('Statement of Marks'!D105="","",'Statement of Marks'!D105)</f>
        <v/>
      </c>
      <c r="D102" s="314" t="str">
        <f>IF('Statement of Marks'!E105="","",'Statement of Marks'!E105)</f>
        <v/>
      </c>
      <c r="E102" s="279" t="str">
        <f>IF('Statement of Marks'!F105="","",'Statement of Marks'!F105)</f>
        <v/>
      </c>
      <c r="F102" s="279" t="str">
        <f>IF('Statement of Marks'!G105="","",'Statement of Marks'!G105)</f>
        <v/>
      </c>
      <c r="G102" s="279" t="str">
        <f>IF('Statement of Marks'!H105="","",'Statement of Marks'!H105)</f>
        <v/>
      </c>
      <c r="H102" s="280" t="str">
        <f>IF('Statement of Marks'!I105="","",'Statement of Marks'!I105)</f>
        <v/>
      </c>
      <c r="I102" s="280" t="str">
        <f>IF('Statement of Marks'!J105="","",'Statement of Marks'!J105)</f>
        <v/>
      </c>
      <c r="J102" s="827" t="str">
        <f>IF('Statement of Marks'!HS105="","",'Statement of Marks'!HS105)</f>
        <v/>
      </c>
      <c r="K102" s="281" t="str">
        <f>IF('Statement of Marks'!HT105="","",'Statement of Marks'!HT105)</f>
        <v/>
      </c>
      <c r="L102" s="828" t="str">
        <f>IF('Statement of Marks'!HW105="","",'Statement of Marks'!HW105)</f>
        <v/>
      </c>
      <c r="M102" s="281" t="str">
        <f>IF('Statement of Marks'!HV105="","",'Statement of Marks'!HV105)</f>
        <v/>
      </c>
      <c r="N102" s="829" t="str">
        <f>IF('Statement of Marks'!HX105="","",'Statement of Marks'!HX105)</f>
        <v/>
      </c>
      <c r="O102" s="282" t="str">
        <f>IF(J102="FAIL","",IF('Statement of Marks'!HO105="","",'Statement of Marks'!HO105))</f>
        <v xml:space="preserve">      </v>
      </c>
      <c r="P102" s="283" t="str">
        <f>IF('Supp. Result Entry'!AQ103="","",'Supp. Result Entry'!AQ103)</f>
        <v/>
      </c>
      <c r="Q102" s="284" t="str">
        <f>IF('Supp. Result Entry'!AR103="","",'Supp. Result Entry'!AR103)</f>
        <v/>
      </c>
      <c r="R102" s="285" t="str">
        <f>IF('Statement of Marks'!IA105="","",'Statement of Marks'!IA105)</f>
        <v/>
      </c>
      <c r="S102" s="286" t="str">
        <f>IF('Statement of Marks'!GL105="","",'Statement of Marks'!GL105)</f>
        <v/>
      </c>
      <c r="BM102" s="287" t="str">
        <f>'Statement of Marks'!F105</f>
        <v/>
      </c>
      <c r="BN102" s="288" t="str">
        <f t="shared" si="12"/>
        <v/>
      </c>
      <c r="BO102" s="288" t="str">
        <f t="shared" si="13"/>
        <v/>
      </c>
      <c r="BP102" s="288" t="str">
        <f t="shared" si="14"/>
        <v/>
      </c>
      <c r="BQ102" s="288" t="str">
        <f t="shared" si="15"/>
        <v/>
      </c>
      <c r="BR102" s="288" t="str">
        <f t="shared" si="16"/>
        <v/>
      </c>
      <c r="BS102" s="288" t="str">
        <f t="shared" si="17"/>
        <v/>
      </c>
      <c r="BT102" s="288" t="str">
        <f t="shared" si="18"/>
        <v/>
      </c>
      <c r="BU102" s="288" t="str">
        <f t="shared" si="19"/>
        <v/>
      </c>
      <c r="BV102" s="288" t="str">
        <f t="shared" si="20"/>
        <v/>
      </c>
      <c r="BW102" s="288" t="str">
        <f t="shared" si="21"/>
        <v/>
      </c>
      <c r="BX102" s="288" t="str">
        <f t="shared" si="22"/>
        <v/>
      </c>
      <c r="BY102" s="288" t="str">
        <f t="shared" si="23"/>
        <v/>
      </c>
      <c r="BZ102" s="289"/>
    </row>
    <row r="103" spans="1:78" ht="15" customHeight="1">
      <c r="A103" s="276">
        <f>IF('Statement of Marks'!A106="","",'Statement of Marks'!A106)</f>
        <v>100</v>
      </c>
      <c r="B103" s="277" t="str">
        <f>IF('Statement of Marks'!B106="","",'Statement of Marks'!B106)</f>
        <v/>
      </c>
      <c r="C103" s="278" t="str">
        <f>IF('Statement of Marks'!D106="","",'Statement of Marks'!D106)</f>
        <v/>
      </c>
      <c r="D103" s="314" t="str">
        <f>IF('Statement of Marks'!E106="","",'Statement of Marks'!E106)</f>
        <v/>
      </c>
      <c r="E103" s="279" t="str">
        <f>IF('Statement of Marks'!F106="","",'Statement of Marks'!F106)</f>
        <v/>
      </c>
      <c r="F103" s="279" t="str">
        <f>IF('Statement of Marks'!G106="","",'Statement of Marks'!G106)</f>
        <v/>
      </c>
      <c r="G103" s="279" t="str">
        <f>IF('Statement of Marks'!H106="","",'Statement of Marks'!H106)</f>
        <v/>
      </c>
      <c r="H103" s="280" t="str">
        <f>IF('Statement of Marks'!I106="","",'Statement of Marks'!I106)</f>
        <v/>
      </c>
      <c r="I103" s="280" t="str">
        <f>IF('Statement of Marks'!J106="","",'Statement of Marks'!J106)</f>
        <v/>
      </c>
      <c r="J103" s="827" t="str">
        <f>IF('Statement of Marks'!HS106="","",'Statement of Marks'!HS106)</f>
        <v/>
      </c>
      <c r="K103" s="281" t="str">
        <f>IF('Statement of Marks'!HT106="","",'Statement of Marks'!HT106)</f>
        <v/>
      </c>
      <c r="L103" s="828" t="str">
        <f>IF('Statement of Marks'!HW106="","",'Statement of Marks'!HW106)</f>
        <v/>
      </c>
      <c r="M103" s="281" t="str">
        <f>IF('Statement of Marks'!HV106="","",'Statement of Marks'!HV106)</f>
        <v/>
      </c>
      <c r="N103" s="829" t="str">
        <f>IF('Statement of Marks'!HX106="","",'Statement of Marks'!HX106)</f>
        <v/>
      </c>
      <c r="O103" s="282" t="str">
        <f>IF(J103="FAIL","",IF('Statement of Marks'!HO106="","",'Statement of Marks'!HO106))</f>
        <v xml:space="preserve">      </v>
      </c>
      <c r="P103" s="283" t="str">
        <f>IF('Supp. Result Entry'!AQ104="","",'Supp. Result Entry'!AQ104)</f>
        <v/>
      </c>
      <c r="Q103" s="284" t="str">
        <f>IF('Supp. Result Entry'!AR104="","",'Supp. Result Entry'!AR104)</f>
        <v/>
      </c>
      <c r="R103" s="285" t="str">
        <f>IF('Statement of Marks'!IA106="","",'Statement of Marks'!IA106)</f>
        <v/>
      </c>
      <c r="S103" s="286" t="str">
        <f>IF('Statement of Marks'!GL106="","",'Statement of Marks'!GL106)</f>
        <v/>
      </c>
      <c r="BM103" s="287" t="str">
        <f>'Statement of Marks'!F106</f>
        <v/>
      </c>
      <c r="BN103" s="288" t="str">
        <f t="shared" si="12"/>
        <v/>
      </c>
      <c r="BO103" s="288" t="str">
        <f t="shared" si="13"/>
        <v/>
      </c>
      <c r="BP103" s="288" t="str">
        <f t="shared" si="14"/>
        <v/>
      </c>
      <c r="BQ103" s="288" t="str">
        <f t="shared" si="15"/>
        <v/>
      </c>
      <c r="BR103" s="288" t="str">
        <f t="shared" si="16"/>
        <v/>
      </c>
      <c r="BS103" s="288" t="str">
        <f t="shared" si="17"/>
        <v/>
      </c>
      <c r="BT103" s="288" t="str">
        <f t="shared" si="18"/>
        <v/>
      </c>
      <c r="BU103" s="288" t="str">
        <f t="shared" si="19"/>
        <v/>
      </c>
      <c r="BV103" s="288" t="str">
        <f t="shared" si="20"/>
        <v/>
      </c>
      <c r="BW103" s="288" t="str">
        <f t="shared" si="21"/>
        <v/>
      </c>
      <c r="BX103" s="288" t="str">
        <f t="shared" si="22"/>
        <v/>
      </c>
      <c r="BY103" s="288" t="str">
        <f t="shared" si="23"/>
        <v/>
      </c>
      <c r="BZ103" s="289"/>
    </row>
    <row r="104" spans="1:78" ht="15" customHeight="1">
      <c r="A104" s="276">
        <f>IF('Statement of Marks'!A107="","",'Statement of Marks'!A107)</f>
        <v>101</v>
      </c>
      <c r="B104" s="277" t="str">
        <f>IF('Statement of Marks'!B107="","",'Statement of Marks'!B107)</f>
        <v/>
      </c>
      <c r="C104" s="278" t="str">
        <f>IF('Statement of Marks'!D107="","",'Statement of Marks'!D107)</f>
        <v/>
      </c>
      <c r="D104" s="314" t="str">
        <f>IF('Statement of Marks'!E107="","",'Statement of Marks'!E107)</f>
        <v/>
      </c>
      <c r="E104" s="279" t="str">
        <f>IF('Statement of Marks'!F107="","",'Statement of Marks'!F107)</f>
        <v/>
      </c>
      <c r="F104" s="279" t="str">
        <f>IF('Statement of Marks'!G107="","",'Statement of Marks'!G107)</f>
        <v/>
      </c>
      <c r="G104" s="279" t="str">
        <f>IF('Statement of Marks'!H107="","",'Statement of Marks'!H107)</f>
        <v/>
      </c>
      <c r="H104" s="280" t="str">
        <f>IF('Statement of Marks'!I107="","",'Statement of Marks'!I107)</f>
        <v/>
      </c>
      <c r="I104" s="280" t="str">
        <f>IF('Statement of Marks'!J107="","",'Statement of Marks'!J107)</f>
        <v/>
      </c>
      <c r="J104" s="827" t="str">
        <f>IF('Statement of Marks'!HS107="","",'Statement of Marks'!HS107)</f>
        <v/>
      </c>
      <c r="K104" s="281" t="str">
        <f>IF('Statement of Marks'!HT107="","",'Statement of Marks'!HT107)</f>
        <v/>
      </c>
      <c r="L104" s="828" t="str">
        <f>IF('Statement of Marks'!HW107="","",'Statement of Marks'!HW107)</f>
        <v/>
      </c>
      <c r="M104" s="281" t="str">
        <f>IF('Statement of Marks'!HV107="","",'Statement of Marks'!HV107)</f>
        <v/>
      </c>
      <c r="N104" s="829" t="str">
        <f>IF('Statement of Marks'!HX107="","",'Statement of Marks'!HX107)</f>
        <v/>
      </c>
      <c r="O104" s="282" t="str">
        <f>IF(J104="FAIL","",IF('Statement of Marks'!HO107="","",'Statement of Marks'!HO107))</f>
        <v xml:space="preserve">      </v>
      </c>
      <c r="P104" s="283" t="str">
        <f>IF('Supp. Result Entry'!AQ105="","",'Supp. Result Entry'!AQ105)</f>
        <v/>
      </c>
      <c r="Q104" s="284" t="str">
        <f>IF('Supp. Result Entry'!AR105="","",'Supp. Result Entry'!AR105)</f>
        <v/>
      </c>
      <c r="R104" s="285" t="str">
        <f>IF('Statement of Marks'!IA107="","",'Statement of Marks'!IA107)</f>
        <v/>
      </c>
      <c r="S104" s="286" t="str">
        <f>IF('Statement of Marks'!GL107="","",'Statement of Marks'!GL107)</f>
        <v/>
      </c>
      <c r="BM104" s="287" t="str">
        <f>'Statement of Marks'!F107</f>
        <v/>
      </c>
      <c r="BN104" s="288" t="str">
        <f t="shared" si="12"/>
        <v/>
      </c>
      <c r="BO104" s="288" t="str">
        <f t="shared" si="13"/>
        <v/>
      </c>
      <c r="BP104" s="288" t="str">
        <f t="shared" si="14"/>
        <v/>
      </c>
      <c r="BQ104" s="288" t="str">
        <f t="shared" si="15"/>
        <v/>
      </c>
      <c r="BR104" s="288" t="str">
        <f t="shared" si="16"/>
        <v/>
      </c>
      <c r="BS104" s="288" t="str">
        <f t="shared" si="17"/>
        <v/>
      </c>
      <c r="BT104" s="288" t="str">
        <f t="shared" si="18"/>
        <v/>
      </c>
      <c r="BU104" s="288" t="str">
        <f t="shared" si="19"/>
        <v/>
      </c>
      <c r="BV104" s="288" t="str">
        <f t="shared" si="20"/>
        <v/>
      </c>
      <c r="BW104" s="288" t="str">
        <f t="shared" si="21"/>
        <v/>
      </c>
      <c r="BX104" s="288" t="str">
        <f t="shared" si="22"/>
        <v/>
      </c>
      <c r="BY104" s="288" t="str">
        <f t="shared" si="23"/>
        <v/>
      </c>
      <c r="BZ104" s="289"/>
    </row>
    <row r="105" spans="1:78" ht="15" customHeight="1">
      <c r="A105" s="276">
        <f>IF('Statement of Marks'!A108="","",'Statement of Marks'!A108)</f>
        <v>102</v>
      </c>
      <c r="B105" s="277" t="str">
        <f>IF('Statement of Marks'!B108="","",'Statement of Marks'!B108)</f>
        <v/>
      </c>
      <c r="C105" s="278" t="str">
        <f>IF('Statement of Marks'!D108="","",'Statement of Marks'!D108)</f>
        <v/>
      </c>
      <c r="D105" s="314" t="str">
        <f>IF('Statement of Marks'!E108="","",'Statement of Marks'!E108)</f>
        <v/>
      </c>
      <c r="E105" s="279" t="str">
        <f>IF('Statement of Marks'!F108="","",'Statement of Marks'!F108)</f>
        <v/>
      </c>
      <c r="F105" s="279" t="str">
        <f>IF('Statement of Marks'!G108="","",'Statement of Marks'!G108)</f>
        <v/>
      </c>
      <c r="G105" s="279" t="str">
        <f>IF('Statement of Marks'!H108="","",'Statement of Marks'!H108)</f>
        <v/>
      </c>
      <c r="H105" s="280" t="str">
        <f>IF('Statement of Marks'!I108="","",'Statement of Marks'!I108)</f>
        <v/>
      </c>
      <c r="I105" s="280" t="str">
        <f>IF('Statement of Marks'!J108="","",'Statement of Marks'!J108)</f>
        <v/>
      </c>
      <c r="J105" s="827" t="str">
        <f>IF('Statement of Marks'!HS108="","",'Statement of Marks'!HS108)</f>
        <v/>
      </c>
      <c r="K105" s="281" t="str">
        <f>IF('Statement of Marks'!HT108="","",'Statement of Marks'!HT108)</f>
        <v/>
      </c>
      <c r="L105" s="828" t="str">
        <f>IF('Statement of Marks'!HW108="","",'Statement of Marks'!HW108)</f>
        <v/>
      </c>
      <c r="M105" s="281" t="str">
        <f>IF('Statement of Marks'!HV108="","",'Statement of Marks'!HV108)</f>
        <v/>
      </c>
      <c r="N105" s="829" t="str">
        <f>IF('Statement of Marks'!HX108="","",'Statement of Marks'!HX108)</f>
        <v/>
      </c>
      <c r="O105" s="282" t="str">
        <f>IF(J105="FAIL","",IF('Statement of Marks'!HO108="","",'Statement of Marks'!HO108))</f>
        <v xml:space="preserve">      </v>
      </c>
      <c r="P105" s="283" t="str">
        <f>IF('Supp. Result Entry'!AQ106="","",'Supp. Result Entry'!AQ106)</f>
        <v/>
      </c>
      <c r="Q105" s="284" t="str">
        <f>IF('Supp. Result Entry'!AR106="","",'Supp. Result Entry'!AR106)</f>
        <v/>
      </c>
      <c r="R105" s="285" t="str">
        <f>IF('Statement of Marks'!IA108="","",'Statement of Marks'!IA108)</f>
        <v/>
      </c>
      <c r="S105" s="286" t="str">
        <f>IF('Statement of Marks'!GL108="","",'Statement of Marks'!GL108)</f>
        <v/>
      </c>
      <c r="BM105" s="287" t="str">
        <f>'Statement of Marks'!F108</f>
        <v/>
      </c>
      <c r="BN105" s="288" t="str">
        <f t="shared" si="12"/>
        <v/>
      </c>
      <c r="BO105" s="288" t="str">
        <f t="shared" si="13"/>
        <v/>
      </c>
      <c r="BP105" s="288" t="str">
        <f t="shared" si="14"/>
        <v/>
      </c>
      <c r="BQ105" s="288" t="str">
        <f t="shared" si="15"/>
        <v/>
      </c>
      <c r="BR105" s="288" t="str">
        <f t="shared" si="16"/>
        <v/>
      </c>
      <c r="BS105" s="288" t="str">
        <f t="shared" si="17"/>
        <v/>
      </c>
      <c r="BT105" s="288" t="str">
        <f t="shared" si="18"/>
        <v/>
      </c>
      <c r="BU105" s="288" t="str">
        <f t="shared" si="19"/>
        <v/>
      </c>
      <c r="BV105" s="288" t="str">
        <f t="shared" si="20"/>
        <v/>
      </c>
      <c r="BW105" s="288" t="str">
        <f t="shared" si="21"/>
        <v/>
      </c>
      <c r="BX105" s="288" t="str">
        <f t="shared" si="22"/>
        <v/>
      </c>
      <c r="BY105" s="288" t="str">
        <f t="shared" si="23"/>
        <v/>
      </c>
      <c r="BZ105" s="289"/>
    </row>
    <row r="106" spans="1:78" ht="15" customHeight="1">
      <c r="A106" s="276">
        <f>IF('Statement of Marks'!A109="","",'Statement of Marks'!A109)</f>
        <v>103</v>
      </c>
      <c r="B106" s="277" t="str">
        <f>IF('Statement of Marks'!B109="","",'Statement of Marks'!B109)</f>
        <v/>
      </c>
      <c r="C106" s="278" t="str">
        <f>IF('Statement of Marks'!D109="","",'Statement of Marks'!D109)</f>
        <v/>
      </c>
      <c r="D106" s="314" t="str">
        <f>IF('Statement of Marks'!E109="","",'Statement of Marks'!E109)</f>
        <v/>
      </c>
      <c r="E106" s="279" t="str">
        <f>IF('Statement of Marks'!F109="","",'Statement of Marks'!F109)</f>
        <v/>
      </c>
      <c r="F106" s="279" t="str">
        <f>IF('Statement of Marks'!G109="","",'Statement of Marks'!G109)</f>
        <v/>
      </c>
      <c r="G106" s="279" t="str">
        <f>IF('Statement of Marks'!H109="","",'Statement of Marks'!H109)</f>
        <v/>
      </c>
      <c r="H106" s="280" t="str">
        <f>IF('Statement of Marks'!I109="","",'Statement of Marks'!I109)</f>
        <v/>
      </c>
      <c r="I106" s="280" t="str">
        <f>IF('Statement of Marks'!J109="","",'Statement of Marks'!J109)</f>
        <v/>
      </c>
      <c r="J106" s="827" t="str">
        <f>IF('Statement of Marks'!HS109="","",'Statement of Marks'!HS109)</f>
        <v/>
      </c>
      <c r="K106" s="281" t="str">
        <f>IF('Statement of Marks'!HT109="","",'Statement of Marks'!HT109)</f>
        <v/>
      </c>
      <c r="L106" s="828" t="str">
        <f>IF('Statement of Marks'!HW109="","",'Statement of Marks'!HW109)</f>
        <v/>
      </c>
      <c r="M106" s="281" t="str">
        <f>IF('Statement of Marks'!HV109="","",'Statement of Marks'!HV109)</f>
        <v/>
      </c>
      <c r="N106" s="829" t="str">
        <f>IF('Statement of Marks'!HX109="","",'Statement of Marks'!HX109)</f>
        <v/>
      </c>
      <c r="O106" s="282" t="str">
        <f>IF(J106="FAIL","",IF('Statement of Marks'!HO109="","",'Statement of Marks'!HO109))</f>
        <v xml:space="preserve">      </v>
      </c>
      <c r="P106" s="283" t="str">
        <f>IF('Supp. Result Entry'!AQ107="","",'Supp. Result Entry'!AQ107)</f>
        <v/>
      </c>
      <c r="Q106" s="284" t="str">
        <f>IF('Supp. Result Entry'!AR107="","",'Supp. Result Entry'!AR107)</f>
        <v/>
      </c>
      <c r="R106" s="285" t="str">
        <f>IF('Statement of Marks'!IA109="","",'Statement of Marks'!IA109)</f>
        <v/>
      </c>
      <c r="S106" s="286" t="str">
        <f>IF('Statement of Marks'!GL109="","",'Statement of Marks'!GL109)</f>
        <v/>
      </c>
      <c r="BM106" s="287" t="str">
        <f>'Statement of Marks'!F109</f>
        <v/>
      </c>
      <c r="BN106" s="288" t="str">
        <f t="shared" si="12"/>
        <v/>
      </c>
      <c r="BO106" s="288" t="str">
        <f t="shared" si="13"/>
        <v/>
      </c>
      <c r="BP106" s="288" t="str">
        <f t="shared" si="14"/>
        <v/>
      </c>
      <c r="BQ106" s="288" t="str">
        <f t="shared" si="15"/>
        <v/>
      </c>
      <c r="BR106" s="288" t="str">
        <f t="shared" si="16"/>
        <v/>
      </c>
      <c r="BS106" s="288" t="str">
        <f t="shared" si="17"/>
        <v/>
      </c>
      <c r="BT106" s="288" t="str">
        <f t="shared" si="18"/>
        <v/>
      </c>
      <c r="BU106" s="288" t="str">
        <f t="shared" si="19"/>
        <v/>
      </c>
      <c r="BV106" s="288" t="str">
        <f t="shared" si="20"/>
        <v/>
      </c>
      <c r="BW106" s="288" t="str">
        <f t="shared" si="21"/>
        <v/>
      </c>
      <c r="BX106" s="288" t="str">
        <f t="shared" si="22"/>
        <v/>
      </c>
      <c r="BY106" s="288" t="str">
        <f t="shared" si="23"/>
        <v/>
      </c>
      <c r="BZ106" s="289"/>
    </row>
    <row r="107" spans="1:78" ht="15" customHeight="1">
      <c r="A107" s="276">
        <f>IF('Statement of Marks'!A110="","",'Statement of Marks'!A110)</f>
        <v>104</v>
      </c>
      <c r="B107" s="277" t="str">
        <f>IF('Statement of Marks'!B110="","",'Statement of Marks'!B110)</f>
        <v/>
      </c>
      <c r="C107" s="278" t="str">
        <f>IF('Statement of Marks'!D110="","",'Statement of Marks'!D110)</f>
        <v/>
      </c>
      <c r="D107" s="314" t="str">
        <f>IF('Statement of Marks'!E110="","",'Statement of Marks'!E110)</f>
        <v/>
      </c>
      <c r="E107" s="279" t="str">
        <f>IF('Statement of Marks'!F110="","",'Statement of Marks'!F110)</f>
        <v/>
      </c>
      <c r="F107" s="279" t="str">
        <f>IF('Statement of Marks'!G110="","",'Statement of Marks'!G110)</f>
        <v/>
      </c>
      <c r="G107" s="279" t="str">
        <f>IF('Statement of Marks'!H110="","",'Statement of Marks'!H110)</f>
        <v/>
      </c>
      <c r="H107" s="280" t="str">
        <f>IF('Statement of Marks'!I110="","",'Statement of Marks'!I110)</f>
        <v/>
      </c>
      <c r="I107" s="280" t="str">
        <f>IF('Statement of Marks'!J110="","",'Statement of Marks'!J110)</f>
        <v/>
      </c>
      <c r="J107" s="827" t="str">
        <f>IF('Statement of Marks'!HS110="","",'Statement of Marks'!HS110)</f>
        <v/>
      </c>
      <c r="K107" s="281" t="str">
        <f>IF('Statement of Marks'!HT110="","",'Statement of Marks'!HT110)</f>
        <v/>
      </c>
      <c r="L107" s="828" t="str">
        <f>IF('Statement of Marks'!HW110="","",'Statement of Marks'!HW110)</f>
        <v/>
      </c>
      <c r="M107" s="281" t="str">
        <f>IF('Statement of Marks'!HV110="","",'Statement of Marks'!HV110)</f>
        <v/>
      </c>
      <c r="N107" s="829" t="str">
        <f>IF('Statement of Marks'!HX110="","",'Statement of Marks'!HX110)</f>
        <v/>
      </c>
      <c r="O107" s="282" t="str">
        <f>IF(J107="FAIL","",IF('Statement of Marks'!HO110="","",'Statement of Marks'!HO110))</f>
        <v xml:space="preserve">      </v>
      </c>
      <c r="P107" s="283" t="str">
        <f>IF('Supp. Result Entry'!AQ108="","",'Supp. Result Entry'!AQ108)</f>
        <v/>
      </c>
      <c r="Q107" s="284" t="str">
        <f>IF('Supp. Result Entry'!AR108="","",'Supp. Result Entry'!AR108)</f>
        <v/>
      </c>
      <c r="R107" s="285" t="str">
        <f>IF('Statement of Marks'!IA110="","",'Statement of Marks'!IA110)</f>
        <v/>
      </c>
      <c r="S107" s="286" t="str">
        <f>IF('Statement of Marks'!GL110="","",'Statement of Marks'!GL110)</f>
        <v/>
      </c>
      <c r="BM107" s="287" t="str">
        <f>'Statement of Marks'!F110</f>
        <v/>
      </c>
      <c r="BN107" s="288" t="str">
        <f t="shared" si="12"/>
        <v/>
      </c>
      <c r="BO107" s="288" t="str">
        <f t="shared" si="13"/>
        <v/>
      </c>
      <c r="BP107" s="288" t="str">
        <f t="shared" si="14"/>
        <v/>
      </c>
      <c r="BQ107" s="288" t="str">
        <f t="shared" si="15"/>
        <v/>
      </c>
      <c r="BR107" s="288" t="str">
        <f t="shared" si="16"/>
        <v/>
      </c>
      <c r="BS107" s="288" t="str">
        <f t="shared" si="17"/>
        <v/>
      </c>
      <c r="BT107" s="288" t="str">
        <f t="shared" si="18"/>
        <v/>
      </c>
      <c r="BU107" s="288" t="str">
        <f t="shared" si="19"/>
        <v/>
      </c>
      <c r="BV107" s="288" t="str">
        <f t="shared" si="20"/>
        <v/>
      </c>
      <c r="BW107" s="288" t="str">
        <f t="shared" si="21"/>
        <v/>
      </c>
      <c r="BX107" s="288" t="str">
        <f t="shared" si="22"/>
        <v/>
      </c>
      <c r="BY107" s="288" t="str">
        <f t="shared" si="23"/>
        <v/>
      </c>
      <c r="BZ107" s="289"/>
    </row>
    <row r="108" spans="1:78" ht="15" customHeight="1">
      <c r="A108" s="276">
        <f>IF('Statement of Marks'!A111="","",'Statement of Marks'!A111)</f>
        <v>105</v>
      </c>
      <c r="B108" s="277" t="str">
        <f>IF('Statement of Marks'!B111="","",'Statement of Marks'!B111)</f>
        <v/>
      </c>
      <c r="C108" s="278" t="str">
        <f>IF('Statement of Marks'!D111="","",'Statement of Marks'!D111)</f>
        <v/>
      </c>
      <c r="D108" s="314" t="str">
        <f>IF('Statement of Marks'!E111="","",'Statement of Marks'!E111)</f>
        <v/>
      </c>
      <c r="E108" s="279" t="str">
        <f>IF('Statement of Marks'!F111="","",'Statement of Marks'!F111)</f>
        <v/>
      </c>
      <c r="F108" s="279" t="str">
        <f>IF('Statement of Marks'!G111="","",'Statement of Marks'!G111)</f>
        <v/>
      </c>
      <c r="G108" s="279" t="str">
        <f>IF('Statement of Marks'!H111="","",'Statement of Marks'!H111)</f>
        <v/>
      </c>
      <c r="H108" s="280" t="str">
        <f>IF('Statement of Marks'!I111="","",'Statement of Marks'!I111)</f>
        <v/>
      </c>
      <c r="I108" s="280" t="str">
        <f>IF('Statement of Marks'!J111="","",'Statement of Marks'!J111)</f>
        <v/>
      </c>
      <c r="J108" s="827" t="str">
        <f>IF('Statement of Marks'!HS111="","",'Statement of Marks'!HS111)</f>
        <v/>
      </c>
      <c r="K108" s="281" t="str">
        <f>IF('Statement of Marks'!HT111="","",'Statement of Marks'!HT111)</f>
        <v/>
      </c>
      <c r="L108" s="828" t="str">
        <f>IF('Statement of Marks'!HW111="","",'Statement of Marks'!HW111)</f>
        <v/>
      </c>
      <c r="M108" s="281" t="str">
        <f>IF('Statement of Marks'!HV111="","",'Statement of Marks'!HV111)</f>
        <v/>
      </c>
      <c r="N108" s="829" t="str">
        <f>IF('Statement of Marks'!HX111="","",'Statement of Marks'!HX111)</f>
        <v/>
      </c>
      <c r="O108" s="282" t="str">
        <f>IF(J108="FAIL","",IF('Statement of Marks'!HO111="","",'Statement of Marks'!HO111))</f>
        <v xml:space="preserve">      </v>
      </c>
      <c r="P108" s="283" t="str">
        <f>IF('Supp. Result Entry'!AQ109="","",'Supp. Result Entry'!AQ109)</f>
        <v/>
      </c>
      <c r="Q108" s="284" t="str">
        <f>IF('Supp. Result Entry'!AR109="","",'Supp. Result Entry'!AR109)</f>
        <v/>
      </c>
      <c r="R108" s="285" t="str">
        <f>IF('Statement of Marks'!IA111="","",'Statement of Marks'!IA111)</f>
        <v/>
      </c>
      <c r="S108" s="286" t="str">
        <f>IF('Statement of Marks'!GL111="","",'Statement of Marks'!GL111)</f>
        <v/>
      </c>
      <c r="BM108" s="287" t="str">
        <f>'Statement of Marks'!F111</f>
        <v/>
      </c>
      <c r="BN108" s="288" t="str">
        <f t="shared" si="12"/>
        <v/>
      </c>
      <c r="BO108" s="288" t="str">
        <f t="shared" si="13"/>
        <v/>
      </c>
      <c r="BP108" s="288" t="str">
        <f t="shared" si="14"/>
        <v/>
      </c>
      <c r="BQ108" s="288" t="str">
        <f t="shared" si="15"/>
        <v/>
      </c>
      <c r="BR108" s="288" t="str">
        <f t="shared" si="16"/>
        <v/>
      </c>
      <c r="BS108" s="288" t="str">
        <f t="shared" si="17"/>
        <v/>
      </c>
      <c r="BT108" s="288" t="str">
        <f t="shared" si="18"/>
        <v/>
      </c>
      <c r="BU108" s="288" t="str">
        <f t="shared" si="19"/>
        <v/>
      </c>
      <c r="BV108" s="288" t="str">
        <f t="shared" si="20"/>
        <v/>
      </c>
      <c r="BW108" s="288" t="str">
        <f t="shared" si="21"/>
        <v/>
      </c>
      <c r="BX108" s="288" t="str">
        <f t="shared" si="22"/>
        <v/>
      </c>
      <c r="BY108" s="288" t="str">
        <f t="shared" si="23"/>
        <v/>
      </c>
      <c r="BZ108" s="289"/>
    </row>
    <row r="109" spans="1:78" ht="15" customHeight="1">
      <c r="A109" s="276">
        <f>IF('Statement of Marks'!A112="","",'Statement of Marks'!A112)</f>
        <v>106</v>
      </c>
      <c r="B109" s="277" t="str">
        <f>IF('Statement of Marks'!B112="","",'Statement of Marks'!B112)</f>
        <v/>
      </c>
      <c r="C109" s="278" t="str">
        <f>IF('Statement of Marks'!D112="","",'Statement of Marks'!D112)</f>
        <v/>
      </c>
      <c r="D109" s="314" t="str">
        <f>IF('Statement of Marks'!E112="","",'Statement of Marks'!E112)</f>
        <v/>
      </c>
      <c r="E109" s="279" t="str">
        <f>IF('Statement of Marks'!F112="","",'Statement of Marks'!F112)</f>
        <v/>
      </c>
      <c r="F109" s="279" t="str">
        <f>IF('Statement of Marks'!G112="","",'Statement of Marks'!G112)</f>
        <v/>
      </c>
      <c r="G109" s="279" t="str">
        <f>IF('Statement of Marks'!H112="","",'Statement of Marks'!H112)</f>
        <v/>
      </c>
      <c r="H109" s="280" t="str">
        <f>IF('Statement of Marks'!I112="","",'Statement of Marks'!I112)</f>
        <v/>
      </c>
      <c r="I109" s="280" t="str">
        <f>IF('Statement of Marks'!J112="","",'Statement of Marks'!J112)</f>
        <v/>
      </c>
      <c r="J109" s="827" t="str">
        <f>IF('Statement of Marks'!HS112="","",'Statement of Marks'!HS112)</f>
        <v/>
      </c>
      <c r="K109" s="281" t="str">
        <f>IF('Statement of Marks'!HT112="","",'Statement of Marks'!HT112)</f>
        <v/>
      </c>
      <c r="L109" s="828" t="str">
        <f>IF('Statement of Marks'!HW112="","",'Statement of Marks'!HW112)</f>
        <v/>
      </c>
      <c r="M109" s="281" t="str">
        <f>IF('Statement of Marks'!HV112="","",'Statement of Marks'!HV112)</f>
        <v/>
      </c>
      <c r="N109" s="829" t="str">
        <f>IF('Statement of Marks'!HX112="","",'Statement of Marks'!HX112)</f>
        <v/>
      </c>
      <c r="O109" s="282" t="str">
        <f>IF(J109="FAIL","",IF('Statement of Marks'!HO112="","",'Statement of Marks'!HO112))</f>
        <v xml:space="preserve">      </v>
      </c>
      <c r="P109" s="283" t="str">
        <f>IF('Supp. Result Entry'!AQ110="","",'Supp. Result Entry'!AQ110)</f>
        <v/>
      </c>
      <c r="Q109" s="284" t="str">
        <f>IF('Supp. Result Entry'!AR110="","",'Supp. Result Entry'!AR110)</f>
        <v/>
      </c>
      <c r="R109" s="285" t="str">
        <f>IF('Statement of Marks'!IA112="","",'Statement of Marks'!IA112)</f>
        <v/>
      </c>
      <c r="S109" s="286" t="str">
        <f>IF('Statement of Marks'!GL112="","",'Statement of Marks'!GL112)</f>
        <v/>
      </c>
      <c r="BM109" s="287" t="str">
        <f>'Statement of Marks'!F112</f>
        <v/>
      </c>
      <c r="BN109" s="288" t="str">
        <f t="shared" si="12"/>
        <v/>
      </c>
      <c r="BO109" s="288" t="str">
        <f t="shared" si="13"/>
        <v/>
      </c>
      <c r="BP109" s="288" t="str">
        <f t="shared" si="14"/>
        <v/>
      </c>
      <c r="BQ109" s="288" t="str">
        <f t="shared" si="15"/>
        <v/>
      </c>
      <c r="BR109" s="288" t="str">
        <f t="shared" si="16"/>
        <v/>
      </c>
      <c r="BS109" s="288" t="str">
        <f t="shared" si="17"/>
        <v/>
      </c>
      <c r="BT109" s="288" t="str">
        <f t="shared" si="18"/>
        <v/>
      </c>
      <c r="BU109" s="288" t="str">
        <f t="shared" si="19"/>
        <v/>
      </c>
      <c r="BV109" s="288" t="str">
        <f t="shared" si="20"/>
        <v/>
      </c>
      <c r="BW109" s="288" t="str">
        <f t="shared" si="21"/>
        <v/>
      </c>
      <c r="BX109" s="288" t="str">
        <f t="shared" si="22"/>
        <v/>
      </c>
      <c r="BY109" s="288" t="str">
        <f t="shared" si="23"/>
        <v/>
      </c>
      <c r="BZ109" s="289"/>
    </row>
    <row r="110" spans="1:78" ht="15" customHeight="1">
      <c r="A110" s="276">
        <f>IF('Statement of Marks'!A113="","",'Statement of Marks'!A113)</f>
        <v>107</v>
      </c>
      <c r="B110" s="277" t="str">
        <f>IF('Statement of Marks'!B113="","",'Statement of Marks'!B113)</f>
        <v/>
      </c>
      <c r="C110" s="278" t="str">
        <f>IF('Statement of Marks'!D113="","",'Statement of Marks'!D113)</f>
        <v/>
      </c>
      <c r="D110" s="314" t="str">
        <f>IF('Statement of Marks'!E113="","",'Statement of Marks'!E113)</f>
        <v/>
      </c>
      <c r="E110" s="279" t="str">
        <f>IF('Statement of Marks'!F113="","",'Statement of Marks'!F113)</f>
        <v/>
      </c>
      <c r="F110" s="279" t="str">
        <f>IF('Statement of Marks'!G113="","",'Statement of Marks'!G113)</f>
        <v/>
      </c>
      <c r="G110" s="279" t="str">
        <f>IF('Statement of Marks'!H113="","",'Statement of Marks'!H113)</f>
        <v/>
      </c>
      <c r="H110" s="280" t="str">
        <f>IF('Statement of Marks'!I113="","",'Statement of Marks'!I113)</f>
        <v/>
      </c>
      <c r="I110" s="280" t="str">
        <f>IF('Statement of Marks'!J113="","",'Statement of Marks'!J113)</f>
        <v/>
      </c>
      <c r="J110" s="827" t="str">
        <f>IF('Statement of Marks'!HS113="","",'Statement of Marks'!HS113)</f>
        <v/>
      </c>
      <c r="K110" s="281" t="str">
        <f>IF('Statement of Marks'!HT113="","",'Statement of Marks'!HT113)</f>
        <v/>
      </c>
      <c r="L110" s="828" t="str">
        <f>IF('Statement of Marks'!HW113="","",'Statement of Marks'!HW113)</f>
        <v/>
      </c>
      <c r="M110" s="281" t="str">
        <f>IF('Statement of Marks'!HV113="","",'Statement of Marks'!HV113)</f>
        <v/>
      </c>
      <c r="N110" s="829" t="str">
        <f>IF('Statement of Marks'!HX113="","",'Statement of Marks'!HX113)</f>
        <v/>
      </c>
      <c r="O110" s="282" t="str">
        <f>IF(J110="FAIL","",IF('Statement of Marks'!HO113="","",'Statement of Marks'!HO113))</f>
        <v xml:space="preserve">      </v>
      </c>
      <c r="P110" s="283" t="str">
        <f>IF('Supp. Result Entry'!AQ111="","",'Supp. Result Entry'!AQ111)</f>
        <v/>
      </c>
      <c r="Q110" s="284" t="str">
        <f>IF('Supp. Result Entry'!AR111="","",'Supp. Result Entry'!AR111)</f>
        <v/>
      </c>
      <c r="R110" s="285" t="str">
        <f>IF('Statement of Marks'!IA113="","",'Statement of Marks'!IA113)</f>
        <v/>
      </c>
      <c r="S110" s="286" t="str">
        <f>IF('Statement of Marks'!GL113="","",'Statement of Marks'!GL113)</f>
        <v/>
      </c>
      <c r="BM110" s="287" t="str">
        <f>'Statement of Marks'!F113</f>
        <v/>
      </c>
      <c r="BN110" s="288" t="str">
        <f t="shared" si="12"/>
        <v/>
      </c>
      <c r="BO110" s="288" t="str">
        <f t="shared" si="13"/>
        <v/>
      </c>
      <c r="BP110" s="288" t="str">
        <f t="shared" si="14"/>
        <v/>
      </c>
      <c r="BQ110" s="288" t="str">
        <f t="shared" si="15"/>
        <v/>
      </c>
      <c r="BR110" s="288" t="str">
        <f t="shared" si="16"/>
        <v/>
      </c>
      <c r="BS110" s="288" t="str">
        <f t="shared" si="17"/>
        <v/>
      </c>
      <c r="BT110" s="288" t="str">
        <f t="shared" si="18"/>
        <v/>
      </c>
      <c r="BU110" s="288" t="str">
        <f t="shared" si="19"/>
        <v/>
      </c>
      <c r="BV110" s="288" t="str">
        <f t="shared" si="20"/>
        <v/>
      </c>
      <c r="BW110" s="288" t="str">
        <f t="shared" si="21"/>
        <v/>
      </c>
      <c r="BX110" s="288" t="str">
        <f t="shared" si="22"/>
        <v/>
      </c>
      <c r="BY110" s="288" t="str">
        <f t="shared" si="23"/>
        <v/>
      </c>
      <c r="BZ110" s="289"/>
    </row>
    <row r="111" spans="1:78" ht="15" customHeight="1">
      <c r="A111" s="276">
        <f>IF('Statement of Marks'!A114="","",'Statement of Marks'!A114)</f>
        <v>108</v>
      </c>
      <c r="B111" s="277" t="str">
        <f>IF('Statement of Marks'!B114="","",'Statement of Marks'!B114)</f>
        <v/>
      </c>
      <c r="C111" s="278" t="str">
        <f>IF('Statement of Marks'!D114="","",'Statement of Marks'!D114)</f>
        <v/>
      </c>
      <c r="D111" s="314" t="str">
        <f>IF('Statement of Marks'!E114="","",'Statement of Marks'!E114)</f>
        <v/>
      </c>
      <c r="E111" s="279" t="str">
        <f>IF('Statement of Marks'!F114="","",'Statement of Marks'!F114)</f>
        <v/>
      </c>
      <c r="F111" s="279" t="str">
        <f>IF('Statement of Marks'!G114="","",'Statement of Marks'!G114)</f>
        <v/>
      </c>
      <c r="G111" s="279" t="str">
        <f>IF('Statement of Marks'!H114="","",'Statement of Marks'!H114)</f>
        <v/>
      </c>
      <c r="H111" s="280" t="str">
        <f>IF('Statement of Marks'!I114="","",'Statement of Marks'!I114)</f>
        <v/>
      </c>
      <c r="I111" s="280" t="str">
        <f>IF('Statement of Marks'!J114="","",'Statement of Marks'!J114)</f>
        <v/>
      </c>
      <c r="J111" s="827" t="str">
        <f>IF('Statement of Marks'!HS114="","",'Statement of Marks'!HS114)</f>
        <v/>
      </c>
      <c r="K111" s="281" t="str">
        <f>IF('Statement of Marks'!HT114="","",'Statement of Marks'!HT114)</f>
        <v/>
      </c>
      <c r="L111" s="828" t="str">
        <f>IF('Statement of Marks'!HW114="","",'Statement of Marks'!HW114)</f>
        <v/>
      </c>
      <c r="M111" s="281" t="str">
        <f>IF('Statement of Marks'!HV114="","",'Statement of Marks'!HV114)</f>
        <v/>
      </c>
      <c r="N111" s="829" t="str">
        <f>IF('Statement of Marks'!HX114="","",'Statement of Marks'!HX114)</f>
        <v/>
      </c>
      <c r="O111" s="282" t="str">
        <f>IF(J111="FAIL","",IF('Statement of Marks'!HO114="","",'Statement of Marks'!HO114))</f>
        <v xml:space="preserve">      </v>
      </c>
      <c r="P111" s="283" t="str">
        <f>IF('Supp. Result Entry'!AQ112="","",'Supp. Result Entry'!AQ112)</f>
        <v/>
      </c>
      <c r="Q111" s="284" t="str">
        <f>IF('Supp. Result Entry'!AR112="","",'Supp. Result Entry'!AR112)</f>
        <v/>
      </c>
      <c r="R111" s="285" t="str">
        <f>IF('Statement of Marks'!IA114="","",'Statement of Marks'!IA114)</f>
        <v/>
      </c>
      <c r="S111" s="286" t="str">
        <f>IF('Statement of Marks'!GL114="","",'Statement of Marks'!GL114)</f>
        <v/>
      </c>
      <c r="BM111" s="287" t="str">
        <f>'Statement of Marks'!F114</f>
        <v/>
      </c>
      <c r="BN111" s="288" t="str">
        <f t="shared" si="12"/>
        <v/>
      </c>
      <c r="BO111" s="288" t="str">
        <f t="shared" si="13"/>
        <v/>
      </c>
      <c r="BP111" s="288" t="str">
        <f t="shared" si="14"/>
        <v/>
      </c>
      <c r="BQ111" s="288" t="str">
        <f t="shared" si="15"/>
        <v/>
      </c>
      <c r="BR111" s="288" t="str">
        <f t="shared" si="16"/>
        <v/>
      </c>
      <c r="BS111" s="288" t="str">
        <f t="shared" si="17"/>
        <v/>
      </c>
      <c r="BT111" s="288" t="str">
        <f t="shared" si="18"/>
        <v/>
      </c>
      <c r="BU111" s="288" t="str">
        <f t="shared" si="19"/>
        <v/>
      </c>
      <c r="BV111" s="288" t="str">
        <f t="shared" si="20"/>
        <v/>
      </c>
      <c r="BW111" s="288" t="str">
        <f t="shared" si="21"/>
        <v/>
      </c>
      <c r="BX111" s="288" t="str">
        <f t="shared" si="22"/>
        <v/>
      </c>
      <c r="BY111" s="288" t="str">
        <f t="shared" si="23"/>
        <v/>
      </c>
      <c r="BZ111" s="289"/>
    </row>
    <row r="112" spans="1:78" ht="15" customHeight="1">
      <c r="A112" s="276">
        <f>IF('Statement of Marks'!A115="","",'Statement of Marks'!A115)</f>
        <v>109</v>
      </c>
      <c r="B112" s="277" t="str">
        <f>IF('Statement of Marks'!B115="","",'Statement of Marks'!B115)</f>
        <v/>
      </c>
      <c r="C112" s="278" t="str">
        <f>IF('Statement of Marks'!D115="","",'Statement of Marks'!D115)</f>
        <v/>
      </c>
      <c r="D112" s="314" t="str">
        <f>IF('Statement of Marks'!E115="","",'Statement of Marks'!E115)</f>
        <v/>
      </c>
      <c r="E112" s="279" t="str">
        <f>IF('Statement of Marks'!F115="","",'Statement of Marks'!F115)</f>
        <v/>
      </c>
      <c r="F112" s="279" t="str">
        <f>IF('Statement of Marks'!G115="","",'Statement of Marks'!G115)</f>
        <v/>
      </c>
      <c r="G112" s="279" t="str">
        <f>IF('Statement of Marks'!H115="","",'Statement of Marks'!H115)</f>
        <v/>
      </c>
      <c r="H112" s="280" t="str">
        <f>IF('Statement of Marks'!I115="","",'Statement of Marks'!I115)</f>
        <v/>
      </c>
      <c r="I112" s="280" t="str">
        <f>IF('Statement of Marks'!J115="","",'Statement of Marks'!J115)</f>
        <v/>
      </c>
      <c r="J112" s="826" t="str">
        <f>IF('Statement of Marks'!HS115="","",'Statement of Marks'!HS115)</f>
        <v/>
      </c>
      <c r="K112" s="281" t="str">
        <f>IF('Statement of Marks'!HT115="","",'Statement of Marks'!HT115)</f>
        <v/>
      </c>
      <c r="L112" s="828" t="str">
        <f>IF('Statement of Marks'!HW115="","",'Statement of Marks'!HW115)</f>
        <v/>
      </c>
      <c r="M112" s="281" t="str">
        <f>IF('Statement of Marks'!HV115="","",'Statement of Marks'!HV115)</f>
        <v/>
      </c>
      <c r="N112" s="829" t="str">
        <f>IF('Statement of Marks'!HX115="","",'Statement of Marks'!HX115)</f>
        <v/>
      </c>
      <c r="O112" s="282" t="str">
        <f>IF(J112="FAIL","",IF('Statement of Marks'!HO115="","",'Statement of Marks'!HO115))</f>
        <v xml:space="preserve">      </v>
      </c>
      <c r="P112" s="283" t="str">
        <f>IF('Supp. Result Entry'!AQ113="","",'Supp. Result Entry'!AQ113)</f>
        <v/>
      </c>
      <c r="Q112" s="284" t="str">
        <f>IF('Supp. Result Entry'!AR113="","",'Supp. Result Entry'!AR113)</f>
        <v/>
      </c>
      <c r="R112" s="285" t="str">
        <f>IF('Statement of Marks'!IA115="","",'Statement of Marks'!IA115)</f>
        <v/>
      </c>
      <c r="S112" s="286" t="str">
        <f>IF('Statement of Marks'!GL115="","",'Statement of Marks'!GL115)</f>
        <v/>
      </c>
      <c r="BM112" s="287" t="str">
        <f>'Statement of Marks'!F115</f>
        <v/>
      </c>
      <c r="BN112" s="288" t="str">
        <f t="shared" si="12"/>
        <v/>
      </c>
      <c r="BO112" s="288" t="str">
        <f t="shared" si="13"/>
        <v/>
      </c>
      <c r="BP112" s="288" t="str">
        <f t="shared" si="14"/>
        <v/>
      </c>
      <c r="BQ112" s="288" t="str">
        <f t="shared" si="15"/>
        <v/>
      </c>
      <c r="BR112" s="288" t="str">
        <f t="shared" si="16"/>
        <v/>
      </c>
      <c r="BS112" s="288" t="str">
        <f t="shared" si="17"/>
        <v/>
      </c>
      <c r="BT112" s="288" t="str">
        <f t="shared" si="18"/>
        <v/>
      </c>
      <c r="BU112" s="288" t="str">
        <f t="shared" si="19"/>
        <v/>
      </c>
      <c r="BV112" s="288" t="str">
        <f t="shared" si="20"/>
        <v/>
      </c>
      <c r="BW112" s="288" t="str">
        <f t="shared" si="21"/>
        <v/>
      </c>
      <c r="BX112" s="288" t="str">
        <f t="shared" si="22"/>
        <v/>
      </c>
      <c r="BY112" s="288" t="str">
        <f t="shared" si="23"/>
        <v/>
      </c>
      <c r="BZ112" s="289"/>
    </row>
    <row r="113" spans="1:78" ht="15" customHeight="1">
      <c r="A113" s="276">
        <f>IF('Statement of Marks'!A116="","",'Statement of Marks'!A116)</f>
        <v>110</v>
      </c>
      <c r="B113" s="277" t="str">
        <f>IF('Statement of Marks'!B116="","",'Statement of Marks'!B116)</f>
        <v/>
      </c>
      <c r="C113" s="278" t="str">
        <f>IF('Statement of Marks'!D116="","",'Statement of Marks'!D116)</f>
        <v/>
      </c>
      <c r="D113" s="314" t="str">
        <f>IF('Statement of Marks'!E116="","",'Statement of Marks'!E116)</f>
        <v/>
      </c>
      <c r="E113" s="279" t="str">
        <f>IF('Statement of Marks'!F116="","",'Statement of Marks'!F116)</f>
        <v/>
      </c>
      <c r="F113" s="279" t="str">
        <f>IF('Statement of Marks'!G116="","",'Statement of Marks'!G116)</f>
        <v/>
      </c>
      <c r="G113" s="279" t="str">
        <f>IF('Statement of Marks'!H116="","",'Statement of Marks'!H116)</f>
        <v/>
      </c>
      <c r="H113" s="280" t="str">
        <f>IF('Statement of Marks'!I116="","",'Statement of Marks'!I116)</f>
        <v/>
      </c>
      <c r="I113" s="280" t="str">
        <f>IF('Statement of Marks'!J116="","",'Statement of Marks'!J116)</f>
        <v/>
      </c>
      <c r="J113" s="827" t="str">
        <f>IF('Statement of Marks'!HS116="","",'Statement of Marks'!HS116)</f>
        <v/>
      </c>
      <c r="K113" s="281" t="str">
        <f>IF('Statement of Marks'!HT116="","",'Statement of Marks'!HT116)</f>
        <v/>
      </c>
      <c r="L113" s="828" t="str">
        <f>IF('Statement of Marks'!HW116="","",'Statement of Marks'!HW116)</f>
        <v/>
      </c>
      <c r="M113" s="281" t="str">
        <f>IF('Statement of Marks'!HV116="","",'Statement of Marks'!HV116)</f>
        <v/>
      </c>
      <c r="N113" s="829" t="str">
        <f>IF('Statement of Marks'!HX116="","",'Statement of Marks'!HX116)</f>
        <v/>
      </c>
      <c r="O113" s="282" t="str">
        <f>IF(J113="FAIL","",IF('Statement of Marks'!HO116="","",'Statement of Marks'!HO116))</f>
        <v xml:space="preserve">      </v>
      </c>
      <c r="P113" s="283" t="str">
        <f>IF('Supp. Result Entry'!AQ114="","",'Supp. Result Entry'!AQ114)</f>
        <v/>
      </c>
      <c r="Q113" s="284" t="str">
        <f>IF('Supp. Result Entry'!AR114="","",'Supp. Result Entry'!AR114)</f>
        <v/>
      </c>
      <c r="R113" s="285" t="str">
        <f>IF('Statement of Marks'!IA116="","",'Statement of Marks'!IA116)</f>
        <v/>
      </c>
      <c r="S113" s="286" t="str">
        <f>IF('Statement of Marks'!GL116="","",'Statement of Marks'!GL116)</f>
        <v/>
      </c>
      <c r="BM113" s="287" t="str">
        <f>'Statement of Marks'!F116</f>
        <v/>
      </c>
      <c r="BN113" s="288" t="str">
        <f t="shared" si="12"/>
        <v/>
      </c>
      <c r="BO113" s="288" t="str">
        <f t="shared" si="13"/>
        <v/>
      </c>
      <c r="BP113" s="288" t="str">
        <f t="shared" si="14"/>
        <v/>
      </c>
      <c r="BQ113" s="288" t="str">
        <f t="shared" si="15"/>
        <v/>
      </c>
      <c r="BR113" s="288" t="str">
        <f t="shared" si="16"/>
        <v/>
      </c>
      <c r="BS113" s="288" t="str">
        <f t="shared" si="17"/>
        <v/>
      </c>
      <c r="BT113" s="288" t="str">
        <f t="shared" si="18"/>
        <v/>
      </c>
      <c r="BU113" s="288" t="str">
        <f t="shared" si="19"/>
        <v/>
      </c>
      <c r="BV113" s="288" t="str">
        <f t="shared" si="20"/>
        <v/>
      </c>
      <c r="BW113" s="288" t="str">
        <f t="shared" si="21"/>
        <v/>
      </c>
      <c r="BX113" s="288" t="str">
        <f t="shared" si="22"/>
        <v/>
      </c>
      <c r="BY113" s="288" t="str">
        <f t="shared" si="23"/>
        <v/>
      </c>
      <c r="BZ113" s="289"/>
    </row>
    <row r="114" spans="1:78" ht="15" customHeight="1">
      <c r="A114" s="276">
        <f>IF('Statement of Marks'!A117="","",'Statement of Marks'!A117)</f>
        <v>111</v>
      </c>
      <c r="B114" s="277" t="str">
        <f>IF('Statement of Marks'!B117="","",'Statement of Marks'!B117)</f>
        <v/>
      </c>
      <c r="C114" s="278" t="str">
        <f>IF('Statement of Marks'!D117="","",'Statement of Marks'!D117)</f>
        <v/>
      </c>
      <c r="D114" s="314" t="str">
        <f>IF('Statement of Marks'!E117="","",'Statement of Marks'!E117)</f>
        <v/>
      </c>
      <c r="E114" s="279" t="str">
        <f>IF('Statement of Marks'!F117="","",'Statement of Marks'!F117)</f>
        <v/>
      </c>
      <c r="F114" s="279" t="str">
        <f>IF('Statement of Marks'!G117="","",'Statement of Marks'!G117)</f>
        <v/>
      </c>
      <c r="G114" s="279" t="str">
        <f>IF('Statement of Marks'!H117="","",'Statement of Marks'!H117)</f>
        <v/>
      </c>
      <c r="H114" s="280" t="str">
        <f>IF('Statement of Marks'!I117="","",'Statement of Marks'!I117)</f>
        <v/>
      </c>
      <c r="I114" s="280" t="str">
        <f>IF('Statement of Marks'!J117="","",'Statement of Marks'!J117)</f>
        <v/>
      </c>
      <c r="J114" s="827" t="str">
        <f>IF('Statement of Marks'!HS117="","",'Statement of Marks'!HS117)</f>
        <v/>
      </c>
      <c r="K114" s="281" t="str">
        <f>IF('Statement of Marks'!HT117="","",'Statement of Marks'!HT117)</f>
        <v/>
      </c>
      <c r="L114" s="828" t="str">
        <f>IF('Statement of Marks'!HW117="","",'Statement of Marks'!HW117)</f>
        <v/>
      </c>
      <c r="M114" s="281" t="str">
        <f>IF('Statement of Marks'!HV117="","",'Statement of Marks'!HV117)</f>
        <v/>
      </c>
      <c r="N114" s="829" t="str">
        <f>IF('Statement of Marks'!HX117="","",'Statement of Marks'!HX117)</f>
        <v/>
      </c>
      <c r="O114" s="282" t="str">
        <f>IF(J114="FAIL","",IF('Statement of Marks'!HO117="","",'Statement of Marks'!HO117))</f>
        <v xml:space="preserve">      </v>
      </c>
      <c r="P114" s="283" t="str">
        <f>IF('Supp. Result Entry'!AQ115="","",'Supp. Result Entry'!AQ115)</f>
        <v/>
      </c>
      <c r="Q114" s="284" t="str">
        <f>IF('Supp. Result Entry'!AR115="","",'Supp. Result Entry'!AR115)</f>
        <v/>
      </c>
      <c r="R114" s="285" t="str">
        <f>IF('Statement of Marks'!IA117="","",'Statement of Marks'!IA117)</f>
        <v/>
      </c>
      <c r="S114" s="286" t="str">
        <f>IF('Statement of Marks'!GL117="","",'Statement of Marks'!GL117)</f>
        <v/>
      </c>
      <c r="BM114" s="287" t="str">
        <f>'Statement of Marks'!F117</f>
        <v/>
      </c>
      <c r="BN114" s="288" t="str">
        <f t="shared" si="12"/>
        <v/>
      </c>
      <c r="BO114" s="288" t="str">
        <f t="shared" si="13"/>
        <v/>
      </c>
      <c r="BP114" s="288" t="str">
        <f t="shared" si="14"/>
        <v/>
      </c>
      <c r="BQ114" s="288" t="str">
        <f t="shared" si="15"/>
        <v/>
      </c>
      <c r="BR114" s="288" t="str">
        <f t="shared" si="16"/>
        <v/>
      </c>
      <c r="BS114" s="288" t="str">
        <f t="shared" si="17"/>
        <v/>
      </c>
      <c r="BT114" s="288" t="str">
        <f t="shared" si="18"/>
        <v/>
      </c>
      <c r="BU114" s="288" t="str">
        <f t="shared" si="19"/>
        <v/>
      </c>
      <c r="BV114" s="288" t="str">
        <f t="shared" si="20"/>
        <v/>
      </c>
      <c r="BW114" s="288" t="str">
        <f t="shared" si="21"/>
        <v/>
      </c>
      <c r="BX114" s="288" t="str">
        <f t="shared" si="22"/>
        <v/>
      </c>
      <c r="BY114" s="288" t="str">
        <f t="shared" si="23"/>
        <v/>
      </c>
      <c r="BZ114" s="289"/>
    </row>
    <row r="115" spans="1:78" ht="15" customHeight="1">
      <c r="A115" s="276">
        <f>IF('Statement of Marks'!A118="","",'Statement of Marks'!A118)</f>
        <v>112</v>
      </c>
      <c r="B115" s="277" t="str">
        <f>IF('Statement of Marks'!B118="","",'Statement of Marks'!B118)</f>
        <v/>
      </c>
      <c r="C115" s="278" t="str">
        <f>IF('Statement of Marks'!D118="","",'Statement of Marks'!D118)</f>
        <v/>
      </c>
      <c r="D115" s="314" t="str">
        <f>IF('Statement of Marks'!E118="","",'Statement of Marks'!E118)</f>
        <v/>
      </c>
      <c r="E115" s="279" t="str">
        <f>IF('Statement of Marks'!F118="","",'Statement of Marks'!F118)</f>
        <v/>
      </c>
      <c r="F115" s="279" t="str">
        <f>IF('Statement of Marks'!G118="","",'Statement of Marks'!G118)</f>
        <v/>
      </c>
      <c r="G115" s="279" t="str">
        <f>IF('Statement of Marks'!H118="","",'Statement of Marks'!H118)</f>
        <v/>
      </c>
      <c r="H115" s="280" t="str">
        <f>IF('Statement of Marks'!I118="","",'Statement of Marks'!I118)</f>
        <v/>
      </c>
      <c r="I115" s="280" t="str">
        <f>IF('Statement of Marks'!J118="","",'Statement of Marks'!J118)</f>
        <v/>
      </c>
      <c r="J115" s="827" t="str">
        <f>IF('Statement of Marks'!HS118="","",'Statement of Marks'!HS118)</f>
        <v/>
      </c>
      <c r="K115" s="281" t="str">
        <f>IF('Statement of Marks'!HT118="","",'Statement of Marks'!HT118)</f>
        <v/>
      </c>
      <c r="L115" s="828" t="str">
        <f>IF('Statement of Marks'!HW118="","",'Statement of Marks'!HW118)</f>
        <v/>
      </c>
      <c r="M115" s="281" t="str">
        <f>IF('Statement of Marks'!HV118="","",'Statement of Marks'!HV118)</f>
        <v/>
      </c>
      <c r="N115" s="829" t="str">
        <f>IF('Statement of Marks'!HX118="","",'Statement of Marks'!HX118)</f>
        <v/>
      </c>
      <c r="O115" s="282" t="str">
        <f>IF(J115="FAIL","",IF('Statement of Marks'!HO118="","",'Statement of Marks'!HO118))</f>
        <v xml:space="preserve">      </v>
      </c>
      <c r="P115" s="283" t="str">
        <f>IF('Supp. Result Entry'!AQ116="","",'Supp. Result Entry'!AQ116)</f>
        <v/>
      </c>
      <c r="Q115" s="284" t="str">
        <f>IF('Supp. Result Entry'!AR116="","",'Supp. Result Entry'!AR116)</f>
        <v/>
      </c>
      <c r="R115" s="285" t="str">
        <f>IF('Statement of Marks'!IA118="","",'Statement of Marks'!IA118)</f>
        <v/>
      </c>
      <c r="S115" s="286" t="str">
        <f>IF('Statement of Marks'!GL118="","",'Statement of Marks'!GL118)</f>
        <v/>
      </c>
      <c r="BM115" s="287" t="str">
        <f>'Statement of Marks'!F118</f>
        <v/>
      </c>
      <c r="BN115" s="288" t="str">
        <f t="shared" si="12"/>
        <v/>
      </c>
      <c r="BO115" s="288" t="str">
        <f t="shared" si="13"/>
        <v/>
      </c>
      <c r="BP115" s="288" t="str">
        <f t="shared" si="14"/>
        <v/>
      </c>
      <c r="BQ115" s="288" t="str">
        <f t="shared" si="15"/>
        <v/>
      </c>
      <c r="BR115" s="288" t="str">
        <f t="shared" si="16"/>
        <v/>
      </c>
      <c r="BS115" s="288" t="str">
        <f t="shared" si="17"/>
        <v/>
      </c>
      <c r="BT115" s="288" t="str">
        <f t="shared" si="18"/>
        <v/>
      </c>
      <c r="BU115" s="288" t="str">
        <f t="shared" si="19"/>
        <v/>
      </c>
      <c r="BV115" s="288" t="str">
        <f t="shared" si="20"/>
        <v/>
      </c>
      <c r="BW115" s="288" t="str">
        <f t="shared" si="21"/>
        <v/>
      </c>
      <c r="BX115" s="288" t="str">
        <f t="shared" si="22"/>
        <v/>
      </c>
      <c r="BY115" s="288" t="str">
        <f t="shared" si="23"/>
        <v/>
      </c>
      <c r="BZ115" s="289"/>
    </row>
    <row r="116" spans="1:78" ht="15" customHeight="1">
      <c r="A116" s="276">
        <f>IF('Statement of Marks'!A119="","",'Statement of Marks'!A119)</f>
        <v>113</v>
      </c>
      <c r="B116" s="277" t="str">
        <f>IF('Statement of Marks'!B119="","",'Statement of Marks'!B119)</f>
        <v/>
      </c>
      <c r="C116" s="278" t="str">
        <f>IF('Statement of Marks'!D119="","",'Statement of Marks'!D119)</f>
        <v/>
      </c>
      <c r="D116" s="314" t="str">
        <f>IF('Statement of Marks'!E119="","",'Statement of Marks'!E119)</f>
        <v/>
      </c>
      <c r="E116" s="279" t="str">
        <f>IF('Statement of Marks'!F119="","",'Statement of Marks'!F119)</f>
        <v/>
      </c>
      <c r="F116" s="279" t="str">
        <f>IF('Statement of Marks'!G119="","",'Statement of Marks'!G119)</f>
        <v/>
      </c>
      <c r="G116" s="279" t="str">
        <f>IF('Statement of Marks'!H119="","",'Statement of Marks'!H119)</f>
        <v/>
      </c>
      <c r="H116" s="280" t="str">
        <f>IF('Statement of Marks'!I119="","",'Statement of Marks'!I119)</f>
        <v/>
      </c>
      <c r="I116" s="280" t="str">
        <f>IF('Statement of Marks'!J119="","",'Statement of Marks'!J119)</f>
        <v/>
      </c>
      <c r="J116" s="827" t="str">
        <f>IF('Statement of Marks'!HS119="","",'Statement of Marks'!HS119)</f>
        <v/>
      </c>
      <c r="K116" s="281" t="str">
        <f>IF('Statement of Marks'!HT119="","",'Statement of Marks'!HT119)</f>
        <v/>
      </c>
      <c r="L116" s="828" t="str">
        <f>IF('Statement of Marks'!HW119="","",'Statement of Marks'!HW119)</f>
        <v/>
      </c>
      <c r="M116" s="281" t="str">
        <f>IF('Statement of Marks'!HV119="","",'Statement of Marks'!HV119)</f>
        <v/>
      </c>
      <c r="N116" s="829" t="str">
        <f>IF('Statement of Marks'!HX119="","",'Statement of Marks'!HX119)</f>
        <v/>
      </c>
      <c r="O116" s="282" t="str">
        <f>IF(J116="FAIL","",IF('Statement of Marks'!HO119="","",'Statement of Marks'!HO119))</f>
        <v xml:space="preserve">      </v>
      </c>
      <c r="P116" s="283" t="str">
        <f>IF('Supp. Result Entry'!AQ117="","",'Supp. Result Entry'!AQ117)</f>
        <v/>
      </c>
      <c r="Q116" s="284" t="str">
        <f>IF('Supp. Result Entry'!AR117="","",'Supp. Result Entry'!AR117)</f>
        <v/>
      </c>
      <c r="R116" s="285" t="str">
        <f>IF('Statement of Marks'!IA119="","",'Statement of Marks'!IA119)</f>
        <v/>
      </c>
      <c r="S116" s="286" t="str">
        <f>IF('Statement of Marks'!GL119="","",'Statement of Marks'!GL119)</f>
        <v/>
      </c>
      <c r="BM116" s="287" t="str">
        <f>'Statement of Marks'!F119</f>
        <v/>
      </c>
      <c r="BN116" s="288" t="str">
        <f t="shared" si="12"/>
        <v/>
      </c>
      <c r="BO116" s="288" t="str">
        <f t="shared" si="13"/>
        <v/>
      </c>
      <c r="BP116" s="288" t="str">
        <f t="shared" si="14"/>
        <v/>
      </c>
      <c r="BQ116" s="288" t="str">
        <f t="shared" si="15"/>
        <v/>
      </c>
      <c r="BR116" s="288" t="str">
        <f t="shared" si="16"/>
        <v/>
      </c>
      <c r="BS116" s="288" t="str">
        <f t="shared" si="17"/>
        <v/>
      </c>
      <c r="BT116" s="288" t="str">
        <f t="shared" si="18"/>
        <v/>
      </c>
      <c r="BU116" s="288" t="str">
        <f t="shared" si="19"/>
        <v/>
      </c>
      <c r="BV116" s="288" t="str">
        <f t="shared" si="20"/>
        <v/>
      </c>
      <c r="BW116" s="288" t="str">
        <f t="shared" si="21"/>
        <v/>
      </c>
      <c r="BX116" s="288" t="str">
        <f t="shared" si="22"/>
        <v/>
      </c>
      <c r="BY116" s="288" t="str">
        <f t="shared" si="23"/>
        <v/>
      </c>
      <c r="BZ116" s="289"/>
    </row>
    <row r="117" spans="1:78" ht="15" customHeight="1">
      <c r="A117" s="276">
        <f>IF('Statement of Marks'!A120="","",'Statement of Marks'!A120)</f>
        <v>114</v>
      </c>
      <c r="B117" s="277" t="str">
        <f>IF('Statement of Marks'!B120="","",'Statement of Marks'!B120)</f>
        <v/>
      </c>
      <c r="C117" s="278" t="str">
        <f>IF('Statement of Marks'!D120="","",'Statement of Marks'!D120)</f>
        <v/>
      </c>
      <c r="D117" s="314" t="str">
        <f>IF('Statement of Marks'!E120="","",'Statement of Marks'!E120)</f>
        <v/>
      </c>
      <c r="E117" s="279" t="str">
        <f>IF('Statement of Marks'!F120="","",'Statement of Marks'!F120)</f>
        <v/>
      </c>
      <c r="F117" s="279" t="str">
        <f>IF('Statement of Marks'!G120="","",'Statement of Marks'!G120)</f>
        <v/>
      </c>
      <c r="G117" s="279" t="str">
        <f>IF('Statement of Marks'!H120="","",'Statement of Marks'!H120)</f>
        <v/>
      </c>
      <c r="H117" s="280" t="str">
        <f>IF('Statement of Marks'!I120="","",'Statement of Marks'!I120)</f>
        <v/>
      </c>
      <c r="I117" s="280" t="str">
        <f>IF('Statement of Marks'!J120="","",'Statement of Marks'!J120)</f>
        <v/>
      </c>
      <c r="J117" s="827" t="str">
        <f>IF('Statement of Marks'!HS120="","",'Statement of Marks'!HS120)</f>
        <v/>
      </c>
      <c r="K117" s="281" t="str">
        <f>IF('Statement of Marks'!HT120="","",'Statement of Marks'!HT120)</f>
        <v/>
      </c>
      <c r="L117" s="828" t="str">
        <f>IF('Statement of Marks'!HW120="","",'Statement of Marks'!HW120)</f>
        <v/>
      </c>
      <c r="M117" s="281" t="str">
        <f>IF('Statement of Marks'!HV120="","",'Statement of Marks'!HV120)</f>
        <v/>
      </c>
      <c r="N117" s="829" t="str">
        <f>IF('Statement of Marks'!HX120="","",'Statement of Marks'!HX120)</f>
        <v/>
      </c>
      <c r="O117" s="282" t="str">
        <f>IF(J117="FAIL","",IF('Statement of Marks'!HO120="","",'Statement of Marks'!HO120))</f>
        <v xml:space="preserve">      </v>
      </c>
      <c r="P117" s="283" t="str">
        <f>IF('Supp. Result Entry'!AQ118="","",'Supp. Result Entry'!AQ118)</f>
        <v/>
      </c>
      <c r="Q117" s="284" t="str">
        <f>IF('Supp. Result Entry'!AR118="","",'Supp. Result Entry'!AR118)</f>
        <v/>
      </c>
      <c r="R117" s="285" t="str">
        <f>IF('Statement of Marks'!IA120="","",'Statement of Marks'!IA120)</f>
        <v/>
      </c>
      <c r="S117" s="286" t="str">
        <f>IF('Statement of Marks'!GL120="","",'Statement of Marks'!GL120)</f>
        <v/>
      </c>
      <c r="BM117" s="287" t="str">
        <f>'Statement of Marks'!F120</f>
        <v/>
      </c>
      <c r="BN117" s="288" t="str">
        <f t="shared" si="12"/>
        <v/>
      </c>
      <c r="BO117" s="288" t="str">
        <f t="shared" si="13"/>
        <v/>
      </c>
      <c r="BP117" s="288" t="str">
        <f t="shared" si="14"/>
        <v/>
      </c>
      <c r="BQ117" s="288" t="str">
        <f t="shared" si="15"/>
        <v/>
      </c>
      <c r="BR117" s="288" t="str">
        <f t="shared" si="16"/>
        <v/>
      </c>
      <c r="BS117" s="288" t="str">
        <f t="shared" si="17"/>
        <v/>
      </c>
      <c r="BT117" s="288" t="str">
        <f t="shared" si="18"/>
        <v/>
      </c>
      <c r="BU117" s="288" t="str">
        <f t="shared" si="19"/>
        <v/>
      </c>
      <c r="BV117" s="288" t="str">
        <f t="shared" si="20"/>
        <v/>
      </c>
      <c r="BW117" s="288" t="str">
        <f t="shared" si="21"/>
        <v/>
      </c>
      <c r="BX117" s="288" t="str">
        <f t="shared" si="22"/>
        <v/>
      </c>
      <c r="BY117" s="288" t="str">
        <f t="shared" si="23"/>
        <v/>
      </c>
      <c r="BZ117" s="289"/>
    </row>
    <row r="118" spans="1:78" ht="15" customHeight="1">
      <c r="A118" s="276">
        <f>IF('Statement of Marks'!A121="","",'Statement of Marks'!A121)</f>
        <v>115</v>
      </c>
      <c r="B118" s="277" t="str">
        <f>IF('Statement of Marks'!B121="","",'Statement of Marks'!B121)</f>
        <v/>
      </c>
      <c r="C118" s="278" t="str">
        <f>IF('Statement of Marks'!D121="","",'Statement of Marks'!D121)</f>
        <v/>
      </c>
      <c r="D118" s="314" t="str">
        <f>IF('Statement of Marks'!E121="","",'Statement of Marks'!E121)</f>
        <v/>
      </c>
      <c r="E118" s="279" t="str">
        <f>IF('Statement of Marks'!F121="","",'Statement of Marks'!F121)</f>
        <v/>
      </c>
      <c r="F118" s="279" t="str">
        <f>IF('Statement of Marks'!G121="","",'Statement of Marks'!G121)</f>
        <v/>
      </c>
      <c r="G118" s="279" t="str">
        <f>IF('Statement of Marks'!H121="","",'Statement of Marks'!H121)</f>
        <v/>
      </c>
      <c r="H118" s="280" t="str">
        <f>IF('Statement of Marks'!I121="","",'Statement of Marks'!I121)</f>
        <v/>
      </c>
      <c r="I118" s="280" t="str">
        <f>IF('Statement of Marks'!J121="","",'Statement of Marks'!J121)</f>
        <v/>
      </c>
      <c r="J118" s="827" t="str">
        <f>IF('Statement of Marks'!HS121="","",'Statement of Marks'!HS121)</f>
        <v/>
      </c>
      <c r="K118" s="281" t="str">
        <f>IF('Statement of Marks'!HT121="","",'Statement of Marks'!HT121)</f>
        <v/>
      </c>
      <c r="L118" s="828" t="str">
        <f>IF('Statement of Marks'!HW121="","",'Statement of Marks'!HW121)</f>
        <v/>
      </c>
      <c r="M118" s="281" t="str">
        <f>IF('Statement of Marks'!HV121="","",'Statement of Marks'!HV121)</f>
        <v/>
      </c>
      <c r="N118" s="829" t="str">
        <f>IF('Statement of Marks'!HX121="","",'Statement of Marks'!HX121)</f>
        <v/>
      </c>
      <c r="O118" s="282" t="str">
        <f>IF(J118="FAIL","",IF('Statement of Marks'!HO121="","",'Statement of Marks'!HO121))</f>
        <v xml:space="preserve">      </v>
      </c>
      <c r="P118" s="283" t="str">
        <f>IF('Supp. Result Entry'!AQ119="","",'Supp. Result Entry'!AQ119)</f>
        <v/>
      </c>
      <c r="Q118" s="284" t="str">
        <f>IF('Supp. Result Entry'!AR119="","",'Supp. Result Entry'!AR119)</f>
        <v/>
      </c>
      <c r="R118" s="285" t="str">
        <f>IF('Statement of Marks'!IA121="","",'Statement of Marks'!IA121)</f>
        <v/>
      </c>
      <c r="S118" s="286" t="str">
        <f>IF('Statement of Marks'!GL121="","",'Statement of Marks'!GL121)</f>
        <v/>
      </c>
      <c r="BM118" s="287" t="str">
        <f>'Statement of Marks'!F121</f>
        <v/>
      </c>
      <c r="BN118" s="288" t="str">
        <f t="shared" si="12"/>
        <v/>
      </c>
      <c r="BO118" s="288" t="str">
        <f t="shared" si="13"/>
        <v/>
      </c>
      <c r="BP118" s="288" t="str">
        <f t="shared" si="14"/>
        <v/>
      </c>
      <c r="BQ118" s="288" t="str">
        <f t="shared" si="15"/>
        <v/>
      </c>
      <c r="BR118" s="288" t="str">
        <f t="shared" si="16"/>
        <v/>
      </c>
      <c r="BS118" s="288" t="str">
        <f t="shared" si="17"/>
        <v/>
      </c>
      <c r="BT118" s="288" t="str">
        <f t="shared" si="18"/>
        <v/>
      </c>
      <c r="BU118" s="288" t="str">
        <f t="shared" si="19"/>
        <v/>
      </c>
      <c r="BV118" s="288" t="str">
        <f t="shared" si="20"/>
        <v/>
      </c>
      <c r="BW118" s="288" t="str">
        <f t="shared" si="21"/>
        <v/>
      </c>
      <c r="BX118" s="288" t="str">
        <f t="shared" si="22"/>
        <v/>
      </c>
      <c r="BY118" s="288" t="str">
        <f t="shared" si="23"/>
        <v/>
      </c>
      <c r="BZ118" s="289"/>
    </row>
    <row r="119" spans="1:78" ht="15" customHeight="1">
      <c r="A119" s="276">
        <f>IF('Statement of Marks'!A122="","",'Statement of Marks'!A122)</f>
        <v>116</v>
      </c>
      <c r="B119" s="277" t="str">
        <f>IF('Statement of Marks'!B122="","",'Statement of Marks'!B122)</f>
        <v/>
      </c>
      <c r="C119" s="278" t="str">
        <f>IF('Statement of Marks'!D122="","",'Statement of Marks'!D122)</f>
        <v/>
      </c>
      <c r="D119" s="314" t="str">
        <f>IF('Statement of Marks'!E122="","",'Statement of Marks'!E122)</f>
        <v/>
      </c>
      <c r="E119" s="279" t="str">
        <f>IF('Statement of Marks'!F122="","",'Statement of Marks'!F122)</f>
        <v/>
      </c>
      <c r="F119" s="279" t="str">
        <f>IF('Statement of Marks'!G122="","",'Statement of Marks'!G122)</f>
        <v/>
      </c>
      <c r="G119" s="279" t="str">
        <f>IF('Statement of Marks'!H122="","",'Statement of Marks'!H122)</f>
        <v/>
      </c>
      <c r="H119" s="280" t="str">
        <f>IF('Statement of Marks'!I122="","",'Statement of Marks'!I122)</f>
        <v/>
      </c>
      <c r="I119" s="280" t="str">
        <f>IF('Statement of Marks'!J122="","",'Statement of Marks'!J122)</f>
        <v/>
      </c>
      <c r="J119" s="827" t="str">
        <f>IF('Statement of Marks'!HS122="","",'Statement of Marks'!HS122)</f>
        <v/>
      </c>
      <c r="K119" s="281" t="str">
        <f>IF('Statement of Marks'!HT122="","",'Statement of Marks'!HT122)</f>
        <v/>
      </c>
      <c r="L119" s="828" t="str">
        <f>IF('Statement of Marks'!HW122="","",'Statement of Marks'!HW122)</f>
        <v/>
      </c>
      <c r="M119" s="281" t="str">
        <f>IF('Statement of Marks'!HV122="","",'Statement of Marks'!HV122)</f>
        <v/>
      </c>
      <c r="N119" s="829" t="str">
        <f>IF('Statement of Marks'!HX122="","",'Statement of Marks'!HX122)</f>
        <v/>
      </c>
      <c r="O119" s="282" t="str">
        <f>IF(J119="FAIL","",IF('Statement of Marks'!HO122="","",'Statement of Marks'!HO122))</f>
        <v xml:space="preserve">      </v>
      </c>
      <c r="P119" s="283" t="str">
        <f>IF('Supp. Result Entry'!AQ120="","",'Supp. Result Entry'!AQ120)</f>
        <v/>
      </c>
      <c r="Q119" s="284" t="str">
        <f>IF('Supp. Result Entry'!AR120="","",'Supp. Result Entry'!AR120)</f>
        <v/>
      </c>
      <c r="R119" s="285" t="str">
        <f>IF('Statement of Marks'!IA122="","",'Statement of Marks'!IA122)</f>
        <v/>
      </c>
      <c r="S119" s="286" t="str">
        <f>IF('Statement of Marks'!GL122="","",'Statement of Marks'!GL122)</f>
        <v/>
      </c>
      <c r="BM119" s="287" t="str">
        <f>'Statement of Marks'!F122</f>
        <v/>
      </c>
      <c r="BN119" s="288" t="str">
        <f t="shared" si="12"/>
        <v/>
      </c>
      <c r="BO119" s="288" t="str">
        <f t="shared" si="13"/>
        <v/>
      </c>
      <c r="BP119" s="288" t="str">
        <f t="shared" si="14"/>
        <v/>
      </c>
      <c r="BQ119" s="288" t="str">
        <f t="shared" si="15"/>
        <v/>
      </c>
      <c r="BR119" s="288" t="str">
        <f t="shared" si="16"/>
        <v/>
      </c>
      <c r="BS119" s="288" t="str">
        <f t="shared" si="17"/>
        <v/>
      </c>
      <c r="BT119" s="288" t="str">
        <f t="shared" si="18"/>
        <v/>
      </c>
      <c r="BU119" s="288" t="str">
        <f t="shared" si="19"/>
        <v/>
      </c>
      <c r="BV119" s="288" t="str">
        <f t="shared" si="20"/>
        <v/>
      </c>
      <c r="BW119" s="288" t="str">
        <f t="shared" si="21"/>
        <v/>
      </c>
      <c r="BX119" s="288" t="str">
        <f t="shared" si="22"/>
        <v/>
      </c>
      <c r="BY119" s="288" t="str">
        <f t="shared" si="23"/>
        <v/>
      </c>
      <c r="BZ119" s="289"/>
    </row>
    <row r="120" spans="1:78" ht="15" customHeight="1">
      <c r="A120" s="276">
        <f>IF('Statement of Marks'!A123="","",'Statement of Marks'!A123)</f>
        <v>117</v>
      </c>
      <c r="B120" s="277" t="str">
        <f>IF('Statement of Marks'!B123="","",'Statement of Marks'!B123)</f>
        <v/>
      </c>
      <c r="C120" s="278" t="str">
        <f>IF('Statement of Marks'!D123="","",'Statement of Marks'!D123)</f>
        <v/>
      </c>
      <c r="D120" s="314" t="str">
        <f>IF('Statement of Marks'!E123="","",'Statement of Marks'!E123)</f>
        <v/>
      </c>
      <c r="E120" s="279" t="str">
        <f>IF('Statement of Marks'!F123="","",'Statement of Marks'!F123)</f>
        <v/>
      </c>
      <c r="F120" s="279" t="str">
        <f>IF('Statement of Marks'!G123="","",'Statement of Marks'!G123)</f>
        <v/>
      </c>
      <c r="G120" s="279" t="str">
        <f>IF('Statement of Marks'!H123="","",'Statement of Marks'!H123)</f>
        <v/>
      </c>
      <c r="H120" s="280" t="str">
        <f>IF('Statement of Marks'!I123="","",'Statement of Marks'!I123)</f>
        <v/>
      </c>
      <c r="I120" s="280" t="str">
        <f>IF('Statement of Marks'!J123="","",'Statement of Marks'!J123)</f>
        <v/>
      </c>
      <c r="J120" s="827" t="str">
        <f>IF('Statement of Marks'!HS123="","",'Statement of Marks'!HS123)</f>
        <v/>
      </c>
      <c r="K120" s="281" t="str">
        <f>IF('Statement of Marks'!HT123="","",'Statement of Marks'!HT123)</f>
        <v/>
      </c>
      <c r="L120" s="828" t="str">
        <f>IF('Statement of Marks'!HW123="","",'Statement of Marks'!HW123)</f>
        <v/>
      </c>
      <c r="M120" s="281" t="str">
        <f>IF('Statement of Marks'!HV123="","",'Statement of Marks'!HV123)</f>
        <v/>
      </c>
      <c r="N120" s="829" t="str">
        <f>IF('Statement of Marks'!HX123="","",'Statement of Marks'!HX123)</f>
        <v/>
      </c>
      <c r="O120" s="282" t="str">
        <f>IF(J120="FAIL","",IF('Statement of Marks'!HO123="","",'Statement of Marks'!HO123))</f>
        <v xml:space="preserve">      </v>
      </c>
      <c r="P120" s="283" t="str">
        <f>IF('Supp. Result Entry'!AQ121="","",'Supp. Result Entry'!AQ121)</f>
        <v/>
      </c>
      <c r="Q120" s="284" t="str">
        <f>IF('Supp. Result Entry'!AR121="","",'Supp. Result Entry'!AR121)</f>
        <v/>
      </c>
      <c r="R120" s="285" t="str">
        <f>IF('Statement of Marks'!IA123="","",'Statement of Marks'!IA123)</f>
        <v/>
      </c>
      <c r="S120" s="286" t="str">
        <f>IF('Statement of Marks'!GL123="","",'Statement of Marks'!GL123)</f>
        <v/>
      </c>
      <c r="BM120" s="287" t="str">
        <f>'Statement of Marks'!F123</f>
        <v/>
      </c>
      <c r="BN120" s="288" t="str">
        <f t="shared" si="12"/>
        <v/>
      </c>
      <c r="BO120" s="288" t="str">
        <f t="shared" si="13"/>
        <v/>
      </c>
      <c r="BP120" s="288" t="str">
        <f t="shared" si="14"/>
        <v/>
      </c>
      <c r="BQ120" s="288" t="str">
        <f t="shared" si="15"/>
        <v/>
      </c>
      <c r="BR120" s="288" t="str">
        <f t="shared" si="16"/>
        <v/>
      </c>
      <c r="BS120" s="288" t="str">
        <f t="shared" si="17"/>
        <v/>
      </c>
      <c r="BT120" s="288" t="str">
        <f t="shared" si="18"/>
        <v/>
      </c>
      <c r="BU120" s="288" t="str">
        <f t="shared" si="19"/>
        <v/>
      </c>
      <c r="BV120" s="288" t="str">
        <f t="shared" si="20"/>
        <v/>
      </c>
      <c r="BW120" s="288" t="str">
        <f t="shared" si="21"/>
        <v/>
      </c>
      <c r="BX120" s="288" t="str">
        <f t="shared" si="22"/>
        <v/>
      </c>
      <c r="BY120" s="288" t="str">
        <f t="shared" si="23"/>
        <v/>
      </c>
      <c r="BZ120" s="289"/>
    </row>
    <row r="121" spans="1:78" ht="15" customHeight="1">
      <c r="A121" s="276">
        <f>IF('Statement of Marks'!A124="","",'Statement of Marks'!A124)</f>
        <v>118</v>
      </c>
      <c r="B121" s="277" t="str">
        <f>IF('Statement of Marks'!B124="","",'Statement of Marks'!B124)</f>
        <v/>
      </c>
      <c r="C121" s="278" t="str">
        <f>IF('Statement of Marks'!D124="","",'Statement of Marks'!D124)</f>
        <v/>
      </c>
      <c r="D121" s="314" t="str">
        <f>IF('Statement of Marks'!E124="","",'Statement of Marks'!E124)</f>
        <v/>
      </c>
      <c r="E121" s="279" t="str">
        <f>IF('Statement of Marks'!F124="","",'Statement of Marks'!F124)</f>
        <v/>
      </c>
      <c r="F121" s="279" t="str">
        <f>IF('Statement of Marks'!G124="","",'Statement of Marks'!G124)</f>
        <v/>
      </c>
      <c r="G121" s="279" t="str">
        <f>IF('Statement of Marks'!H124="","",'Statement of Marks'!H124)</f>
        <v/>
      </c>
      <c r="H121" s="280" t="str">
        <f>IF('Statement of Marks'!I124="","",'Statement of Marks'!I124)</f>
        <v/>
      </c>
      <c r="I121" s="280" t="str">
        <f>IF('Statement of Marks'!J124="","",'Statement of Marks'!J124)</f>
        <v/>
      </c>
      <c r="J121" s="827" t="str">
        <f>IF('Statement of Marks'!HS124="","",'Statement of Marks'!HS124)</f>
        <v/>
      </c>
      <c r="K121" s="281" t="str">
        <f>IF('Statement of Marks'!HT124="","",'Statement of Marks'!HT124)</f>
        <v/>
      </c>
      <c r="L121" s="828" t="str">
        <f>IF('Statement of Marks'!HW124="","",'Statement of Marks'!HW124)</f>
        <v/>
      </c>
      <c r="M121" s="281" t="str">
        <f>IF('Statement of Marks'!HV124="","",'Statement of Marks'!HV124)</f>
        <v/>
      </c>
      <c r="N121" s="829" t="str">
        <f>IF('Statement of Marks'!HX124="","",'Statement of Marks'!HX124)</f>
        <v/>
      </c>
      <c r="O121" s="282" t="str">
        <f>IF(J121="FAIL","",IF('Statement of Marks'!HO124="","",'Statement of Marks'!HO124))</f>
        <v xml:space="preserve">      </v>
      </c>
      <c r="P121" s="283" t="str">
        <f>IF('Supp. Result Entry'!AQ122="","",'Supp. Result Entry'!AQ122)</f>
        <v/>
      </c>
      <c r="Q121" s="284" t="str">
        <f>IF('Supp. Result Entry'!AR122="","",'Supp. Result Entry'!AR122)</f>
        <v/>
      </c>
      <c r="R121" s="285" t="str">
        <f>IF('Statement of Marks'!IA124="","",'Statement of Marks'!IA124)</f>
        <v/>
      </c>
      <c r="S121" s="286" t="str">
        <f>IF('Statement of Marks'!GL124="","",'Statement of Marks'!GL124)</f>
        <v/>
      </c>
      <c r="BM121" s="287" t="str">
        <f>'Statement of Marks'!F124</f>
        <v/>
      </c>
      <c r="BN121" s="288" t="str">
        <f t="shared" si="12"/>
        <v/>
      </c>
      <c r="BO121" s="288" t="str">
        <f t="shared" si="13"/>
        <v/>
      </c>
      <c r="BP121" s="288" t="str">
        <f t="shared" si="14"/>
        <v/>
      </c>
      <c r="BQ121" s="288" t="str">
        <f t="shared" si="15"/>
        <v/>
      </c>
      <c r="BR121" s="288" t="str">
        <f t="shared" si="16"/>
        <v/>
      </c>
      <c r="BS121" s="288" t="str">
        <f t="shared" si="17"/>
        <v/>
      </c>
      <c r="BT121" s="288" t="str">
        <f t="shared" si="18"/>
        <v/>
      </c>
      <c r="BU121" s="288" t="str">
        <f t="shared" si="19"/>
        <v/>
      </c>
      <c r="BV121" s="288" t="str">
        <f t="shared" si="20"/>
        <v/>
      </c>
      <c r="BW121" s="288" t="str">
        <f t="shared" si="21"/>
        <v/>
      </c>
      <c r="BX121" s="288" t="str">
        <f t="shared" si="22"/>
        <v/>
      </c>
      <c r="BY121" s="288" t="str">
        <f t="shared" si="23"/>
        <v/>
      </c>
      <c r="BZ121" s="289"/>
    </row>
    <row r="122" spans="1:78" ht="15" customHeight="1">
      <c r="A122" s="276">
        <f>IF('Statement of Marks'!A125="","",'Statement of Marks'!A125)</f>
        <v>119</v>
      </c>
      <c r="B122" s="277" t="str">
        <f>IF('Statement of Marks'!B125="","",'Statement of Marks'!B125)</f>
        <v/>
      </c>
      <c r="C122" s="278" t="str">
        <f>IF('Statement of Marks'!D125="","",'Statement of Marks'!D125)</f>
        <v/>
      </c>
      <c r="D122" s="314" t="str">
        <f>IF('Statement of Marks'!E125="","",'Statement of Marks'!E125)</f>
        <v/>
      </c>
      <c r="E122" s="279" t="str">
        <f>IF('Statement of Marks'!F125="","",'Statement of Marks'!F125)</f>
        <v/>
      </c>
      <c r="F122" s="279" t="str">
        <f>IF('Statement of Marks'!G125="","",'Statement of Marks'!G125)</f>
        <v/>
      </c>
      <c r="G122" s="279" t="str">
        <f>IF('Statement of Marks'!H125="","",'Statement of Marks'!H125)</f>
        <v/>
      </c>
      <c r="H122" s="280" t="str">
        <f>IF('Statement of Marks'!I125="","",'Statement of Marks'!I125)</f>
        <v/>
      </c>
      <c r="I122" s="280" t="str">
        <f>IF('Statement of Marks'!J125="","",'Statement of Marks'!J125)</f>
        <v/>
      </c>
      <c r="J122" s="827" t="str">
        <f>IF('Statement of Marks'!HS125="","",'Statement of Marks'!HS125)</f>
        <v/>
      </c>
      <c r="K122" s="281" t="str">
        <f>IF('Statement of Marks'!HT125="","",'Statement of Marks'!HT125)</f>
        <v/>
      </c>
      <c r="L122" s="828" t="str">
        <f>IF('Statement of Marks'!HW125="","",'Statement of Marks'!HW125)</f>
        <v/>
      </c>
      <c r="M122" s="281" t="str">
        <f>IF('Statement of Marks'!HV125="","",'Statement of Marks'!HV125)</f>
        <v/>
      </c>
      <c r="N122" s="829" t="str">
        <f>IF('Statement of Marks'!HX125="","",'Statement of Marks'!HX125)</f>
        <v/>
      </c>
      <c r="O122" s="282" t="str">
        <f>IF(J122="FAIL","",IF('Statement of Marks'!HO125="","",'Statement of Marks'!HO125))</f>
        <v xml:space="preserve">      </v>
      </c>
      <c r="P122" s="283" t="str">
        <f>IF('Supp. Result Entry'!AQ123="","",'Supp. Result Entry'!AQ123)</f>
        <v/>
      </c>
      <c r="Q122" s="284" t="str">
        <f>IF('Supp. Result Entry'!AR123="","",'Supp. Result Entry'!AR123)</f>
        <v/>
      </c>
      <c r="R122" s="285" t="str">
        <f>IF('Statement of Marks'!IA125="","",'Statement of Marks'!IA125)</f>
        <v/>
      </c>
      <c r="S122" s="286" t="str">
        <f>IF('Statement of Marks'!GL125="","",'Statement of Marks'!GL125)</f>
        <v/>
      </c>
      <c r="BM122" s="287" t="str">
        <f>'Statement of Marks'!F125</f>
        <v/>
      </c>
      <c r="BN122" s="288" t="str">
        <f t="shared" si="12"/>
        <v/>
      </c>
      <c r="BO122" s="288" t="str">
        <f t="shared" si="13"/>
        <v/>
      </c>
      <c r="BP122" s="288" t="str">
        <f t="shared" si="14"/>
        <v/>
      </c>
      <c r="BQ122" s="288" t="str">
        <f t="shared" si="15"/>
        <v/>
      </c>
      <c r="BR122" s="288" t="str">
        <f t="shared" si="16"/>
        <v/>
      </c>
      <c r="BS122" s="288" t="str">
        <f t="shared" si="17"/>
        <v/>
      </c>
      <c r="BT122" s="288" t="str">
        <f t="shared" si="18"/>
        <v/>
      </c>
      <c r="BU122" s="288" t="str">
        <f t="shared" si="19"/>
        <v/>
      </c>
      <c r="BV122" s="288" t="str">
        <f t="shared" si="20"/>
        <v/>
      </c>
      <c r="BW122" s="288" t="str">
        <f t="shared" si="21"/>
        <v/>
      </c>
      <c r="BX122" s="288" t="str">
        <f t="shared" si="22"/>
        <v/>
      </c>
      <c r="BY122" s="288" t="str">
        <f t="shared" si="23"/>
        <v/>
      </c>
      <c r="BZ122" s="289"/>
    </row>
    <row r="123" spans="1:78" ht="15" customHeight="1">
      <c r="A123" s="276">
        <f>IF('Statement of Marks'!A126="","",'Statement of Marks'!A126)</f>
        <v>120</v>
      </c>
      <c r="B123" s="277" t="str">
        <f>IF('Statement of Marks'!B126="","",'Statement of Marks'!B126)</f>
        <v/>
      </c>
      <c r="C123" s="278" t="str">
        <f>IF('Statement of Marks'!D126="","",'Statement of Marks'!D126)</f>
        <v/>
      </c>
      <c r="D123" s="314" t="str">
        <f>IF('Statement of Marks'!E126="","",'Statement of Marks'!E126)</f>
        <v/>
      </c>
      <c r="E123" s="279" t="str">
        <f>IF('Statement of Marks'!F126="","",'Statement of Marks'!F126)</f>
        <v/>
      </c>
      <c r="F123" s="279" t="str">
        <f>IF('Statement of Marks'!G126="","",'Statement of Marks'!G126)</f>
        <v/>
      </c>
      <c r="G123" s="279" t="str">
        <f>IF('Statement of Marks'!H126="","",'Statement of Marks'!H126)</f>
        <v/>
      </c>
      <c r="H123" s="280" t="str">
        <f>IF('Statement of Marks'!I126="","",'Statement of Marks'!I126)</f>
        <v/>
      </c>
      <c r="I123" s="280" t="str">
        <f>IF('Statement of Marks'!J126="","",'Statement of Marks'!J126)</f>
        <v/>
      </c>
      <c r="J123" s="827" t="str">
        <f>IF('Statement of Marks'!HS126="","",'Statement of Marks'!HS126)</f>
        <v/>
      </c>
      <c r="K123" s="281" t="str">
        <f>IF('Statement of Marks'!HT126="","",'Statement of Marks'!HT126)</f>
        <v/>
      </c>
      <c r="L123" s="828" t="str">
        <f>IF('Statement of Marks'!HW126="","",'Statement of Marks'!HW126)</f>
        <v/>
      </c>
      <c r="M123" s="281" t="str">
        <f>IF('Statement of Marks'!HV126="","",'Statement of Marks'!HV126)</f>
        <v/>
      </c>
      <c r="N123" s="829" t="str">
        <f>IF('Statement of Marks'!HX126="","",'Statement of Marks'!HX126)</f>
        <v/>
      </c>
      <c r="O123" s="282" t="str">
        <f>IF(J123="FAIL","",IF('Statement of Marks'!HO126="","",'Statement of Marks'!HO126))</f>
        <v xml:space="preserve">      </v>
      </c>
      <c r="P123" s="283" t="str">
        <f>IF('Supp. Result Entry'!AQ124="","",'Supp. Result Entry'!AQ124)</f>
        <v/>
      </c>
      <c r="Q123" s="284" t="str">
        <f>IF('Supp. Result Entry'!AR124="","",'Supp. Result Entry'!AR124)</f>
        <v/>
      </c>
      <c r="R123" s="285" t="str">
        <f>IF('Statement of Marks'!IA126="","",'Statement of Marks'!IA126)</f>
        <v/>
      </c>
      <c r="S123" s="286" t="str">
        <f>IF('Statement of Marks'!GL126="","",'Statement of Marks'!GL126)</f>
        <v/>
      </c>
      <c r="BM123" s="287" t="str">
        <f>'Statement of Marks'!F126</f>
        <v/>
      </c>
      <c r="BN123" s="288" t="str">
        <f t="shared" si="12"/>
        <v/>
      </c>
      <c r="BO123" s="288" t="str">
        <f t="shared" si="13"/>
        <v/>
      </c>
      <c r="BP123" s="288" t="str">
        <f t="shared" si="14"/>
        <v/>
      </c>
      <c r="BQ123" s="288" t="str">
        <f t="shared" si="15"/>
        <v/>
      </c>
      <c r="BR123" s="288" t="str">
        <f t="shared" si="16"/>
        <v/>
      </c>
      <c r="BS123" s="288" t="str">
        <f t="shared" si="17"/>
        <v/>
      </c>
      <c r="BT123" s="288" t="str">
        <f t="shared" si="18"/>
        <v/>
      </c>
      <c r="BU123" s="288" t="str">
        <f t="shared" si="19"/>
        <v/>
      </c>
      <c r="BV123" s="288" t="str">
        <f t="shared" si="20"/>
        <v/>
      </c>
      <c r="BW123" s="288" t="str">
        <f t="shared" si="21"/>
        <v/>
      </c>
      <c r="BX123" s="288" t="str">
        <f t="shared" si="22"/>
        <v/>
      </c>
      <c r="BY123" s="288" t="str">
        <f t="shared" si="23"/>
        <v/>
      </c>
      <c r="BZ123" s="289"/>
    </row>
    <row r="124" spans="1:78" ht="15" customHeight="1">
      <c r="A124" s="276">
        <f>IF('Statement of Marks'!A127="","",'Statement of Marks'!A127)</f>
        <v>121</v>
      </c>
      <c r="B124" s="277" t="str">
        <f>IF('Statement of Marks'!B127="","",'Statement of Marks'!B127)</f>
        <v/>
      </c>
      <c r="C124" s="278" t="str">
        <f>IF('Statement of Marks'!D127="","",'Statement of Marks'!D127)</f>
        <v/>
      </c>
      <c r="D124" s="314" t="str">
        <f>IF('Statement of Marks'!E127="","",'Statement of Marks'!E127)</f>
        <v/>
      </c>
      <c r="E124" s="279" t="str">
        <f>IF('Statement of Marks'!F127="","",'Statement of Marks'!F127)</f>
        <v/>
      </c>
      <c r="F124" s="279" t="str">
        <f>IF('Statement of Marks'!G127="","",'Statement of Marks'!G127)</f>
        <v/>
      </c>
      <c r="G124" s="279" t="str">
        <f>IF('Statement of Marks'!H127="","",'Statement of Marks'!H127)</f>
        <v/>
      </c>
      <c r="H124" s="280" t="str">
        <f>IF('Statement of Marks'!I127="","",'Statement of Marks'!I127)</f>
        <v/>
      </c>
      <c r="I124" s="280" t="str">
        <f>IF('Statement of Marks'!J127="","",'Statement of Marks'!J127)</f>
        <v/>
      </c>
      <c r="J124" s="827" t="str">
        <f>IF('Statement of Marks'!HS127="","",'Statement of Marks'!HS127)</f>
        <v/>
      </c>
      <c r="K124" s="281" t="str">
        <f>IF('Statement of Marks'!HT127="","",'Statement of Marks'!HT127)</f>
        <v/>
      </c>
      <c r="L124" s="828" t="str">
        <f>IF('Statement of Marks'!HW127="","",'Statement of Marks'!HW127)</f>
        <v/>
      </c>
      <c r="M124" s="281" t="str">
        <f>IF('Statement of Marks'!HV127="","",'Statement of Marks'!HV127)</f>
        <v/>
      </c>
      <c r="N124" s="829" t="str">
        <f>IF('Statement of Marks'!HX127="","",'Statement of Marks'!HX127)</f>
        <v/>
      </c>
      <c r="O124" s="282" t="str">
        <f>IF(J124="FAIL","",IF('Statement of Marks'!HO127="","",'Statement of Marks'!HO127))</f>
        <v xml:space="preserve">      </v>
      </c>
      <c r="P124" s="283" t="str">
        <f>IF('Supp. Result Entry'!AQ125="","",'Supp. Result Entry'!AQ125)</f>
        <v/>
      </c>
      <c r="Q124" s="284" t="str">
        <f>IF('Supp. Result Entry'!AR125="","",'Supp. Result Entry'!AR125)</f>
        <v/>
      </c>
      <c r="R124" s="285" t="str">
        <f>IF('Statement of Marks'!IA127="","",'Statement of Marks'!IA127)</f>
        <v/>
      </c>
      <c r="S124" s="286" t="str">
        <f>IF('Statement of Marks'!GL127="","",'Statement of Marks'!GL127)</f>
        <v/>
      </c>
      <c r="BM124" s="287" t="str">
        <f>'Statement of Marks'!F127</f>
        <v/>
      </c>
      <c r="BN124" s="288" t="str">
        <f t="shared" si="12"/>
        <v/>
      </c>
      <c r="BO124" s="288" t="str">
        <f t="shared" si="13"/>
        <v/>
      </c>
      <c r="BP124" s="288" t="str">
        <f t="shared" si="14"/>
        <v/>
      </c>
      <c r="BQ124" s="288" t="str">
        <f t="shared" si="15"/>
        <v/>
      </c>
      <c r="BR124" s="288" t="str">
        <f t="shared" si="16"/>
        <v/>
      </c>
      <c r="BS124" s="288" t="str">
        <f t="shared" si="17"/>
        <v/>
      </c>
      <c r="BT124" s="288" t="str">
        <f t="shared" si="18"/>
        <v/>
      </c>
      <c r="BU124" s="288" t="str">
        <f t="shared" si="19"/>
        <v/>
      </c>
      <c r="BV124" s="288" t="str">
        <f t="shared" si="20"/>
        <v/>
      </c>
      <c r="BW124" s="288" t="str">
        <f t="shared" si="21"/>
        <v/>
      </c>
      <c r="BX124" s="288" t="str">
        <f t="shared" si="22"/>
        <v/>
      </c>
      <c r="BY124" s="288" t="str">
        <f t="shared" si="23"/>
        <v/>
      </c>
      <c r="BZ124" s="289"/>
    </row>
    <row r="125" spans="1:78" ht="15" customHeight="1">
      <c r="A125" s="276">
        <f>IF('Statement of Marks'!A128="","",'Statement of Marks'!A128)</f>
        <v>122</v>
      </c>
      <c r="B125" s="277" t="str">
        <f>IF('Statement of Marks'!B128="","",'Statement of Marks'!B128)</f>
        <v/>
      </c>
      <c r="C125" s="278" t="str">
        <f>IF('Statement of Marks'!D128="","",'Statement of Marks'!D128)</f>
        <v/>
      </c>
      <c r="D125" s="314" t="str">
        <f>IF('Statement of Marks'!E128="","",'Statement of Marks'!E128)</f>
        <v/>
      </c>
      <c r="E125" s="279" t="str">
        <f>IF('Statement of Marks'!F128="","",'Statement of Marks'!F128)</f>
        <v/>
      </c>
      <c r="F125" s="279" t="str">
        <f>IF('Statement of Marks'!G128="","",'Statement of Marks'!G128)</f>
        <v/>
      </c>
      <c r="G125" s="279" t="str">
        <f>IF('Statement of Marks'!H128="","",'Statement of Marks'!H128)</f>
        <v/>
      </c>
      <c r="H125" s="280" t="str">
        <f>IF('Statement of Marks'!I128="","",'Statement of Marks'!I128)</f>
        <v/>
      </c>
      <c r="I125" s="280" t="str">
        <f>IF('Statement of Marks'!J128="","",'Statement of Marks'!J128)</f>
        <v/>
      </c>
      <c r="J125" s="827" t="str">
        <f>IF('Statement of Marks'!HS128="","",'Statement of Marks'!HS128)</f>
        <v/>
      </c>
      <c r="K125" s="281" t="str">
        <f>IF('Statement of Marks'!HT128="","",'Statement of Marks'!HT128)</f>
        <v/>
      </c>
      <c r="L125" s="828" t="str">
        <f>IF('Statement of Marks'!HW128="","",'Statement of Marks'!HW128)</f>
        <v/>
      </c>
      <c r="M125" s="281" t="str">
        <f>IF('Statement of Marks'!HV128="","",'Statement of Marks'!HV128)</f>
        <v/>
      </c>
      <c r="N125" s="829" t="str">
        <f>IF('Statement of Marks'!HX128="","",'Statement of Marks'!HX128)</f>
        <v/>
      </c>
      <c r="O125" s="282" t="str">
        <f>IF(J125="FAIL","",IF('Statement of Marks'!HO128="","",'Statement of Marks'!HO128))</f>
        <v xml:space="preserve">      </v>
      </c>
      <c r="P125" s="283" t="str">
        <f>IF('Supp. Result Entry'!AQ126="","",'Supp. Result Entry'!AQ126)</f>
        <v/>
      </c>
      <c r="Q125" s="284" t="str">
        <f>IF('Supp. Result Entry'!AR126="","",'Supp. Result Entry'!AR126)</f>
        <v/>
      </c>
      <c r="R125" s="285" t="str">
        <f>IF('Statement of Marks'!IA128="","",'Statement of Marks'!IA128)</f>
        <v/>
      </c>
      <c r="S125" s="286" t="str">
        <f>IF('Statement of Marks'!GL128="","",'Statement of Marks'!GL128)</f>
        <v/>
      </c>
      <c r="BM125" s="287" t="str">
        <f>'Statement of Marks'!F128</f>
        <v/>
      </c>
      <c r="BN125" s="288" t="str">
        <f t="shared" si="12"/>
        <v/>
      </c>
      <c r="BO125" s="288" t="str">
        <f t="shared" si="13"/>
        <v/>
      </c>
      <c r="BP125" s="288" t="str">
        <f t="shared" si="14"/>
        <v/>
      </c>
      <c r="BQ125" s="288" t="str">
        <f t="shared" si="15"/>
        <v/>
      </c>
      <c r="BR125" s="288" t="str">
        <f t="shared" si="16"/>
        <v/>
      </c>
      <c r="BS125" s="288" t="str">
        <f t="shared" si="17"/>
        <v/>
      </c>
      <c r="BT125" s="288" t="str">
        <f t="shared" si="18"/>
        <v/>
      </c>
      <c r="BU125" s="288" t="str">
        <f t="shared" si="19"/>
        <v/>
      </c>
      <c r="BV125" s="288" t="str">
        <f t="shared" si="20"/>
        <v/>
      </c>
      <c r="BW125" s="288" t="str">
        <f t="shared" si="21"/>
        <v/>
      </c>
      <c r="BX125" s="288" t="str">
        <f t="shared" si="22"/>
        <v/>
      </c>
      <c r="BY125" s="288" t="str">
        <f t="shared" si="23"/>
        <v/>
      </c>
      <c r="BZ125" s="289"/>
    </row>
    <row r="126" spans="1:78" ht="15" customHeight="1">
      <c r="A126" s="276">
        <f>IF('Statement of Marks'!A129="","",'Statement of Marks'!A129)</f>
        <v>123</v>
      </c>
      <c r="B126" s="277" t="str">
        <f>IF('Statement of Marks'!B129="","",'Statement of Marks'!B129)</f>
        <v/>
      </c>
      <c r="C126" s="278" t="str">
        <f>IF('Statement of Marks'!D129="","",'Statement of Marks'!D129)</f>
        <v/>
      </c>
      <c r="D126" s="314" t="str">
        <f>IF('Statement of Marks'!E129="","",'Statement of Marks'!E129)</f>
        <v/>
      </c>
      <c r="E126" s="279" t="str">
        <f>IF('Statement of Marks'!F129="","",'Statement of Marks'!F129)</f>
        <v/>
      </c>
      <c r="F126" s="279" t="str">
        <f>IF('Statement of Marks'!G129="","",'Statement of Marks'!G129)</f>
        <v/>
      </c>
      <c r="G126" s="279" t="str">
        <f>IF('Statement of Marks'!H129="","",'Statement of Marks'!H129)</f>
        <v/>
      </c>
      <c r="H126" s="280" t="str">
        <f>IF('Statement of Marks'!I129="","",'Statement of Marks'!I129)</f>
        <v/>
      </c>
      <c r="I126" s="280" t="str">
        <f>IF('Statement of Marks'!J129="","",'Statement of Marks'!J129)</f>
        <v/>
      </c>
      <c r="J126" s="827" t="str">
        <f>IF('Statement of Marks'!HS129="","",'Statement of Marks'!HS129)</f>
        <v/>
      </c>
      <c r="K126" s="281" t="str">
        <f>IF('Statement of Marks'!HT129="","",'Statement of Marks'!HT129)</f>
        <v/>
      </c>
      <c r="L126" s="828" t="str">
        <f>IF('Statement of Marks'!HW129="","",'Statement of Marks'!HW129)</f>
        <v/>
      </c>
      <c r="M126" s="281" t="str">
        <f>IF('Statement of Marks'!HV129="","",'Statement of Marks'!HV129)</f>
        <v/>
      </c>
      <c r="N126" s="829" t="str">
        <f>IF('Statement of Marks'!HX129="","",'Statement of Marks'!HX129)</f>
        <v/>
      </c>
      <c r="O126" s="282" t="str">
        <f>IF(J126="FAIL","",IF('Statement of Marks'!HO129="","",'Statement of Marks'!HO129))</f>
        <v xml:space="preserve">      </v>
      </c>
      <c r="P126" s="283" t="str">
        <f>IF('Supp. Result Entry'!AQ127="","",'Supp. Result Entry'!AQ127)</f>
        <v/>
      </c>
      <c r="Q126" s="284" t="str">
        <f>IF('Supp. Result Entry'!AR127="","",'Supp. Result Entry'!AR127)</f>
        <v/>
      </c>
      <c r="R126" s="285" t="str">
        <f>IF('Statement of Marks'!IA129="","",'Statement of Marks'!IA129)</f>
        <v/>
      </c>
      <c r="S126" s="286" t="str">
        <f>IF('Statement of Marks'!GL129="","",'Statement of Marks'!GL129)</f>
        <v/>
      </c>
      <c r="BM126" s="287" t="str">
        <f>'Statement of Marks'!F129</f>
        <v/>
      </c>
      <c r="BN126" s="288" t="str">
        <f t="shared" si="12"/>
        <v/>
      </c>
      <c r="BO126" s="288" t="str">
        <f t="shared" si="13"/>
        <v/>
      </c>
      <c r="BP126" s="288" t="str">
        <f t="shared" si="14"/>
        <v/>
      </c>
      <c r="BQ126" s="288" t="str">
        <f t="shared" si="15"/>
        <v/>
      </c>
      <c r="BR126" s="288" t="str">
        <f t="shared" si="16"/>
        <v/>
      </c>
      <c r="BS126" s="288" t="str">
        <f t="shared" si="17"/>
        <v/>
      </c>
      <c r="BT126" s="288" t="str">
        <f t="shared" si="18"/>
        <v/>
      </c>
      <c r="BU126" s="288" t="str">
        <f t="shared" si="19"/>
        <v/>
      </c>
      <c r="BV126" s="288" t="str">
        <f t="shared" si="20"/>
        <v/>
      </c>
      <c r="BW126" s="288" t="str">
        <f t="shared" si="21"/>
        <v/>
      </c>
      <c r="BX126" s="288" t="str">
        <f t="shared" si="22"/>
        <v/>
      </c>
      <c r="BY126" s="288" t="str">
        <f t="shared" si="23"/>
        <v/>
      </c>
      <c r="BZ126" s="289"/>
    </row>
    <row r="127" spans="1:78" ht="15" customHeight="1">
      <c r="A127" s="276">
        <f>IF('Statement of Marks'!A130="","",'Statement of Marks'!A130)</f>
        <v>124</v>
      </c>
      <c r="B127" s="277" t="str">
        <f>IF('Statement of Marks'!B130="","",'Statement of Marks'!B130)</f>
        <v/>
      </c>
      <c r="C127" s="278" t="str">
        <f>IF('Statement of Marks'!D130="","",'Statement of Marks'!D130)</f>
        <v/>
      </c>
      <c r="D127" s="314" t="str">
        <f>IF('Statement of Marks'!E130="","",'Statement of Marks'!E130)</f>
        <v/>
      </c>
      <c r="E127" s="279" t="str">
        <f>IF('Statement of Marks'!F130="","",'Statement of Marks'!F130)</f>
        <v/>
      </c>
      <c r="F127" s="279" t="str">
        <f>IF('Statement of Marks'!G130="","",'Statement of Marks'!G130)</f>
        <v/>
      </c>
      <c r="G127" s="279" t="str">
        <f>IF('Statement of Marks'!H130="","",'Statement of Marks'!H130)</f>
        <v/>
      </c>
      <c r="H127" s="280" t="str">
        <f>IF('Statement of Marks'!I130="","",'Statement of Marks'!I130)</f>
        <v/>
      </c>
      <c r="I127" s="280" t="str">
        <f>IF('Statement of Marks'!J130="","",'Statement of Marks'!J130)</f>
        <v/>
      </c>
      <c r="J127" s="827" t="str">
        <f>IF('Statement of Marks'!HS130="","",'Statement of Marks'!HS130)</f>
        <v/>
      </c>
      <c r="K127" s="281" t="str">
        <f>IF('Statement of Marks'!HT130="","",'Statement of Marks'!HT130)</f>
        <v/>
      </c>
      <c r="L127" s="828" t="str">
        <f>IF('Statement of Marks'!HW130="","",'Statement of Marks'!HW130)</f>
        <v/>
      </c>
      <c r="M127" s="281" t="str">
        <f>IF('Statement of Marks'!HV130="","",'Statement of Marks'!HV130)</f>
        <v/>
      </c>
      <c r="N127" s="829" t="str">
        <f>IF('Statement of Marks'!HX130="","",'Statement of Marks'!HX130)</f>
        <v/>
      </c>
      <c r="O127" s="282" t="str">
        <f>IF(J127="FAIL","",IF('Statement of Marks'!HO130="","",'Statement of Marks'!HO130))</f>
        <v xml:space="preserve">      </v>
      </c>
      <c r="P127" s="283" t="str">
        <f>IF('Supp. Result Entry'!AQ128="","",'Supp. Result Entry'!AQ128)</f>
        <v/>
      </c>
      <c r="Q127" s="284" t="str">
        <f>IF('Supp. Result Entry'!AR128="","",'Supp. Result Entry'!AR128)</f>
        <v/>
      </c>
      <c r="R127" s="285" t="str">
        <f>IF('Statement of Marks'!IA130="","",'Statement of Marks'!IA130)</f>
        <v/>
      </c>
      <c r="S127" s="286" t="str">
        <f>IF('Statement of Marks'!GL130="","",'Statement of Marks'!GL130)</f>
        <v/>
      </c>
      <c r="BM127" s="287" t="str">
        <f>'Statement of Marks'!F130</f>
        <v/>
      </c>
      <c r="BN127" s="288" t="str">
        <f t="shared" si="12"/>
        <v/>
      </c>
      <c r="BO127" s="288" t="str">
        <f t="shared" si="13"/>
        <v/>
      </c>
      <c r="BP127" s="288" t="str">
        <f t="shared" si="14"/>
        <v/>
      </c>
      <c r="BQ127" s="288" t="str">
        <f t="shared" si="15"/>
        <v/>
      </c>
      <c r="BR127" s="288" t="str">
        <f t="shared" si="16"/>
        <v/>
      </c>
      <c r="BS127" s="288" t="str">
        <f t="shared" si="17"/>
        <v/>
      </c>
      <c r="BT127" s="288" t="str">
        <f t="shared" si="18"/>
        <v/>
      </c>
      <c r="BU127" s="288" t="str">
        <f t="shared" si="19"/>
        <v/>
      </c>
      <c r="BV127" s="288" t="str">
        <f t="shared" si="20"/>
        <v/>
      </c>
      <c r="BW127" s="288" t="str">
        <f t="shared" si="21"/>
        <v/>
      </c>
      <c r="BX127" s="288" t="str">
        <f t="shared" si="22"/>
        <v/>
      </c>
      <c r="BY127" s="288" t="str">
        <f t="shared" si="23"/>
        <v/>
      </c>
      <c r="BZ127" s="289"/>
    </row>
    <row r="128" spans="1:78" ht="15" customHeight="1">
      <c r="A128" s="276">
        <f>IF('Statement of Marks'!A131="","",'Statement of Marks'!A131)</f>
        <v>125</v>
      </c>
      <c r="B128" s="277" t="str">
        <f>IF('Statement of Marks'!B131="","",'Statement of Marks'!B131)</f>
        <v/>
      </c>
      <c r="C128" s="278" t="str">
        <f>IF('Statement of Marks'!D131="","",'Statement of Marks'!D131)</f>
        <v/>
      </c>
      <c r="D128" s="314" t="str">
        <f>IF('Statement of Marks'!E131="","",'Statement of Marks'!E131)</f>
        <v/>
      </c>
      <c r="E128" s="279" t="str">
        <f>IF('Statement of Marks'!F131="","",'Statement of Marks'!F131)</f>
        <v/>
      </c>
      <c r="F128" s="279" t="str">
        <f>IF('Statement of Marks'!G131="","",'Statement of Marks'!G131)</f>
        <v/>
      </c>
      <c r="G128" s="279" t="str">
        <f>IF('Statement of Marks'!H131="","",'Statement of Marks'!H131)</f>
        <v/>
      </c>
      <c r="H128" s="280" t="str">
        <f>IF('Statement of Marks'!I131="","",'Statement of Marks'!I131)</f>
        <v/>
      </c>
      <c r="I128" s="280" t="str">
        <f>IF('Statement of Marks'!J131="","",'Statement of Marks'!J131)</f>
        <v/>
      </c>
      <c r="J128" s="827" t="str">
        <f>IF('Statement of Marks'!HS131="","",'Statement of Marks'!HS131)</f>
        <v/>
      </c>
      <c r="K128" s="281" t="str">
        <f>IF('Statement of Marks'!HT131="","",'Statement of Marks'!HT131)</f>
        <v/>
      </c>
      <c r="L128" s="828" t="str">
        <f>IF('Statement of Marks'!HW131="","",'Statement of Marks'!HW131)</f>
        <v/>
      </c>
      <c r="M128" s="281" t="str">
        <f>IF('Statement of Marks'!HV131="","",'Statement of Marks'!HV131)</f>
        <v/>
      </c>
      <c r="N128" s="829" t="str">
        <f>IF('Statement of Marks'!HX131="","",'Statement of Marks'!HX131)</f>
        <v/>
      </c>
      <c r="O128" s="282" t="str">
        <f>IF(J128="FAIL","",IF('Statement of Marks'!HO131="","",'Statement of Marks'!HO131))</f>
        <v xml:space="preserve">      </v>
      </c>
      <c r="P128" s="283" t="str">
        <f>IF('Supp. Result Entry'!AQ129="","",'Supp. Result Entry'!AQ129)</f>
        <v/>
      </c>
      <c r="Q128" s="284" t="str">
        <f>IF('Supp. Result Entry'!AR129="","",'Supp. Result Entry'!AR129)</f>
        <v/>
      </c>
      <c r="R128" s="285" t="str">
        <f>IF('Statement of Marks'!IA131="","",'Statement of Marks'!IA131)</f>
        <v/>
      </c>
      <c r="S128" s="286" t="str">
        <f>IF('Statement of Marks'!GL131="","",'Statement of Marks'!GL131)</f>
        <v/>
      </c>
      <c r="BM128" s="287" t="str">
        <f>'Statement of Marks'!F131</f>
        <v/>
      </c>
      <c r="BN128" s="288" t="str">
        <f t="shared" si="12"/>
        <v/>
      </c>
      <c r="BO128" s="288" t="str">
        <f t="shared" si="13"/>
        <v/>
      </c>
      <c r="BP128" s="288" t="str">
        <f t="shared" si="14"/>
        <v/>
      </c>
      <c r="BQ128" s="288" t="str">
        <f t="shared" si="15"/>
        <v/>
      </c>
      <c r="BR128" s="288" t="str">
        <f t="shared" si="16"/>
        <v/>
      </c>
      <c r="BS128" s="288" t="str">
        <f t="shared" si="17"/>
        <v/>
      </c>
      <c r="BT128" s="288" t="str">
        <f t="shared" si="18"/>
        <v/>
      </c>
      <c r="BU128" s="288" t="str">
        <f t="shared" si="19"/>
        <v/>
      </c>
      <c r="BV128" s="288" t="str">
        <f t="shared" si="20"/>
        <v/>
      </c>
      <c r="BW128" s="288" t="str">
        <f t="shared" si="21"/>
        <v/>
      </c>
      <c r="BX128" s="288" t="str">
        <f t="shared" si="22"/>
        <v/>
      </c>
      <c r="BY128" s="288" t="str">
        <f t="shared" si="23"/>
        <v/>
      </c>
      <c r="BZ128" s="289"/>
    </row>
    <row r="129" spans="1:78" ht="15" customHeight="1">
      <c r="A129" s="276">
        <f>IF('Statement of Marks'!A132="","",'Statement of Marks'!A132)</f>
        <v>126</v>
      </c>
      <c r="B129" s="277" t="str">
        <f>IF('Statement of Marks'!B132="","",'Statement of Marks'!B132)</f>
        <v/>
      </c>
      <c r="C129" s="278" t="str">
        <f>IF('Statement of Marks'!D132="","",'Statement of Marks'!D132)</f>
        <v/>
      </c>
      <c r="D129" s="314" t="str">
        <f>IF('Statement of Marks'!E132="","",'Statement of Marks'!E132)</f>
        <v/>
      </c>
      <c r="E129" s="279" t="str">
        <f>IF('Statement of Marks'!F132="","",'Statement of Marks'!F132)</f>
        <v/>
      </c>
      <c r="F129" s="279" t="str">
        <f>IF('Statement of Marks'!G132="","",'Statement of Marks'!G132)</f>
        <v/>
      </c>
      <c r="G129" s="279" t="str">
        <f>IF('Statement of Marks'!H132="","",'Statement of Marks'!H132)</f>
        <v/>
      </c>
      <c r="H129" s="280" t="str">
        <f>IF('Statement of Marks'!I132="","",'Statement of Marks'!I132)</f>
        <v/>
      </c>
      <c r="I129" s="280" t="str">
        <f>IF('Statement of Marks'!J132="","",'Statement of Marks'!J132)</f>
        <v/>
      </c>
      <c r="J129" s="827" t="str">
        <f>IF('Statement of Marks'!HS132="","",'Statement of Marks'!HS132)</f>
        <v/>
      </c>
      <c r="K129" s="281" t="str">
        <f>IF('Statement of Marks'!HT132="","",'Statement of Marks'!HT132)</f>
        <v/>
      </c>
      <c r="L129" s="828" t="str">
        <f>IF('Statement of Marks'!HW132="","",'Statement of Marks'!HW132)</f>
        <v/>
      </c>
      <c r="M129" s="281" t="str">
        <f>IF('Statement of Marks'!HV132="","",'Statement of Marks'!HV132)</f>
        <v/>
      </c>
      <c r="N129" s="829" t="str">
        <f>IF('Statement of Marks'!HX132="","",'Statement of Marks'!HX132)</f>
        <v/>
      </c>
      <c r="O129" s="282" t="str">
        <f>IF(J129="FAIL","",IF('Statement of Marks'!HO132="","",'Statement of Marks'!HO132))</f>
        <v xml:space="preserve">      </v>
      </c>
      <c r="P129" s="283" t="str">
        <f>IF('Supp. Result Entry'!AQ130="","",'Supp. Result Entry'!AQ130)</f>
        <v/>
      </c>
      <c r="Q129" s="284" t="str">
        <f>IF('Supp. Result Entry'!AR130="","",'Supp. Result Entry'!AR130)</f>
        <v/>
      </c>
      <c r="R129" s="285" t="str">
        <f>IF('Statement of Marks'!IA132="","",'Statement of Marks'!IA132)</f>
        <v/>
      </c>
      <c r="S129" s="286" t="str">
        <f>IF('Statement of Marks'!GL132="","",'Statement of Marks'!GL132)</f>
        <v/>
      </c>
      <c r="BM129" s="287" t="str">
        <f>'Statement of Marks'!F132</f>
        <v/>
      </c>
      <c r="BN129" s="288" t="str">
        <f t="shared" si="12"/>
        <v/>
      </c>
      <c r="BO129" s="288" t="str">
        <f t="shared" si="13"/>
        <v/>
      </c>
      <c r="BP129" s="288" t="str">
        <f t="shared" si="14"/>
        <v/>
      </c>
      <c r="BQ129" s="288" t="str">
        <f t="shared" si="15"/>
        <v/>
      </c>
      <c r="BR129" s="288" t="str">
        <f t="shared" si="16"/>
        <v/>
      </c>
      <c r="BS129" s="288" t="str">
        <f t="shared" si="17"/>
        <v/>
      </c>
      <c r="BT129" s="288" t="str">
        <f t="shared" si="18"/>
        <v/>
      </c>
      <c r="BU129" s="288" t="str">
        <f t="shared" si="19"/>
        <v/>
      </c>
      <c r="BV129" s="288" t="str">
        <f t="shared" si="20"/>
        <v/>
      </c>
      <c r="BW129" s="288" t="str">
        <f t="shared" si="21"/>
        <v/>
      </c>
      <c r="BX129" s="288" t="str">
        <f t="shared" si="22"/>
        <v/>
      </c>
      <c r="BY129" s="288" t="str">
        <f t="shared" si="23"/>
        <v/>
      </c>
      <c r="BZ129" s="289"/>
    </row>
    <row r="130" spans="1:78" ht="15" customHeight="1">
      <c r="A130" s="276">
        <f>IF('Statement of Marks'!A133="","",'Statement of Marks'!A133)</f>
        <v>127</v>
      </c>
      <c r="B130" s="277" t="str">
        <f>IF('Statement of Marks'!B133="","",'Statement of Marks'!B133)</f>
        <v/>
      </c>
      <c r="C130" s="278" t="str">
        <f>IF('Statement of Marks'!D133="","",'Statement of Marks'!D133)</f>
        <v/>
      </c>
      <c r="D130" s="314" t="str">
        <f>IF('Statement of Marks'!E133="","",'Statement of Marks'!E133)</f>
        <v/>
      </c>
      <c r="E130" s="279" t="str">
        <f>IF('Statement of Marks'!F133="","",'Statement of Marks'!F133)</f>
        <v/>
      </c>
      <c r="F130" s="279" t="str">
        <f>IF('Statement of Marks'!G133="","",'Statement of Marks'!G133)</f>
        <v/>
      </c>
      <c r="G130" s="279" t="str">
        <f>IF('Statement of Marks'!H133="","",'Statement of Marks'!H133)</f>
        <v/>
      </c>
      <c r="H130" s="280" t="str">
        <f>IF('Statement of Marks'!I133="","",'Statement of Marks'!I133)</f>
        <v/>
      </c>
      <c r="I130" s="280" t="str">
        <f>IF('Statement of Marks'!J133="","",'Statement of Marks'!J133)</f>
        <v/>
      </c>
      <c r="J130" s="826" t="str">
        <f>IF('Statement of Marks'!HS133="","",'Statement of Marks'!HS133)</f>
        <v/>
      </c>
      <c r="K130" s="281" t="str">
        <f>IF('Statement of Marks'!HT133="","",'Statement of Marks'!HT133)</f>
        <v/>
      </c>
      <c r="L130" s="828" t="str">
        <f>IF('Statement of Marks'!HW133="","",'Statement of Marks'!HW133)</f>
        <v/>
      </c>
      <c r="M130" s="281" t="str">
        <f>IF('Statement of Marks'!HV133="","",'Statement of Marks'!HV133)</f>
        <v/>
      </c>
      <c r="N130" s="829" t="str">
        <f>IF('Statement of Marks'!HX133="","",'Statement of Marks'!HX133)</f>
        <v/>
      </c>
      <c r="O130" s="282" t="str">
        <f>IF(J130="FAIL","",IF('Statement of Marks'!HO133="","",'Statement of Marks'!HO133))</f>
        <v xml:space="preserve">      </v>
      </c>
      <c r="P130" s="283" t="str">
        <f>IF('Supp. Result Entry'!AQ131="","",'Supp. Result Entry'!AQ131)</f>
        <v/>
      </c>
      <c r="Q130" s="284" t="str">
        <f>IF('Supp. Result Entry'!AR131="","",'Supp. Result Entry'!AR131)</f>
        <v/>
      </c>
      <c r="R130" s="285" t="str">
        <f>IF('Statement of Marks'!IA133="","",'Statement of Marks'!IA133)</f>
        <v/>
      </c>
      <c r="S130" s="286" t="str">
        <f>IF('Statement of Marks'!GL133="","",'Statement of Marks'!GL133)</f>
        <v/>
      </c>
      <c r="BM130" s="287" t="str">
        <f>'Statement of Marks'!F133</f>
        <v/>
      </c>
      <c r="BN130" s="288" t="str">
        <f t="shared" si="12"/>
        <v/>
      </c>
      <c r="BO130" s="288" t="str">
        <f t="shared" si="13"/>
        <v/>
      </c>
      <c r="BP130" s="288" t="str">
        <f t="shared" si="14"/>
        <v/>
      </c>
      <c r="BQ130" s="288" t="str">
        <f t="shared" si="15"/>
        <v/>
      </c>
      <c r="BR130" s="288" t="str">
        <f t="shared" si="16"/>
        <v/>
      </c>
      <c r="BS130" s="288" t="str">
        <f t="shared" si="17"/>
        <v/>
      </c>
      <c r="BT130" s="288" t="str">
        <f t="shared" si="18"/>
        <v/>
      </c>
      <c r="BU130" s="288" t="str">
        <f t="shared" si="19"/>
        <v/>
      </c>
      <c r="BV130" s="288" t="str">
        <f t="shared" si="20"/>
        <v/>
      </c>
      <c r="BW130" s="288" t="str">
        <f t="shared" si="21"/>
        <v/>
      </c>
      <c r="BX130" s="288" t="str">
        <f t="shared" si="22"/>
        <v/>
      </c>
      <c r="BY130" s="288" t="str">
        <f t="shared" si="23"/>
        <v/>
      </c>
      <c r="BZ130" s="289"/>
    </row>
    <row r="131" spans="1:78" ht="15" customHeight="1">
      <c r="A131" s="276">
        <f>IF('Statement of Marks'!A134="","",'Statement of Marks'!A134)</f>
        <v>128</v>
      </c>
      <c r="B131" s="277" t="str">
        <f>IF('Statement of Marks'!B134="","",'Statement of Marks'!B134)</f>
        <v/>
      </c>
      <c r="C131" s="278" t="str">
        <f>IF('Statement of Marks'!D134="","",'Statement of Marks'!D134)</f>
        <v/>
      </c>
      <c r="D131" s="314" t="str">
        <f>IF('Statement of Marks'!E134="","",'Statement of Marks'!E134)</f>
        <v/>
      </c>
      <c r="E131" s="279" t="str">
        <f>IF('Statement of Marks'!F134="","",'Statement of Marks'!F134)</f>
        <v/>
      </c>
      <c r="F131" s="279" t="str">
        <f>IF('Statement of Marks'!G134="","",'Statement of Marks'!G134)</f>
        <v/>
      </c>
      <c r="G131" s="279" t="str">
        <f>IF('Statement of Marks'!H134="","",'Statement of Marks'!H134)</f>
        <v/>
      </c>
      <c r="H131" s="280" t="str">
        <f>IF('Statement of Marks'!I134="","",'Statement of Marks'!I134)</f>
        <v/>
      </c>
      <c r="I131" s="280" t="str">
        <f>IF('Statement of Marks'!J134="","",'Statement of Marks'!J134)</f>
        <v/>
      </c>
      <c r="J131" s="827" t="str">
        <f>IF('Statement of Marks'!HS134="","",'Statement of Marks'!HS134)</f>
        <v/>
      </c>
      <c r="K131" s="281" t="str">
        <f>IF('Statement of Marks'!HT134="","",'Statement of Marks'!HT134)</f>
        <v/>
      </c>
      <c r="L131" s="828" t="str">
        <f>IF('Statement of Marks'!HW134="","",'Statement of Marks'!HW134)</f>
        <v/>
      </c>
      <c r="M131" s="281" t="str">
        <f>IF('Statement of Marks'!HV134="","",'Statement of Marks'!HV134)</f>
        <v/>
      </c>
      <c r="N131" s="829" t="str">
        <f>IF('Statement of Marks'!HX134="","",'Statement of Marks'!HX134)</f>
        <v/>
      </c>
      <c r="O131" s="282" t="str">
        <f>IF(J131="FAIL","",IF('Statement of Marks'!HO134="","",'Statement of Marks'!HO134))</f>
        <v xml:space="preserve">      </v>
      </c>
      <c r="P131" s="283" t="str">
        <f>IF('Supp. Result Entry'!AQ132="","",'Supp. Result Entry'!AQ132)</f>
        <v/>
      </c>
      <c r="Q131" s="284" t="str">
        <f>IF('Supp. Result Entry'!AR132="","",'Supp. Result Entry'!AR132)</f>
        <v/>
      </c>
      <c r="R131" s="285" t="str">
        <f>IF('Statement of Marks'!IA134="","",'Statement of Marks'!IA134)</f>
        <v/>
      </c>
      <c r="S131" s="286" t="str">
        <f>IF('Statement of Marks'!GL134="","",'Statement of Marks'!GL134)</f>
        <v/>
      </c>
      <c r="BM131" s="287" t="str">
        <f>'Statement of Marks'!F134</f>
        <v/>
      </c>
      <c r="BN131" s="288" t="str">
        <f t="shared" si="12"/>
        <v/>
      </c>
      <c r="BO131" s="288" t="str">
        <f t="shared" si="13"/>
        <v/>
      </c>
      <c r="BP131" s="288" t="str">
        <f t="shared" si="14"/>
        <v/>
      </c>
      <c r="BQ131" s="288" t="str">
        <f t="shared" si="15"/>
        <v/>
      </c>
      <c r="BR131" s="288" t="str">
        <f t="shared" si="16"/>
        <v/>
      </c>
      <c r="BS131" s="288" t="str">
        <f t="shared" si="17"/>
        <v/>
      </c>
      <c r="BT131" s="288" t="str">
        <f t="shared" si="18"/>
        <v/>
      </c>
      <c r="BU131" s="288" t="str">
        <f t="shared" si="19"/>
        <v/>
      </c>
      <c r="BV131" s="288" t="str">
        <f t="shared" si="20"/>
        <v/>
      </c>
      <c r="BW131" s="288" t="str">
        <f t="shared" si="21"/>
        <v/>
      </c>
      <c r="BX131" s="288" t="str">
        <f t="shared" si="22"/>
        <v/>
      </c>
      <c r="BY131" s="288" t="str">
        <f t="shared" si="23"/>
        <v/>
      </c>
      <c r="BZ131" s="289"/>
    </row>
    <row r="132" spans="1:78" ht="15" customHeight="1">
      <c r="A132" s="276">
        <f>IF('Statement of Marks'!A135="","",'Statement of Marks'!A135)</f>
        <v>129</v>
      </c>
      <c r="B132" s="277" t="str">
        <f>IF('Statement of Marks'!B135="","",'Statement of Marks'!B135)</f>
        <v/>
      </c>
      <c r="C132" s="278" t="str">
        <f>IF('Statement of Marks'!D135="","",'Statement of Marks'!D135)</f>
        <v/>
      </c>
      <c r="D132" s="314" t="str">
        <f>IF('Statement of Marks'!E135="","",'Statement of Marks'!E135)</f>
        <v/>
      </c>
      <c r="E132" s="279" t="str">
        <f>IF('Statement of Marks'!F135="","",'Statement of Marks'!F135)</f>
        <v/>
      </c>
      <c r="F132" s="279" t="str">
        <f>IF('Statement of Marks'!G135="","",'Statement of Marks'!G135)</f>
        <v/>
      </c>
      <c r="G132" s="279" t="str">
        <f>IF('Statement of Marks'!H135="","",'Statement of Marks'!H135)</f>
        <v/>
      </c>
      <c r="H132" s="280" t="str">
        <f>IF('Statement of Marks'!I135="","",'Statement of Marks'!I135)</f>
        <v/>
      </c>
      <c r="I132" s="280" t="str">
        <f>IF('Statement of Marks'!J135="","",'Statement of Marks'!J135)</f>
        <v/>
      </c>
      <c r="J132" s="827" t="str">
        <f>IF('Statement of Marks'!HS135="","",'Statement of Marks'!HS135)</f>
        <v/>
      </c>
      <c r="K132" s="281" t="str">
        <f>IF('Statement of Marks'!HT135="","",'Statement of Marks'!HT135)</f>
        <v/>
      </c>
      <c r="L132" s="828" t="str">
        <f>IF('Statement of Marks'!HW135="","",'Statement of Marks'!HW135)</f>
        <v/>
      </c>
      <c r="M132" s="281" t="str">
        <f>IF('Statement of Marks'!HV135="","",'Statement of Marks'!HV135)</f>
        <v/>
      </c>
      <c r="N132" s="829" t="str">
        <f>IF('Statement of Marks'!HX135="","",'Statement of Marks'!HX135)</f>
        <v/>
      </c>
      <c r="O132" s="282" t="str">
        <f>IF(J132="FAIL","",IF('Statement of Marks'!HO135="","",'Statement of Marks'!HO135))</f>
        <v xml:space="preserve">      </v>
      </c>
      <c r="P132" s="283" t="str">
        <f>IF('Supp. Result Entry'!AQ133="","",'Supp. Result Entry'!AQ133)</f>
        <v/>
      </c>
      <c r="Q132" s="284" t="str">
        <f>IF('Supp. Result Entry'!AR133="","",'Supp. Result Entry'!AR133)</f>
        <v/>
      </c>
      <c r="R132" s="285" t="str">
        <f>IF('Statement of Marks'!IA135="","",'Statement of Marks'!IA135)</f>
        <v/>
      </c>
      <c r="S132" s="286" t="str">
        <f>IF('Statement of Marks'!GL135="","",'Statement of Marks'!GL135)</f>
        <v/>
      </c>
      <c r="BM132" s="287" t="str">
        <f>'Statement of Marks'!F135</f>
        <v/>
      </c>
      <c r="BN132" s="288" t="str">
        <f t="shared" si="12"/>
        <v/>
      </c>
      <c r="BO132" s="288" t="str">
        <f t="shared" si="13"/>
        <v/>
      </c>
      <c r="BP132" s="288" t="str">
        <f t="shared" si="14"/>
        <v/>
      </c>
      <c r="BQ132" s="288" t="str">
        <f t="shared" si="15"/>
        <v/>
      </c>
      <c r="BR132" s="288" t="str">
        <f t="shared" si="16"/>
        <v/>
      </c>
      <c r="BS132" s="288" t="str">
        <f t="shared" si="17"/>
        <v/>
      </c>
      <c r="BT132" s="288" t="str">
        <f t="shared" si="18"/>
        <v/>
      </c>
      <c r="BU132" s="288" t="str">
        <f t="shared" si="19"/>
        <v/>
      </c>
      <c r="BV132" s="288" t="str">
        <f t="shared" si="20"/>
        <v/>
      </c>
      <c r="BW132" s="288" t="str">
        <f t="shared" si="21"/>
        <v/>
      </c>
      <c r="BX132" s="288" t="str">
        <f t="shared" si="22"/>
        <v/>
      </c>
      <c r="BY132" s="288" t="str">
        <f t="shared" si="23"/>
        <v/>
      </c>
      <c r="BZ132" s="289"/>
    </row>
    <row r="133" spans="1:78" ht="15" customHeight="1">
      <c r="A133" s="276">
        <f>IF('Statement of Marks'!A136="","",'Statement of Marks'!A136)</f>
        <v>130</v>
      </c>
      <c r="B133" s="277" t="str">
        <f>IF('Statement of Marks'!B136="","",'Statement of Marks'!B136)</f>
        <v/>
      </c>
      <c r="C133" s="278" t="str">
        <f>IF('Statement of Marks'!D136="","",'Statement of Marks'!D136)</f>
        <v/>
      </c>
      <c r="D133" s="314" t="str">
        <f>IF('Statement of Marks'!E136="","",'Statement of Marks'!E136)</f>
        <v/>
      </c>
      <c r="E133" s="279" t="str">
        <f>IF('Statement of Marks'!F136="","",'Statement of Marks'!F136)</f>
        <v/>
      </c>
      <c r="F133" s="279" t="str">
        <f>IF('Statement of Marks'!G136="","",'Statement of Marks'!G136)</f>
        <v/>
      </c>
      <c r="G133" s="279" t="str">
        <f>IF('Statement of Marks'!H136="","",'Statement of Marks'!H136)</f>
        <v/>
      </c>
      <c r="H133" s="280" t="str">
        <f>IF('Statement of Marks'!I136="","",'Statement of Marks'!I136)</f>
        <v/>
      </c>
      <c r="I133" s="280" t="str">
        <f>IF('Statement of Marks'!J136="","",'Statement of Marks'!J136)</f>
        <v/>
      </c>
      <c r="J133" s="827" t="str">
        <f>IF('Statement of Marks'!HS136="","",'Statement of Marks'!HS136)</f>
        <v/>
      </c>
      <c r="K133" s="281" t="str">
        <f>IF('Statement of Marks'!HT136="","",'Statement of Marks'!HT136)</f>
        <v/>
      </c>
      <c r="L133" s="828" t="str">
        <f>IF('Statement of Marks'!HW136="","",'Statement of Marks'!HW136)</f>
        <v/>
      </c>
      <c r="M133" s="281" t="str">
        <f>IF('Statement of Marks'!HV136="","",'Statement of Marks'!HV136)</f>
        <v/>
      </c>
      <c r="N133" s="829" t="str">
        <f>IF('Statement of Marks'!HX136="","",'Statement of Marks'!HX136)</f>
        <v/>
      </c>
      <c r="O133" s="282" t="str">
        <f>IF(J133="FAIL","",IF('Statement of Marks'!HO136="","",'Statement of Marks'!HO136))</f>
        <v xml:space="preserve">      </v>
      </c>
      <c r="P133" s="283" t="str">
        <f>IF('Supp. Result Entry'!AQ134="","",'Supp. Result Entry'!AQ134)</f>
        <v/>
      </c>
      <c r="Q133" s="284" t="str">
        <f>IF('Supp. Result Entry'!AR134="","",'Supp. Result Entry'!AR134)</f>
        <v/>
      </c>
      <c r="R133" s="285" t="str">
        <f>IF('Statement of Marks'!IA136="","",'Statement of Marks'!IA136)</f>
        <v/>
      </c>
      <c r="S133" s="286" t="str">
        <f>IF('Statement of Marks'!GL136="","",'Statement of Marks'!GL136)</f>
        <v/>
      </c>
      <c r="BM133" s="287" t="str">
        <f>'Statement of Marks'!F136</f>
        <v/>
      </c>
      <c r="BN133" s="288" t="str">
        <f t="shared" ref="BN133:BN196" si="24">IFERROR(IF(AND(M133="",R133="",H133="SC",I133="M"),J133,IF(AND(M133="",H133="SC",I133="M"),R133,IF(AND(R133="",H133="SC",I133="M"),M133,""))),"")</f>
        <v/>
      </c>
      <c r="BO133" s="288" t="str">
        <f t="shared" ref="BO133:BO196" si="25">IFERROR(IF(AND(M133="",R133="",H133="SC",I133="F"),J133,IF(AND(M133="",H133="SC",I133="F"),R133,IF(AND(R133="",H133="SC",I133="F"),M133,""))),"")</f>
        <v/>
      </c>
      <c r="BP133" s="288" t="str">
        <f t="shared" ref="BP133:BP196" si="26">IFERROR(IF(AND(M133="",R133="",H133="ST",I133="M"),J133,IF(AND(M133="",H133="ST",I133="M"),R133,IF(AND(R133="",H133="ST",I133="M"),M133,""))),"")</f>
        <v/>
      </c>
      <c r="BQ133" s="288" t="str">
        <f t="shared" ref="BQ133:BQ196" si="27">IFERROR(IF(AND(M133="",R133="",H133="ST",I133="F"),J133,IF(AND(M133="",H133="ST",I133="F"),R133,IF(AND(R133="",H133="ST",I133="F"),M133,""))),"")</f>
        <v/>
      </c>
      <c r="BR133" s="288" t="str">
        <f t="shared" ref="BR133:BR196" si="28">IFERROR(IF(AND(M133="",R133="",H133="OBC",I133="M"),J133,IF(AND(M133="",H133="OBC",I133="M"),R133,IF(AND(R133="",H133="OBC",I133="M"),M133,""))),"")</f>
        <v/>
      </c>
      <c r="BS133" s="288" t="str">
        <f t="shared" ref="BS133:BS196" si="29">IFERROR(IF(AND(M133="",R133="",H133="OBC",I133="F"),J133,IF(AND(M133="",H133="OBC",I133="F"),R133,IF(AND(R133="",H133="OBC",I133="F"),M133,""))),"")</f>
        <v/>
      </c>
      <c r="BT133" s="288" t="str">
        <f t="shared" ref="BT133:BT196" si="30">IFERROR(IF(AND(M133="",R133="",H133="GEN",I133="M"),J133,IF(AND(M133="",H133="GEN",I133="M"),R133,IF(AND(R133="",H133="GEN",I133="M"),M133,""))),"")</f>
        <v/>
      </c>
      <c r="BU133" s="288" t="str">
        <f t="shared" ref="BU133:BU196" si="31">IFERROR(IF(AND(M133="",R133="",H133="GEN",I133="F"),J133,IF(AND(M133="",H133="GEN",I133="F"),R133,IF(AND(R133="",H133="GEN",I133="F"),M133,""))),"")</f>
        <v/>
      </c>
      <c r="BV133" s="288" t="str">
        <f t="shared" ref="BV133:BV196" si="32">IFERROR(IF(AND(M133="",R133="",H133="MIN",I133="M"),J133,IF(AND(M133="",H133="MIN",I133="M"),R133,IF(AND(R133="",H133="MIN",I133="M"),M133,""))),"")</f>
        <v/>
      </c>
      <c r="BW133" s="288" t="str">
        <f t="shared" ref="BW133:BW196" si="33">IFERROR(IF(AND(M133="",R133="",H133="MIN",I133="F"),J133,IF(AND(M133="",H133="MIN",I133="F"),R133,IF(AND(R133="",H133="MIN",I133="F"),M133,""))),"")</f>
        <v/>
      </c>
      <c r="BX133" s="288" t="str">
        <f t="shared" ref="BX133:BX196" si="34">IFERROR(IF(AND(M133="",R133="",H133="SBC",I133="M"),J133,IF(AND(M133="",H133="SBC",I133="M"),R133,IF(AND(R133="",H133="SBC",I133="M"),M133,""))),"")</f>
        <v/>
      </c>
      <c r="BY133" s="288" t="str">
        <f t="shared" ref="BY133:BY196" si="35">IFERROR(IF(AND(M133="",R133="",H133="SBC",I133="F"),J133,IF(AND(M133="",H133="SBC",I133="F"),R133,IF(AND(R133="",H133="SBC",I133="F"),M133,""))),"")</f>
        <v/>
      </c>
      <c r="BZ133" s="289"/>
    </row>
    <row r="134" spans="1:78" ht="15" customHeight="1">
      <c r="A134" s="276">
        <f>IF('Statement of Marks'!A137="","",'Statement of Marks'!A137)</f>
        <v>131</v>
      </c>
      <c r="B134" s="277" t="str">
        <f>IF('Statement of Marks'!B137="","",'Statement of Marks'!B137)</f>
        <v/>
      </c>
      <c r="C134" s="278" t="str">
        <f>IF('Statement of Marks'!D137="","",'Statement of Marks'!D137)</f>
        <v/>
      </c>
      <c r="D134" s="314" t="str">
        <f>IF('Statement of Marks'!E137="","",'Statement of Marks'!E137)</f>
        <v/>
      </c>
      <c r="E134" s="279" t="str">
        <f>IF('Statement of Marks'!F137="","",'Statement of Marks'!F137)</f>
        <v/>
      </c>
      <c r="F134" s="279" t="str">
        <f>IF('Statement of Marks'!G137="","",'Statement of Marks'!G137)</f>
        <v/>
      </c>
      <c r="G134" s="279" t="str">
        <f>IF('Statement of Marks'!H137="","",'Statement of Marks'!H137)</f>
        <v/>
      </c>
      <c r="H134" s="280" t="str">
        <f>IF('Statement of Marks'!I137="","",'Statement of Marks'!I137)</f>
        <v/>
      </c>
      <c r="I134" s="280" t="str">
        <f>IF('Statement of Marks'!J137="","",'Statement of Marks'!J137)</f>
        <v/>
      </c>
      <c r="J134" s="827" t="str">
        <f>IF('Statement of Marks'!HS137="","",'Statement of Marks'!HS137)</f>
        <v/>
      </c>
      <c r="K134" s="281" t="str">
        <f>IF('Statement of Marks'!HT137="","",'Statement of Marks'!HT137)</f>
        <v/>
      </c>
      <c r="L134" s="828" t="str">
        <f>IF('Statement of Marks'!HW137="","",'Statement of Marks'!HW137)</f>
        <v/>
      </c>
      <c r="M134" s="281" t="str">
        <f>IF('Statement of Marks'!HV137="","",'Statement of Marks'!HV137)</f>
        <v/>
      </c>
      <c r="N134" s="829" t="str">
        <f>IF('Statement of Marks'!HX137="","",'Statement of Marks'!HX137)</f>
        <v/>
      </c>
      <c r="O134" s="282" t="str">
        <f>IF(J134="FAIL","",IF('Statement of Marks'!HO137="","",'Statement of Marks'!HO137))</f>
        <v xml:space="preserve">      </v>
      </c>
      <c r="P134" s="283" t="str">
        <f>IF('Supp. Result Entry'!AQ135="","",'Supp. Result Entry'!AQ135)</f>
        <v/>
      </c>
      <c r="Q134" s="284" t="str">
        <f>IF('Supp. Result Entry'!AR135="","",'Supp. Result Entry'!AR135)</f>
        <v/>
      </c>
      <c r="R134" s="285" t="str">
        <f>IF('Statement of Marks'!IA137="","",'Statement of Marks'!IA137)</f>
        <v/>
      </c>
      <c r="S134" s="286" t="str">
        <f>IF('Statement of Marks'!GL137="","",'Statement of Marks'!GL137)</f>
        <v/>
      </c>
      <c r="BM134" s="287" t="str">
        <f>'Statement of Marks'!F137</f>
        <v/>
      </c>
      <c r="BN134" s="288" t="str">
        <f t="shared" si="24"/>
        <v/>
      </c>
      <c r="BO134" s="288" t="str">
        <f t="shared" si="25"/>
        <v/>
      </c>
      <c r="BP134" s="288" t="str">
        <f t="shared" si="26"/>
        <v/>
      </c>
      <c r="BQ134" s="288" t="str">
        <f t="shared" si="27"/>
        <v/>
      </c>
      <c r="BR134" s="288" t="str">
        <f t="shared" si="28"/>
        <v/>
      </c>
      <c r="BS134" s="288" t="str">
        <f t="shared" si="29"/>
        <v/>
      </c>
      <c r="BT134" s="288" t="str">
        <f t="shared" si="30"/>
        <v/>
      </c>
      <c r="BU134" s="288" t="str">
        <f t="shared" si="31"/>
        <v/>
      </c>
      <c r="BV134" s="288" t="str">
        <f t="shared" si="32"/>
        <v/>
      </c>
      <c r="BW134" s="288" t="str">
        <f t="shared" si="33"/>
        <v/>
      </c>
      <c r="BX134" s="288" t="str">
        <f t="shared" si="34"/>
        <v/>
      </c>
      <c r="BY134" s="288" t="str">
        <f t="shared" si="35"/>
        <v/>
      </c>
      <c r="BZ134" s="289"/>
    </row>
    <row r="135" spans="1:78" ht="15" customHeight="1">
      <c r="A135" s="276">
        <f>IF('Statement of Marks'!A138="","",'Statement of Marks'!A138)</f>
        <v>132</v>
      </c>
      <c r="B135" s="277" t="str">
        <f>IF('Statement of Marks'!B138="","",'Statement of Marks'!B138)</f>
        <v/>
      </c>
      <c r="C135" s="278" t="str">
        <f>IF('Statement of Marks'!D138="","",'Statement of Marks'!D138)</f>
        <v/>
      </c>
      <c r="D135" s="314" t="str">
        <f>IF('Statement of Marks'!E138="","",'Statement of Marks'!E138)</f>
        <v/>
      </c>
      <c r="E135" s="279" t="str">
        <f>IF('Statement of Marks'!F138="","",'Statement of Marks'!F138)</f>
        <v/>
      </c>
      <c r="F135" s="279" t="str">
        <f>IF('Statement of Marks'!G138="","",'Statement of Marks'!G138)</f>
        <v/>
      </c>
      <c r="G135" s="279" t="str">
        <f>IF('Statement of Marks'!H138="","",'Statement of Marks'!H138)</f>
        <v/>
      </c>
      <c r="H135" s="280" t="str">
        <f>IF('Statement of Marks'!I138="","",'Statement of Marks'!I138)</f>
        <v/>
      </c>
      <c r="I135" s="280" t="str">
        <f>IF('Statement of Marks'!J138="","",'Statement of Marks'!J138)</f>
        <v/>
      </c>
      <c r="J135" s="827" t="str">
        <f>IF('Statement of Marks'!HS138="","",'Statement of Marks'!HS138)</f>
        <v/>
      </c>
      <c r="K135" s="281" t="str">
        <f>IF('Statement of Marks'!HT138="","",'Statement of Marks'!HT138)</f>
        <v/>
      </c>
      <c r="L135" s="828" t="str">
        <f>IF('Statement of Marks'!HW138="","",'Statement of Marks'!HW138)</f>
        <v/>
      </c>
      <c r="M135" s="281" t="str">
        <f>IF('Statement of Marks'!HV138="","",'Statement of Marks'!HV138)</f>
        <v/>
      </c>
      <c r="N135" s="829" t="str">
        <f>IF('Statement of Marks'!HX138="","",'Statement of Marks'!HX138)</f>
        <v/>
      </c>
      <c r="O135" s="282" t="str">
        <f>IF(J135="FAIL","",IF('Statement of Marks'!HO138="","",'Statement of Marks'!HO138))</f>
        <v xml:space="preserve">      </v>
      </c>
      <c r="P135" s="283" t="str">
        <f>IF('Supp. Result Entry'!AQ136="","",'Supp. Result Entry'!AQ136)</f>
        <v/>
      </c>
      <c r="Q135" s="284" t="str">
        <f>IF('Supp. Result Entry'!AR136="","",'Supp. Result Entry'!AR136)</f>
        <v/>
      </c>
      <c r="R135" s="285" t="str">
        <f>IF('Statement of Marks'!IA138="","",'Statement of Marks'!IA138)</f>
        <v/>
      </c>
      <c r="S135" s="286" t="str">
        <f>IF('Statement of Marks'!GL138="","",'Statement of Marks'!GL138)</f>
        <v/>
      </c>
      <c r="BM135" s="287" t="str">
        <f>'Statement of Marks'!F138</f>
        <v/>
      </c>
      <c r="BN135" s="288" t="str">
        <f t="shared" si="24"/>
        <v/>
      </c>
      <c r="BO135" s="288" t="str">
        <f t="shared" si="25"/>
        <v/>
      </c>
      <c r="BP135" s="288" t="str">
        <f t="shared" si="26"/>
        <v/>
      </c>
      <c r="BQ135" s="288" t="str">
        <f t="shared" si="27"/>
        <v/>
      </c>
      <c r="BR135" s="288" t="str">
        <f t="shared" si="28"/>
        <v/>
      </c>
      <c r="BS135" s="288" t="str">
        <f t="shared" si="29"/>
        <v/>
      </c>
      <c r="BT135" s="288" t="str">
        <f t="shared" si="30"/>
        <v/>
      </c>
      <c r="BU135" s="288" t="str">
        <f t="shared" si="31"/>
        <v/>
      </c>
      <c r="BV135" s="288" t="str">
        <f t="shared" si="32"/>
        <v/>
      </c>
      <c r="BW135" s="288" t="str">
        <f t="shared" si="33"/>
        <v/>
      </c>
      <c r="BX135" s="288" t="str">
        <f t="shared" si="34"/>
        <v/>
      </c>
      <c r="BY135" s="288" t="str">
        <f t="shared" si="35"/>
        <v/>
      </c>
      <c r="BZ135" s="289"/>
    </row>
    <row r="136" spans="1:78" ht="15" customHeight="1">
      <c r="A136" s="276">
        <f>IF('Statement of Marks'!A139="","",'Statement of Marks'!A139)</f>
        <v>133</v>
      </c>
      <c r="B136" s="277" t="str">
        <f>IF('Statement of Marks'!B139="","",'Statement of Marks'!B139)</f>
        <v/>
      </c>
      <c r="C136" s="278" t="str">
        <f>IF('Statement of Marks'!D139="","",'Statement of Marks'!D139)</f>
        <v/>
      </c>
      <c r="D136" s="314" t="str">
        <f>IF('Statement of Marks'!E139="","",'Statement of Marks'!E139)</f>
        <v/>
      </c>
      <c r="E136" s="279" t="str">
        <f>IF('Statement of Marks'!F139="","",'Statement of Marks'!F139)</f>
        <v/>
      </c>
      <c r="F136" s="279" t="str">
        <f>IF('Statement of Marks'!G139="","",'Statement of Marks'!G139)</f>
        <v/>
      </c>
      <c r="G136" s="279" t="str">
        <f>IF('Statement of Marks'!H139="","",'Statement of Marks'!H139)</f>
        <v/>
      </c>
      <c r="H136" s="280" t="str">
        <f>IF('Statement of Marks'!I139="","",'Statement of Marks'!I139)</f>
        <v/>
      </c>
      <c r="I136" s="280" t="str">
        <f>IF('Statement of Marks'!J139="","",'Statement of Marks'!J139)</f>
        <v/>
      </c>
      <c r="J136" s="827" t="str">
        <f>IF('Statement of Marks'!HS139="","",'Statement of Marks'!HS139)</f>
        <v/>
      </c>
      <c r="K136" s="281" t="str">
        <f>IF('Statement of Marks'!HT139="","",'Statement of Marks'!HT139)</f>
        <v/>
      </c>
      <c r="L136" s="828" t="str">
        <f>IF('Statement of Marks'!HW139="","",'Statement of Marks'!HW139)</f>
        <v/>
      </c>
      <c r="M136" s="281" t="str">
        <f>IF('Statement of Marks'!HV139="","",'Statement of Marks'!HV139)</f>
        <v/>
      </c>
      <c r="N136" s="829" t="str">
        <f>IF('Statement of Marks'!HX139="","",'Statement of Marks'!HX139)</f>
        <v/>
      </c>
      <c r="O136" s="282" t="str">
        <f>IF(J136="FAIL","",IF('Statement of Marks'!HO139="","",'Statement of Marks'!HO139))</f>
        <v xml:space="preserve">      </v>
      </c>
      <c r="P136" s="283" t="str">
        <f>IF('Supp. Result Entry'!AQ137="","",'Supp. Result Entry'!AQ137)</f>
        <v/>
      </c>
      <c r="Q136" s="284" t="str">
        <f>IF('Supp. Result Entry'!AR137="","",'Supp. Result Entry'!AR137)</f>
        <v/>
      </c>
      <c r="R136" s="285" t="str">
        <f>IF('Statement of Marks'!IA139="","",'Statement of Marks'!IA139)</f>
        <v/>
      </c>
      <c r="S136" s="286" t="str">
        <f>IF('Statement of Marks'!GL139="","",'Statement of Marks'!GL139)</f>
        <v/>
      </c>
      <c r="BM136" s="287" t="str">
        <f>'Statement of Marks'!F139</f>
        <v/>
      </c>
      <c r="BN136" s="288" t="str">
        <f t="shared" si="24"/>
        <v/>
      </c>
      <c r="BO136" s="288" t="str">
        <f t="shared" si="25"/>
        <v/>
      </c>
      <c r="BP136" s="288" t="str">
        <f t="shared" si="26"/>
        <v/>
      </c>
      <c r="BQ136" s="288" t="str">
        <f t="shared" si="27"/>
        <v/>
      </c>
      <c r="BR136" s="288" t="str">
        <f t="shared" si="28"/>
        <v/>
      </c>
      <c r="BS136" s="288" t="str">
        <f t="shared" si="29"/>
        <v/>
      </c>
      <c r="BT136" s="288" t="str">
        <f t="shared" si="30"/>
        <v/>
      </c>
      <c r="BU136" s="288" t="str">
        <f t="shared" si="31"/>
        <v/>
      </c>
      <c r="BV136" s="288" t="str">
        <f t="shared" si="32"/>
        <v/>
      </c>
      <c r="BW136" s="288" t="str">
        <f t="shared" si="33"/>
        <v/>
      </c>
      <c r="BX136" s="288" t="str">
        <f t="shared" si="34"/>
        <v/>
      </c>
      <c r="BY136" s="288" t="str">
        <f t="shared" si="35"/>
        <v/>
      </c>
      <c r="BZ136" s="289"/>
    </row>
    <row r="137" spans="1:78" ht="15" customHeight="1">
      <c r="A137" s="276">
        <f>IF('Statement of Marks'!A140="","",'Statement of Marks'!A140)</f>
        <v>134</v>
      </c>
      <c r="B137" s="277" t="str">
        <f>IF('Statement of Marks'!B140="","",'Statement of Marks'!B140)</f>
        <v/>
      </c>
      <c r="C137" s="278" t="str">
        <f>IF('Statement of Marks'!D140="","",'Statement of Marks'!D140)</f>
        <v/>
      </c>
      <c r="D137" s="314" t="str">
        <f>IF('Statement of Marks'!E140="","",'Statement of Marks'!E140)</f>
        <v/>
      </c>
      <c r="E137" s="279" t="str">
        <f>IF('Statement of Marks'!F140="","",'Statement of Marks'!F140)</f>
        <v/>
      </c>
      <c r="F137" s="279" t="str">
        <f>IF('Statement of Marks'!G140="","",'Statement of Marks'!G140)</f>
        <v/>
      </c>
      <c r="G137" s="279" t="str">
        <f>IF('Statement of Marks'!H140="","",'Statement of Marks'!H140)</f>
        <v/>
      </c>
      <c r="H137" s="280" t="str">
        <f>IF('Statement of Marks'!I140="","",'Statement of Marks'!I140)</f>
        <v/>
      </c>
      <c r="I137" s="280" t="str">
        <f>IF('Statement of Marks'!J140="","",'Statement of Marks'!J140)</f>
        <v/>
      </c>
      <c r="J137" s="827" t="str">
        <f>IF('Statement of Marks'!HS140="","",'Statement of Marks'!HS140)</f>
        <v/>
      </c>
      <c r="K137" s="281" t="str">
        <f>IF('Statement of Marks'!HT140="","",'Statement of Marks'!HT140)</f>
        <v/>
      </c>
      <c r="L137" s="828" t="str">
        <f>IF('Statement of Marks'!HW140="","",'Statement of Marks'!HW140)</f>
        <v/>
      </c>
      <c r="M137" s="281" t="str">
        <f>IF('Statement of Marks'!HV140="","",'Statement of Marks'!HV140)</f>
        <v/>
      </c>
      <c r="N137" s="829" t="str">
        <f>IF('Statement of Marks'!HX140="","",'Statement of Marks'!HX140)</f>
        <v/>
      </c>
      <c r="O137" s="282" t="str">
        <f>IF(J137="FAIL","",IF('Statement of Marks'!HO140="","",'Statement of Marks'!HO140))</f>
        <v xml:space="preserve">      </v>
      </c>
      <c r="P137" s="283" t="str">
        <f>IF('Supp. Result Entry'!AQ138="","",'Supp. Result Entry'!AQ138)</f>
        <v/>
      </c>
      <c r="Q137" s="284" t="str">
        <f>IF('Supp. Result Entry'!AR138="","",'Supp. Result Entry'!AR138)</f>
        <v/>
      </c>
      <c r="R137" s="285" t="str">
        <f>IF('Statement of Marks'!IA140="","",'Statement of Marks'!IA140)</f>
        <v/>
      </c>
      <c r="S137" s="286" t="str">
        <f>IF('Statement of Marks'!GL140="","",'Statement of Marks'!GL140)</f>
        <v/>
      </c>
      <c r="BM137" s="287" t="str">
        <f>'Statement of Marks'!F140</f>
        <v/>
      </c>
      <c r="BN137" s="288" t="str">
        <f t="shared" si="24"/>
        <v/>
      </c>
      <c r="BO137" s="288" t="str">
        <f t="shared" si="25"/>
        <v/>
      </c>
      <c r="BP137" s="288" t="str">
        <f t="shared" si="26"/>
        <v/>
      </c>
      <c r="BQ137" s="288" t="str">
        <f t="shared" si="27"/>
        <v/>
      </c>
      <c r="BR137" s="288" t="str">
        <f t="shared" si="28"/>
        <v/>
      </c>
      <c r="BS137" s="288" t="str">
        <f t="shared" si="29"/>
        <v/>
      </c>
      <c r="BT137" s="288" t="str">
        <f t="shared" si="30"/>
        <v/>
      </c>
      <c r="BU137" s="288" t="str">
        <f t="shared" si="31"/>
        <v/>
      </c>
      <c r="BV137" s="288" t="str">
        <f t="shared" si="32"/>
        <v/>
      </c>
      <c r="BW137" s="288" t="str">
        <f t="shared" si="33"/>
        <v/>
      </c>
      <c r="BX137" s="288" t="str">
        <f t="shared" si="34"/>
        <v/>
      </c>
      <c r="BY137" s="288" t="str">
        <f t="shared" si="35"/>
        <v/>
      </c>
      <c r="BZ137" s="289"/>
    </row>
    <row r="138" spans="1:78" ht="15" customHeight="1">
      <c r="A138" s="276">
        <f>IF('Statement of Marks'!A141="","",'Statement of Marks'!A141)</f>
        <v>135</v>
      </c>
      <c r="B138" s="277" t="str">
        <f>IF('Statement of Marks'!B141="","",'Statement of Marks'!B141)</f>
        <v/>
      </c>
      <c r="C138" s="278" t="str">
        <f>IF('Statement of Marks'!D141="","",'Statement of Marks'!D141)</f>
        <v/>
      </c>
      <c r="D138" s="314" t="str">
        <f>IF('Statement of Marks'!E141="","",'Statement of Marks'!E141)</f>
        <v/>
      </c>
      <c r="E138" s="279" t="str">
        <f>IF('Statement of Marks'!F141="","",'Statement of Marks'!F141)</f>
        <v/>
      </c>
      <c r="F138" s="279" t="str">
        <f>IF('Statement of Marks'!G141="","",'Statement of Marks'!G141)</f>
        <v/>
      </c>
      <c r="G138" s="279" t="str">
        <f>IF('Statement of Marks'!H141="","",'Statement of Marks'!H141)</f>
        <v/>
      </c>
      <c r="H138" s="280" t="str">
        <f>IF('Statement of Marks'!I141="","",'Statement of Marks'!I141)</f>
        <v/>
      </c>
      <c r="I138" s="280" t="str">
        <f>IF('Statement of Marks'!J141="","",'Statement of Marks'!J141)</f>
        <v/>
      </c>
      <c r="J138" s="827" t="str">
        <f>IF('Statement of Marks'!HS141="","",'Statement of Marks'!HS141)</f>
        <v/>
      </c>
      <c r="K138" s="281" t="str">
        <f>IF('Statement of Marks'!HT141="","",'Statement of Marks'!HT141)</f>
        <v/>
      </c>
      <c r="L138" s="828" t="str">
        <f>IF('Statement of Marks'!HW141="","",'Statement of Marks'!HW141)</f>
        <v/>
      </c>
      <c r="M138" s="281" t="str">
        <f>IF('Statement of Marks'!HV141="","",'Statement of Marks'!HV141)</f>
        <v/>
      </c>
      <c r="N138" s="829" t="str">
        <f>IF('Statement of Marks'!HX141="","",'Statement of Marks'!HX141)</f>
        <v/>
      </c>
      <c r="O138" s="282" t="str">
        <f>IF(J138="FAIL","",IF('Statement of Marks'!HO141="","",'Statement of Marks'!HO141))</f>
        <v xml:space="preserve">      </v>
      </c>
      <c r="P138" s="283" t="str">
        <f>IF('Supp. Result Entry'!AQ139="","",'Supp. Result Entry'!AQ139)</f>
        <v/>
      </c>
      <c r="Q138" s="284" t="str">
        <f>IF('Supp. Result Entry'!AR139="","",'Supp. Result Entry'!AR139)</f>
        <v/>
      </c>
      <c r="R138" s="285" t="str">
        <f>IF('Statement of Marks'!IA141="","",'Statement of Marks'!IA141)</f>
        <v/>
      </c>
      <c r="S138" s="286" t="str">
        <f>IF('Statement of Marks'!GL141="","",'Statement of Marks'!GL141)</f>
        <v/>
      </c>
      <c r="BM138" s="287" t="str">
        <f>'Statement of Marks'!F141</f>
        <v/>
      </c>
      <c r="BN138" s="288" t="str">
        <f t="shared" si="24"/>
        <v/>
      </c>
      <c r="BO138" s="288" t="str">
        <f t="shared" si="25"/>
        <v/>
      </c>
      <c r="BP138" s="288" t="str">
        <f t="shared" si="26"/>
        <v/>
      </c>
      <c r="BQ138" s="288" t="str">
        <f t="shared" si="27"/>
        <v/>
      </c>
      <c r="BR138" s="288" t="str">
        <f t="shared" si="28"/>
        <v/>
      </c>
      <c r="BS138" s="288" t="str">
        <f t="shared" si="29"/>
        <v/>
      </c>
      <c r="BT138" s="288" t="str">
        <f t="shared" si="30"/>
        <v/>
      </c>
      <c r="BU138" s="288" t="str">
        <f t="shared" si="31"/>
        <v/>
      </c>
      <c r="BV138" s="288" t="str">
        <f t="shared" si="32"/>
        <v/>
      </c>
      <c r="BW138" s="288" t="str">
        <f t="shared" si="33"/>
        <v/>
      </c>
      <c r="BX138" s="288" t="str">
        <f t="shared" si="34"/>
        <v/>
      </c>
      <c r="BY138" s="288" t="str">
        <f t="shared" si="35"/>
        <v/>
      </c>
      <c r="BZ138" s="289"/>
    </row>
    <row r="139" spans="1:78" ht="15" customHeight="1">
      <c r="A139" s="276">
        <f>IF('Statement of Marks'!A142="","",'Statement of Marks'!A142)</f>
        <v>136</v>
      </c>
      <c r="B139" s="277" t="str">
        <f>IF('Statement of Marks'!B142="","",'Statement of Marks'!B142)</f>
        <v/>
      </c>
      <c r="C139" s="278" t="str">
        <f>IF('Statement of Marks'!D142="","",'Statement of Marks'!D142)</f>
        <v/>
      </c>
      <c r="D139" s="314" t="str">
        <f>IF('Statement of Marks'!E142="","",'Statement of Marks'!E142)</f>
        <v/>
      </c>
      <c r="E139" s="279" t="str">
        <f>IF('Statement of Marks'!F142="","",'Statement of Marks'!F142)</f>
        <v/>
      </c>
      <c r="F139" s="279" t="str">
        <f>IF('Statement of Marks'!G142="","",'Statement of Marks'!G142)</f>
        <v/>
      </c>
      <c r="G139" s="279" t="str">
        <f>IF('Statement of Marks'!H142="","",'Statement of Marks'!H142)</f>
        <v/>
      </c>
      <c r="H139" s="280" t="str">
        <f>IF('Statement of Marks'!I142="","",'Statement of Marks'!I142)</f>
        <v/>
      </c>
      <c r="I139" s="280" t="str">
        <f>IF('Statement of Marks'!J142="","",'Statement of Marks'!J142)</f>
        <v/>
      </c>
      <c r="J139" s="827" t="str">
        <f>IF('Statement of Marks'!HS142="","",'Statement of Marks'!HS142)</f>
        <v/>
      </c>
      <c r="K139" s="281" t="str">
        <f>IF('Statement of Marks'!HT142="","",'Statement of Marks'!HT142)</f>
        <v/>
      </c>
      <c r="L139" s="828" t="str">
        <f>IF('Statement of Marks'!HW142="","",'Statement of Marks'!HW142)</f>
        <v/>
      </c>
      <c r="M139" s="281" t="str">
        <f>IF('Statement of Marks'!HV142="","",'Statement of Marks'!HV142)</f>
        <v/>
      </c>
      <c r="N139" s="829" t="str">
        <f>IF('Statement of Marks'!HX142="","",'Statement of Marks'!HX142)</f>
        <v/>
      </c>
      <c r="O139" s="282" t="str">
        <f>IF(J139="FAIL","",IF('Statement of Marks'!HO142="","",'Statement of Marks'!HO142))</f>
        <v xml:space="preserve">      </v>
      </c>
      <c r="P139" s="283" t="str">
        <f>IF('Supp. Result Entry'!AQ140="","",'Supp. Result Entry'!AQ140)</f>
        <v/>
      </c>
      <c r="Q139" s="284" t="str">
        <f>IF('Supp. Result Entry'!AR140="","",'Supp. Result Entry'!AR140)</f>
        <v/>
      </c>
      <c r="R139" s="285" t="str">
        <f>IF('Statement of Marks'!IA142="","",'Statement of Marks'!IA142)</f>
        <v/>
      </c>
      <c r="S139" s="286" t="str">
        <f>IF('Statement of Marks'!GL142="","",'Statement of Marks'!GL142)</f>
        <v/>
      </c>
      <c r="BM139" s="287" t="str">
        <f>'Statement of Marks'!F142</f>
        <v/>
      </c>
      <c r="BN139" s="288" t="str">
        <f t="shared" si="24"/>
        <v/>
      </c>
      <c r="BO139" s="288" t="str">
        <f t="shared" si="25"/>
        <v/>
      </c>
      <c r="BP139" s="288" t="str">
        <f t="shared" si="26"/>
        <v/>
      </c>
      <c r="BQ139" s="288" t="str">
        <f t="shared" si="27"/>
        <v/>
      </c>
      <c r="BR139" s="288" t="str">
        <f t="shared" si="28"/>
        <v/>
      </c>
      <c r="BS139" s="288" t="str">
        <f t="shared" si="29"/>
        <v/>
      </c>
      <c r="BT139" s="288" t="str">
        <f t="shared" si="30"/>
        <v/>
      </c>
      <c r="BU139" s="288" t="str">
        <f t="shared" si="31"/>
        <v/>
      </c>
      <c r="BV139" s="288" t="str">
        <f t="shared" si="32"/>
        <v/>
      </c>
      <c r="BW139" s="288" t="str">
        <f t="shared" si="33"/>
        <v/>
      </c>
      <c r="BX139" s="288" t="str">
        <f t="shared" si="34"/>
        <v/>
      </c>
      <c r="BY139" s="288" t="str">
        <f t="shared" si="35"/>
        <v/>
      </c>
      <c r="BZ139" s="289"/>
    </row>
    <row r="140" spans="1:78" ht="15" customHeight="1">
      <c r="A140" s="276">
        <f>IF('Statement of Marks'!A143="","",'Statement of Marks'!A143)</f>
        <v>137</v>
      </c>
      <c r="B140" s="277" t="str">
        <f>IF('Statement of Marks'!B143="","",'Statement of Marks'!B143)</f>
        <v/>
      </c>
      <c r="C140" s="278" t="str">
        <f>IF('Statement of Marks'!D143="","",'Statement of Marks'!D143)</f>
        <v/>
      </c>
      <c r="D140" s="314" t="str">
        <f>IF('Statement of Marks'!E143="","",'Statement of Marks'!E143)</f>
        <v/>
      </c>
      <c r="E140" s="279" t="str">
        <f>IF('Statement of Marks'!F143="","",'Statement of Marks'!F143)</f>
        <v/>
      </c>
      <c r="F140" s="279" t="str">
        <f>IF('Statement of Marks'!G143="","",'Statement of Marks'!G143)</f>
        <v/>
      </c>
      <c r="G140" s="279" t="str">
        <f>IF('Statement of Marks'!H143="","",'Statement of Marks'!H143)</f>
        <v/>
      </c>
      <c r="H140" s="280" t="str">
        <f>IF('Statement of Marks'!I143="","",'Statement of Marks'!I143)</f>
        <v/>
      </c>
      <c r="I140" s="280" t="str">
        <f>IF('Statement of Marks'!J143="","",'Statement of Marks'!J143)</f>
        <v/>
      </c>
      <c r="J140" s="827" t="str">
        <f>IF('Statement of Marks'!HS143="","",'Statement of Marks'!HS143)</f>
        <v/>
      </c>
      <c r="K140" s="281" t="str">
        <f>IF('Statement of Marks'!HT143="","",'Statement of Marks'!HT143)</f>
        <v/>
      </c>
      <c r="L140" s="828" t="str">
        <f>IF('Statement of Marks'!HW143="","",'Statement of Marks'!HW143)</f>
        <v/>
      </c>
      <c r="M140" s="281" t="str">
        <f>IF('Statement of Marks'!HV143="","",'Statement of Marks'!HV143)</f>
        <v/>
      </c>
      <c r="N140" s="829" t="str">
        <f>IF('Statement of Marks'!HX143="","",'Statement of Marks'!HX143)</f>
        <v/>
      </c>
      <c r="O140" s="282" t="str">
        <f>IF(J140="FAIL","",IF('Statement of Marks'!HO143="","",'Statement of Marks'!HO143))</f>
        <v xml:space="preserve">      </v>
      </c>
      <c r="P140" s="283" t="str">
        <f>IF('Supp. Result Entry'!AQ141="","",'Supp. Result Entry'!AQ141)</f>
        <v/>
      </c>
      <c r="Q140" s="284" t="str">
        <f>IF('Supp. Result Entry'!AR141="","",'Supp. Result Entry'!AR141)</f>
        <v/>
      </c>
      <c r="R140" s="285" t="str">
        <f>IF('Statement of Marks'!IA143="","",'Statement of Marks'!IA143)</f>
        <v/>
      </c>
      <c r="S140" s="286" t="str">
        <f>IF('Statement of Marks'!GL143="","",'Statement of Marks'!GL143)</f>
        <v/>
      </c>
      <c r="BM140" s="287" t="str">
        <f>'Statement of Marks'!F143</f>
        <v/>
      </c>
      <c r="BN140" s="288" t="str">
        <f t="shared" si="24"/>
        <v/>
      </c>
      <c r="BO140" s="288" t="str">
        <f t="shared" si="25"/>
        <v/>
      </c>
      <c r="BP140" s="288" t="str">
        <f t="shared" si="26"/>
        <v/>
      </c>
      <c r="BQ140" s="288" t="str">
        <f t="shared" si="27"/>
        <v/>
      </c>
      <c r="BR140" s="288" t="str">
        <f t="shared" si="28"/>
        <v/>
      </c>
      <c r="BS140" s="288" t="str">
        <f t="shared" si="29"/>
        <v/>
      </c>
      <c r="BT140" s="288" t="str">
        <f t="shared" si="30"/>
        <v/>
      </c>
      <c r="BU140" s="288" t="str">
        <f t="shared" si="31"/>
        <v/>
      </c>
      <c r="BV140" s="288" t="str">
        <f t="shared" si="32"/>
        <v/>
      </c>
      <c r="BW140" s="288" t="str">
        <f t="shared" si="33"/>
        <v/>
      </c>
      <c r="BX140" s="288" t="str">
        <f t="shared" si="34"/>
        <v/>
      </c>
      <c r="BY140" s="288" t="str">
        <f t="shared" si="35"/>
        <v/>
      </c>
      <c r="BZ140" s="289"/>
    </row>
    <row r="141" spans="1:78" ht="15" customHeight="1">
      <c r="A141" s="276">
        <f>IF('Statement of Marks'!A144="","",'Statement of Marks'!A144)</f>
        <v>138</v>
      </c>
      <c r="B141" s="277" t="str">
        <f>IF('Statement of Marks'!B144="","",'Statement of Marks'!B144)</f>
        <v/>
      </c>
      <c r="C141" s="278" t="str">
        <f>IF('Statement of Marks'!D144="","",'Statement of Marks'!D144)</f>
        <v/>
      </c>
      <c r="D141" s="314" t="str">
        <f>IF('Statement of Marks'!E144="","",'Statement of Marks'!E144)</f>
        <v/>
      </c>
      <c r="E141" s="279" t="str">
        <f>IF('Statement of Marks'!F144="","",'Statement of Marks'!F144)</f>
        <v/>
      </c>
      <c r="F141" s="279" t="str">
        <f>IF('Statement of Marks'!G144="","",'Statement of Marks'!G144)</f>
        <v/>
      </c>
      <c r="G141" s="279" t="str">
        <f>IF('Statement of Marks'!H144="","",'Statement of Marks'!H144)</f>
        <v/>
      </c>
      <c r="H141" s="280" t="str">
        <f>IF('Statement of Marks'!I144="","",'Statement of Marks'!I144)</f>
        <v/>
      </c>
      <c r="I141" s="280" t="str">
        <f>IF('Statement of Marks'!J144="","",'Statement of Marks'!J144)</f>
        <v/>
      </c>
      <c r="J141" s="827" t="str">
        <f>IF('Statement of Marks'!HS144="","",'Statement of Marks'!HS144)</f>
        <v/>
      </c>
      <c r="K141" s="281" t="str">
        <f>IF('Statement of Marks'!HT144="","",'Statement of Marks'!HT144)</f>
        <v/>
      </c>
      <c r="L141" s="828" t="str">
        <f>IF('Statement of Marks'!HW144="","",'Statement of Marks'!HW144)</f>
        <v/>
      </c>
      <c r="M141" s="281" t="str">
        <f>IF('Statement of Marks'!HV144="","",'Statement of Marks'!HV144)</f>
        <v/>
      </c>
      <c r="N141" s="829" t="str">
        <f>IF('Statement of Marks'!HX144="","",'Statement of Marks'!HX144)</f>
        <v/>
      </c>
      <c r="O141" s="282" t="str">
        <f>IF(J141="FAIL","",IF('Statement of Marks'!HO144="","",'Statement of Marks'!HO144))</f>
        <v xml:space="preserve">      </v>
      </c>
      <c r="P141" s="283" t="str">
        <f>IF('Supp. Result Entry'!AQ142="","",'Supp. Result Entry'!AQ142)</f>
        <v/>
      </c>
      <c r="Q141" s="284" t="str">
        <f>IF('Supp. Result Entry'!AR142="","",'Supp. Result Entry'!AR142)</f>
        <v/>
      </c>
      <c r="R141" s="285" t="str">
        <f>IF('Statement of Marks'!IA144="","",'Statement of Marks'!IA144)</f>
        <v/>
      </c>
      <c r="S141" s="286" t="str">
        <f>IF('Statement of Marks'!GL144="","",'Statement of Marks'!GL144)</f>
        <v/>
      </c>
      <c r="BM141" s="287" t="str">
        <f>'Statement of Marks'!F144</f>
        <v/>
      </c>
      <c r="BN141" s="288" t="str">
        <f t="shared" si="24"/>
        <v/>
      </c>
      <c r="BO141" s="288" t="str">
        <f t="shared" si="25"/>
        <v/>
      </c>
      <c r="BP141" s="288" t="str">
        <f t="shared" si="26"/>
        <v/>
      </c>
      <c r="BQ141" s="288" t="str">
        <f t="shared" si="27"/>
        <v/>
      </c>
      <c r="BR141" s="288" t="str">
        <f t="shared" si="28"/>
        <v/>
      </c>
      <c r="BS141" s="288" t="str">
        <f t="shared" si="29"/>
        <v/>
      </c>
      <c r="BT141" s="288" t="str">
        <f t="shared" si="30"/>
        <v/>
      </c>
      <c r="BU141" s="288" t="str">
        <f t="shared" si="31"/>
        <v/>
      </c>
      <c r="BV141" s="288" t="str">
        <f t="shared" si="32"/>
        <v/>
      </c>
      <c r="BW141" s="288" t="str">
        <f t="shared" si="33"/>
        <v/>
      </c>
      <c r="BX141" s="288" t="str">
        <f t="shared" si="34"/>
        <v/>
      </c>
      <c r="BY141" s="288" t="str">
        <f t="shared" si="35"/>
        <v/>
      </c>
      <c r="BZ141" s="289"/>
    </row>
    <row r="142" spans="1:78" ht="15" customHeight="1">
      <c r="A142" s="276">
        <f>IF('Statement of Marks'!A145="","",'Statement of Marks'!A145)</f>
        <v>139</v>
      </c>
      <c r="B142" s="277" t="str">
        <f>IF('Statement of Marks'!B145="","",'Statement of Marks'!B145)</f>
        <v/>
      </c>
      <c r="C142" s="278" t="str">
        <f>IF('Statement of Marks'!D145="","",'Statement of Marks'!D145)</f>
        <v/>
      </c>
      <c r="D142" s="314" t="str">
        <f>IF('Statement of Marks'!E145="","",'Statement of Marks'!E145)</f>
        <v/>
      </c>
      <c r="E142" s="279" t="str">
        <f>IF('Statement of Marks'!F145="","",'Statement of Marks'!F145)</f>
        <v/>
      </c>
      <c r="F142" s="279" t="str">
        <f>IF('Statement of Marks'!G145="","",'Statement of Marks'!G145)</f>
        <v/>
      </c>
      <c r="G142" s="279" t="str">
        <f>IF('Statement of Marks'!H145="","",'Statement of Marks'!H145)</f>
        <v/>
      </c>
      <c r="H142" s="280" t="str">
        <f>IF('Statement of Marks'!I145="","",'Statement of Marks'!I145)</f>
        <v/>
      </c>
      <c r="I142" s="280" t="str">
        <f>IF('Statement of Marks'!J145="","",'Statement of Marks'!J145)</f>
        <v/>
      </c>
      <c r="J142" s="827" t="str">
        <f>IF('Statement of Marks'!HS145="","",'Statement of Marks'!HS145)</f>
        <v/>
      </c>
      <c r="K142" s="281" t="str">
        <f>IF('Statement of Marks'!HT145="","",'Statement of Marks'!HT145)</f>
        <v/>
      </c>
      <c r="L142" s="828" t="str">
        <f>IF('Statement of Marks'!HW145="","",'Statement of Marks'!HW145)</f>
        <v/>
      </c>
      <c r="M142" s="281" t="str">
        <f>IF('Statement of Marks'!HV145="","",'Statement of Marks'!HV145)</f>
        <v/>
      </c>
      <c r="N142" s="829" t="str">
        <f>IF('Statement of Marks'!HX145="","",'Statement of Marks'!HX145)</f>
        <v/>
      </c>
      <c r="O142" s="282" t="str">
        <f>IF(J142="FAIL","",IF('Statement of Marks'!HO145="","",'Statement of Marks'!HO145))</f>
        <v xml:space="preserve">      </v>
      </c>
      <c r="P142" s="283" t="str">
        <f>IF('Supp. Result Entry'!AQ143="","",'Supp. Result Entry'!AQ143)</f>
        <v/>
      </c>
      <c r="Q142" s="284" t="str">
        <f>IF('Supp. Result Entry'!AR143="","",'Supp. Result Entry'!AR143)</f>
        <v/>
      </c>
      <c r="R142" s="285" t="str">
        <f>IF('Statement of Marks'!IA145="","",'Statement of Marks'!IA145)</f>
        <v/>
      </c>
      <c r="S142" s="286" t="str">
        <f>IF('Statement of Marks'!GL145="","",'Statement of Marks'!GL145)</f>
        <v/>
      </c>
      <c r="BM142" s="287" t="str">
        <f>'Statement of Marks'!F145</f>
        <v/>
      </c>
      <c r="BN142" s="288" t="str">
        <f t="shared" si="24"/>
        <v/>
      </c>
      <c r="BO142" s="288" t="str">
        <f t="shared" si="25"/>
        <v/>
      </c>
      <c r="BP142" s="288" t="str">
        <f t="shared" si="26"/>
        <v/>
      </c>
      <c r="BQ142" s="288" t="str">
        <f t="shared" si="27"/>
        <v/>
      </c>
      <c r="BR142" s="288" t="str">
        <f t="shared" si="28"/>
        <v/>
      </c>
      <c r="BS142" s="288" t="str">
        <f t="shared" si="29"/>
        <v/>
      </c>
      <c r="BT142" s="288" t="str">
        <f t="shared" si="30"/>
        <v/>
      </c>
      <c r="BU142" s="288" t="str">
        <f t="shared" si="31"/>
        <v/>
      </c>
      <c r="BV142" s="288" t="str">
        <f t="shared" si="32"/>
        <v/>
      </c>
      <c r="BW142" s="288" t="str">
        <f t="shared" si="33"/>
        <v/>
      </c>
      <c r="BX142" s="288" t="str">
        <f t="shared" si="34"/>
        <v/>
      </c>
      <c r="BY142" s="288" t="str">
        <f t="shared" si="35"/>
        <v/>
      </c>
      <c r="BZ142" s="289"/>
    </row>
    <row r="143" spans="1:78" ht="15" customHeight="1">
      <c r="A143" s="276">
        <f>IF('Statement of Marks'!A146="","",'Statement of Marks'!A146)</f>
        <v>140</v>
      </c>
      <c r="B143" s="277" t="str">
        <f>IF('Statement of Marks'!B146="","",'Statement of Marks'!B146)</f>
        <v/>
      </c>
      <c r="C143" s="278" t="str">
        <f>IF('Statement of Marks'!D146="","",'Statement of Marks'!D146)</f>
        <v/>
      </c>
      <c r="D143" s="314" t="str">
        <f>IF('Statement of Marks'!E146="","",'Statement of Marks'!E146)</f>
        <v/>
      </c>
      <c r="E143" s="279" t="str">
        <f>IF('Statement of Marks'!F146="","",'Statement of Marks'!F146)</f>
        <v/>
      </c>
      <c r="F143" s="279" t="str">
        <f>IF('Statement of Marks'!G146="","",'Statement of Marks'!G146)</f>
        <v/>
      </c>
      <c r="G143" s="279" t="str">
        <f>IF('Statement of Marks'!H146="","",'Statement of Marks'!H146)</f>
        <v/>
      </c>
      <c r="H143" s="280" t="str">
        <f>IF('Statement of Marks'!I146="","",'Statement of Marks'!I146)</f>
        <v/>
      </c>
      <c r="I143" s="280" t="str">
        <f>IF('Statement of Marks'!J146="","",'Statement of Marks'!J146)</f>
        <v/>
      </c>
      <c r="J143" s="827" t="str">
        <f>IF('Statement of Marks'!HS146="","",'Statement of Marks'!HS146)</f>
        <v/>
      </c>
      <c r="K143" s="281" t="str">
        <f>IF('Statement of Marks'!HT146="","",'Statement of Marks'!HT146)</f>
        <v/>
      </c>
      <c r="L143" s="828" t="str">
        <f>IF('Statement of Marks'!HW146="","",'Statement of Marks'!HW146)</f>
        <v/>
      </c>
      <c r="M143" s="281" t="str">
        <f>IF('Statement of Marks'!HV146="","",'Statement of Marks'!HV146)</f>
        <v/>
      </c>
      <c r="N143" s="829" t="str">
        <f>IF('Statement of Marks'!HX146="","",'Statement of Marks'!HX146)</f>
        <v/>
      </c>
      <c r="O143" s="282" t="str">
        <f>IF(J143="FAIL","",IF('Statement of Marks'!HO146="","",'Statement of Marks'!HO146))</f>
        <v xml:space="preserve">      </v>
      </c>
      <c r="P143" s="283" t="str">
        <f>IF('Supp. Result Entry'!AQ144="","",'Supp. Result Entry'!AQ144)</f>
        <v/>
      </c>
      <c r="Q143" s="284" t="str">
        <f>IF('Supp. Result Entry'!AR144="","",'Supp. Result Entry'!AR144)</f>
        <v/>
      </c>
      <c r="R143" s="285" t="str">
        <f>IF('Statement of Marks'!IA146="","",'Statement of Marks'!IA146)</f>
        <v/>
      </c>
      <c r="S143" s="286" t="str">
        <f>IF('Statement of Marks'!GL146="","",'Statement of Marks'!GL146)</f>
        <v/>
      </c>
      <c r="BM143" s="287" t="str">
        <f>'Statement of Marks'!F146</f>
        <v/>
      </c>
      <c r="BN143" s="288" t="str">
        <f t="shared" si="24"/>
        <v/>
      </c>
      <c r="BO143" s="288" t="str">
        <f t="shared" si="25"/>
        <v/>
      </c>
      <c r="BP143" s="288" t="str">
        <f t="shared" si="26"/>
        <v/>
      </c>
      <c r="BQ143" s="288" t="str">
        <f t="shared" si="27"/>
        <v/>
      </c>
      <c r="BR143" s="288" t="str">
        <f t="shared" si="28"/>
        <v/>
      </c>
      <c r="BS143" s="288" t="str">
        <f t="shared" si="29"/>
        <v/>
      </c>
      <c r="BT143" s="288" t="str">
        <f t="shared" si="30"/>
        <v/>
      </c>
      <c r="BU143" s="288" t="str">
        <f t="shared" si="31"/>
        <v/>
      </c>
      <c r="BV143" s="288" t="str">
        <f t="shared" si="32"/>
        <v/>
      </c>
      <c r="BW143" s="288" t="str">
        <f t="shared" si="33"/>
        <v/>
      </c>
      <c r="BX143" s="288" t="str">
        <f t="shared" si="34"/>
        <v/>
      </c>
      <c r="BY143" s="288" t="str">
        <f t="shared" si="35"/>
        <v/>
      </c>
      <c r="BZ143" s="289"/>
    </row>
    <row r="144" spans="1:78" ht="15" customHeight="1">
      <c r="A144" s="276">
        <f>IF('Statement of Marks'!A147="","",'Statement of Marks'!A147)</f>
        <v>141</v>
      </c>
      <c r="B144" s="277" t="str">
        <f>IF('Statement of Marks'!B147="","",'Statement of Marks'!B147)</f>
        <v/>
      </c>
      <c r="C144" s="278" t="str">
        <f>IF('Statement of Marks'!D147="","",'Statement of Marks'!D147)</f>
        <v/>
      </c>
      <c r="D144" s="314" t="str">
        <f>IF('Statement of Marks'!E147="","",'Statement of Marks'!E147)</f>
        <v/>
      </c>
      <c r="E144" s="279" t="str">
        <f>IF('Statement of Marks'!F147="","",'Statement of Marks'!F147)</f>
        <v/>
      </c>
      <c r="F144" s="279" t="str">
        <f>IF('Statement of Marks'!G147="","",'Statement of Marks'!G147)</f>
        <v/>
      </c>
      <c r="G144" s="279" t="str">
        <f>IF('Statement of Marks'!H147="","",'Statement of Marks'!H147)</f>
        <v/>
      </c>
      <c r="H144" s="280" t="str">
        <f>IF('Statement of Marks'!I147="","",'Statement of Marks'!I147)</f>
        <v/>
      </c>
      <c r="I144" s="280" t="str">
        <f>IF('Statement of Marks'!J147="","",'Statement of Marks'!J147)</f>
        <v/>
      </c>
      <c r="J144" s="827" t="str">
        <f>IF('Statement of Marks'!HS147="","",'Statement of Marks'!HS147)</f>
        <v/>
      </c>
      <c r="K144" s="281" t="str">
        <f>IF('Statement of Marks'!HT147="","",'Statement of Marks'!HT147)</f>
        <v/>
      </c>
      <c r="L144" s="828" t="str">
        <f>IF('Statement of Marks'!HW147="","",'Statement of Marks'!HW147)</f>
        <v/>
      </c>
      <c r="M144" s="281" t="str">
        <f>IF('Statement of Marks'!HV147="","",'Statement of Marks'!HV147)</f>
        <v/>
      </c>
      <c r="N144" s="829" t="str">
        <f>IF('Statement of Marks'!HX147="","",'Statement of Marks'!HX147)</f>
        <v/>
      </c>
      <c r="O144" s="282" t="str">
        <f>IF(J144="FAIL","",IF('Statement of Marks'!HO147="","",'Statement of Marks'!HO147))</f>
        <v xml:space="preserve">      </v>
      </c>
      <c r="P144" s="283" t="str">
        <f>IF('Supp. Result Entry'!AQ145="","",'Supp. Result Entry'!AQ145)</f>
        <v/>
      </c>
      <c r="Q144" s="284" t="str">
        <f>IF('Supp. Result Entry'!AR145="","",'Supp. Result Entry'!AR145)</f>
        <v/>
      </c>
      <c r="R144" s="285" t="str">
        <f>IF('Statement of Marks'!IA147="","",'Statement of Marks'!IA147)</f>
        <v/>
      </c>
      <c r="S144" s="286" t="str">
        <f>IF('Statement of Marks'!GL147="","",'Statement of Marks'!GL147)</f>
        <v/>
      </c>
      <c r="BM144" s="287" t="str">
        <f>'Statement of Marks'!F147</f>
        <v/>
      </c>
      <c r="BN144" s="288" t="str">
        <f t="shared" si="24"/>
        <v/>
      </c>
      <c r="BO144" s="288" t="str">
        <f t="shared" si="25"/>
        <v/>
      </c>
      <c r="BP144" s="288" t="str">
        <f t="shared" si="26"/>
        <v/>
      </c>
      <c r="BQ144" s="288" t="str">
        <f t="shared" si="27"/>
        <v/>
      </c>
      <c r="BR144" s="288" t="str">
        <f t="shared" si="28"/>
        <v/>
      </c>
      <c r="BS144" s="288" t="str">
        <f t="shared" si="29"/>
        <v/>
      </c>
      <c r="BT144" s="288" t="str">
        <f t="shared" si="30"/>
        <v/>
      </c>
      <c r="BU144" s="288" t="str">
        <f t="shared" si="31"/>
        <v/>
      </c>
      <c r="BV144" s="288" t="str">
        <f t="shared" si="32"/>
        <v/>
      </c>
      <c r="BW144" s="288" t="str">
        <f t="shared" si="33"/>
        <v/>
      </c>
      <c r="BX144" s="288" t="str">
        <f t="shared" si="34"/>
        <v/>
      </c>
      <c r="BY144" s="288" t="str">
        <f t="shared" si="35"/>
        <v/>
      </c>
      <c r="BZ144" s="289"/>
    </row>
    <row r="145" spans="1:78" ht="15" customHeight="1">
      <c r="A145" s="276">
        <f>IF('Statement of Marks'!A148="","",'Statement of Marks'!A148)</f>
        <v>142</v>
      </c>
      <c r="B145" s="277" t="str">
        <f>IF('Statement of Marks'!B148="","",'Statement of Marks'!B148)</f>
        <v/>
      </c>
      <c r="C145" s="278" t="str">
        <f>IF('Statement of Marks'!D148="","",'Statement of Marks'!D148)</f>
        <v/>
      </c>
      <c r="D145" s="314" t="str">
        <f>IF('Statement of Marks'!E148="","",'Statement of Marks'!E148)</f>
        <v/>
      </c>
      <c r="E145" s="279" t="str">
        <f>IF('Statement of Marks'!F148="","",'Statement of Marks'!F148)</f>
        <v/>
      </c>
      <c r="F145" s="279" t="str">
        <f>IF('Statement of Marks'!G148="","",'Statement of Marks'!G148)</f>
        <v/>
      </c>
      <c r="G145" s="279" t="str">
        <f>IF('Statement of Marks'!H148="","",'Statement of Marks'!H148)</f>
        <v/>
      </c>
      <c r="H145" s="280" t="str">
        <f>IF('Statement of Marks'!I148="","",'Statement of Marks'!I148)</f>
        <v/>
      </c>
      <c r="I145" s="280" t="str">
        <f>IF('Statement of Marks'!J148="","",'Statement of Marks'!J148)</f>
        <v/>
      </c>
      <c r="J145" s="827" t="str">
        <f>IF('Statement of Marks'!HS148="","",'Statement of Marks'!HS148)</f>
        <v/>
      </c>
      <c r="K145" s="281" t="str">
        <f>IF('Statement of Marks'!HT148="","",'Statement of Marks'!HT148)</f>
        <v/>
      </c>
      <c r="L145" s="828" t="str">
        <f>IF('Statement of Marks'!HW148="","",'Statement of Marks'!HW148)</f>
        <v/>
      </c>
      <c r="M145" s="281" t="str">
        <f>IF('Statement of Marks'!HV148="","",'Statement of Marks'!HV148)</f>
        <v/>
      </c>
      <c r="N145" s="829" t="str">
        <f>IF('Statement of Marks'!HX148="","",'Statement of Marks'!HX148)</f>
        <v/>
      </c>
      <c r="O145" s="282" t="str">
        <f>IF(J145="FAIL","",IF('Statement of Marks'!HO148="","",'Statement of Marks'!HO148))</f>
        <v xml:space="preserve">      </v>
      </c>
      <c r="P145" s="283" t="str">
        <f>IF('Supp. Result Entry'!AQ146="","",'Supp. Result Entry'!AQ146)</f>
        <v/>
      </c>
      <c r="Q145" s="284" t="str">
        <f>IF('Supp. Result Entry'!AR146="","",'Supp. Result Entry'!AR146)</f>
        <v/>
      </c>
      <c r="R145" s="285" t="str">
        <f>IF('Statement of Marks'!IA148="","",'Statement of Marks'!IA148)</f>
        <v/>
      </c>
      <c r="S145" s="286" t="str">
        <f>IF('Statement of Marks'!GL148="","",'Statement of Marks'!GL148)</f>
        <v/>
      </c>
      <c r="BM145" s="287" t="str">
        <f>'Statement of Marks'!F148</f>
        <v/>
      </c>
      <c r="BN145" s="288" t="str">
        <f t="shared" si="24"/>
        <v/>
      </c>
      <c r="BO145" s="288" t="str">
        <f t="shared" si="25"/>
        <v/>
      </c>
      <c r="BP145" s="288" t="str">
        <f t="shared" si="26"/>
        <v/>
      </c>
      <c r="BQ145" s="288" t="str">
        <f t="shared" si="27"/>
        <v/>
      </c>
      <c r="BR145" s="288" t="str">
        <f t="shared" si="28"/>
        <v/>
      </c>
      <c r="BS145" s="288" t="str">
        <f t="shared" si="29"/>
        <v/>
      </c>
      <c r="BT145" s="288" t="str">
        <f t="shared" si="30"/>
        <v/>
      </c>
      <c r="BU145" s="288" t="str">
        <f t="shared" si="31"/>
        <v/>
      </c>
      <c r="BV145" s="288" t="str">
        <f t="shared" si="32"/>
        <v/>
      </c>
      <c r="BW145" s="288" t="str">
        <f t="shared" si="33"/>
        <v/>
      </c>
      <c r="BX145" s="288" t="str">
        <f t="shared" si="34"/>
        <v/>
      </c>
      <c r="BY145" s="288" t="str">
        <f t="shared" si="35"/>
        <v/>
      </c>
      <c r="BZ145" s="289"/>
    </row>
    <row r="146" spans="1:78" ht="15" customHeight="1">
      <c r="A146" s="276">
        <f>IF('Statement of Marks'!A149="","",'Statement of Marks'!A149)</f>
        <v>143</v>
      </c>
      <c r="B146" s="277" t="str">
        <f>IF('Statement of Marks'!B149="","",'Statement of Marks'!B149)</f>
        <v/>
      </c>
      <c r="C146" s="278" t="str">
        <f>IF('Statement of Marks'!D149="","",'Statement of Marks'!D149)</f>
        <v/>
      </c>
      <c r="D146" s="314" t="str">
        <f>IF('Statement of Marks'!E149="","",'Statement of Marks'!E149)</f>
        <v/>
      </c>
      <c r="E146" s="279" t="str">
        <f>IF('Statement of Marks'!F149="","",'Statement of Marks'!F149)</f>
        <v/>
      </c>
      <c r="F146" s="279" t="str">
        <f>IF('Statement of Marks'!G149="","",'Statement of Marks'!G149)</f>
        <v/>
      </c>
      <c r="G146" s="279" t="str">
        <f>IF('Statement of Marks'!H149="","",'Statement of Marks'!H149)</f>
        <v/>
      </c>
      <c r="H146" s="280" t="str">
        <f>IF('Statement of Marks'!I149="","",'Statement of Marks'!I149)</f>
        <v/>
      </c>
      <c r="I146" s="280" t="str">
        <f>IF('Statement of Marks'!J149="","",'Statement of Marks'!J149)</f>
        <v/>
      </c>
      <c r="J146" s="827" t="str">
        <f>IF('Statement of Marks'!HS149="","",'Statement of Marks'!HS149)</f>
        <v/>
      </c>
      <c r="K146" s="281" t="str">
        <f>IF('Statement of Marks'!HT149="","",'Statement of Marks'!HT149)</f>
        <v/>
      </c>
      <c r="L146" s="828" t="str">
        <f>IF('Statement of Marks'!HW149="","",'Statement of Marks'!HW149)</f>
        <v/>
      </c>
      <c r="M146" s="281" t="str">
        <f>IF('Statement of Marks'!HV149="","",'Statement of Marks'!HV149)</f>
        <v/>
      </c>
      <c r="N146" s="829" t="str">
        <f>IF('Statement of Marks'!HX149="","",'Statement of Marks'!HX149)</f>
        <v/>
      </c>
      <c r="O146" s="282" t="str">
        <f>IF(J146="FAIL","",IF('Statement of Marks'!HO149="","",'Statement of Marks'!HO149))</f>
        <v xml:space="preserve">      </v>
      </c>
      <c r="P146" s="283" t="str">
        <f>IF('Supp. Result Entry'!AQ147="","",'Supp. Result Entry'!AQ147)</f>
        <v/>
      </c>
      <c r="Q146" s="284" t="str">
        <f>IF('Supp. Result Entry'!AR147="","",'Supp. Result Entry'!AR147)</f>
        <v/>
      </c>
      <c r="R146" s="285" t="str">
        <f>IF('Statement of Marks'!IA149="","",'Statement of Marks'!IA149)</f>
        <v/>
      </c>
      <c r="S146" s="286" t="str">
        <f>IF('Statement of Marks'!GL149="","",'Statement of Marks'!GL149)</f>
        <v/>
      </c>
      <c r="BM146" s="287" t="str">
        <f>'Statement of Marks'!F149</f>
        <v/>
      </c>
      <c r="BN146" s="288" t="str">
        <f t="shared" si="24"/>
        <v/>
      </c>
      <c r="BO146" s="288" t="str">
        <f t="shared" si="25"/>
        <v/>
      </c>
      <c r="BP146" s="288" t="str">
        <f t="shared" si="26"/>
        <v/>
      </c>
      <c r="BQ146" s="288" t="str">
        <f t="shared" si="27"/>
        <v/>
      </c>
      <c r="BR146" s="288" t="str">
        <f t="shared" si="28"/>
        <v/>
      </c>
      <c r="BS146" s="288" t="str">
        <f t="shared" si="29"/>
        <v/>
      </c>
      <c r="BT146" s="288" t="str">
        <f t="shared" si="30"/>
        <v/>
      </c>
      <c r="BU146" s="288" t="str">
        <f t="shared" si="31"/>
        <v/>
      </c>
      <c r="BV146" s="288" t="str">
        <f t="shared" si="32"/>
        <v/>
      </c>
      <c r="BW146" s="288" t="str">
        <f t="shared" si="33"/>
        <v/>
      </c>
      <c r="BX146" s="288" t="str">
        <f t="shared" si="34"/>
        <v/>
      </c>
      <c r="BY146" s="288" t="str">
        <f t="shared" si="35"/>
        <v/>
      </c>
      <c r="BZ146" s="289"/>
    </row>
    <row r="147" spans="1:78" ht="15" customHeight="1">
      <c r="A147" s="276">
        <f>IF('Statement of Marks'!A150="","",'Statement of Marks'!A150)</f>
        <v>144</v>
      </c>
      <c r="B147" s="277" t="str">
        <f>IF('Statement of Marks'!B150="","",'Statement of Marks'!B150)</f>
        <v/>
      </c>
      <c r="C147" s="278" t="str">
        <f>IF('Statement of Marks'!D150="","",'Statement of Marks'!D150)</f>
        <v/>
      </c>
      <c r="D147" s="314" t="str">
        <f>IF('Statement of Marks'!E150="","",'Statement of Marks'!E150)</f>
        <v/>
      </c>
      <c r="E147" s="279" t="str">
        <f>IF('Statement of Marks'!F150="","",'Statement of Marks'!F150)</f>
        <v/>
      </c>
      <c r="F147" s="279" t="str">
        <f>IF('Statement of Marks'!G150="","",'Statement of Marks'!G150)</f>
        <v/>
      </c>
      <c r="G147" s="279" t="str">
        <f>IF('Statement of Marks'!H150="","",'Statement of Marks'!H150)</f>
        <v/>
      </c>
      <c r="H147" s="280" t="str">
        <f>IF('Statement of Marks'!I150="","",'Statement of Marks'!I150)</f>
        <v/>
      </c>
      <c r="I147" s="280" t="str">
        <f>IF('Statement of Marks'!J150="","",'Statement of Marks'!J150)</f>
        <v/>
      </c>
      <c r="J147" s="827" t="str">
        <f>IF('Statement of Marks'!HS150="","",'Statement of Marks'!HS150)</f>
        <v/>
      </c>
      <c r="K147" s="281" t="str">
        <f>IF('Statement of Marks'!HT150="","",'Statement of Marks'!HT150)</f>
        <v/>
      </c>
      <c r="L147" s="828" t="str">
        <f>IF('Statement of Marks'!HW150="","",'Statement of Marks'!HW150)</f>
        <v/>
      </c>
      <c r="M147" s="281" t="str">
        <f>IF('Statement of Marks'!HV150="","",'Statement of Marks'!HV150)</f>
        <v/>
      </c>
      <c r="N147" s="829" t="str">
        <f>IF('Statement of Marks'!HX150="","",'Statement of Marks'!HX150)</f>
        <v/>
      </c>
      <c r="O147" s="282" t="str">
        <f>IF(J147="FAIL","",IF('Statement of Marks'!HO150="","",'Statement of Marks'!HO150))</f>
        <v xml:space="preserve">      </v>
      </c>
      <c r="P147" s="283" t="str">
        <f>IF('Supp. Result Entry'!AQ148="","",'Supp. Result Entry'!AQ148)</f>
        <v/>
      </c>
      <c r="Q147" s="284" t="str">
        <f>IF('Supp. Result Entry'!AR148="","",'Supp. Result Entry'!AR148)</f>
        <v/>
      </c>
      <c r="R147" s="285" t="str">
        <f>IF('Statement of Marks'!IA150="","",'Statement of Marks'!IA150)</f>
        <v/>
      </c>
      <c r="S147" s="286" t="str">
        <f>IF('Statement of Marks'!GL150="","",'Statement of Marks'!GL150)</f>
        <v/>
      </c>
      <c r="BM147" s="287" t="str">
        <f>'Statement of Marks'!F150</f>
        <v/>
      </c>
      <c r="BN147" s="288" t="str">
        <f t="shared" si="24"/>
        <v/>
      </c>
      <c r="BO147" s="288" t="str">
        <f t="shared" si="25"/>
        <v/>
      </c>
      <c r="BP147" s="288" t="str">
        <f t="shared" si="26"/>
        <v/>
      </c>
      <c r="BQ147" s="288" t="str">
        <f t="shared" si="27"/>
        <v/>
      </c>
      <c r="BR147" s="288" t="str">
        <f t="shared" si="28"/>
        <v/>
      </c>
      <c r="BS147" s="288" t="str">
        <f t="shared" si="29"/>
        <v/>
      </c>
      <c r="BT147" s="288" t="str">
        <f t="shared" si="30"/>
        <v/>
      </c>
      <c r="BU147" s="288" t="str">
        <f t="shared" si="31"/>
        <v/>
      </c>
      <c r="BV147" s="288" t="str">
        <f t="shared" si="32"/>
        <v/>
      </c>
      <c r="BW147" s="288" t="str">
        <f t="shared" si="33"/>
        <v/>
      </c>
      <c r="BX147" s="288" t="str">
        <f t="shared" si="34"/>
        <v/>
      </c>
      <c r="BY147" s="288" t="str">
        <f t="shared" si="35"/>
        <v/>
      </c>
      <c r="BZ147" s="289"/>
    </row>
    <row r="148" spans="1:78" ht="15" customHeight="1">
      <c r="A148" s="276">
        <f>IF('Statement of Marks'!A151="","",'Statement of Marks'!A151)</f>
        <v>145</v>
      </c>
      <c r="B148" s="277" t="str">
        <f>IF('Statement of Marks'!B151="","",'Statement of Marks'!B151)</f>
        <v/>
      </c>
      <c r="C148" s="278" t="str">
        <f>IF('Statement of Marks'!D151="","",'Statement of Marks'!D151)</f>
        <v/>
      </c>
      <c r="D148" s="314" t="str">
        <f>IF('Statement of Marks'!E151="","",'Statement of Marks'!E151)</f>
        <v/>
      </c>
      <c r="E148" s="279" t="str">
        <f>IF('Statement of Marks'!F151="","",'Statement of Marks'!F151)</f>
        <v/>
      </c>
      <c r="F148" s="279" t="str">
        <f>IF('Statement of Marks'!G151="","",'Statement of Marks'!G151)</f>
        <v/>
      </c>
      <c r="G148" s="279" t="str">
        <f>IF('Statement of Marks'!H151="","",'Statement of Marks'!H151)</f>
        <v/>
      </c>
      <c r="H148" s="280" t="str">
        <f>IF('Statement of Marks'!I151="","",'Statement of Marks'!I151)</f>
        <v/>
      </c>
      <c r="I148" s="280" t="str">
        <f>IF('Statement of Marks'!J151="","",'Statement of Marks'!J151)</f>
        <v/>
      </c>
      <c r="J148" s="826" t="str">
        <f>IF('Statement of Marks'!HS151="","",'Statement of Marks'!HS151)</f>
        <v/>
      </c>
      <c r="K148" s="281" t="str">
        <f>IF('Statement of Marks'!HT151="","",'Statement of Marks'!HT151)</f>
        <v/>
      </c>
      <c r="L148" s="828" t="str">
        <f>IF('Statement of Marks'!HW151="","",'Statement of Marks'!HW151)</f>
        <v/>
      </c>
      <c r="M148" s="281" t="str">
        <f>IF('Statement of Marks'!HV151="","",'Statement of Marks'!HV151)</f>
        <v/>
      </c>
      <c r="N148" s="829" t="str">
        <f>IF('Statement of Marks'!HX151="","",'Statement of Marks'!HX151)</f>
        <v/>
      </c>
      <c r="O148" s="282" t="str">
        <f>IF(J148="FAIL","",IF('Statement of Marks'!HO151="","",'Statement of Marks'!HO151))</f>
        <v xml:space="preserve">      </v>
      </c>
      <c r="P148" s="283" t="str">
        <f>IF('Supp. Result Entry'!AQ149="","",'Supp. Result Entry'!AQ149)</f>
        <v/>
      </c>
      <c r="Q148" s="284" t="str">
        <f>IF('Supp. Result Entry'!AR149="","",'Supp. Result Entry'!AR149)</f>
        <v/>
      </c>
      <c r="R148" s="285" t="str">
        <f>IF('Statement of Marks'!IA151="","",'Statement of Marks'!IA151)</f>
        <v/>
      </c>
      <c r="S148" s="286" t="str">
        <f>IF('Statement of Marks'!GL151="","",'Statement of Marks'!GL151)</f>
        <v/>
      </c>
      <c r="BM148" s="287" t="str">
        <f>'Statement of Marks'!F151</f>
        <v/>
      </c>
      <c r="BN148" s="288" t="str">
        <f t="shared" si="24"/>
        <v/>
      </c>
      <c r="BO148" s="288" t="str">
        <f t="shared" si="25"/>
        <v/>
      </c>
      <c r="BP148" s="288" t="str">
        <f t="shared" si="26"/>
        <v/>
      </c>
      <c r="BQ148" s="288" t="str">
        <f t="shared" si="27"/>
        <v/>
      </c>
      <c r="BR148" s="288" t="str">
        <f t="shared" si="28"/>
        <v/>
      </c>
      <c r="BS148" s="288" t="str">
        <f t="shared" si="29"/>
        <v/>
      </c>
      <c r="BT148" s="288" t="str">
        <f t="shared" si="30"/>
        <v/>
      </c>
      <c r="BU148" s="288" t="str">
        <f t="shared" si="31"/>
        <v/>
      </c>
      <c r="BV148" s="288" t="str">
        <f t="shared" si="32"/>
        <v/>
      </c>
      <c r="BW148" s="288" t="str">
        <f t="shared" si="33"/>
        <v/>
      </c>
      <c r="BX148" s="288" t="str">
        <f t="shared" si="34"/>
        <v/>
      </c>
      <c r="BY148" s="288" t="str">
        <f t="shared" si="35"/>
        <v/>
      </c>
      <c r="BZ148" s="289"/>
    </row>
    <row r="149" spans="1:78" ht="15" customHeight="1">
      <c r="A149" s="276">
        <f>IF('Statement of Marks'!A152="","",'Statement of Marks'!A152)</f>
        <v>146</v>
      </c>
      <c r="B149" s="277" t="str">
        <f>IF('Statement of Marks'!B152="","",'Statement of Marks'!B152)</f>
        <v/>
      </c>
      <c r="C149" s="278" t="str">
        <f>IF('Statement of Marks'!D152="","",'Statement of Marks'!D152)</f>
        <v/>
      </c>
      <c r="D149" s="314" t="str">
        <f>IF('Statement of Marks'!E152="","",'Statement of Marks'!E152)</f>
        <v/>
      </c>
      <c r="E149" s="279" t="str">
        <f>IF('Statement of Marks'!F152="","",'Statement of Marks'!F152)</f>
        <v/>
      </c>
      <c r="F149" s="279" t="str">
        <f>IF('Statement of Marks'!G152="","",'Statement of Marks'!G152)</f>
        <v/>
      </c>
      <c r="G149" s="279" t="str">
        <f>IF('Statement of Marks'!H152="","",'Statement of Marks'!H152)</f>
        <v/>
      </c>
      <c r="H149" s="280" t="str">
        <f>IF('Statement of Marks'!I152="","",'Statement of Marks'!I152)</f>
        <v/>
      </c>
      <c r="I149" s="280" t="str">
        <f>IF('Statement of Marks'!J152="","",'Statement of Marks'!J152)</f>
        <v/>
      </c>
      <c r="J149" s="827" t="str">
        <f>IF('Statement of Marks'!HS152="","",'Statement of Marks'!HS152)</f>
        <v/>
      </c>
      <c r="K149" s="281" t="str">
        <f>IF('Statement of Marks'!HT152="","",'Statement of Marks'!HT152)</f>
        <v/>
      </c>
      <c r="L149" s="828" t="str">
        <f>IF('Statement of Marks'!HW152="","",'Statement of Marks'!HW152)</f>
        <v/>
      </c>
      <c r="M149" s="281" t="str">
        <f>IF('Statement of Marks'!HV152="","",'Statement of Marks'!HV152)</f>
        <v/>
      </c>
      <c r="N149" s="829" t="str">
        <f>IF('Statement of Marks'!HX152="","",'Statement of Marks'!HX152)</f>
        <v/>
      </c>
      <c r="O149" s="282" t="str">
        <f>IF(J149="FAIL","",IF('Statement of Marks'!HO152="","",'Statement of Marks'!HO152))</f>
        <v xml:space="preserve">      </v>
      </c>
      <c r="P149" s="283" t="str">
        <f>IF('Supp. Result Entry'!AQ150="","",'Supp. Result Entry'!AQ150)</f>
        <v/>
      </c>
      <c r="Q149" s="284" t="str">
        <f>IF('Supp. Result Entry'!AR150="","",'Supp. Result Entry'!AR150)</f>
        <v/>
      </c>
      <c r="R149" s="285" t="str">
        <f>IF('Statement of Marks'!IA152="","",'Statement of Marks'!IA152)</f>
        <v/>
      </c>
      <c r="S149" s="286" t="str">
        <f>IF('Statement of Marks'!GL152="","",'Statement of Marks'!GL152)</f>
        <v/>
      </c>
      <c r="BM149" s="287" t="str">
        <f>'Statement of Marks'!F152</f>
        <v/>
      </c>
      <c r="BN149" s="288" t="str">
        <f t="shared" si="24"/>
        <v/>
      </c>
      <c r="BO149" s="288" t="str">
        <f t="shared" si="25"/>
        <v/>
      </c>
      <c r="BP149" s="288" t="str">
        <f t="shared" si="26"/>
        <v/>
      </c>
      <c r="BQ149" s="288" t="str">
        <f t="shared" si="27"/>
        <v/>
      </c>
      <c r="BR149" s="288" t="str">
        <f t="shared" si="28"/>
        <v/>
      </c>
      <c r="BS149" s="288" t="str">
        <f t="shared" si="29"/>
        <v/>
      </c>
      <c r="BT149" s="288" t="str">
        <f t="shared" si="30"/>
        <v/>
      </c>
      <c r="BU149" s="288" t="str">
        <f t="shared" si="31"/>
        <v/>
      </c>
      <c r="BV149" s="288" t="str">
        <f t="shared" si="32"/>
        <v/>
      </c>
      <c r="BW149" s="288" t="str">
        <f t="shared" si="33"/>
        <v/>
      </c>
      <c r="BX149" s="288" t="str">
        <f t="shared" si="34"/>
        <v/>
      </c>
      <c r="BY149" s="288" t="str">
        <f t="shared" si="35"/>
        <v/>
      </c>
      <c r="BZ149" s="289"/>
    </row>
    <row r="150" spans="1:78" ht="15" customHeight="1">
      <c r="A150" s="276">
        <f>IF('Statement of Marks'!A153="","",'Statement of Marks'!A153)</f>
        <v>147</v>
      </c>
      <c r="B150" s="277" t="str">
        <f>IF('Statement of Marks'!B153="","",'Statement of Marks'!B153)</f>
        <v/>
      </c>
      <c r="C150" s="278" t="str">
        <f>IF('Statement of Marks'!D153="","",'Statement of Marks'!D153)</f>
        <v/>
      </c>
      <c r="D150" s="314" t="str">
        <f>IF('Statement of Marks'!E153="","",'Statement of Marks'!E153)</f>
        <v/>
      </c>
      <c r="E150" s="279" t="str">
        <f>IF('Statement of Marks'!F153="","",'Statement of Marks'!F153)</f>
        <v/>
      </c>
      <c r="F150" s="279" t="str">
        <f>IF('Statement of Marks'!G153="","",'Statement of Marks'!G153)</f>
        <v/>
      </c>
      <c r="G150" s="279" t="str">
        <f>IF('Statement of Marks'!H153="","",'Statement of Marks'!H153)</f>
        <v/>
      </c>
      <c r="H150" s="280" t="str">
        <f>IF('Statement of Marks'!I153="","",'Statement of Marks'!I153)</f>
        <v/>
      </c>
      <c r="I150" s="280" t="str">
        <f>IF('Statement of Marks'!J153="","",'Statement of Marks'!J153)</f>
        <v/>
      </c>
      <c r="J150" s="827" t="str">
        <f>IF('Statement of Marks'!HS153="","",'Statement of Marks'!HS153)</f>
        <v/>
      </c>
      <c r="K150" s="281" t="str">
        <f>IF('Statement of Marks'!HT153="","",'Statement of Marks'!HT153)</f>
        <v/>
      </c>
      <c r="L150" s="828" t="str">
        <f>IF('Statement of Marks'!HW153="","",'Statement of Marks'!HW153)</f>
        <v/>
      </c>
      <c r="M150" s="281" t="str">
        <f>IF('Statement of Marks'!HV153="","",'Statement of Marks'!HV153)</f>
        <v/>
      </c>
      <c r="N150" s="829" t="str">
        <f>IF('Statement of Marks'!HX153="","",'Statement of Marks'!HX153)</f>
        <v/>
      </c>
      <c r="O150" s="282" t="str">
        <f>IF(J150="FAIL","",IF('Statement of Marks'!HO153="","",'Statement of Marks'!HO153))</f>
        <v xml:space="preserve">      </v>
      </c>
      <c r="P150" s="283" t="str">
        <f>IF('Supp. Result Entry'!AQ151="","",'Supp. Result Entry'!AQ151)</f>
        <v/>
      </c>
      <c r="Q150" s="284" t="str">
        <f>IF('Supp. Result Entry'!AR151="","",'Supp. Result Entry'!AR151)</f>
        <v/>
      </c>
      <c r="R150" s="285" t="str">
        <f>IF('Statement of Marks'!IA153="","",'Statement of Marks'!IA153)</f>
        <v/>
      </c>
      <c r="S150" s="286" t="str">
        <f>IF('Statement of Marks'!GL153="","",'Statement of Marks'!GL153)</f>
        <v/>
      </c>
      <c r="BM150" s="287" t="str">
        <f>'Statement of Marks'!F153</f>
        <v/>
      </c>
      <c r="BN150" s="288" t="str">
        <f t="shared" si="24"/>
        <v/>
      </c>
      <c r="BO150" s="288" t="str">
        <f t="shared" si="25"/>
        <v/>
      </c>
      <c r="BP150" s="288" t="str">
        <f t="shared" si="26"/>
        <v/>
      </c>
      <c r="BQ150" s="288" t="str">
        <f t="shared" si="27"/>
        <v/>
      </c>
      <c r="BR150" s="288" t="str">
        <f t="shared" si="28"/>
        <v/>
      </c>
      <c r="BS150" s="288" t="str">
        <f t="shared" si="29"/>
        <v/>
      </c>
      <c r="BT150" s="288" t="str">
        <f t="shared" si="30"/>
        <v/>
      </c>
      <c r="BU150" s="288" t="str">
        <f t="shared" si="31"/>
        <v/>
      </c>
      <c r="BV150" s="288" t="str">
        <f t="shared" si="32"/>
        <v/>
      </c>
      <c r="BW150" s="288" t="str">
        <f t="shared" si="33"/>
        <v/>
      </c>
      <c r="BX150" s="288" t="str">
        <f t="shared" si="34"/>
        <v/>
      </c>
      <c r="BY150" s="288" t="str">
        <f t="shared" si="35"/>
        <v/>
      </c>
      <c r="BZ150" s="289"/>
    </row>
    <row r="151" spans="1:78" ht="15" customHeight="1">
      <c r="A151" s="276">
        <f>IF('Statement of Marks'!A154="","",'Statement of Marks'!A154)</f>
        <v>148</v>
      </c>
      <c r="B151" s="277" t="str">
        <f>IF('Statement of Marks'!B154="","",'Statement of Marks'!B154)</f>
        <v/>
      </c>
      <c r="C151" s="278" t="str">
        <f>IF('Statement of Marks'!D154="","",'Statement of Marks'!D154)</f>
        <v/>
      </c>
      <c r="D151" s="314" t="str">
        <f>IF('Statement of Marks'!E154="","",'Statement of Marks'!E154)</f>
        <v/>
      </c>
      <c r="E151" s="279" t="str">
        <f>IF('Statement of Marks'!F154="","",'Statement of Marks'!F154)</f>
        <v/>
      </c>
      <c r="F151" s="279" t="str">
        <f>IF('Statement of Marks'!G154="","",'Statement of Marks'!G154)</f>
        <v/>
      </c>
      <c r="G151" s="279" t="str">
        <f>IF('Statement of Marks'!H154="","",'Statement of Marks'!H154)</f>
        <v/>
      </c>
      <c r="H151" s="280" t="str">
        <f>IF('Statement of Marks'!I154="","",'Statement of Marks'!I154)</f>
        <v/>
      </c>
      <c r="I151" s="280" t="str">
        <f>IF('Statement of Marks'!J154="","",'Statement of Marks'!J154)</f>
        <v/>
      </c>
      <c r="J151" s="827" t="str">
        <f>IF('Statement of Marks'!HS154="","",'Statement of Marks'!HS154)</f>
        <v/>
      </c>
      <c r="K151" s="281" t="str">
        <f>IF('Statement of Marks'!HT154="","",'Statement of Marks'!HT154)</f>
        <v/>
      </c>
      <c r="L151" s="828" t="str">
        <f>IF('Statement of Marks'!HW154="","",'Statement of Marks'!HW154)</f>
        <v/>
      </c>
      <c r="M151" s="281" t="str">
        <f>IF('Statement of Marks'!HV154="","",'Statement of Marks'!HV154)</f>
        <v/>
      </c>
      <c r="N151" s="829" t="str">
        <f>IF('Statement of Marks'!HX154="","",'Statement of Marks'!HX154)</f>
        <v/>
      </c>
      <c r="O151" s="282" t="str">
        <f>IF(J151="FAIL","",IF('Statement of Marks'!HO154="","",'Statement of Marks'!HO154))</f>
        <v xml:space="preserve">      </v>
      </c>
      <c r="P151" s="283" t="str">
        <f>IF('Supp. Result Entry'!AQ152="","",'Supp. Result Entry'!AQ152)</f>
        <v/>
      </c>
      <c r="Q151" s="284" t="str">
        <f>IF('Supp. Result Entry'!AR152="","",'Supp. Result Entry'!AR152)</f>
        <v/>
      </c>
      <c r="R151" s="285" t="str">
        <f>IF('Statement of Marks'!IA154="","",'Statement of Marks'!IA154)</f>
        <v/>
      </c>
      <c r="S151" s="286" t="str">
        <f>IF('Statement of Marks'!GL154="","",'Statement of Marks'!GL154)</f>
        <v/>
      </c>
      <c r="BM151" s="287" t="str">
        <f>'Statement of Marks'!F154</f>
        <v/>
      </c>
      <c r="BN151" s="288" t="str">
        <f t="shared" si="24"/>
        <v/>
      </c>
      <c r="BO151" s="288" t="str">
        <f t="shared" si="25"/>
        <v/>
      </c>
      <c r="BP151" s="288" t="str">
        <f t="shared" si="26"/>
        <v/>
      </c>
      <c r="BQ151" s="288" t="str">
        <f t="shared" si="27"/>
        <v/>
      </c>
      <c r="BR151" s="288" t="str">
        <f t="shared" si="28"/>
        <v/>
      </c>
      <c r="BS151" s="288" t="str">
        <f t="shared" si="29"/>
        <v/>
      </c>
      <c r="BT151" s="288" t="str">
        <f t="shared" si="30"/>
        <v/>
      </c>
      <c r="BU151" s="288" t="str">
        <f t="shared" si="31"/>
        <v/>
      </c>
      <c r="BV151" s="288" t="str">
        <f t="shared" si="32"/>
        <v/>
      </c>
      <c r="BW151" s="288" t="str">
        <f t="shared" si="33"/>
        <v/>
      </c>
      <c r="BX151" s="288" t="str">
        <f t="shared" si="34"/>
        <v/>
      </c>
      <c r="BY151" s="288" t="str">
        <f t="shared" si="35"/>
        <v/>
      </c>
      <c r="BZ151" s="289"/>
    </row>
    <row r="152" spans="1:78" ht="15" customHeight="1">
      <c r="A152" s="276">
        <f>IF('Statement of Marks'!A155="","",'Statement of Marks'!A155)</f>
        <v>149</v>
      </c>
      <c r="B152" s="277" t="str">
        <f>IF('Statement of Marks'!B155="","",'Statement of Marks'!B155)</f>
        <v/>
      </c>
      <c r="C152" s="278" t="str">
        <f>IF('Statement of Marks'!D155="","",'Statement of Marks'!D155)</f>
        <v/>
      </c>
      <c r="D152" s="314" t="str">
        <f>IF('Statement of Marks'!E155="","",'Statement of Marks'!E155)</f>
        <v/>
      </c>
      <c r="E152" s="279" t="str">
        <f>IF('Statement of Marks'!F155="","",'Statement of Marks'!F155)</f>
        <v/>
      </c>
      <c r="F152" s="279" t="str">
        <f>IF('Statement of Marks'!G155="","",'Statement of Marks'!G155)</f>
        <v/>
      </c>
      <c r="G152" s="279" t="str">
        <f>IF('Statement of Marks'!H155="","",'Statement of Marks'!H155)</f>
        <v/>
      </c>
      <c r="H152" s="280" t="str">
        <f>IF('Statement of Marks'!I155="","",'Statement of Marks'!I155)</f>
        <v/>
      </c>
      <c r="I152" s="280" t="str">
        <f>IF('Statement of Marks'!J155="","",'Statement of Marks'!J155)</f>
        <v/>
      </c>
      <c r="J152" s="827" t="str">
        <f>IF('Statement of Marks'!HS155="","",'Statement of Marks'!HS155)</f>
        <v/>
      </c>
      <c r="K152" s="281" t="str">
        <f>IF('Statement of Marks'!HT155="","",'Statement of Marks'!HT155)</f>
        <v/>
      </c>
      <c r="L152" s="828" t="str">
        <f>IF('Statement of Marks'!HW155="","",'Statement of Marks'!HW155)</f>
        <v/>
      </c>
      <c r="M152" s="281" t="str">
        <f>IF('Statement of Marks'!HV155="","",'Statement of Marks'!HV155)</f>
        <v/>
      </c>
      <c r="N152" s="829" t="str">
        <f>IF('Statement of Marks'!HX155="","",'Statement of Marks'!HX155)</f>
        <v/>
      </c>
      <c r="O152" s="282" t="str">
        <f>IF(J152="FAIL","",IF('Statement of Marks'!HO155="","",'Statement of Marks'!HO155))</f>
        <v xml:space="preserve">      </v>
      </c>
      <c r="P152" s="283" t="str">
        <f>IF('Supp. Result Entry'!AQ153="","",'Supp. Result Entry'!AQ153)</f>
        <v/>
      </c>
      <c r="Q152" s="284" t="str">
        <f>IF('Supp. Result Entry'!AR153="","",'Supp. Result Entry'!AR153)</f>
        <v/>
      </c>
      <c r="R152" s="285" t="str">
        <f>IF('Statement of Marks'!IA155="","",'Statement of Marks'!IA155)</f>
        <v/>
      </c>
      <c r="S152" s="286" t="str">
        <f>IF('Statement of Marks'!GL155="","",'Statement of Marks'!GL155)</f>
        <v/>
      </c>
      <c r="BM152" s="287" t="str">
        <f>'Statement of Marks'!F155</f>
        <v/>
      </c>
      <c r="BN152" s="288" t="str">
        <f t="shared" si="24"/>
        <v/>
      </c>
      <c r="BO152" s="288" t="str">
        <f t="shared" si="25"/>
        <v/>
      </c>
      <c r="BP152" s="288" t="str">
        <f t="shared" si="26"/>
        <v/>
      </c>
      <c r="BQ152" s="288" t="str">
        <f t="shared" si="27"/>
        <v/>
      </c>
      <c r="BR152" s="288" t="str">
        <f t="shared" si="28"/>
        <v/>
      </c>
      <c r="BS152" s="288" t="str">
        <f t="shared" si="29"/>
        <v/>
      </c>
      <c r="BT152" s="288" t="str">
        <f t="shared" si="30"/>
        <v/>
      </c>
      <c r="BU152" s="288" t="str">
        <f t="shared" si="31"/>
        <v/>
      </c>
      <c r="BV152" s="288" t="str">
        <f t="shared" si="32"/>
        <v/>
      </c>
      <c r="BW152" s="288" t="str">
        <f t="shared" si="33"/>
        <v/>
      </c>
      <c r="BX152" s="288" t="str">
        <f t="shared" si="34"/>
        <v/>
      </c>
      <c r="BY152" s="288" t="str">
        <f t="shared" si="35"/>
        <v/>
      </c>
      <c r="BZ152" s="289"/>
    </row>
    <row r="153" spans="1:78" ht="15" customHeight="1">
      <c r="A153" s="276">
        <f>IF('Statement of Marks'!A156="","",'Statement of Marks'!A156)</f>
        <v>150</v>
      </c>
      <c r="B153" s="277" t="str">
        <f>IF('Statement of Marks'!B156="","",'Statement of Marks'!B156)</f>
        <v/>
      </c>
      <c r="C153" s="278" t="str">
        <f>IF('Statement of Marks'!D156="","",'Statement of Marks'!D156)</f>
        <v/>
      </c>
      <c r="D153" s="314" t="str">
        <f>IF('Statement of Marks'!E156="","",'Statement of Marks'!E156)</f>
        <v/>
      </c>
      <c r="E153" s="279" t="str">
        <f>IF('Statement of Marks'!F156="","",'Statement of Marks'!F156)</f>
        <v/>
      </c>
      <c r="F153" s="279" t="str">
        <f>IF('Statement of Marks'!G156="","",'Statement of Marks'!G156)</f>
        <v/>
      </c>
      <c r="G153" s="279" t="str">
        <f>IF('Statement of Marks'!H156="","",'Statement of Marks'!H156)</f>
        <v/>
      </c>
      <c r="H153" s="280" t="str">
        <f>IF('Statement of Marks'!I156="","",'Statement of Marks'!I156)</f>
        <v/>
      </c>
      <c r="I153" s="280" t="str">
        <f>IF('Statement of Marks'!J156="","",'Statement of Marks'!J156)</f>
        <v/>
      </c>
      <c r="J153" s="827" t="str">
        <f>IF('Statement of Marks'!HS156="","",'Statement of Marks'!HS156)</f>
        <v/>
      </c>
      <c r="K153" s="281" t="str">
        <f>IF('Statement of Marks'!HT156="","",'Statement of Marks'!HT156)</f>
        <v/>
      </c>
      <c r="L153" s="828" t="str">
        <f>IF('Statement of Marks'!HW156="","",'Statement of Marks'!HW156)</f>
        <v/>
      </c>
      <c r="M153" s="281" t="str">
        <f>IF('Statement of Marks'!HV156="","",'Statement of Marks'!HV156)</f>
        <v/>
      </c>
      <c r="N153" s="829" t="str">
        <f>IF('Statement of Marks'!HX156="","",'Statement of Marks'!HX156)</f>
        <v/>
      </c>
      <c r="O153" s="282" t="str">
        <f>IF(J153="FAIL","",IF('Statement of Marks'!HO156="","",'Statement of Marks'!HO156))</f>
        <v xml:space="preserve">      </v>
      </c>
      <c r="P153" s="283" t="str">
        <f>IF('Supp. Result Entry'!AQ154="","",'Supp. Result Entry'!AQ154)</f>
        <v/>
      </c>
      <c r="Q153" s="284" t="str">
        <f>IF('Supp. Result Entry'!AR154="","",'Supp. Result Entry'!AR154)</f>
        <v/>
      </c>
      <c r="R153" s="285" t="str">
        <f>IF('Statement of Marks'!IA156="","",'Statement of Marks'!IA156)</f>
        <v/>
      </c>
      <c r="S153" s="286" t="str">
        <f>IF('Statement of Marks'!GL156="","",'Statement of Marks'!GL156)</f>
        <v/>
      </c>
      <c r="BM153" s="287" t="str">
        <f>'Statement of Marks'!F156</f>
        <v/>
      </c>
      <c r="BN153" s="288" t="str">
        <f t="shared" si="24"/>
        <v/>
      </c>
      <c r="BO153" s="288" t="str">
        <f t="shared" si="25"/>
        <v/>
      </c>
      <c r="BP153" s="288" t="str">
        <f t="shared" si="26"/>
        <v/>
      </c>
      <c r="BQ153" s="288" t="str">
        <f t="shared" si="27"/>
        <v/>
      </c>
      <c r="BR153" s="288" t="str">
        <f t="shared" si="28"/>
        <v/>
      </c>
      <c r="BS153" s="288" t="str">
        <f t="shared" si="29"/>
        <v/>
      </c>
      <c r="BT153" s="288" t="str">
        <f t="shared" si="30"/>
        <v/>
      </c>
      <c r="BU153" s="288" t="str">
        <f t="shared" si="31"/>
        <v/>
      </c>
      <c r="BV153" s="288" t="str">
        <f t="shared" si="32"/>
        <v/>
      </c>
      <c r="BW153" s="288" t="str">
        <f t="shared" si="33"/>
        <v/>
      </c>
      <c r="BX153" s="288" t="str">
        <f t="shared" si="34"/>
        <v/>
      </c>
      <c r="BY153" s="288" t="str">
        <f t="shared" si="35"/>
        <v/>
      </c>
      <c r="BZ153" s="289"/>
    </row>
    <row r="154" spans="1:78" ht="15" customHeight="1">
      <c r="A154" s="276">
        <f>IF('Statement of Marks'!A157="","",'Statement of Marks'!A157)</f>
        <v>151</v>
      </c>
      <c r="B154" s="277" t="str">
        <f>IF('Statement of Marks'!B157="","",'Statement of Marks'!B157)</f>
        <v/>
      </c>
      <c r="C154" s="278" t="str">
        <f>IF('Statement of Marks'!D157="","",'Statement of Marks'!D157)</f>
        <v/>
      </c>
      <c r="D154" s="314" t="str">
        <f>IF('Statement of Marks'!E157="","",'Statement of Marks'!E157)</f>
        <v/>
      </c>
      <c r="E154" s="279" t="str">
        <f>IF('Statement of Marks'!F157="","",'Statement of Marks'!F157)</f>
        <v/>
      </c>
      <c r="F154" s="279" t="str">
        <f>IF('Statement of Marks'!G157="","",'Statement of Marks'!G157)</f>
        <v/>
      </c>
      <c r="G154" s="279" t="str">
        <f>IF('Statement of Marks'!H157="","",'Statement of Marks'!H157)</f>
        <v/>
      </c>
      <c r="H154" s="280" t="str">
        <f>IF('Statement of Marks'!I157="","",'Statement of Marks'!I157)</f>
        <v/>
      </c>
      <c r="I154" s="280" t="str">
        <f>IF('Statement of Marks'!J157="","",'Statement of Marks'!J157)</f>
        <v/>
      </c>
      <c r="J154" s="827" t="str">
        <f>IF('Statement of Marks'!HS157="","",'Statement of Marks'!HS157)</f>
        <v/>
      </c>
      <c r="K154" s="281" t="str">
        <f>IF('Statement of Marks'!HT157="","",'Statement of Marks'!HT157)</f>
        <v/>
      </c>
      <c r="L154" s="828" t="str">
        <f>IF('Statement of Marks'!HW157="","",'Statement of Marks'!HW157)</f>
        <v/>
      </c>
      <c r="M154" s="281" t="str">
        <f>IF('Statement of Marks'!HV157="","",'Statement of Marks'!HV157)</f>
        <v/>
      </c>
      <c r="N154" s="829" t="str">
        <f>IF('Statement of Marks'!HX157="","",'Statement of Marks'!HX157)</f>
        <v/>
      </c>
      <c r="O154" s="282" t="str">
        <f>IF(J154="FAIL","",IF('Statement of Marks'!HO157="","",'Statement of Marks'!HO157))</f>
        <v xml:space="preserve">      </v>
      </c>
      <c r="P154" s="283" t="str">
        <f>IF('Supp. Result Entry'!AQ155="","",'Supp. Result Entry'!AQ155)</f>
        <v/>
      </c>
      <c r="Q154" s="284" t="str">
        <f>IF('Supp. Result Entry'!AR155="","",'Supp. Result Entry'!AR155)</f>
        <v/>
      </c>
      <c r="R154" s="285" t="str">
        <f>IF('Statement of Marks'!IA157="","",'Statement of Marks'!IA157)</f>
        <v/>
      </c>
      <c r="S154" s="286" t="str">
        <f>IF('Statement of Marks'!GL157="","",'Statement of Marks'!GL157)</f>
        <v/>
      </c>
      <c r="BM154" s="287" t="str">
        <f>'Statement of Marks'!F157</f>
        <v/>
      </c>
      <c r="BN154" s="288" t="str">
        <f t="shared" si="24"/>
        <v/>
      </c>
      <c r="BO154" s="288" t="str">
        <f t="shared" si="25"/>
        <v/>
      </c>
      <c r="BP154" s="288" t="str">
        <f t="shared" si="26"/>
        <v/>
      </c>
      <c r="BQ154" s="288" t="str">
        <f t="shared" si="27"/>
        <v/>
      </c>
      <c r="BR154" s="288" t="str">
        <f t="shared" si="28"/>
        <v/>
      </c>
      <c r="BS154" s="288" t="str">
        <f t="shared" si="29"/>
        <v/>
      </c>
      <c r="BT154" s="288" t="str">
        <f t="shared" si="30"/>
        <v/>
      </c>
      <c r="BU154" s="288" t="str">
        <f t="shared" si="31"/>
        <v/>
      </c>
      <c r="BV154" s="288" t="str">
        <f t="shared" si="32"/>
        <v/>
      </c>
      <c r="BW154" s="288" t="str">
        <f t="shared" si="33"/>
        <v/>
      </c>
      <c r="BX154" s="288" t="str">
        <f t="shared" si="34"/>
        <v/>
      </c>
      <c r="BY154" s="288" t="str">
        <f t="shared" si="35"/>
        <v/>
      </c>
      <c r="BZ154" s="289"/>
    </row>
    <row r="155" spans="1:78" ht="15" customHeight="1">
      <c r="A155" s="276">
        <f>IF('Statement of Marks'!A158="","",'Statement of Marks'!A158)</f>
        <v>152</v>
      </c>
      <c r="B155" s="277" t="str">
        <f>IF('Statement of Marks'!B158="","",'Statement of Marks'!B158)</f>
        <v/>
      </c>
      <c r="C155" s="278" t="str">
        <f>IF('Statement of Marks'!D158="","",'Statement of Marks'!D158)</f>
        <v/>
      </c>
      <c r="D155" s="314" t="str">
        <f>IF('Statement of Marks'!E158="","",'Statement of Marks'!E158)</f>
        <v/>
      </c>
      <c r="E155" s="279" t="str">
        <f>IF('Statement of Marks'!F158="","",'Statement of Marks'!F158)</f>
        <v/>
      </c>
      <c r="F155" s="279" t="str">
        <f>IF('Statement of Marks'!G158="","",'Statement of Marks'!G158)</f>
        <v/>
      </c>
      <c r="G155" s="279" t="str">
        <f>IF('Statement of Marks'!H158="","",'Statement of Marks'!H158)</f>
        <v/>
      </c>
      <c r="H155" s="280" t="str">
        <f>IF('Statement of Marks'!I158="","",'Statement of Marks'!I158)</f>
        <v/>
      </c>
      <c r="I155" s="280" t="str">
        <f>IF('Statement of Marks'!J158="","",'Statement of Marks'!J158)</f>
        <v/>
      </c>
      <c r="J155" s="827" t="str">
        <f>IF('Statement of Marks'!HS158="","",'Statement of Marks'!HS158)</f>
        <v/>
      </c>
      <c r="K155" s="281" t="str">
        <f>IF('Statement of Marks'!HT158="","",'Statement of Marks'!HT158)</f>
        <v/>
      </c>
      <c r="L155" s="828" t="str">
        <f>IF('Statement of Marks'!HW158="","",'Statement of Marks'!HW158)</f>
        <v/>
      </c>
      <c r="M155" s="281" t="str">
        <f>IF('Statement of Marks'!HV158="","",'Statement of Marks'!HV158)</f>
        <v/>
      </c>
      <c r="N155" s="829" t="str">
        <f>IF('Statement of Marks'!HX158="","",'Statement of Marks'!HX158)</f>
        <v/>
      </c>
      <c r="O155" s="282" t="str">
        <f>IF(J155="FAIL","",IF('Statement of Marks'!HO158="","",'Statement of Marks'!HO158))</f>
        <v xml:space="preserve">      </v>
      </c>
      <c r="P155" s="283" t="str">
        <f>IF('Supp. Result Entry'!AQ156="","",'Supp. Result Entry'!AQ156)</f>
        <v/>
      </c>
      <c r="Q155" s="284" t="str">
        <f>IF('Supp. Result Entry'!AR156="","",'Supp. Result Entry'!AR156)</f>
        <v/>
      </c>
      <c r="R155" s="285" t="str">
        <f>IF('Statement of Marks'!IA158="","",'Statement of Marks'!IA158)</f>
        <v/>
      </c>
      <c r="S155" s="286" t="str">
        <f>IF('Statement of Marks'!GL158="","",'Statement of Marks'!GL158)</f>
        <v/>
      </c>
      <c r="BM155" s="287" t="str">
        <f>'Statement of Marks'!F158</f>
        <v/>
      </c>
      <c r="BN155" s="288" t="str">
        <f t="shared" si="24"/>
        <v/>
      </c>
      <c r="BO155" s="288" t="str">
        <f t="shared" si="25"/>
        <v/>
      </c>
      <c r="BP155" s="288" t="str">
        <f t="shared" si="26"/>
        <v/>
      </c>
      <c r="BQ155" s="288" t="str">
        <f t="shared" si="27"/>
        <v/>
      </c>
      <c r="BR155" s="288" t="str">
        <f t="shared" si="28"/>
        <v/>
      </c>
      <c r="BS155" s="288" t="str">
        <f t="shared" si="29"/>
        <v/>
      </c>
      <c r="BT155" s="288" t="str">
        <f t="shared" si="30"/>
        <v/>
      </c>
      <c r="BU155" s="288" t="str">
        <f t="shared" si="31"/>
        <v/>
      </c>
      <c r="BV155" s="288" t="str">
        <f t="shared" si="32"/>
        <v/>
      </c>
      <c r="BW155" s="288" t="str">
        <f t="shared" si="33"/>
        <v/>
      </c>
      <c r="BX155" s="288" t="str">
        <f t="shared" si="34"/>
        <v/>
      </c>
      <c r="BY155" s="288" t="str">
        <f t="shared" si="35"/>
        <v/>
      </c>
      <c r="BZ155" s="289"/>
    </row>
    <row r="156" spans="1:78" ht="15" customHeight="1">
      <c r="A156" s="276">
        <f>IF('Statement of Marks'!A159="","",'Statement of Marks'!A159)</f>
        <v>153</v>
      </c>
      <c r="B156" s="277" t="str">
        <f>IF('Statement of Marks'!B159="","",'Statement of Marks'!B159)</f>
        <v/>
      </c>
      <c r="C156" s="278" t="str">
        <f>IF('Statement of Marks'!D159="","",'Statement of Marks'!D159)</f>
        <v/>
      </c>
      <c r="D156" s="314" t="str">
        <f>IF('Statement of Marks'!E159="","",'Statement of Marks'!E159)</f>
        <v/>
      </c>
      <c r="E156" s="279" t="str">
        <f>IF('Statement of Marks'!F159="","",'Statement of Marks'!F159)</f>
        <v/>
      </c>
      <c r="F156" s="279" t="str">
        <f>IF('Statement of Marks'!G159="","",'Statement of Marks'!G159)</f>
        <v/>
      </c>
      <c r="G156" s="279" t="str">
        <f>IF('Statement of Marks'!H159="","",'Statement of Marks'!H159)</f>
        <v/>
      </c>
      <c r="H156" s="280" t="str">
        <f>IF('Statement of Marks'!I159="","",'Statement of Marks'!I159)</f>
        <v/>
      </c>
      <c r="I156" s="280" t="str">
        <f>IF('Statement of Marks'!J159="","",'Statement of Marks'!J159)</f>
        <v/>
      </c>
      <c r="J156" s="827" t="str">
        <f>IF('Statement of Marks'!HS159="","",'Statement of Marks'!HS159)</f>
        <v/>
      </c>
      <c r="K156" s="281" t="str">
        <f>IF('Statement of Marks'!HT159="","",'Statement of Marks'!HT159)</f>
        <v/>
      </c>
      <c r="L156" s="828" t="str">
        <f>IF('Statement of Marks'!HW159="","",'Statement of Marks'!HW159)</f>
        <v/>
      </c>
      <c r="M156" s="281" t="str">
        <f>IF('Statement of Marks'!HV159="","",'Statement of Marks'!HV159)</f>
        <v/>
      </c>
      <c r="N156" s="829" t="str">
        <f>IF('Statement of Marks'!HX159="","",'Statement of Marks'!HX159)</f>
        <v/>
      </c>
      <c r="O156" s="282" t="str">
        <f>IF(J156="FAIL","",IF('Statement of Marks'!HO159="","",'Statement of Marks'!HO159))</f>
        <v xml:space="preserve">      </v>
      </c>
      <c r="P156" s="283" t="str">
        <f>IF('Supp. Result Entry'!AQ157="","",'Supp. Result Entry'!AQ157)</f>
        <v/>
      </c>
      <c r="Q156" s="284" t="str">
        <f>IF('Supp. Result Entry'!AR157="","",'Supp. Result Entry'!AR157)</f>
        <v/>
      </c>
      <c r="R156" s="285" t="str">
        <f>IF('Statement of Marks'!IA159="","",'Statement of Marks'!IA159)</f>
        <v/>
      </c>
      <c r="S156" s="286" t="str">
        <f>IF('Statement of Marks'!GL159="","",'Statement of Marks'!GL159)</f>
        <v/>
      </c>
      <c r="BM156" s="287" t="str">
        <f>'Statement of Marks'!F159</f>
        <v/>
      </c>
      <c r="BN156" s="288" t="str">
        <f t="shared" si="24"/>
        <v/>
      </c>
      <c r="BO156" s="288" t="str">
        <f t="shared" si="25"/>
        <v/>
      </c>
      <c r="BP156" s="288" t="str">
        <f t="shared" si="26"/>
        <v/>
      </c>
      <c r="BQ156" s="288" t="str">
        <f t="shared" si="27"/>
        <v/>
      </c>
      <c r="BR156" s="288" t="str">
        <f t="shared" si="28"/>
        <v/>
      </c>
      <c r="BS156" s="288" t="str">
        <f t="shared" si="29"/>
        <v/>
      </c>
      <c r="BT156" s="288" t="str">
        <f t="shared" si="30"/>
        <v/>
      </c>
      <c r="BU156" s="288" t="str">
        <f t="shared" si="31"/>
        <v/>
      </c>
      <c r="BV156" s="288" t="str">
        <f t="shared" si="32"/>
        <v/>
      </c>
      <c r="BW156" s="288" t="str">
        <f t="shared" si="33"/>
        <v/>
      </c>
      <c r="BX156" s="288" t="str">
        <f t="shared" si="34"/>
        <v/>
      </c>
      <c r="BY156" s="288" t="str">
        <f t="shared" si="35"/>
        <v/>
      </c>
      <c r="BZ156" s="289"/>
    </row>
    <row r="157" spans="1:78" ht="15" customHeight="1">
      <c r="A157" s="276">
        <f>IF('Statement of Marks'!A160="","",'Statement of Marks'!A160)</f>
        <v>154</v>
      </c>
      <c r="B157" s="277" t="str">
        <f>IF('Statement of Marks'!B160="","",'Statement of Marks'!B160)</f>
        <v/>
      </c>
      <c r="C157" s="278" t="str">
        <f>IF('Statement of Marks'!D160="","",'Statement of Marks'!D160)</f>
        <v/>
      </c>
      <c r="D157" s="314" t="str">
        <f>IF('Statement of Marks'!E160="","",'Statement of Marks'!E160)</f>
        <v/>
      </c>
      <c r="E157" s="279" t="str">
        <f>IF('Statement of Marks'!F160="","",'Statement of Marks'!F160)</f>
        <v/>
      </c>
      <c r="F157" s="279" t="str">
        <f>IF('Statement of Marks'!G160="","",'Statement of Marks'!G160)</f>
        <v/>
      </c>
      <c r="G157" s="279" t="str">
        <f>IF('Statement of Marks'!H160="","",'Statement of Marks'!H160)</f>
        <v/>
      </c>
      <c r="H157" s="280" t="str">
        <f>IF('Statement of Marks'!I160="","",'Statement of Marks'!I160)</f>
        <v/>
      </c>
      <c r="I157" s="280" t="str">
        <f>IF('Statement of Marks'!J160="","",'Statement of Marks'!J160)</f>
        <v/>
      </c>
      <c r="J157" s="827" t="str">
        <f>IF('Statement of Marks'!HS160="","",'Statement of Marks'!HS160)</f>
        <v/>
      </c>
      <c r="K157" s="281" t="str">
        <f>IF('Statement of Marks'!HT160="","",'Statement of Marks'!HT160)</f>
        <v/>
      </c>
      <c r="L157" s="828" t="str">
        <f>IF('Statement of Marks'!HW160="","",'Statement of Marks'!HW160)</f>
        <v/>
      </c>
      <c r="M157" s="281" t="str">
        <f>IF('Statement of Marks'!HV160="","",'Statement of Marks'!HV160)</f>
        <v/>
      </c>
      <c r="N157" s="829" t="str">
        <f>IF('Statement of Marks'!HX160="","",'Statement of Marks'!HX160)</f>
        <v/>
      </c>
      <c r="O157" s="282" t="str">
        <f>IF(J157="FAIL","",IF('Statement of Marks'!HO160="","",'Statement of Marks'!HO160))</f>
        <v xml:space="preserve">      </v>
      </c>
      <c r="P157" s="283" t="str">
        <f>IF('Supp. Result Entry'!AQ158="","",'Supp. Result Entry'!AQ158)</f>
        <v/>
      </c>
      <c r="Q157" s="284" t="str">
        <f>IF('Supp. Result Entry'!AR158="","",'Supp. Result Entry'!AR158)</f>
        <v/>
      </c>
      <c r="R157" s="285" t="str">
        <f>IF('Statement of Marks'!IA160="","",'Statement of Marks'!IA160)</f>
        <v/>
      </c>
      <c r="S157" s="286" t="str">
        <f>IF('Statement of Marks'!GL160="","",'Statement of Marks'!GL160)</f>
        <v/>
      </c>
      <c r="BM157" s="287" t="str">
        <f>'Statement of Marks'!F160</f>
        <v/>
      </c>
      <c r="BN157" s="288" t="str">
        <f t="shared" si="24"/>
        <v/>
      </c>
      <c r="BO157" s="288" t="str">
        <f t="shared" si="25"/>
        <v/>
      </c>
      <c r="BP157" s="288" t="str">
        <f t="shared" si="26"/>
        <v/>
      </c>
      <c r="BQ157" s="288" t="str">
        <f t="shared" si="27"/>
        <v/>
      </c>
      <c r="BR157" s="288" t="str">
        <f t="shared" si="28"/>
        <v/>
      </c>
      <c r="BS157" s="288" t="str">
        <f t="shared" si="29"/>
        <v/>
      </c>
      <c r="BT157" s="288" t="str">
        <f t="shared" si="30"/>
        <v/>
      </c>
      <c r="BU157" s="288" t="str">
        <f t="shared" si="31"/>
        <v/>
      </c>
      <c r="BV157" s="288" t="str">
        <f t="shared" si="32"/>
        <v/>
      </c>
      <c r="BW157" s="288" t="str">
        <f t="shared" si="33"/>
        <v/>
      </c>
      <c r="BX157" s="288" t="str">
        <f t="shared" si="34"/>
        <v/>
      </c>
      <c r="BY157" s="288" t="str">
        <f t="shared" si="35"/>
        <v/>
      </c>
      <c r="BZ157" s="289"/>
    </row>
    <row r="158" spans="1:78" ht="15" customHeight="1">
      <c r="A158" s="276">
        <f>IF('Statement of Marks'!A161="","",'Statement of Marks'!A161)</f>
        <v>155</v>
      </c>
      <c r="B158" s="277" t="str">
        <f>IF('Statement of Marks'!B161="","",'Statement of Marks'!B161)</f>
        <v/>
      </c>
      <c r="C158" s="278" t="str">
        <f>IF('Statement of Marks'!D161="","",'Statement of Marks'!D161)</f>
        <v/>
      </c>
      <c r="D158" s="314" t="str">
        <f>IF('Statement of Marks'!E161="","",'Statement of Marks'!E161)</f>
        <v/>
      </c>
      <c r="E158" s="279" t="str">
        <f>IF('Statement of Marks'!F161="","",'Statement of Marks'!F161)</f>
        <v/>
      </c>
      <c r="F158" s="279" t="str">
        <f>IF('Statement of Marks'!G161="","",'Statement of Marks'!G161)</f>
        <v/>
      </c>
      <c r="G158" s="279" t="str">
        <f>IF('Statement of Marks'!H161="","",'Statement of Marks'!H161)</f>
        <v/>
      </c>
      <c r="H158" s="280" t="str">
        <f>IF('Statement of Marks'!I161="","",'Statement of Marks'!I161)</f>
        <v/>
      </c>
      <c r="I158" s="280" t="str">
        <f>IF('Statement of Marks'!J161="","",'Statement of Marks'!J161)</f>
        <v/>
      </c>
      <c r="J158" s="827" t="str">
        <f>IF('Statement of Marks'!HS161="","",'Statement of Marks'!HS161)</f>
        <v/>
      </c>
      <c r="K158" s="281" t="str">
        <f>IF('Statement of Marks'!HT161="","",'Statement of Marks'!HT161)</f>
        <v/>
      </c>
      <c r="L158" s="828" t="str">
        <f>IF('Statement of Marks'!HW161="","",'Statement of Marks'!HW161)</f>
        <v/>
      </c>
      <c r="M158" s="281" t="str">
        <f>IF('Statement of Marks'!HV161="","",'Statement of Marks'!HV161)</f>
        <v/>
      </c>
      <c r="N158" s="829" t="str">
        <f>IF('Statement of Marks'!HX161="","",'Statement of Marks'!HX161)</f>
        <v/>
      </c>
      <c r="O158" s="282" t="str">
        <f>IF(J158="FAIL","",IF('Statement of Marks'!HO161="","",'Statement of Marks'!HO161))</f>
        <v xml:space="preserve">      </v>
      </c>
      <c r="P158" s="283" t="str">
        <f>IF('Supp. Result Entry'!AQ159="","",'Supp. Result Entry'!AQ159)</f>
        <v/>
      </c>
      <c r="Q158" s="284" t="str">
        <f>IF('Supp. Result Entry'!AR159="","",'Supp. Result Entry'!AR159)</f>
        <v/>
      </c>
      <c r="R158" s="285" t="str">
        <f>IF('Statement of Marks'!IA161="","",'Statement of Marks'!IA161)</f>
        <v/>
      </c>
      <c r="S158" s="286" t="str">
        <f>IF('Statement of Marks'!GL161="","",'Statement of Marks'!GL161)</f>
        <v/>
      </c>
      <c r="BM158" s="287" t="str">
        <f>'Statement of Marks'!F161</f>
        <v/>
      </c>
      <c r="BN158" s="288" t="str">
        <f t="shared" si="24"/>
        <v/>
      </c>
      <c r="BO158" s="288" t="str">
        <f t="shared" si="25"/>
        <v/>
      </c>
      <c r="BP158" s="288" t="str">
        <f t="shared" si="26"/>
        <v/>
      </c>
      <c r="BQ158" s="288" t="str">
        <f t="shared" si="27"/>
        <v/>
      </c>
      <c r="BR158" s="288" t="str">
        <f t="shared" si="28"/>
        <v/>
      </c>
      <c r="BS158" s="288" t="str">
        <f t="shared" si="29"/>
        <v/>
      </c>
      <c r="BT158" s="288" t="str">
        <f t="shared" si="30"/>
        <v/>
      </c>
      <c r="BU158" s="288" t="str">
        <f t="shared" si="31"/>
        <v/>
      </c>
      <c r="BV158" s="288" t="str">
        <f t="shared" si="32"/>
        <v/>
      </c>
      <c r="BW158" s="288" t="str">
        <f t="shared" si="33"/>
        <v/>
      </c>
      <c r="BX158" s="288" t="str">
        <f t="shared" si="34"/>
        <v/>
      </c>
      <c r="BY158" s="288" t="str">
        <f t="shared" si="35"/>
        <v/>
      </c>
      <c r="BZ158" s="289"/>
    </row>
    <row r="159" spans="1:78" ht="15" customHeight="1">
      <c r="A159" s="276">
        <f>IF('Statement of Marks'!A162="","",'Statement of Marks'!A162)</f>
        <v>156</v>
      </c>
      <c r="B159" s="277" t="str">
        <f>IF('Statement of Marks'!B162="","",'Statement of Marks'!B162)</f>
        <v/>
      </c>
      <c r="C159" s="278" t="str">
        <f>IF('Statement of Marks'!D162="","",'Statement of Marks'!D162)</f>
        <v/>
      </c>
      <c r="D159" s="314" t="str">
        <f>IF('Statement of Marks'!E162="","",'Statement of Marks'!E162)</f>
        <v/>
      </c>
      <c r="E159" s="279" t="str">
        <f>IF('Statement of Marks'!F162="","",'Statement of Marks'!F162)</f>
        <v/>
      </c>
      <c r="F159" s="279" t="str">
        <f>IF('Statement of Marks'!G162="","",'Statement of Marks'!G162)</f>
        <v/>
      </c>
      <c r="G159" s="279" t="str">
        <f>IF('Statement of Marks'!H162="","",'Statement of Marks'!H162)</f>
        <v/>
      </c>
      <c r="H159" s="280" t="str">
        <f>IF('Statement of Marks'!I162="","",'Statement of Marks'!I162)</f>
        <v/>
      </c>
      <c r="I159" s="280" t="str">
        <f>IF('Statement of Marks'!J162="","",'Statement of Marks'!J162)</f>
        <v/>
      </c>
      <c r="J159" s="827" t="str">
        <f>IF('Statement of Marks'!HS162="","",'Statement of Marks'!HS162)</f>
        <v/>
      </c>
      <c r="K159" s="281" t="str">
        <f>IF('Statement of Marks'!HT162="","",'Statement of Marks'!HT162)</f>
        <v/>
      </c>
      <c r="L159" s="828" t="str">
        <f>IF('Statement of Marks'!HW162="","",'Statement of Marks'!HW162)</f>
        <v/>
      </c>
      <c r="M159" s="281" t="str">
        <f>IF('Statement of Marks'!HV162="","",'Statement of Marks'!HV162)</f>
        <v/>
      </c>
      <c r="N159" s="829" t="str">
        <f>IF('Statement of Marks'!HX162="","",'Statement of Marks'!HX162)</f>
        <v/>
      </c>
      <c r="O159" s="282" t="str">
        <f>IF(J159="FAIL","",IF('Statement of Marks'!HO162="","",'Statement of Marks'!HO162))</f>
        <v xml:space="preserve">      </v>
      </c>
      <c r="P159" s="283" t="str">
        <f>IF('Supp. Result Entry'!AQ160="","",'Supp. Result Entry'!AQ160)</f>
        <v/>
      </c>
      <c r="Q159" s="284" t="str">
        <f>IF('Supp. Result Entry'!AR160="","",'Supp. Result Entry'!AR160)</f>
        <v/>
      </c>
      <c r="R159" s="285" t="str">
        <f>IF('Statement of Marks'!IA162="","",'Statement of Marks'!IA162)</f>
        <v/>
      </c>
      <c r="S159" s="286" t="str">
        <f>IF('Statement of Marks'!GL162="","",'Statement of Marks'!GL162)</f>
        <v/>
      </c>
      <c r="BM159" s="287" t="str">
        <f>'Statement of Marks'!F162</f>
        <v/>
      </c>
      <c r="BN159" s="288" t="str">
        <f t="shared" si="24"/>
        <v/>
      </c>
      <c r="BO159" s="288" t="str">
        <f t="shared" si="25"/>
        <v/>
      </c>
      <c r="BP159" s="288" t="str">
        <f t="shared" si="26"/>
        <v/>
      </c>
      <c r="BQ159" s="288" t="str">
        <f t="shared" si="27"/>
        <v/>
      </c>
      <c r="BR159" s="288" t="str">
        <f t="shared" si="28"/>
        <v/>
      </c>
      <c r="BS159" s="288" t="str">
        <f t="shared" si="29"/>
        <v/>
      </c>
      <c r="BT159" s="288" t="str">
        <f t="shared" si="30"/>
        <v/>
      </c>
      <c r="BU159" s="288" t="str">
        <f t="shared" si="31"/>
        <v/>
      </c>
      <c r="BV159" s="288" t="str">
        <f t="shared" si="32"/>
        <v/>
      </c>
      <c r="BW159" s="288" t="str">
        <f t="shared" si="33"/>
        <v/>
      </c>
      <c r="BX159" s="288" t="str">
        <f t="shared" si="34"/>
        <v/>
      </c>
      <c r="BY159" s="288" t="str">
        <f t="shared" si="35"/>
        <v/>
      </c>
      <c r="BZ159" s="289"/>
    </row>
    <row r="160" spans="1:78" ht="15" customHeight="1">
      <c r="A160" s="276">
        <f>IF('Statement of Marks'!A163="","",'Statement of Marks'!A163)</f>
        <v>157</v>
      </c>
      <c r="B160" s="277" t="str">
        <f>IF('Statement of Marks'!B163="","",'Statement of Marks'!B163)</f>
        <v/>
      </c>
      <c r="C160" s="278" t="str">
        <f>IF('Statement of Marks'!D163="","",'Statement of Marks'!D163)</f>
        <v/>
      </c>
      <c r="D160" s="314" t="str">
        <f>IF('Statement of Marks'!E163="","",'Statement of Marks'!E163)</f>
        <v/>
      </c>
      <c r="E160" s="279" t="str">
        <f>IF('Statement of Marks'!F163="","",'Statement of Marks'!F163)</f>
        <v/>
      </c>
      <c r="F160" s="279" t="str">
        <f>IF('Statement of Marks'!G163="","",'Statement of Marks'!G163)</f>
        <v/>
      </c>
      <c r="G160" s="279" t="str">
        <f>IF('Statement of Marks'!H163="","",'Statement of Marks'!H163)</f>
        <v/>
      </c>
      <c r="H160" s="280" t="str">
        <f>IF('Statement of Marks'!I163="","",'Statement of Marks'!I163)</f>
        <v/>
      </c>
      <c r="I160" s="280" t="str">
        <f>IF('Statement of Marks'!J163="","",'Statement of Marks'!J163)</f>
        <v/>
      </c>
      <c r="J160" s="827" t="str">
        <f>IF('Statement of Marks'!HS163="","",'Statement of Marks'!HS163)</f>
        <v/>
      </c>
      <c r="K160" s="281" t="str">
        <f>IF('Statement of Marks'!HT163="","",'Statement of Marks'!HT163)</f>
        <v/>
      </c>
      <c r="L160" s="828" t="str">
        <f>IF('Statement of Marks'!HW163="","",'Statement of Marks'!HW163)</f>
        <v/>
      </c>
      <c r="M160" s="281" t="str">
        <f>IF('Statement of Marks'!HV163="","",'Statement of Marks'!HV163)</f>
        <v/>
      </c>
      <c r="N160" s="829" t="str">
        <f>IF('Statement of Marks'!HX163="","",'Statement of Marks'!HX163)</f>
        <v/>
      </c>
      <c r="O160" s="282" t="str">
        <f>IF(J160="FAIL","",IF('Statement of Marks'!HO163="","",'Statement of Marks'!HO163))</f>
        <v xml:space="preserve">      </v>
      </c>
      <c r="P160" s="283" t="str">
        <f>IF('Supp. Result Entry'!AQ161="","",'Supp. Result Entry'!AQ161)</f>
        <v/>
      </c>
      <c r="Q160" s="284" t="str">
        <f>IF('Supp. Result Entry'!AR161="","",'Supp. Result Entry'!AR161)</f>
        <v/>
      </c>
      <c r="R160" s="285" t="str">
        <f>IF('Statement of Marks'!IA163="","",'Statement of Marks'!IA163)</f>
        <v/>
      </c>
      <c r="S160" s="286" t="str">
        <f>IF('Statement of Marks'!GL163="","",'Statement of Marks'!GL163)</f>
        <v/>
      </c>
      <c r="BM160" s="287" t="str">
        <f>'Statement of Marks'!F163</f>
        <v/>
      </c>
      <c r="BN160" s="288" t="str">
        <f t="shared" si="24"/>
        <v/>
      </c>
      <c r="BO160" s="288" t="str">
        <f t="shared" si="25"/>
        <v/>
      </c>
      <c r="BP160" s="288" t="str">
        <f t="shared" si="26"/>
        <v/>
      </c>
      <c r="BQ160" s="288" t="str">
        <f t="shared" si="27"/>
        <v/>
      </c>
      <c r="BR160" s="288" t="str">
        <f t="shared" si="28"/>
        <v/>
      </c>
      <c r="BS160" s="288" t="str">
        <f t="shared" si="29"/>
        <v/>
      </c>
      <c r="BT160" s="288" t="str">
        <f t="shared" si="30"/>
        <v/>
      </c>
      <c r="BU160" s="288" t="str">
        <f t="shared" si="31"/>
        <v/>
      </c>
      <c r="BV160" s="288" t="str">
        <f t="shared" si="32"/>
        <v/>
      </c>
      <c r="BW160" s="288" t="str">
        <f t="shared" si="33"/>
        <v/>
      </c>
      <c r="BX160" s="288" t="str">
        <f t="shared" si="34"/>
        <v/>
      </c>
      <c r="BY160" s="288" t="str">
        <f t="shared" si="35"/>
        <v/>
      </c>
      <c r="BZ160" s="289"/>
    </row>
    <row r="161" spans="1:78" ht="15" customHeight="1">
      <c r="A161" s="276">
        <f>IF('Statement of Marks'!A164="","",'Statement of Marks'!A164)</f>
        <v>158</v>
      </c>
      <c r="B161" s="277" t="str">
        <f>IF('Statement of Marks'!B164="","",'Statement of Marks'!B164)</f>
        <v/>
      </c>
      <c r="C161" s="278" t="str">
        <f>IF('Statement of Marks'!D164="","",'Statement of Marks'!D164)</f>
        <v/>
      </c>
      <c r="D161" s="314" t="str">
        <f>IF('Statement of Marks'!E164="","",'Statement of Marks'!E164)</f>
        <v/>
      </c>
      <c r="E161" s="279" t="str">
        <f>IF('Statement of Marks'!F164="","",'Statement of Marks'!F164)</f>
        <v/>
      </c>
      <c r="F161" s="279" t="str">
        <f>IF('Statement of Marks'!G164="","",'Statement of Marks'!G164)</f>
        <v/>
      </c>
      <c r="G161" s="279" t="str">
        <f>IF('Statement of Marks'!H164="","",'Statement of Marks'!H164)</f>
        <v/>
      </c>
      <c r="H161" s="280" t="str">
        <f>IF('Statement of Marks'!I164="","",'Statement of Marks'!I164)</f>
        <v/>
      </c>
      <c r="I161" s="280" t="str">
        <f>IF('Statement of Marks'!J164="","",'Statement of Marks'!J164)</f>
        <v/>
      </c>
      <c r="J161" s="827" t="str">
        <f>IF('Statement of Marks'!HS164="","",'Statement of Marks'!HS164)</f>
        <v/>
      </c>
      <c r="K161" s="281" t="str">
        <f>IF('Statement of Marks'!HT164="","",'Statement of Marks'!HT164)</f>
        <v/>
      </c>
      <c r="L161" s="828" t="str">
        <f>IF('Statement of Marks'!HW164="","",'Statement of Marks'!HW164)</f>
        <v/>
      </c>
      <c r="M161" s="281" t="str">
        <f>IF('Statement of Marks'!HV164="","",'Statement of Marks'!HV164)</f>
        <v/>
      </c>
      <c r="N161" s="829" t="str">
        <f>IF('Statement of Marks'!HX164="","",'Statement of Marks'!HX164)</f>
        <v/>
      </c>
      <c r="O161" s="282" t="str">
        <f>IF(J161="FAIL","",IF('Statement of Marks'!HO164="","",'Statement of Marks'!HO164))</f>
        <v xml:space="preserve">      </v>
      </c>
      <c r="P161" s="283" t="str">
        <f>IF('Supp. Result Entry'!AQ162="","",'Supp. Result Entry'!AQ162)</f>
        <v/>
      </c>
      <c r="Q161" s="284" t="str">
        <f>IF('Supp. Result Entry'!AR162="","",'Supp. Result Entry'!AR162)</f>
        <v/>
      </c>
      <c r="R161" s="285" t="str">
        <f>IF('Statement of Marks'!IA164="","",'Statement of Marks'!IA164)</f>
        <v/>
      </c>
      <c r="S161" s="286" t="str">
        <f>IF('Statement of Marks'!GL164="","",'Statement of Marks'!GL164)</f>
        <v/>
      </c>
      <c r="BM161" s="287" t="str">
        <f>'Statement of Marks'!F164</f>
        <v/>
      </c>
      <c r="BN161" s="288" t="str">
        <f t="shared" si="24"/>
        <v/>
      </c>
      <c r="BO161" s="288" t="str">
        <f t="shared" si="25"/>
        <v/>
      </c>
      <c r="BP161" s="288" t="str">
        <f t="shared" si="26"/>
        <v/>
      </c>
      <c r="BQ161" s="288" t="str">
        <f t="shared" si="27"/>
        <v/>
      </c>
      <c r="BR161" s="288" t="str">
        <f t="shared" si="28"/>
        <v/>
      </c>
      <c r="BS161" s="288" t="str">
        <f t="shared" si="29"/>
        <v/>
      </c>
      <c r="BT161" s="288" t="str">
        <f t="shared" si="30"/>
        <v/>
      </c>
      <c r="BU161" s="288" t="str">
        <f t="shared" si="31"/>
        <v/>
      </c>
      <c r="BV161" s="288" t="str">
        <f t="shared" si="32"/>
        <v/>
      </c>
      <c r="BW161" s="288" t="str">
        <f t="shared" si="33"/>
        <v/>
      </c>
      <c r="BX161" s="288" t="str">
        <f t="shared" si="34"/>
        <v/>
      </c>
      <c r="BY161" s="288" t="str">
        <f t="shared" si="35"/>
        <v/>
      </c>
      <c r="BZ161" s="289"/>
    </row>
    <row r="162" spans="1:78" ht="15" customHeight="1">
      <c r="A162" s="276">
        <f>IF('Statement of Marks'!A165="","",'Statement of Marks'!A165)</f>
        <v>159</v>
      </c>
      <c r="B162" s="277" t="str">
        <f>IF('Statement of Marks'!B165="","",'Statement of Marks'!B165)</f>
        <v/>
      </c>
      <c r="C162" s="278" t="str">
        <f>IF('Statement of Marks'!D165="","",'Statement of Marks'!D165)</f>
        <v/>
      </c>
      <c r="D162" s="314" t="str">
        <f>IF('Statement of Marks'!E165="","",'Statement of Marks'!E165)</f>
        <v/>
      </c>
      <c r="E162" s="279" t="str">
        <f>IF('Statement of Marks'!F165="","",'Statement of Marks'!F165)</f>
        <v/>
      </c>
      <c r="F162" s="279" t="str">
        <f>IF('Statement of Marks'!G165="","",'Statement of Marks'!G165)</f>
        <v/>
      </c>
      <c r="G162" s="279" t="str">
        <f>IF('Statement of Marks'!H165="","",'Statement of Marks'!H165)</f>
        <v/>
      </c>
      <c r="H162" s="280" t="str">
        <f>IF('Statement of Marks'!I165="","",'Statement of Marks'!I165)</f>
        <v/>
      </c>
      <c r="I162" s="280" t="str">
        <f>IF('Statement of Marks'!J165="","",'Statement of Marks'!J165)</f>
        <v/>
      </c>
      <c r="J162" s="827" t="str">
        <f>IF('Statement of Marks'!HS165="","",'Statement of Marks'!HS165)</f>
        <v/>
      </c>
      <c r="K162" s="281" t="str">
        <f>IF('Statement of Marks'!HT165="","",'Statement of Marks'!HT165)</f>
        <v/>
      </c>
      <c r="L162" s="828" t="str">
        <f>IF('Statement of Marks'!HW165="","",'Statement of Marks'!HW165)</f>
        <v/>
      </c>
      <c r="M162" s="281" t="str">
        <f>IF('Statement of Marks'!HV165="","",'Statement of Marks'!HV165)</f>
        <v/>
      </c>
      <c r="N162" s="829" t="str">
        <f>IF('Statement of Marks'!HX165="","",'Statement of Marks'!HX165)</f>
        <v/>
      </c>
      <c r="O162" s="282" t="str">
        <f>IF(J162="FAIL","",IF('Statement of Marks'!HO165="","",'Statement of Marks'!HO165))</f>
        <v xml:space="preserve">      </v>
      </c>
      <c r="P162" s="283" t="str">
        <f>IF('Supp. Result Entry'!AQ163="","",'Supp. Result Entry'!AQ163)</f>
        <v/>
      </c>
      <c r="Q162" s="284" t="str">
        <f>IF('Supp. Result Entry'!AR163="","",'Supp. Result Entry'!AR163)</f>
        <v/>
      </c>
      <c r="R162" s="285" t="str">
        <f>IF('Statement of Marks'!IA165="","",'Statement of Marks'!IA165)</f>
        <v/>
      </c>
      <c r="S162" s="286" t="str">
        <f>IF('Statement of Marks'!GL165="","",'Statement of Marks'!GL165)</f>
        <v/>
      </c>
      <c r="BM162" s="287" t="str">
        <f>'Statement of Marks'!F165</f>
        <v/>
      </c>
      <c r="BN162" s="288" t="str">
        <f t="shared" si="24"/>
        <v/>
      </c>
      <c r="BO162" s="288" t="str">
        <f t="shared" si="25"/>
        <v/>
      </c>
      <c r="BP162" s="288" t="str">
        <f t="shared" si="26"/>
        <v/>
      </c>
      <c r="BQ162" s="288" t="str">
        <f t="shared" si="27"/>
        <v/>
      </c>
      <c r="BR162" s="288" t="str">
        <f t="shared" si="28"/>
        <v/>
      </c>
      <c r="BS162" s="288" t="str">
        <f t="shared" si="29"/>
        <v/>
      </c>
      <c r="BT162" s="288" t="str">
        <f t="shared" si="30"/>
        <v/>
      </c>
      <c r="BU162" s="288" t="str">
        <f t="shared" si="31"/>
        <v/>
      </c>
      <c r="BV162" s="288" t="str">
        <f t="shared" si="32"/>
        <v/>
      </c>
      <c r="BW162" s="288" t="str">
        <f t="shared" si="33"/>
        <v/>
      </c>
      <c r="BX162" s="288" t="str">
        <f t="shared" si="34"/>
        <v/>
      </c>
      <c r="BY162" s="288" t="str">
        <f t="shared" si="35"/>
        <v/>
      </c>
      <c r="BZ162" s="289"/>
    </row>
    <row r="163" spans="1:78" ht="15" customHeight="1">
      <c r="A163" s="276">
        <f>IF('Statement of Marks'!A166="","",'Statement of Marks'!A166)</f>
        <v>160</v>
      </c>
      <c r="B163" s="277" t="str">
        <f>IF('Statement of Marks'!B166="","",'Statement of Marks'!B166)</f>
        <v/>
      </c>
      <c r="C163" s="278" t="str">
        <f>IF('Statement of Marks'!D166="","",'Statement of Marks'!D166)</f>
        <v/>
      </c>
      <c r="D163" s="314" t="str">
        <f>IF('Statement of Marks'!E166="","",'Statement of Marks'!E166)</f>
        <v/>
      </c>
      <c r="E163" s="279" t="str">
        <f>IF('Statement of Marks'!F166="","",'Statement of Marks'!F166)</f>
        <v/>
      </c>
      <c r="F163" s="279" t="str">
        <f>IF('Statement of Marks'!G166="","",'Statement of Marks'!G166)</f>
        <v/>
      </c>
      <c r="G163" s="279" t="str">
        <f>IF('Statement of Marks'!H166="","",'Statement of Marks'!H166)</f>
        <v/>
      </c>
      <c r="H163" s="280" t="str">
        <f>IF('Statement of Marks'!I166="","",'Statement of Marks'!I166)</f>
        <v/>
      </c>
      <c r="I163" s="280" t="str">
        <f>IF('Statement of Marks'!J166="","",'Statement of Marks'!J166)</f>
        <v/>
      </c>
      <c r="J163" s="827" t="str">
        <f>IF('Statement of Marks'!HS166="","",'Statement of Marks'!HS166)</f>
        <v/>
      </c>
      <c r="K163" s="281" t="str">
        <f>IF('Statement of Marks'!HT166="","",'Statement of Marks'!HT166)</f>
        <v/>
      </c>
      <c r="L163" s="828" t="str">
        <f>IF('Statement of Marks'!HW166="","",'Statement of Marks'!HW166)</f>
        <v/>
      </c>
      <c r="M163" s="281" t="str">
        <f>IF('Statement of Marks'!HV166="","",'Statement of Marks'!HV166)</f>
        <v/>
      </c>
      <c r="N163" s="829" t="str">
        <f>IF('Statement of Marks'!HX166="","",'Statement of Marks'!HX166)</f>
        <v/>
      </c>
      <c r="O163" s="282" t="str">
        <f>IF(J163="FAIL","",IF('Statement of Marks'!HO166="","",'Statement of Marks'!HO166))</f>
        <v xml:space="preserve">      </v>
      </c>
      <c r="P163" s="283" t="str">
        <f>IF('Supp. Result Entry'!AQ164="","",'Supp. Result Entry'!AQ164)</f>
        <v/>
      </c>
      <c r="Q163" s="284" t="str">
        <f>IF('Supp. Result Entry'!AR164="","",'Supp. Result Entry'!AR164)</f>
        <v/>
      </c>
      <c r="R163" s="285" t="str">
        <f>IF('Statement of Marks'!IA166="","",'Statement of Marks'!IA166)</f>
        <v/>
      </c>
      <c r="S163" s="286" t="str">
        <f>IF('Statement of Marks'!GL166="","",'Statement of Marks'!GL166)</f>
        <v/>
      </c>
      <c r="BM163" s="287" t="str">
        <f>'Statement of Marks'!F166</f>
        <v/>
      </c>
      <c r="BN163" s="288" t="str">
        <f t="shared" si="24"/>
        <v/>
      </c>
      <c r="BO163" s="288" t="str">
        <f t="shared" si="25"/>
        <v/>
      </c>
      <c r="BP163" s="288" t="str">
        <f t="shared" si="26"/>
        <v/>
      </c>
      <c r="BQ163" s="288" t="str">
        <f t="shared" si="27"/>
        <v/>
      </c>
      <c r="BR163" s="288" t="str">
        <f t="shared" si="28"/>
        <v/>
      </c>
      <c r="BS163" s="288" t="str">
        <f t="shared" si="29"/>
        <v/>
      </c>
      <c r="BT163" s="288" t="str">
        <f t="shared" si="30"/>
        <v/>
      </c>
      <c r="BU163" s="288" t="str">
        <f t="shared" si="31"/>
        <v/>
      </c>
      <c r="BV163" s="288" t="str">
        <f t="shared" si="32"/>
        <v/>
      </c>
      <c r="BW163" s="288" t="str">
        <f t="shared" si="33"/>
        <v/>
      </c>
      <c r="BX163" s="288" t="str">
        <f t="shared" si="34"/>
        <v/>
      </c>
      <c r="BY163" s="288" t="str">
        <f t="shared" si="35"/>
        <v/>
      </c>
      <c r="BZ163" s="289"/>
    </row>
    <row r="164" spans="1:78" ht="15" customHeight="1">
      <c r="A164" s="276">
        <f>IF('Statement of Marks'!A167="","",'Statement of Marks'!A167)</f>
        <v>161</v>
      </c>
      <c r="B164" s="277" t="str">
        <f>IF('Statement of Marks'!B167="","",'Statement of Marks'!B167)</f>
        <v/>
      </c>
      <c r="C164" s="278" t="str">
        <f>IF('Statement of Marks'!D167="","",'Statement of Marks'!D167)</f>
        <v/>
      </c>
      <c r="D164" s="314" t="str">
        <f>IF('Statement of Marks'!E167="","",'Statement of Marks'!E167)</f>
        <v/>
      </c>
      <c r="E164" s="279" t="str">
        <f>IF('Statement of Marks'!F167="","",'Statement of Marks'!F167)</f>
        <v/>
      </c>
      <c r="F164" s="279" t="str">
        <f>IF('Statement of Marks'!G167="","",'Statement of Marks'!G167)</f>
        <v/>
      </c>
      <c r="G164" s="279" t="str">
        <f>IF('Statement of Marks'!H167="","",'Statement of Marks'!H167)</f>
        <v/>
      </c>
      <c r="H164" s="280" t="str">
        <f>IF('Statement of Marks'!I167="","",'Statement of Marks'!I167)</f>
        <v/>
      </c>
      <c r="I164" s="280" t="str">
        <f>IF('Statement of Marks'!J167="","",'Statement of Marks'!J167)</f>
        <v/>
      </c>
      <c r="J164" s="827" t="str">
        <f>IF('Statement of Marks'!HS167="","",'Statement of Marks'!HS167)</f>
        <v/>
      </c>
      <c r="K164" s="281" t="str">
        <f>IF('Statement of Marks'!HT167="","",'Statement of Marks'!HT167)</f>
        <v/>
      </c>
      <c r="L164" s="828" t="str">
        <f>IF('Statement of Marks'!HW167="","",'Statement of Marks'!HW167)</f>
        <v/>
      </c>
      <c r="M164" s="281" t="str">
        <f>IF('Statement of Marks'!HV167="","",'Statement of Marks'!HV167)</f>
        <v/>
      </c>
      <c r="N164" s="829" t="str">
        <f>IF('Statement of Marks'!HX167="","",'Statement of Marks'!HX167)</f>
        <v/>
      </c>
      <c r="O164" s="282" t="str">
        <f>IF(J164="FAIL","",IF('Statement of Marks'!HO167="","",'Statement of Marks'!HO167))</f>
        <v xml:space="preserve">      </v>
      </c>
      <c r="P164" s="283" t="str">
        <f>IF('Supp. Result Entry'!AQ165="","",'Supp. Result Entry'!AQ165)</f>
        <v/>
      </c>
      <c r="Q164" s="284" t="str">
        <f>IF('Supp. Result Entry'!AR165="","",'Supp. Result Entry'!AR165)</f>
        <v/>
      </c>
      <c r="R164" s="285" t="str">
        <f>IF('Statement of Marks'!IA167="","",'Statement of Marks'!IA167)</f>
        <v/>
      </c>
      <c r="S164" s="286" t="str">
        <f>IF('Statement of Marks'!GL167="","",'Statement of Marks'!GL167)</f>
        <v/>
      </c>
      <c r="BM164" s="287" t="str">
        <f>'Statement of Marks'!F167</f>
        <v/>
      </c>
      <c r="BN164" s="288" t="str">
        <f t="shared" si="24"/>
        <v/>
      </c>
      <c r="BO164" s="288" t="str">
        <f t="shared" si="25"/>
        <v/>
      </c>
      <c r="BP164" s="288" t="str">
        <f t="shared" si="26"/>
        <v/>
      </c>
      <c r="BQ164" s="288" t="str">
        <f t="shared" si="27"/>
        <v/>
      </c>
      <c r="BR164" s="288" t="str">
        <f t="shared" si="28"/>
        <v/>
      </c>
      <c r="BS164" s="288" t="str">
        <f t="shared" si="29"/>
        <v/>
      </c>
      <c r="BT164" s="288" t="str">
        <f t="shared" si="30"/>
        <v/>
      </c>
      <c r="BU164" s="288" t="str">
        <f t="shared" si="31"/>
        <v/>
      </c>
      <c r="BV164" s="288" t="str">
        <f t="shared" si="32"/>
        <v/>
      </c>
      <c r="BW164" s="288" t="str">
        <f t="shared" si="33"/>
        <v/>
      </c>
      <c r="BX164" s="288" t="str">
        <f t="shared" si="34"/>
        <v/>
      </c>
      <c r="BY164" s="288" t="str">
        <f t="shared" si="35"/>
        <v/>
      </c>
      <c r="BZ164" s="289"/>
    </row>
    <row r="165" spans="1:78" ht="15" customHeight="1">
      <c r="A165" s="276">
        <f>IF('Statement of Marks'!A168="","",'Statement of Marks'!A168)</f>
        <v>162</v>
      </c>
      <c r="B165" s="277" t="str">
        <f>IF('Statement of Marks'!B168="","",'Statement of Marks'!B168)</f>
        <v/>
      </c>
      <c r="C165" s="278" t="str">
        <f>IF('Statement of Marks'!D168="","",'Statement of Marks'!D168)</f>
        <v/>
      </c>
      <c r="D165" s="314" t="str">
        <f>IF('Statement of Marks'!E168="","",'Statement of Marks'!E168)</f>
        <v/>
      </c>
      <c r="E165" s="279" t="str">
        <f>IF('Statement of Marks'!F168="","",'Statement of Marks'!F168)</f>
        <v/>
      </c>
      <c r="F165" s="279" t="str">
        <f>IF('Statement of Marks'!G168="","",'Statement of Marks'!G168)</f>
        <v/>
      </c>
      <c r="G165" s="279" t="str">
        <f>IF('Statement of Marks'!H168="","",'Statement of Marks'!H168)</f>
        <v/>
      </c>
      <c r="H165" s="280" t="str">
        <f>IF('Statement of Marks'!I168="","",'Statement of Marks'!I168)</f>
        <v/>
      </c>
      <c r="I165" s="280" t="str">
        <f>IF('Statement of Marks'!J168="","",'Statement of Marks'!J168)</f>
        <v/>
      </c>
      <c r="J165" s="827" t="str">
        <f>IF('Statement of Marks'!HS168="","",'Statement of Marks'!HS168)</f>
        <v/>
      </c>
      <c r="K165" s="281" t="str">
        <f>IF('Statement of Marks'!HT168="","",'Statement of Marks'!HT168)</f>
        <v/>
      </c>
      <c r="L165" s="828" t="str">
        <f>IF('Statement of Marks'!HW168="","",'Statement of Marks'!HW168)</f>
        <v/>
      </c>
      <c r="M165" s="281" t="str">
        <f>IF('Statement of Marks'!HV168="","",'Statement of Marks'!HV168)</f>
        <v/>
      </c>
      <c r="N165" s="829" t="str">
        <f>IF('Statement of Marks'!HX168="","",'Statement of Marks'!HX168)</f>
        <v/>
      </c>
      <c r="O165" s="282" t="str">
        <f>IF(J165="FAIL","",IF('Statement of Marks'!HO168="","",'Statement of Marks'!HO168))</f>
        <v xml:space="preserve">      </v>
      </c>
      <c r="P165" s="283" t="str">
        <f>IF('Supp. Result Entry'!AQ166="","",'Supp. Result Entry'!AQ166)</f>
        <v/>
      </c>
      <c r="Q165" s="284" t="str">
        <f>IF('Supp. Result Entry'!AR166="","",'Supp. Result Entry'!AR166)</f>
        <v/>
      </c>
      <c r="R165" s="285" t="str">
        <f>IF('Statement of Marks'!IA168="","",'Statement of Marks'!IA168)</f>
        <v/>
      </c>
      <c r="S165" s="286" t="str">
        <f>IF('Statement of Marks'!GL168="","",'Statement of Marks'!GL168)</f>
        <v/>
      </c>
      <c r="BM165" s="287" t="str">
        <f>'Statement of Marks'!F168</f>
        <v/>
      </c>
      <c r="BN165" s="288" t="str">
        <f t="shared" si="24"/>
        <v/>
      </c>
      <c r="BO165" s="288" t="str">
        <f t="shared" si="25"/>
        <v/>
      </c>
      <c r="BP165" s="288" t="str">
        <f t="shared" si="26"/>
        <v/>
      </c>
      <c r="BQ165" s="288" t="str">
        <f t="shared" si="27"/>
        <v/>
      </c>
      <c r="BR165" s="288" t="str">
        <f t="shared" si="28"/>
        <v/>
      </c>
      <c r="BS165" s="288" t="str">
        <f t="shared" si="29"/>
        <v/>
      </c>
      <c r="BT165" s="288" t="str">
        <f t="shared" si="30"/>
        <v/>
      </c>
      <c r="BU165" s="288" t="str">
        <f t="shared" si="31"/>
        <v/>
      </c>
      <c r="BV165" s="288" t="str">
        <f t="shared" si="32"/>
        <v/>
      </c>
      <c r="BW165" s="288" t="str">
        <f t="shared" si="33"/>
        <v/>
      </c>
      <c r="BX165" s="288" t="str">
        <f t="shared" si="34"/>
        <v/>
      </c>
      <c r="BY165" s="288" t="str">
        <f t="shared" si="35"/>
        <v/>
      </c>
      <c r="BZ165" s="289"/>
    </row>
    <row r="166" spans="1:78" ht="15" customHeight="1">
      <c r="A166" s="276">
        <f>IF('Statement of Marks'!A169="","",'Statement of Marks'!A169)</f>
        <v>163</v>
      </c>
      <c r="B166" s="277" t="str">
        <f>IF('Statement of Marks'!B169="","",'Statement of Marks'!B169)</f>
        <v/>
      </c>
      <c r="C166" s="278" t="str">
        <f>IF('Statement of Marks'!D169="","",'Statement of Marks'!D169)</f>
        <v/>
      </c>
      <c r="D166" s="314" t="str">
        <f>IF('Statement of Marks'!E169="","",'Statement of Marks'!E169)</f>
        <v/>
      </c>
      <c r="E166" s="279" t="str">
        <f>IF('Statement of Marks'!F169="","",'Statement of Marks'!F169)</f>
        <v/>
      </c>
      <c r="F166" s="279" t="str">
        <f>IF('Statement of Marks'!G169="","",'Statement of Marks'!G169)</f>
        <v/>
      </c>
      <c r="G166" s="279" t="str">
        <f>IF('Statement of Marks'!H169="","",'Statement of Marks'!H169)</f>
        <v/>
      </c>
      <c r="H166" s="280" t="str">
        <f>IF('Statement of Marks'!I169="","",'Statement of Marks'!I169)</f>
        <v/>
      </c>
      <c r="I166" s="280" t="str">
        <f>IF('Statement of Marks'!J169="","",'Statement of Marks'!J169)</f>
        <v/>
      </c>
      <c r="J166" s="826" t="str">
        <f>IF('Statement of Marks'!HS169="","",'Statement of Marks'!HS169)</f>
        <v/>
      </c>
      <c r="K166" s="281" t="str">
        <f>IF('Statement of Marks'!HT169="","",'Statement of Marks'!HT169)</f>
        <v/>
      </c>
      <c r="L166" s="828" t="str">
        <f>IF('Statement of Marks'!HW169="","",'Statement of Marks'!HW169)</f>
        <v/>
      </c>
      <c r="M166" s="281" t="str">
        <f>IF('Statement of Marks'!HV169="","",'Statement of Marks'!HV169)</f>
        <v/>
      </c>
      <c r="N166" s="829" t="str">
        <f>IF('Statement of Marks'!HX169="","",'Statement of Marks'!HX169)</f>
        <v/>
      </c>
      <c r="O166" s="282" t="str">
        <f>IF(J166="FAIL","",IF('Statement of Marks'!HO169="","",'Statement of Marks'!HO169))</f>
        <v xml:space="preserve">      </v>
      </c>
      <c r="P166" s="283" t="str">
        <f>IF('Supp. Result Entry'!AQ167="","",'Supp. Result Entry'!AQ167)</f>
        <v/>
      </c>
      <c r="Q166" s="284" t="str">
        <f>IF('Supp. Result Entry'!AR167="","",'Supp. Result Entry'!AR167)</f>
        <v/>
      </c>
      <c r="R166" s="285" t="str">
        <f>IF('Statement of Marks'!IA169="","",'Statement of Marks'!IA169)</f>
        <v/>
      </c>
      <c r="S166" s="286" t="str">
        <f>IF('Statement of Marks'!GL169="","",'Statement of Marks'!GL169)</f>
        <v/>
      </c>
      <c r="BM166" s="287" t="str">
        <f>'Statement of Marks'!F169</f>
        <v/>
      </c>
      <c r="BN166" s="288" t="str">
        <f t="shared" si="24"/>
        <v/>
      </c>
      <c r="BO166" s="288" t="str">
        <f t="shared" si="25"/>
        <v/>
      </c>
      <c r="BP166" s="288" t="str">
        <f t="shared" si="26"/>
        <v/>
      </c>
      <c r="BQ166" s="288" t="str">
        <f t="shared" si="27"/>
        <v/>
      </c>
      <c r="BR166" s="288" t="str">
        <f t="shared" si="28"/>
        <v/>
      </c>
      <c r="BS166" s="288" t="str">
        <f t="shared" si="29"/>
        <v/>
      </c>
      <c r="BT166" s="288" t="str">
        <f t="shared" si="30"/>
        <v/>
      </c>
      <c r="BU166" s="288" t="str">
        <f t="shared" si="31"/>
        <v/>
      </c>
      <c r="BV166" s="288" t="str">
        <f t="shared" si="32"/>
        <v/>
      </c>
      <c r="BW166" s="288" t="str">
        <f t="shared" si="33"/>
        <v/>
      </c>
      <c r="BX166" s="288" t="str">
        <f t="shared" si="34"/>
        <v/>
      </c>
      <c r="BY166" s="288" t="str">
        <f t="shared" si="35"/>
        <v/>
      </c>
      <c r="BZ166" s="289"/>
    </row>
    <row r="167" spans="1:78" ht="15" customHeight="1">
      <c r="A167" s="276">
        <f>IF('Statement of Marks'!A170="","",'Statement of Marks'!A170)</f>
        <v>164</v>
      </c>
      <c r="B167" s="277" t="str">
        <f>IF('Statement of Marks'!B170="","",'Statement of Marks'!B170)</f>
        <v/>
      </c>
      <c r="C167" s="278" t="str">
        <f>IF('Statement of Marks'!D170="","",'Statement of Marks'!D170)</f>
        <v/>
      </c>
      <c r="D167" s="314" t="str">
        <f>IF('Statement of Marks'!E170="","",'Statement of Marks'!E170)</f>
        <v/>
      </c>
      <c r="E167" s="279" t="str">
        <f>IF('Statement of Marks'!F170="","",'Statement of Marks'!F170)</f>
        <v/>
      </c>
      <c r="F167" s="279" t="str">
        <f>IF('Statement of Marks'!G170="","",'Statement of Marks'!G170)</f>
        <v/>
      </c>
      <c r="G167" s="279" t="str">
        <f>IF('Statement of Marks'!H170="","",'Statement of Marks'!H170)</f>
        <v/>
      </c>
      <c r="H167" s="280" t="str">
        <f>IF('Statement of Marks'!I170="","",'Statement of Marks'!I170)</f>
        <v/>
      </c>
      <c r="I167" s="280" t="str">
        <f>IF('Statement of Marks'!J170="","",'Statement of Marks'!J170)</f>
        <v/>
      </c>
      <c r="J167" s="827" t="str">
        <f>IF('Statement of Marks'!HS170="","",'Statement of Marks'!HS170)</f>
        <v/>
      </c>
      <c r="K167" s="281" t="str">
        <f>IF('Statement of Marks'!HT170="","",'Statement of Marks'!HT170)</f>
        <v/>
      </c>
      <c r="L167" s="828" t="str">
        <f>IF('Statement of Marks'!HW170="","",'Statement of Marks'!HW170)</f>
        <v/>
      </c>
      <c r="M167" s="281" t="str">
        <f>IF('Statement of Marks'!HV170="","",'Statement of Marks'!HV170)</f>
        <v/>
      </c>
      <c r="N167" s="829" t="str">
        <f>IF('Statement of Marks'!HX170="","",'Statement of Marks'!HX170)</f>
        <v/>
      </c>
      <c r="O167" s="282" t="str">
        <f>IF(J167="FAIL","",IF('Statement of Marks'!HO170="","",'Statement of Marks'!HO170))</f>
        <v xml:space="preserve">      </v>
      </c>
      <c r="P167" s="283" t="str">
        <f>IF('Supp. Result Entry'!AQ168="","",'Supp. Result Entry'!AQ168)</f>
        <v/>
      </c>
      <c r="Q167" s="284" t="str">
        <f>IF('Supp. Result Entry'!AR168="","",'Supp. Result Entry'!AR168)</f>
        <v/>
      </c>
      <c r="R167" s="285" t="str">
        <f>IF('Statement of Marks'!IA170="","",'Statement of Marks'!IA170)</f>
        <v/>
      </c>
      <c r="S167" s="286" t="str">
        <f>IF('Statement of Marks'!GL170="","",'Statement of Marks'!GL170)</f>
        <v/>
      </c>
      <c r="BM167" s="287" t="str">
        <f>'Statement of Marks'!F170</f>
        <v/>
      </c>
      <c r="BN167" s="288" t="str">
        <f t="shared" si="24"/>
        <v/>
      </c>
      <c r="BO167" s="288" t="str">
        <f t="shared" si="25"/>
        <v/>
      </c>
      <c r="BP167" s="288" t="str">
        <f t="shared" si="26"/>
        <v/>
      </c>
      <c r="BQ167" s="288" t="str">
        <f t="shared" si="27"/>
        <v/>
      </c>
      <c r="BR167" s="288" t="str">
        <f t="shared" si="28"/>
        <v/>
      </c>
      <c r="BS167" s="288" t="str">
        <f t="shared" si="29"/>
        <v/>
      </c>
      <c r="BT167" s="288" t="str">
        <f t="shared" si="30"/>
        <v/>
      </c>
      <c r="BU167" s="288" t="str">
        <f t="shared" si="31"/>
        <v/>
      </c>
      <c r="BV167" s="288" t="str">
        <f t="shared" si="32"/>
        <v/>
      </c>
      <c r="BW167" s="288" t="str">
        <f t="shared" si="33"/>
        <v/>
      </c>
      <c r="BX167" s="288" t="str">
        <f t="shared" si="34"/>
        <v/>
      </c>
      <c r="BY167" s="288" t="str">
        <f t="shared" si="35"/>
        <v/>
      </c>
      <c r="BZ167" s="289"/>
    </row>
    <row r="168" spans="1:78" ht="15" customHeight="1">
      <c r="A168" s="276">
        <f>IF('Statement of Marks'!A171="","",'Statement of Marks'!A171)</f>
        <v>165</v>
      </c>
      <c r="B168" s="277" t="str">
        <f>IF('Statement of Marks'!B171="","",'Statement of Marks'!B171)</f>
        <v/>
      </c>
      <c r="C168" s="278" t="str">
        <f>IF('Statement of Marks'!D171="","",'Statement of Marks'!D171)</f>
        <v/>
      </c>
      <c r="D168" s="314" t="str">
        <f>IF('Statement of Marks'!E171="","",'Statement of Marks'!E171)</f>
        <v/>
      </c>
      <c r="E168" s="279" t="str">
        <f>IF('Statement of Marks'!F171="","",'Statement of Marks'!F171)</f>
        <v/>
      </c>
      <c r="F168" s="279" t="str">
        <f>IF('Statement of Marks'!G171="","",'Statement of Marks'!G171)</f>
        <v/>
      </c>
      <c r="G168" s="279" t="str">
        <f>IF('Statement of Marks'!H171="","",'Statement of Marks'!H171)</f>
        <v/>
      </c>
      <c r="H168" s="280" t="str">
        <f>IF('Statement of Marks'!I171="","",'Statement of Marks'!I171)</f>
        <v/>
      </c>
      <c r="I168" s="280" t="str">
        <f>IF('Statement of Marks'!J171="","",'Statement of Marks'!J171)</f>
        <v/>
      </c>
      <c r="J168" s="827" t="str">
        <f>IF('Statement of Marks'!HS171="","",'Statement of Marks'!HS171)</f>
        <v/>
      </c>
      <c r="K168" s="281" t="str">
        <f>IF('Statement of Marks'!HT171="","",'Statement of Marks'!HT171)</f>
        <v/>
      </c>
      <c r="L168" s="828" t="str">
        <f>IF('Statement of Marks'!HW171="","",'Statement of Marks'!HW171)</f>
        <v/>
      </c>
      <c r="M168" s="281" t="str">
        <f>IF('Statement of Marks'!HV171="","",'Statement of Marks'!HV171)</f>
        <v/>
      </c>
      <c r="N168" s="829" t="str">
        <f>IF('Statement of Marks'!HX171="","",'Statement of Marks'!HX171)</f>
        <v/>
      </c>
      <c r="O168" s="282" t="str">
        <f>IF(J168="FAIL","",IF('Statement of Marks'!HO171="","",'Statement of Marks'!HO171))</f>
        <v xml:space="preserve">      </v>
      </c>
      <c r="P168" s="283" t="str">
        <f>IF('Supp. Result Entry'!AQ169="","",'Supp. Result Entry'!AQ169)</f>
        <v/>
      </c>
      <c r="Q168" s="284" t="str">
        <f>IF('Supp. Result Entry'!AR169="","",'Supp. Result Entry'!AR169)</f>
        <v/>
      </c>
      <c r="R168" s="285" t="str">
        <f>IF('Statement of Marks'!IA171="","",'Statement of Marks'!IA171)</f>
        <v/>
      </c>
      <c r="S168" s="286" t="str">
        <f>IF('Statement of Marks'!GL171="","",'Statement of Marks'!GL171)</f>
        <v/>
      </c>
      <c r="BM168" s="287" t="str">
        <f>'Statement of Marks'!F171</f>
        <v/>
      </c>
      <c r="BN168" s="288" t="str">
        <f t="shared" si="24"/>
        <v/>
      </c>
      <c r="BO168" s="288" t="str">
        <f t="shared" si="25"/>
        <v/>
      </c>
      <c r="BP168" s="288" t="str">
        <f t="shared" si="26"/>
        <v/>
      </c>
      <c r="BQ168" s="288" t="str">
        <f t="shared" si="27"/>
        <v/>
      </c>
      <c r="BR168" s="288" t="str">
        <f t="shared" si="28"/>
        <v/>
      </c>
      <c r="BS168" s="288" t="str">
        <f t="shared" si="29"/>
        <v/>
      </c>
      <c r="BT168" s="288" t="str">
        <f t="shared" si="30"/>
        <v/>
      </c>
      <c r="BU168" s="288" t="str">
        <f t="shared" si="31"/>
        <v/>
      </c>
      <c r="BV168" s="288" t="str">
        <f t="shared" si="32"/>
        <v/>
      </c>
      <c r="BW168" s="288" t="str">
        <f t="shared" si="33"/>
        <v/>
      </c>
      <c r="BX168" s="288" t="str">
        <f t="shared" si="34"/>
        <v/>
      </c>
      <c r="BY168" s="288" t="str">
        <f t="shared" si="35"/>
        <v/>
      </c>
      <c r="BZ168" s="289"/>
    </row>
    <row r="169" spans="1:78" ht="15" customHeight="1">
      <c r="A169" s="276">
        <f>IF('Statement of Marks'!A172="","",'Statement of Marks'!A172)</f>
        <v>166</v>
      </c>
      <c r="B169" s="277" t="str">
        <f>IF('Statement of Marks'!B172="","",'Statement of Marks'!B172)</f>
        <v/>
      </c>
      <c r="C169" s="278" t="str">
        <f>IF('Statement of Marks'!D172="","",'Statement of Marks'!D172)</f>
        <v/>
      </c>
      <c r="D169" s="314" t="str">
        <f>IF('Statement of Marks'!E172="","",'Statement of Marks'!E172)</f>
        <v/>
      </c>
      <c r="E169" s="279" t="str">
        <f>IF('Statement of Marks'!F172="","",'Statement of Marks'!F172)</f>
        <v/>
      </c>
      <c r="F169" s="279" t="str">
        <f>IF('Statement of Marks'!G172="","",'Statement of Marks'!G172)</f>
        <v/>
      </c>
      <c r="G169" s="279" t="str">
        <f>IF('Statement of Marks'!H172="","",'Statement of Marks'!H172)</f>
        <v/>
      </c>
      <c r="H169" s="280" t="str">
        <f>IF('Statement of Marks'!I172="","",'Statement of Marks'!I172)</f>
        <v/>
      </c>
      <c r="I169" s="280" t="str">
        <f>IF('Statement of Marks'!J172="","",'Statement of Marks'!J172)</f>
        <v/>
      </c>
      <c r="J169" s="827" t="str">
        <f>IF('Statement of Marks'!HS172="","",'Statement of Marks'!HS172)</f>
        <v/>
      </c>
      <c r="K169" s="281" t="str">
        <f>IF('Statement of Marks'!HT172="","",'Statement of Marks'!HT172)</f>
        <v/>
      </c>
      <c r="L169" s="828" t="str">
        <f>IF('Statement of Marks'!HW172="","",'Statement of Marks'!HW172)</f>
        <v/>
      </c>
      <c r="M169" s="281" t="str">
        <f>IF('Statement of Marks'!HV172="","",'Statement of Marks'!HV172)</f>
        <v/>
      </c>
      <c r="N169" s="829" t="str">
        <f>IF('Statement of Marks'!HX172="","",'Statement of Marks'!HX172)</f>
        <v/>
      </c>
      <c r="O169" s="282" t="str">
        <f>IF(J169="FAIL","",IF('Statement of Marks'!HO172="","",'Statement of Marks'!HO172))</f>
        <v xml:space="preserve">      </v>
      </c>
      <c r="P169" s="283" t="str">
        <f>IF('Supp. Result Entry'!AQ170="","",'Supp. Result Entry'!AQ170)</f>
        <v/>
      </c>
      <c r="Q169" s="284" t="str">
        <f>IF('Supp. Result Entry'!AR170="","",'Supp. Result Entry'!AR170)</f>
        <v/>
      </c>
      <c r="R169" s="285" t="str">
        <f>IF('Statement of Marks'!IA172="","",'Statement of Marks'!IA172)</f>
        <v/>
      </c>
      <c r="S169" s="286" t="str">
        <f>IF('Statement of Marks'!GL172="","",'Statement of Marks'!GL172)</f>
        <v/>
      </c>
      <c r="BM169" s="287" t="str">
        <f>'Statement of Marks'!F172</f>
        <v/>
      </c>
      <c r="BN169" s="288" t="str">
        <f t="shared" si="24"/>
        <v/>
      </c>
      <c r="BO169" s="288" t="str">
        <f t="shared" si="25"/>
        <v/>
      </c>
      <c r="BP169" s="288" t="str">
        <f t="shared" si="26"/>
        <v/>
      </c>
      <c r="BQ169" s="288" t="str">
        <f t="shared" si="27"/>
        <v/>
      </c>
      <c r="BR169" s="288" t="str">
        <f t="shared" si="28"/>
        <v/>
      </c>
      <c r="BS169" s="288" t="str">
        <f t="shared" si="29"/>
        <v/>
      </c>
      <c r="BT169" s="288" t="str">
        <f t="shared" si="30"/>
        <v/>
      </c>
      <c r="BU169" s="288" t="str">
        <f t="shared" si="31"/>
        <v/>
      </c>
      <c r="BV169" s="288" t="str">
        <f t="shared" si="32"/>
        <v/>
      </c>
      <c r="BW169" s="288" t="str">
        <f t="shared" si="33"/>
        <v/>
      </c>
      <c r="BX169" s="288" t="str">
        <f t="shared" si="34"/>
        <v/>
      </c>
      <c r="BY169" s="288" t="str">
        <f t="shared" si="35"/>
        <v/>
      </c>
      <c r="BZ169" s="289"/>
    </row>
    <row r="170" spans="1:78" ht="15" customHeight="1">
      <c r="A170" s="276">
        <f>IF('Statement of Marks'!A173="","",'Statement of Marks'!A173)</f>
        <v>167</v>
      </c>
      <c r="B170" s="277" t="str">
        <f>IF('Statement of Marks'!B173="","",'Statement of Marks'!B173)</f>
        <v/>
      </c>
      <c r="C170" s="278" t="str">
        <f>IF('Statement of Marks'!D173="","",'Statement of Marks'!D173)</f>
        <v/>
      </c>
      <c r="D170" s="314" t="str">
        <f>IF('Statement of Marks'!E173="","",'Statement of Marks'!E173)</f>
        <v/>
      </c>
      <c r="E170" s="279" t="str">
        <f>IF('Statement of Marks'!F173="","",'Statement of Marks'!F173)</f>
        <v/>
      </c>
      <c r="F170" s="279" t="str">
        <f>IF('Statement of Marks'!G173="","",'Statement of Marks'!G173)</f>
        <v/>
      </c>
      <c r="G170" s="279" t="str">
        <f>IF('Statement of Marks'!H173="","",'Statement of Marks'!H173)</f>
        <v/>
      </c>
      <c r="H170" s="280" t="str">
        <f>IF('Statement of Marks'!I173="","",'Statement of Marks'!I173)</f>
        <v/>
      </c>
      <c r="I170" s="280" t="str">
        <f>IF('Statement of Marks'!J173="","",'Statement of Marks'!J173)</f>
        <v/>
      </c>
      <c r="J170" s="827" t="str">
        <f>IF('Statement of Marks'!HS173="","",'Statement of Marks'!HS173)</f>
        <v/>
      </c>
      <c r="K170" s="281" t="str">
        <f>IF('Statement of Marks'!HT173="","",'Statement of Marks'!HT173)</f>
        <v/>
      </c>
      <c r="L170" s="828" t="str">
        <f>IF('Statement of Marks'!HW173="","",'Statement of Marks'!HW173)</f>
        <v/>
      </c>
      <c r="M170" s="281" t="str">
        <f>IF('Statement of Marks'!HV173="","",'Statement of Marks'!HV173)</f>
        <v/>
      </c>
      <c r="N170" s="829" t="str">
        <f>IF('Statement of Marks'!HX173="","",'Statement of Marks'!HX173)</f>
        <v/>
      </c>
      <c r="O170" s="282" t="str">
        <f>IF(J170="FAIL","",IF('Statement of Marks'!HO173="","",'Statement of Marks'!HO173))</f>
        <v xml:space="preserve">      </v>
      </c>
      <c r="P170" s="283" t="str">
        <f>IF('Supp. Result Entry'!AQ171="","",'Supp. Result Entry'!AQ171)</f>
        <v/>
      </c>
      <c r="Q170" s="284" t="str">
        <f>IF('Supp. Result Entry'!AR171="","",'Supp. Result Entry'!AR171)</f>
        <v/>
      </c>
      <c r="R170" s="285" t="str">
        <f>IF('Statement of Marks'!IA173="","",'Statement of Marks'!IA173)</f>
        <v/>
      </c>
      <c r="S170" s="286" t="str">
        <f>IF('Statement of Marks'!GL173="","",'Statement of Marks'!GL173)</f>
        <v/>
      </c>
      <c r="BM170" s="287" t="str">
        <f>'Statement of Marks'!F173</f>
        <v/>
      </c>
      <c r="BN170" s="288" t="str">
        <f t="shared" si="24"/>
        <v/>
      </c>
      <c r="BO170" s="288" t="str">
        <f t="shared" si="25"/>
        <v/>
      </c>
      <c r="BP170" s="288" t="str">
        <f t="shared" si="26"/>
        <v/>
      </c>
      <c r="BQ170" s="288" t="str">
        <f t="shared" si="27"/>
        <v/>
      </c>
      <c r="BR170" s="288" t="str">
        <f t="shared" si="28"/>
        <v/>
      </c>
      <c r="BS170" s="288" t="str">
        <f t="shared" si="29"/>
        <v/>
      </c>
      <c r="BT170" s="288" t="str">
        <f t="shared" si="30"/>
        <v/>
      </c>
      <c r="BU170" s="288" t="str">
        <f t="shared" si="31"/>
        <v/>
      </c>
      <c r="BV170" s="288" t="str">
        <f t="shared" si="32"/>
        <v/>
      </c>
      <c r="BW170" s="288" t="str">
        <f t="shared" si="33"/>
        <v/>
      </c>
      <c r="BX170" s="288" t="str">
        <f t="shared" si="34"/>
        <v/>
      </c>
      <c r="BY170" s="288" t="str">
        <f t="shared" si="35"/>
        <v/>
      </c>
      <c r="BZ170" s="289"/>
    </row>
    <row r="171" spans="1:78" ht="15" customHeight="1">
      <c r="A171" s="276">
        <f>IF('Statement of Marks'!A174="","",'Statement of Marks'!A174)</f>
        <v>168</v>
      </c>
      <c r="B171" s="277" t="str">
        <f>IF('Statement of Marks'!B174="","",'Statement of Marks'!B174)</f>
        <v/>
      </c>
      <c r="C171" s="278" t="str">
        <f>IF('Statement of Marks'!D174="","",'Statement of Marks'!D174)</f>
        <v/>
      </c>
      <c r="D171" s="314" t="str">
        <f>IF('Statement of Marks'!E174="","",'Statement of Marks'!E174)</f>
        <v/>
      </c>
      <c r="E171" s="279" t="str">
        <f>IF('Statement of Marks'!F174="","",'Statement of Marks'!F174)</f>
        <v/>
      </c>
      <c r="F171" s="279" t="str">
        <f>IF('Statement of Marks'!G174="","",'Statement of Marks'!G174)</f>
        <v/>
      </c>
      <c r="G171" s="279" t="str">
        <f>IF('Statement of Marks'!H174="","",'Statement of Marks'!H174)</f>
        <v/>
      </c>
      <c r="H171" s="280" t="str">
        <f>IF('Statement of Marks'!I174="","",'Statement of Marks'!I174)</f>
        <v/>
      </c>
      <c r="I171" s="280" t="str">
        <f>IF('Statement of Marks'!J174="","",'Statement of Marks'!J174)</f>
        <v/>
      </c>
      <c r="J171" s="827" t="str">
        <f>IF('Statement of Marks'!HS174="","",'Statement of Marks'!HS174)</f>
        <v/>
      </c>
      <c r="K171" s="281" t="str">
        <f>IF('Statement of Marks'!HT174="","",'Statement of Marks'!HT174)</f>
        <v/>
      </c>
      <c r="L171" s="828" t="str">
        <f>IF('Statement of Marks'!HW174="","",'Statement of Marks'!HW174)</f>
        <v/>
      </c>
      <c r="M171" s="281" t="str">
        <f>IF('Statement of Marks'!HV174="","",'Statement of Marks'!HV174)</f>
        <v/>
      </c>
      <c r="N171" s="829" t="str">
        <f>IF('Statement of Marks'!HX174="","",'Statement of Marks'!HX174)</f>
        <v/>
      </c>
      <c r="O171" s="282" t="str">
        <f>IF(J171="FAIL","",IF('Statement of Marks'!HO174="","",'Statement of Marks'!HO174))</f>
        <v xml:space="preserve">      </v>
      </c>
      <c r="P171" s="283" t="str">
        <f>IF('Supp. Result Entry'!AQ172="","",'Supp. Result Entry'!AQ172)</f>
        <v/>
      </c>
      <c r="Q171" s="284" t="str">
        <f>IF('Supp. Result Entry'!AR172="","",'Supp. Result Entry'!AR172)</f>
        <v/>
      </c>
      <c r="R171" s="285" t="str">
        <f>IF('Statement of Marks'!IA174="","",'Statement of Marks'!IA174)</f>
        <v/>
      </c>
      <c r="S171" s="286" t="str">
        <f>IF('Statement of Marks'!GL174="","",'Statement of Marks'!GL174)</f>
        <v/>
      </c>
      <c r="BM171" s="287" t="str">
        <f>'Statement of Marks'!F174</f>
        <v/>
      </c>
      <c r="BN171" s="288" t="str">
        <f t="shared" si="24"/>
        <v/>
      </c>
      <c r="BO171" s="288" t="str">
        <f t="shared" si="25"/>
        <v/>
      </c>
      <c r="BP171" s="288" t="str">
        <f t="shared" si="26"/>
        <v/>
      </c>
      <c r="BQ171" s="288" t="str">
        <f t="shared" si="27"/>
        <v/>
      </c>
      <c r="BR171" s="288" t="str">
        <f t="shared" si="28"/>
        <v/>
      </c>
      <c r="BS171" s="288" t="str">
        <f t="shared" si="29"/>
        <v/>
      </c>
      <c r="BT171" s="288" t="str">
        <f t="shared" si="30"/>
        <v/>
      </c>
      <c r="BU171" s="288" t="str">
        <f t="shared" si="31"/>
        <v/>
      </c>
      <c r="BV171" s="288" t="str">
        <f t="shared" si="32"/>
        <v/>
      </c>
      <c r="BW171" s="288" t="str">
        <f t="shared" si="33"/>
        <v/>
      </c>
      <c r="BX171" s="288" t="str">
        <f t="shared" si="34"/>
        <v/>
      </c>
      <c r="BY171" s="288" t="str">
        <f t="shared" si="35"/>
        <v/>
      </c>
      <c r="BZ171" s="289"/>
    </row>
    <row r="172" spans="1:78" ht="15" customHeight="1">
      <c r="A172" s="276">
        <f>IF('Statement of Marks'!A175="","",'Statement of Marks'!A175)</f>
        <v>169</v>
      </c>
      <c r="B172" s="277" t="str">
        <f>IF('Statement of Marks'!B175="","",'Statement of Marks'!B175)</f>
        <v/>
      </c>
      <c r="C172" s="278" t="str">
        <f>IF('Statement of Marks'!D175="","",'Statement of Marks'!D175)</f>
        <v/>
      </c>
      <c r="D172" s="314" t="str">
        <f>IF('Statement of Marks'!E175="","",'Statement of Marks'!E175)</f>
        <v/>
      </c>
      <c r="E172" s="279" t="str">
        <f>IF('Statement of Marks'!F175="","",'Statement of Marks'!F175)</f>
        <v/>
      </c>
      <c r="F172" s="279" t="str">
        <f>IF('Statement of Marks'!G175="","",'Statement of Marks'!G175)</f>
        <v/>
      </c>
      <c r="G172" s="279" t="str">
        <f>IF('Statement of Marks'!H175="","",'Statement of Marks'!H175)</f>
        <v/>
      </c>
      <c r="H172" s="280" t="str">
        <f>IF('Statement of Marks'!I175="","",'Statement of Marks'!I175)</f>
        <v/>
      </c>
      <c r="I172" s="280" t="str">
        <f>IF('Statement of Marks'!J175="","",'Statement of Marks'!J175)</f>
        <v/>
      </c>
      <c r="J172" s="827" t="str">
        <f>IF('Statement of Marks'!HS175="","",'Statement of Marks'!HS175)</f>
        <v/>
      </c>
      <c r="K172" s="281" t="str">
        <f>IF('Statement of Marks'!HT175="","",'Statement of Marks'!HT175)</f>
        <v/>
      </c>
      <c r="L172" s="828" t="str">
        <f>IF('Statement of Marks'!HW175="","",'Statement of Marks'!HW175)</f>
        <v/>
      </c>
      <c r="M172" s="281" t="str">
        <f>IF('Statement of Marks'!HV175="","",'Statement of Marks'!HV175)</f>
        <v/>
      </c>
      <c r="N172" s="829" t="str">
        <f>IF('Statement of Marks'!HX175="","",'Statement of Marks'!HX175)</f>
        <v/>
      </c>
      <c r="O172" s="282" t="str">
        <f>IF(J172="FAIL","",IF('Statement of Marks'!HO175="","",'Statement of Marks'!HO175))</f>
        <v xml:space="preserve">      </v>
      </c>
      <c r="P172" s="283" t="str">
        <f>IF('Supp. Result Entry'!AQ173="","",'Supp. Result Entry'!AQ173)</f>
        <v/>
      </c>
      <c r="Q172" s="284" t="str">
        <f>IF('Supp. Result Entry'!AR173="","",'Supp. Result Entry'!AR173)</f>
        <v/>
      </c>
      <c r="R172" s="285" t="str">
        <f>IF('Statement of Marks'!IA175="","",'Statement of Marks'!IA175)</f>
        <v/>
      </c>
      <c r="S172" s="286" t="str">
        <f>IF('Statement of Marks'!GL175="","",'Statement of Marks'!GL175)</f>
        <v/>
      </c>
      <c r="BM172" s="287" t="str">
        <f>'Statement of Marks'!F175</f>
        <v/>
      </c>
      <c r="BN172" s="288" t="str">
        <f t="shared" si="24"/>
        <v/>
      </c>
      <c r="BO172" s="288" t="str">
        <f t="shared" si="25"/>
        <v/>
      </c>
      <c r="BP172" s="288" t="str">
        <f t="shared" si="26"/>
        <v/>
      </c>
      <c r="BQ172" s="288" t="str">
        <f t="shared" si="27"/>
        <v/>
      </c>
      <c r="BR172" s="288" t="str">
        <f t="shared" si="28"/>
        <v/>
      </c>
      <c r="BS172" s="288" t="str">
        <f t="shared" si="29"/>
        <v/>
      </c>
      <c r="BT172" s="288" t="str">
        <f t="shared" si="30"/>
        <v/>
      </c>
      <c r="BU172" s="288" t="str">
        <f t="shared" si="31"/>
        <v/>
      </c>
      <c r="BV172" s="288" t="str">
        <f t="shared" si="32"/>
        <v/>
      </c>
      <c r="BW172" s="288" t="str">
        <f t="shared" si="33"/>
        <v/>
      </c>
      <c r="BX172" s="288" t="str">
        <f t="shared" si="34"/>
        <v/>
      </c>
      <c r="BY172" s="288" t="str">
        <f t="shared" si="35"/>
        <v/>
      </c>
      <c r="BZ172" s="289"/>
    </row>
    <row r="173" spans="1:78" ht="15" customHeight="1">
      <c r="A173" s="276">
        <f>IF('Statement of Marks'!A176="","",'Statement of Marks'!A176)</f>
        <v>170</v>
      </c>
      <c r="B173" s="277" t="str">
        <f>IF('Statement of Marks'!B176="","",'Statement of Marks'!B176)</f>
        <v/>
      </c>
      <c r="C173" s="278" t="str">
        <f>IF('Statement of Marks'!D176="","",'Statement of Marks'!D176)</f>
        <v/>
      </c>
      <c r="D173" s="314" t="str">
        <f>IF('Statement of Marks'!E176="","",'Statement of Marks'!E176)</f>
        <v/>
      </c>
      <c r="E173" s="279" t="str">
        <f>IF('Statement of Marks'!F176="","",'Statement of Marks'!F176)</f>
        <v/>
      </c>
      <c r="F173" s="279" t="str">
        <f>IF('Statement of Marks'!G176="","",'Statement of Marks'!G176)</f>
        <v/>
      </c>
      <c r="G173" s="279" t="str">
        <f>IF('Statement of Marks'!H176="","",'Statement of Marks'!H176)</f>
        <v/>
      </c>
      <c r="H173" s="280" t="str">
        <f>IF('Statement of Marks'!I176="","",'Statement of Marks'!I176)</f>
        <v/>
      </c>
      <c r="I173" s="280" t="str">
        <f>IF('Statement of Marks'!J176="","",'Statement of Marks'!J176)</f>
        <v/>
      </c>
      <c r="J173" s="827" t="str">
        <f>IF('Statement of Marks'!HS176="","",'Statement of Marks'!HS176)</f>
        <v/>
      </c>
      <c r="K173" s="281" t="str">
        <f>IF('Statement of Marks'!HT176="","",'Statement of Marks'!HT176)</f>
        <v/>
      </c>
      <c r="L173" s="828" t="str">
        <f>IF('Statement of Marks'!HW176="","",'Statement of Marks'!HW176)</f>
        <v/>
      </c>
      <c r="M173" s="281" t="str">
        <f>IF('Statement of Marks'!HV176="","",'Statement of Marks'!HV176)</f>
        <v/>
      </c>
      <c r="N173" s="829" t="str">
        <f>IF('Statement of Marks'!HX176="","",'Statement of Marks'!HX176)</f>
        <v/>
      </c>
      <c r="O173" s="282" t="str">
        <f>IF(J173="FAIL","",IF('Statement of Marks'!HO176="","",'Statement of Marks'!HO176))</f>
        <v xml:space="preserve">      </v>
      </c>
      <c r="P173" s="283" t="str">
        <f>IF('Supp. Result Entry'!AQ174="","",'Supp. Result Entry'!AQ174)</f>
        <v/>
      </c>
      <c r="Q173" s="284" t="str">
        <f>IF('Supp. Result Entry'!AR174="","",'Supp. Result Entry'!AR174)</f>
        <v/>
      </c>
      <c r="R173" s="285" t="str">
        <f>IF('Statement of Marks'!IA176="","",'Statement of Marks'!IA176)</f>
        <v/>
      </c>
      <c r="S173" s="286" t="str">
        <f>IF('Statement of Marks'!GL176="","",'Statement of Marks'!GL176)</f>
        <v/>
      </c>
      <c r="BM173" s="287" t="str">
        <f>'Statement of Marks'!F176</f>
        <v/>
      </c>
      <c r="BN173" s="288" t="str">
        <f t="shared" si="24"/>
        <v/>
      </c>
      <c r="BO173" s="288" t="str">
        <f t="shared" si="25"/>
        <v/>
      </c>
      <c r="BP173" s="288" t="str">
        <f t="shared" si="26"/>
        <v/>
      </c>
      <c r="BQ173" s="288" t="str">
        <f t="shared" si="27"/>
        <v/>
      </c>
      <c r="BR173" s="288" t="str">
        <f t="shared" si="28"/>
        <v/>
      </c>
      <c r="BS173" s="288" t="str">
        <f t="shared" si="29"/>
        <v/>
      </c>
      <c r="BT173" s="288" t="str">
        <f t="shared" si="30"/>
        <v/>
      </c>
      <c r="BU173" s="288" t="str">
        <f t="shared" si="31"/>
        <v/>
      </c>
      <c r="BV173" s="288" t="str">
        <f t="shared" si="32"/>
        <v/>
      </c>
      <c r="BW173" s="288" t="str">
        <f t="shared" si="33"/>
        <v/>
      </c>
      <c r="BX173" s="288" t="str">
        <f t="shared" si="34"/>
        <v/>
      </c>
      <c r="BY173" s="288" t="str">
        <f t="shared" si="35"/>
        <v/>
      </c>
      <c r="BZ173" s="289"/>
    </row>
    <row r="174" spans="1:78" ht="15" customHeight="1">
      <c r="A174" s="276">
        <f>IF('Statement of Marks'!A177="","",'Statement of Marks'!A177)</f>
        <v>171</v>
      </c>
      <c r="B174" s="277" t="str">
        <f>IF('Statement of Marks'!B177="","",'Statement of Marks'!B177)</f>
        <v/>
      </c>
      <c r="C174" s="278" t="str">
        <f>IF('Statement of Marks'!D177="","",'Statement of Marks'!D177)</f>
        <v/>
      </c>
      <c r="D174" s="314" t="str">
        <f>IF('Statement of Marks'!E177="","",'Statement of Marks'!E177)</f>
        <v/>
      </c>
      <c r="E174" s="279" t="str">
        <f>IF('Statement of Marks'!F177="","",'Statement of Marks'!F177)</f>
        <v/>
      </c>
      <c r="F174" s="279" t="str">
        <f>IF('Statement of Marks'!G177="","",'Statement of Marks'!G177)</f>
        <v/>
      </c>
      <c r="G174" s="279" t="str">
        <f>IF('Statement of Marks'!H177="","",'Statement of Marks'!H177)</f>
        <v/>
      </c>
      <c r="H174" s="280" t="str">
        <f>IF('Statement of Marks'!I177="","",'Statement of Marks'!I177)</f>
        <v/>
      </c>
      <c r="I174" s="280" t="str">
        <f>IF('Statement of Marks'!J177="","",'Statement of Marks'!J177)</f>
        <v/>
      </c>
      <c r="J174" s="827" t="str">
        <f>IF('Statement of Marks'!HS177="","",'Statement of Marks'!HS177)</f>
        <v/>
      </c>
      <c r="K174" s="281" t="str">
        <f>IF('Statement of Marks'!HT177="","",'Statement of Marks'!HT177)</f>
        <v/>
      </c>
      <c r="L174" s="828" t="str">
        <f>IF('Statement of Marks'!HW177="","",'Statement of Marks'!HW177)</f>
        <v/>
      </c>
      <c r="M174" s="281" t="str">
        <f>IF('Statement of Marks'!HV177="","",'Statement of Marks'!HV177)</f>
        <v/>
      </c>
      <c r="N174" s="829" t="str">
        <f>IF('Statement of Marks'!HX177="","",'Statement of Marks'!HX177)</f>
        <v/>
      </c>
      <c r="O174" s="282" t="str">
        <f>IF(J174="FAIL","",IF('Statement of Marks'!HO177="","",'Statement of Marks'!HO177))</f>
        <v xml:space="preserve">      </v>
      </c>
      <c r="P174" s="283" t="str">
        <f>IF('Supp. Result Entry'!AQ175="","",'Supp. Result Entry'!AQ175)</f>
        <v/>
      </c>
      <c r="Q174" s="284" t="str">
        <f>IF('Supp. Result Entry'!AR175="","",'Supp. Result Entry'!AR175)</f>
        <v/>
      </c>
      <c r="R174" s="285" t="str">
        <f>IF('Statement of Marks'!IA177="","",'Statement of Marks'!IA177)</f>
        <v/>
      </c>
      <c r="S174" s="286" t="str">
        <f>IF('Statement of Marks'!GL177="","",'Statement of Marks'!GL177)</f>
        <v/>
      </c>
      <c r="BM174" s="287" t="str">
        <f>'Statement of Marks'!F177</f>
        <v/>
      </c>
      <c r="BN174" s="288" t="str">
        <f t="shared" si="24"/>
        <v/>
      </c>
      <c r="BO174" s="288" t="str">
        <f t="shared" si="25"/>
        <v/>
      </c>
      <c r="BP174" s="288" t="str">
        <f t="shared" si="26"/>
        <v/>
      </c>
      <c r="BQ174" s="288" t="str">
        <f t="shared" si="27"/>
        <v/>
      </c>
      <c r="BR174" s="288" t="str">
        <f t="shared" si="28"/>
        <v/>
      </c>
      <c r="BS174" s="288" t="str">
        <f t="shared" si="29"/>
        <v/>
      </c>
      <c r="BT174" s="288" t="str">
        <f t="shared" si="30"/>
        <v/>
      </c>
      <c r="BU174" s="288" t="str">
        <f t="shared" si="31"/>
        <v/>
      </c>
      <c r="BV174" s="288" t="str">
        <f t="shared" si="32"/>
        <v/>
      </c>
      <c r="BW174" s="288" t="str">
        <f t="shared" si="33"/>
        <v/>
      </c>
      <c r="BX174" s="288" t="str">
        <f t="shared" si="34"/>
        <v/>
      </c>
      <c r="BY174" s="288" t="str">
        <f t="shared" si="35"/>
        <v/>
      </c>
      <c r="BZ174" s="289"/>
    </row>
    <row r="175" spans="1:78" ht="15" customHeight="1">
      <c r="A175" s="276">
        <f>IF('Statement of Marks'!A178="","",'Statement of Marks'!A178)</f>
        <v>172</v>
      </c>
      <c r="B175" s="277" t="str">
        <f>IF('Statement of Marks'!B178="","",'Statement of Marks'!B178)</f>
        <v/>
      </c>
      <c r="C175" s="278" t="str">
        <f>IF('Statement of Marks'!D178="","",'Statement of Marks'!D178)</f>
        <v/>
      </c>
      <c r="D175" s="314" t="str">
        <f>IF('Statement of Marks'!E178="","",'Statement of Marks'!E178)</f>
        <v/>
      </c>
      <c r="E175" s="279" t="str">
        <f>IF('Statement of Marks'!F178="","",'Statement of Marks'!F178)</f>
        <v/>
      </c>
      <c r="F175" s="279" t="str">
        <f>IF('Statement of Marks'!G178="","",'Statement of Marks'!G178)</f>
        <v/>
      </c>
      <c r="G175" s="279" t="str">
        <f>IF('Statement of Marks'!H178="","",'Statement of Marks'!H178)</f>
        <v/>
      </c>
      <c r="H175" s="280" t="str">
        <f>IF('Statement of Marks'!I178="","",'Statement of Marks'!I178)</f>
        <v/>
      </c>
      <c r="I175" s="280" t="str">
        <f>IF('Statement of Marks'!J178="","",'Statement of Marks'!J178)</f>
        <v/>
      </c>
      <c r="J175" s="827" t="str">
        <f>IF('Statement of Marks'!HS178="","",'Statement of Marks'!HS178)</f>
        <v/>
      </c>
      <c r="K175" s="281" t="str">
        <f>IF('Statement of Marks'!HT178="","",'Statement of Marks'!HT178)</f>
        <v/>
      </c>
      <c r="L175" s="828" t="str">
        <f>IF('Statement of Marks'!HW178="","",'Statement of Marks'!HW178)</f>
        <v/>
      </c>
      <c r="M175" s="281" t="str">
        <f>IF('Statement of Marks'!HV178="","",'Statement of Marks'!HV178)</f>
        <v/>
      </c>
      <c r="N175" s="829" t="str">
        <f>IF('Statement of Marks'!HX178="","",'Statement of Marks'!HX178)</f>
        <v/>
      </c>
      <c r="O175" s="282" t="str">
        <f>IF(J175="FAIL","",IF('Statement of Marks'!HO178="","",'Statement of Marks'!HO178))</f>
        <v xml:space="preserve">      </v>
      </c>
      <c r="P175" s="283" t="str">
        <f>IF('Supp. Result Entry'!AQ176="","",'Supp. Result Entry'!AQ176)</f>
        <v/>
      </c>
      <c r="Q175" s="284" t="str">
        <f>IF('Supp. Result Entry'!AR176="","",'Supp. Result Entry'!AR176)</f>
        <v/>
      </c>
      <c r="R175" s="285" t="str">
        <f>IF('Statement of Marks'!IA178="","",'Statement of Marks'!IA178)</f>
        <v/>
      </c>
      <c r="S175" s="286" t="str">
        <f>IF('Statement of Marks'!GL178="","",'Statement of Marks'!GL178)</f>
        <v/>
      </c>
      <c r="BM175" s="287" t="str">
        <f>'Statement of Marks'!F178</f>
        <v/>
      </c>
      <c r="BN175" s="288" t="str">
        <f t="shared" si="24"/>
        <v/>
      </c>
      <c r="BO175" s="288" t="str">
        <f t="shared" si="25"/>
        <v/>
      </c>
      <c r="BP175" s="288" t="str">
        <f t="shared" si="26"/>
        <v/>
      </c>
      <c r="BQ175" s="288" t="str">
        <f t="shared" si="27"/>
        <v/>
      </c>
      <c r="BR175" s="288" t="str">
        <f t="shared" si="28"/>
        <v/>
      </c>
      <c r="BS175" s="288" t="str">
        <f t="shared" si="29"/>
        <v/>
      </c>
      <c r="BT175" s="288" t="str">
        <f t="shared" si="30"/>
        <v/>
      </c>
      <c r="BU175" s="288" t="str">
        <f t="shared" si="31"/>
        <v/>
      </c>
      <c r="BV175" s="288" t="str">
        <f t="shared" si="32"/>
        <v/>
      </c>
      <c r="BW175" s="288" t="str">
        <f t="shared" si="33"/>
        <v/>
      </c>
      <c r="BX175" s="288" t="str">
        <f t="shared" si="34"/>
        <v/>
      </c>
      <c r="BY175" s="288" t="str">
        <f t="shared" si="35"/>
        <v/>
      </c>
      <c r="BZ175" s="289"/>
    </row>
    <row r="176" spans="1:78" ht="15" customHeight="1">
      <c r="A176" s="276">
        <f>IF('Statement of Marks'!A179="","",'Statement of Marks'!A179)</f>
        <v>173</v>
      </c>
      <c r="B176" s="277" t="str">
        <f>IF('Statement of Marks'!B179="","",'Statement of Marks'!B179)</f>
        <v/>
      </c>
      <c r="C176" s="278" t="str">
        <f>IF('Statement of Marks'!D179="","",'Statement of Marks'!D179)</f>
        <v/>
      </c>
      <c r="D176" s="314" t="str">
        <f>IF('Statement of Marks'!E179="","",'Statement of Marks'!E179)</f>
        <v/>
      </c>
      <c r="E176" s="279" t="str">
        <f>IF('Statement of Marks'!F179="","",'Statement of Marks'!F179)</f>
        <v/>
      </c>
      <c r="F176" s="279" t="str">
        <f>IF('Statement of Marks'!G179="","",'Statement of Marks'!G179)</f>
        <v/>
      </c>
      <c r="G176" s="279" t="str">
        <f>IF('Statement of Marks'!H179="","",'Statement of Marks'!H179)</f>
        <v/>
      </c>
      <c r="H176" s="280" t="str">
        <f>IF('Statement of Marks'!I179="","",'Statement of Marks'!I179)</f>
        <v/>
      </c>
      <c r="I176" s="280" t="str">
        <f>IF('Statement of Marks'!J179="","",'Statement of Marks'!J179)</f>
        <v/>
      </c>
      <c r="J176" s="827" t="str">
        <f>IF('Statement of Marks'!HS179="","",'Statement of Marks'!HS179)</f>
        <v/>
      </c>
      <c r="K176" s="281" t="str">
        <f>IF('Statement of Marks'!HT179="","",'Statement of Marks'!HT179)</f>
        <v/>
      </c>
      <c r="L176" s="828" t="str">
        <f>IF('Statement of Marks'!HW179="","",'Statement of Marks'!HW179)</f>
        <v/>
      </c>
      <c r="M176" s="281" t="str">
        <f>IF('Statement of Marks'!HV179="","",'Statement of Marks'!HV179)</f>
        <v/>
      </c>
      <c r="N176" s="829" t="str">
        <f>IF('Statement of Marks'!HX179="","",'Statement of Marks'!HX179)</f>
        <v/>
      </c>
      <c r="O176" s="282" t="str">
        <f>IF(J176="FAIL","",IF('Statement of Marks'!HO179="","",'Statement of Marks'!HO179))</f>
        <v xml:space="preserve">      </v>
      </c>
      <c r="P176" s="283" t="str">
        <f>IF('Supp. Result Entry'!AQ177="","",'Supp. Result Entry'!AQ177)</f>
        <v/>
      </c>
      <c r="Q176" s="284" t="str">
        <f>IF('Supp. Result Entry'!AR177="","",'Supp. Result Entry'!AR177)</f>
        <v/>
      </c>
      <c r="R176" s="285" t="str">
        <f>IF('Statement of Marks'!IA179="","",'Statement of Marks'!IA179)</f>
        <v/>
      </c>
      <c r="S176" s="286" t="str">
        <f>IF('Statement of Marks'!GL179="","",'Statement of Marks'!GL179)</f>
        <v/>
      </c>
      <c r="BM176" s="287" t="str">
        <f>'Statement of Marks'!F179</f>
        <v/>
      </c>
      <c r="BN176" s="288" t="str">
        <f t="shared" si="24"/>
        <v/>
      </c>
      <c r="BO176" s="288" t="str">
        <f t="shared" si="25"/>
        <v/>
      </c>
      <c r="BP176" s="288" t="str">
        <f t="shared" si="26"/>
        <v/>
      </c>
      <c r="BQ176" s="288" t="str">
        <f t="shared" si="27"/>
        <v/>
      </c>
      <c r="BR176" s="288" t="str">
        <f t="shared" si="28"/>
        <v/>
      </c>
      <c r="BS176" s="288" t="str">
        <f t="shared" si="29"/>
        <v/>
      </c>
      <c r="BT176" s="288" t="str">
        <f t="shared" si="30"/>
        <v/>
      </c>
      <c r="BU176" s="288" t="str">
        <f t="shared" si="31"/>
        <v/>
      </c>
      <c r="BV176" s="288" t="str">
        <f t="shared" si="32"/>
        <v/>
      </c>
      <c r="BW176" s="288" t="str">
        <f t="shared" si="33"/>
        <v/>
      </c>
      <c r="BX176" s="288" t="str">
        <f t="shared" si="34"/>
        <v/>
      </c>
      <c r="BY176" s="288" t="str">
        <f t="shared" si="35"/>
        <v/>
      </c>
      <c r="BZ176" s="289"/>
    </row>
    <row r="177" spans="1:78" ht="15" customHeight="1">
      <c r="A177" s="276">
        <f>IF('Statement of Marks'!A180="","",'Statement of Marks'!A180)</f>
        <v>174</v>
      </c>
      <c r="B177" s="277" t="str">
        <f>IF('Statement of Marks'!B180="","",'Statement of Marks'!B180)</f>
        <v/>
      </c>
      <c r="C177" s="278" t="str">
        <f>IF('Statement of Marks'!D180="","",'Statement of Marks'!D180)</f>
        <v/>
      </c>
      <c r="D177" s="314" t="str">
        <f>IF('Statement of Marks'!E180="","",'Statement of Marks'!E180)</f>
        <v/>
      </c>
      <c r="E177" s="279" t="str">
        <f>IF('Statement of Marks'!F180="","",'Statement of Marks'!F180)</f>
        <v/>
      </c>
      <c r="F177" s="279" t="str">
        <f>IF('Statement of Marks'!G180="","",'Statement of Marks'!G180)</f>
        <v/>
      </c>
      <c r="G177" s="279" t="str">
        <f>IF('Statement of Marks'!H180="","",'Statement of Marks'!H180)</f>
        <v/>
      </c>
      <c r="H177" s="280" t="str">
        <f>IF('Statement of Marks'!I180="","",'Statement of Marks'!I180)</f>
        <v/>
      </c>
      <c r="I177" s="280" t="str">
        <f>IF('Statement of Marks'!J180="","",'Statement of Marks'!J180)</f>
        <v/>
      </c>
      <c r="J177" s="827" t="str">
        <f>IF('Statement of Marks'!HS180="","",'Statement of Marks'!HS180)</f>
        <v/>
      </c>
      <c r="K177" s="281" t="str">
        <f>IF('Statement of Marks'!HT180="","",'Statement of Marks'!HT180)</f>
        <v/>
      </c>
      <c r="L177" s="828" t="str">
        <f>IF('Statement of Marks'!HW180="","",'Statement of Marks'!HW180)</f>
        <v/>
      </c>
      <c r="M177" s="281" t="str">
        <f>IF('Statement of Marks'!HV180="","",'Statement of Marks'!HV180)</f>
        <v/>
      </c>
      <c r="N177" s="829" t="str">
        <f>IF('Statement of Marks'!HX180="","",'Statement of Marks'!HX180)</f>
        <v/>
      </c>
      <c r="O177" s="282" t="str">
        <f>IF(J177="FAIL","",IF('Statement of Marks'!HO180="","",'Statement of Marks'!HO180))</f>
        <v xml:space="preserve">      </v>
      </c>
      <c r="P177" s="283" t="str">
        <f>IF('Supp. Result Entry'!AQ178="","",'Supp. Result Entry'!AQ178)</f>
        <v/>
      </c>
      <c r="Q177" s="284" t="str">
        <f>IF('Supp. Result Entry'!AR178="","",'Supp. Result Entry'!AR178)</f>
        <v/>
      </c>
      <c r="R177" s="285" t="str">
        <f>IF('Statement of Marks'!IA180="","",'Statement of Marks'!IA180)</f>
        <v/>
      </c>
      <c r="S177" s="286" t="str">
        <f>IF('Statement of Marks'!GL180="","",'Statement of Marks'!GL180)</f>
        <v/>
      </c>
      <c r="BM177" s="287" t="str">
        <f>'Statement of Marks'!F180</f>
        <v/>
      </c>
      <c r="BN177" s="288" t="str">
        <f t="shared" si="24"/>
        <v/>
      </c>
      <c r="BO177" s="288" t="str">
        <f t="shared" si="25"/>
        <v/>
      </c>
      <c r="BP177" s="288" t="str">
        <f t="shared" si="26"/>
        <v/>
      </c>
      <c r="BQ177" s="288" t="str">
        <f t="shared" si="27"/>
        <v/>
      </c>
      <c r="BR177" s="288" t="str">
        <f t="shared" si="28"/>
        <v/>
      </c>
      <c r="BS177" s="288" t="str">
        <f t="shared" si="29"/>
        <v/>
      </c>
      <c r="BT177" s="288" t="str">
        <f t="shared" si="30"/>
        <v/>
      </c>
      <c r="BU177" s="288" t="str">
        <f t="shared" si="31"/>
        <v/>
      </c>
      <c r="BV177" s="288" t="str">
        <f t="shared" si="32"/>
        <v/>
      </c>
      <c r="BW177" s="288" t="str">
        <f t="shared" si="33"/>
        <v/>
      </c>
      <c r="BX177" s="288" t="str">
        <f t="shared" si="34"/>
        <v/>
      </c>
      <c r="BY177" s="288" t="str">
        <f t="shared" si="35"/>
        <v/>
      </c>
      <c r="BZ177" s="289"/>
    </row>
    <row r="178" spans="1:78" ht="15" customHeight="1">
      <c r="A178" s="276">
        <f>IF('Statement of Marks'!A181="","",'Statement of Marks'!A181)</f>
        <v>175</v>
      </c>
      <c r="B178" s="277" t="str">
        <f>IF('Statement of Marks'!B181="","",'Statement of Marks'!B181)</f>
        <v/>
      </c>
      <c r="C178" s="278" t="str">
        <f>IF('Statement of Marks'!D181="","",'Statement of Marks'!D181)</f>
        <v/>
      </c>
      <c r="D178" s="314" t="str">
        <f>IF('Statement of Marks'!E181="","",'Statement of Marks'!E181)</f>
        <v/>
      </c>
      <c r="E178" s="279" t="str">
        <f>IF('Statement of Marks'!F181="","",'Statement of Marks'!F181)</f>
        <v/>
      </c>
      <c r="F178" s="279" t="str">
        <f>IF('Statement of Marks'!G181="","",'Statement of Marks'!G181)</f>
        <v/>
      </c>
      <c r="G178" s="279" t="str">
        <f>IF('Statement of Marks'!H181="","",'Statement of Marks'!H181)</f>
        <v/>
      </c>
      <c r="H178" s="280" t="str">
        <f>IF('Statement of Marks'!I181="","",'Statement of Marks'!I181)</f>
        <v/>
      </c>
      <c r="I178" s="280" t="str">
        <f>IF('Statement of Marks'!J181="","",'Statement of Marks'!J181)</f>
        <v/>
      </c>
      <c r="J178" s="827" t="str">
        <f>IF('Statement of Marks'!HS181="","",'Statement of Marks'!HS181)</f>
        <v/>
      </c>
      <c r="K178" s="281" t="str">
        <f>IF('Statement of Marks'!HT181="","",'Statement of Marks'!HT181)</f>
        <v/>
      </c>
      <c r="L178" s="828" t="str">
        <f>IF('Statement of Marks'!HW181="","",'Statement of Marks'!HW181)</f>
        <v/>
      </c>
      <c r="M178" s="281" t="str">
        <f>IF('Statement of Marks'!HV181="","",'Statement of Marks'!HV181)</f>
        <v/>
      </c>
      <c r="N178" s="829" t="str">
        <f>IF('Statement of Marks'!HX181="","",'Statement of Marks'!HX181)</f>
        <v/>
      </c>
      <c r="O178" s="282" t="str">
        <f>IF(J178="FAIL","",IF('Statement of Marks'!HO181="","",'Statement of Marks'!HO181))</f>
        <v xml:space="preserve">      </v>
      </c>
      <c r="P178" s="283" t="str">
        <f>IF('Supp. Result Entry'!AQ179="","",'Supp. Result Entry'!AQ179)</f>
        <v/>
      </c>
      <c r="Q178" s="284" t="str">
        <f>IF('Supp. Result Entry'!AR179="","",'Supp. Result Entry'!AR179)</f>
        <v/>
      </c>
      <c r="R178" s="285" t="str">
        <f>IF('Statement of Marks'!IA181="","",'Statement of Marks'!IA181)</f>
        <v/>
      </c>
      <c r="S178" s="286" t="str">
        <f>IF('Statement of Marks'!GL181="","",'Statement of Marks'!GL181)</f>
        <v/>
      </c>
      <c r="BM178" s="287" t="str">
        <f>'Statement of Marks'!F181</f>
        <v/>
      </c>
      <c r="BN178" s="288" t="str">
        <f t="shared" si="24"/>
        <v/>
      </c>
      <c r="BO178" s="288" t="str">
        <f t="shared" si="25"/>
        <v/>
      </c>
      <c r="BP178" s="288" t="str">
        <f t="shared" si="26"/>
        <v/>
      </c>
      <c r="BQ178" s="288" t="str">
        <f t="shared" si="27"/>
        <v/>
      </c>
      <c r="BR178" s="288" t="str">
        <f t="shared" si="28"/>
        <v/>
      </c>
      <c r="BS178" s="288" t="str">
        <f t="shared" si="29"/>
        <v/>
      </c>
      <c r="BT178" s="288" t="str">
        <f t="shared" si="30"/>
        <v/>
      </c>
      <c r="BU178" s="288" t="str">
        <f t="shared" si="31"/>
        <v/>
      </c>
      <c r="BV178" s="288" t="str">
        <f t="shared" si="32"/>
        <v/>
      </c>
      <c r="BW178" s="288" t="str">
        <f t="shared" si="33"/>
        <v/>
      </c>
      <c r="BX178" s="288" t="str">
        <f t="shared" si="34"/>
        <v/>
      </c>
      <c r="BY178" s="288" t="str">
        <f t="shared" si="35"/>
        <v/>
      </c>
      <c r="BZ178" s="289"/>
    </row>
    <row r="179" spans="1:78" ht="15" customHeight="1">
      <c r="A179" s="276">
        <f>IF('Statement of Marks'!A182="","",'Statement of Marks'!A182)</f>
        <v>176</v>
      </c>
      <c r="B179" s="277" t="str">
        <f>IF('Statement of Marks'!B182="","",'Statement of Marks'!B182)</f>
        <v/>
      </c>
      <c r="C179" s="278" t="str">
        <f>IF('Statement of Marks'!D182="","",'Statement of Marks'!D182)</f>
        <v/>
      </c>
      <c r="D179" s="314" t="str">
        <f>IF('Statement of Marks'!E182="","",'Statement of Marks'!E182)</f>
        <v/>
      </c>
      <c r="E179" s="279" t="str">
        <f>IF('Statement of Marks'!F182="","",'Statement of Marks'!F182)</f>
        <v/>
      </c>
      <c r="F179" s="279" t="str">
        <f>IF('Statement of Marks'!G182="","",'Statement of Marks'!G182)</f>
        <v/>
      </c>
      <c r="G179" s="279" t="str">
        <f>IF('Statement of Marks'!H182="","",'Statement of Marks'!H182)</f>
        <v/>
      </c>
      <c r="H179" s="280" t="str">
        <f>IF('Statement of Marks'!I182="","",'Statement of Marks'!I182)</f>
        <v/>
      </c>
      <c r="I179" s="280" t="str">
        <f>IF('Statement of Marks'!J182="","",'Statement of Marks'!J182)</f>
        <v/>
      </c>
      <c r="J179" s="827" t="str">
        <f>IF('Statement of Marks'!HS182="","",'Statement of Marks'!HS182)</f>
        <v/>
      </c>
      <c r="K179" s="281" t="str">
        <f>IF('Statement of Marks'!HT182="","",'Statement of Marks'!HT182)</f>
        <v/>
      </c>
      <c r="L179" s="828" t="str">
        <f>IF('Statement of Marks'!HW182="","",'Statement of Marks'!HW182)</f>
        <v/>
      </c>
      <c r="M179" s="281" t="str">
        <f>IF('Statement of Marks'!HV182="","",'Statement of Marks'!HV182)</f>
        <v/>
      </c>
      <c r="N179" s="829" t="str">
        <f>IF('Statement of Marks'!HX182="","",'Statement of Marks'!HX182)</f>
        <v/>
      </c>
      <c r="O179" s="282" t="str">
        <f>IF(J179="FAIL","",IF('Statement of Marks'!HO182="","",'Statement of Marks'!HO182))</f>
        <v xml:space="preserve">      </v>
      </c>
      <c r="P179" s="283" t="str">
        <f>IF('Supp. Result Entry'!AQ180="","",'Supp. Result Entry'!AQ180)</f>
        <v/>
      </c>
      <c r="Q179" s="284" t="str">
        <f>IF('Supp. Result Entry'!AR180="","",'Supp. Result Entry'!AR180)</f>
        <v/>
      </c>
      <c r="R179" s="285" t="str">
        <f>IF('Statement of Marks'!IA182="","",'Statement of Marks'!IA182)</f>
        <v/>
      </c>
      <c r="S179" s="286" t="str">
        <f>IF('Statement of Marks'!GL182="","",'Statement of Marks'!GL182)</f>
        <v/>
      </c>
      <c r="BM179" s="287" t="str">
        <f>'Statement of Marks'!F182</f>
        <v/>
      </c>
      <c r="BN179" s="288" t="str">
        <f t="shared" si="24"/>
        <v/>
      </c>
      <c r="BO179" s="288" t="str">
        <f t="shared" si="25"/>
        <v/>
      </c>
      <c r="BP179" s="288" t="str">
        <f t="shared" si="26"/>
        <v/>
      </c>
      <c r="BQ179" s="288" t="str">
        <f t="shared" si="27"/>
        <v/>
      </c>
      <c r="BR179" s="288" t="str">
        <f t="shared" si="28"/>
        <v/>
      </c>
      <c r="BS179" s="288" t="str">
        <f t="shared" si="29"/>
        <v/>
      </c>
      <c r="BT179" s="288" t="str">
        <f t="shared" si="30"/>
        <v/>
      </c>
      <c r="BU179" s="288" t="str">
        <f t="shared" si="31"/>
        <v/>
      </c>
      <c r="BV179" s="288" t="str">
        <f t="shared" si="32"/>
        <v/>
      </c>
      <c r="BW179" s="288" t="str">
        <f t="shared" si="33"/>
        <v/>
      </c>
      <c r="BX179" s="288" t="str">
        <f t="shared" si="34"/>
        <v/>
      </c>
      <c r="BY179" s="288" t="str">
        <f t="shared" si="35"/>
        <v/>
      </c>
      <c r="BZ179" s="289"/>
    </row>
    <row r="180" spans="1:78" ht="15" customHeight="1">
      <c r="A180" s="276">
        <f>IF('Statement of Marks'!A183="","",'Statement of Marks'!A183)</f>
        <v>177</v>
      </c>
      <c r="B180" s="277" t="str">
        <f>IF('Statement of Marks'!B183="","",'Statement of Marks'!B183)</f>
        <v/>
      </c>
      <c r="C180" s="278" t="str">
        <f>IF('Statement of Marks'!D183="","",'Statement of Marks'!D183)</f>
        <v/>
      </c>
      <c r="D180" s="314" t="str">
        <f>IF('Statement of Marks'!E183="","",'Statement of Marks'!E183)</f>
        <v/>
      </c>
      <c r="E180" s="279" t="str">
        <f>IF('Statement of Marks'!F183="","",'Statement of Marks'!F183)</f>
        <v/>
      </c>
      <c r="F180" s="279" t="str">
        <f>IF('Statement of Marks'!G183="","",'Statement of Marks'!G183)</f>
        <v/>
      </c>
      <c r="G180" s="279" t="str">
        <f>IF('Statement of Marks'!H183="","",'Statement of Marks'!H183)</f>
        <v/>
      </c>
      <c r="H180" s="280" t="str">
        <f>IF('Statement of Marks'!I183="","",'Statement of Marks'!I183)</f>
        <v/>
      </c>
      <c r="I180" s="280" t="str">
        <f>IF('Statement of Marks'!J183="","",'Statement of Marks'!J183)</f>
        <v/>
      </c>
      <c r="J180" s="827" t="str">
        <f>IF('Statement of Marks'!HS183="","",'Statement of Marks'!HS183)</f>
        <v/>
      </c>
      <c r="K180" s="281" t="str">
        <f>IF('Statement of Marks'!HT183="","",'Statement of Marks'!HT183)</f>
        <v/>
      </c>
      <c r="L180" s="828" t="str">
        <f>IF('Statement of Marks'!HW183="","",'Statement of Marks'!HW183)</f>
        <v/>
      </c>
      <c r="M180" s="281" t="str">
        <f>IF('Statement of Marks'!HV183="","",'Statement of Marks'!HV183)</f>
        <v/>
      </c>
      <c r="N180" s="829" t="str">
        <f>IF('Statement of Marks'!HX183="","",'Statement of Marks'!HX183)</f>
        <v/>
      </c>
      <c r="O180" s="282" t="str">
        <f>IF(J180="FAIL","",IF('Statement of Marks'!HO183="","",'Statement of Marks'!HO183))</f>
        <v xml:space="preserve">      </v>
      </c>
      <c r="P180" s="283" t="str">
        <f>IF('Supp. Result Entry'!AQ181="","",'Supp. Result Entry'!AQ181)</f>
        <v/>
      </c>
      <c r="Q180" s="284" t="str">
        <f>IF('Supp. Result Entry'!AR181="","",'Supp. Result Entry'!AR181)</f>
        <v/>
      </c>
      <c r="R180" s="285" t="str">
        <f>IF('Statement of Marks'!IA183="","",'Statement of Marks'!IA183)</f>
        <v/>
      </c>
      <c r="S180" s="286" t="str">
        <f>IF('Statement of Marks'!GL183="","",'Statement of Marks'!GL183)</f>
        <v/>
      </c>
      <c r="BM180" s="287" t="str">
        <f>'Statement of Marks'!F183</f>
        <v/>
      </c>
      <c r="BN180" s="288" t="str">
        <f t="shared" si="24"/>
        <v/>
      </c>
      <c r="BO180" s="288" t="str">
        <f t="shared" si="25"/>
        <v/>
      </c>
      <c r="BP180" s="288" t="str">
        <f t="shared" si="26"/>
        <v/>
      </c>
      <c r="BQ180" s="288" t="str">
        <f t="shared" si="27"/>
        <v/>
      </c>
      <c r="BR180" s="288" t="str">
        <f t="shared" si="28"/>
        <v/>
      </c>
      <c r="BS180" s="288" t="str">
        <f t="shared" si="29"/>
        <v/>
      </c>
      <c r="BT180" s="288" t="str">
        <f t="shared" si="30"/>
        <v/>
      </c>
      <c r="BU180" s="288" t="str">
        <f t="shared" si="31"/>
        <v/>
      </c>
      <c r="BV180" s="288" t="str">
        <f t="shared" si="32"/>
        <v/>
      </c>
      <c r="BW180" s="288" t="str">
        <f t="shared" si="33"/>
        <v/>
      </c>
      <c r="BX180" s="288" t="str">
        <f t="shared" si="34"/>
        <v/>
      </c>
      <c r="BY180" s="288" t="str">
        <f t="shared" si="35"/>
        <v/>
      </c>
      <c r="BZ180" s="289"/>
    </row>
    <row r="181" spans="1:78" ht="15" customHeight="1">
      <c r="A181" s="276">
        <f>IF('Statement of Marks'!A184="","",'Statement of Marks'!A184)</f>
        <v>178</v>
      </c>
      <c r="B181" s="277" t="str">
        <f>IF('Statement of Marks'!B184="","",'Statement of Marks'!B184)</f>
        <v/>
      </c>
      <c r="C181" s="278" t="str">
        <f>IF('Statement of Marks'!D184="","",'Statement of Marks'!D184)</f>
        <v/>
      </c>
      <c r="D181" s="314" t="str">
        <f>IF('Statement of Marks'!E184="","",'Statement of Marks'!E184)</f>
        <v/>
      </c>
      <c r="E181" s="279" t="str">
        <f>IF('Statement of Marks'!F184="","",'Statement of Marks'!F184)</f>
        <v/>
      </c>
      <c r="F181" s="279" t="str">
        <f>IF('Statement of Marks'!G184="","",'Statement of Marks'!G184)</f>
        <v/>
      </c>
      <c r="G181" s="279" t="str">
        <f>IF('Statement of Marks'!H184="","",'Statement of Marks'!H184)</f>
        <v/>
      </c>
      <c r="H181" s="280" t="str">
        <f>IF('Statement of Marks'!I184="","",'Statement of Marks'!I184)</f>
        <v/>
      </c>
      <c r="I181" s="280" t="str">
        <f>IF('Statement of Marks'!J184="","",'Statement of Marks'!J184)</f>
        <v/>
      </c>
      <c r="J181" s="827" t="str">
        <f>IF('Statement of Marks'!HS184="","",'Statement of Marks'!HS184)</f>
        <v/>
      </c>
      <c r="K181" s="281" t="str">
        <f>IF('Statement of Marks'!HT184="","",'Statement of Marks'!HT184)</f>
        <v/>
      </c>
      <c r="L181" s="828" t="str">
        <f>IF('Statement of Marks'!HW184="","",'Statement of Marks'!HW184)</f>
        <v/>
      </c>
      <c r="M181" s="281" t="str">
        <f>IF('Statement of Marks'!HV184="","",'Statement of Marks'!HV184)</f>
        <v/>
      </c>
      <c r="N181" s="829" t="str">
        <f>IF('Statement of Marks'!HX184="","",'Statement of Marks'!HX184)</f>
        <v/>
      </c>
      <c r="O181" s="282" t="str">
        <f>IF(J181="FAIL","",IF('Statement of Marks'!HO184="","",'Statement of Marks'!HO184))</f>
        <v xml:space="preserve">      </v>
      </c>
      <c r="P181" s="283" t="str">
        <f>IF('Supp. Result Entry'!AQ182="","",'Supp. Result Entry'!AQ182)</f>
        <v/>
      </c>
      <c r="Q181" s="284" t="str">
        <f>IF('Supp. Result Entry'!AR182="","",'Supp. Result Entry'!AR182)</f>
        <v/>
      </c>
      <c r="R181" s="285" t="str">
        <f>IF('Statement of Marks'!IA184="","",'Statement of Marks'!IA184)</f>
        <v/>
      </c>
      <c r="S181" s="286" t="str">
        <f>IF('Statement of Marks'!GL184="","",'Statement of Marks'!GL184)</f>
        <v/>
      </c>
      <c r="BM181" s="287" t="str">
        <f>'Statement of Marks'!F184</f>
        <v/>
      </c>
      <c r="BN181" s="288" t="str">
        <f t="shared" si="24"/>
        <v/>
      </c>
      <c r="BO181" s="288" t="str">
        <f t="shared" si="25"/>
        <v/>
      </c>
      <c r="BP181" s="288" t="str">
        <f t="shared" si="26"/>
        <v/>
      </c>
      <c r="BQ181" s="288" t="str">
        <f t="shared" si="27"/>
        <v/>
      </c>
      <c r="BR181" s="288" t="str">
        <f t="shared" si="28"/>
        <v/>
      </c>
      <c r="BS181" s="288" t="str">
        <f t="shared" si="29"/>
        <v/>
      </c>
      <c r="BT181" s="288" t="str">
        <f t="shared" si="30"/>
        <v/>
      </c>
      <c r="BU181" s="288" t="str">
        <f t="shared" si="31"/>
        <v/>
      </c>
      <c r="BV181" s="288" t="str">
        <f t="shared" si="32"/>
        <v/>
      </c>
      <c r="BW181" s="288" t="str">
        <f t="shared" si="33"/>
        <v/>
      </c>
      <c r="BX181" s="288" t="str">
        <f t="shared" si="34"/>
        <v/>
      </c>
      <c r="BY181" s="288" t="str">
        <f t="shared" si="35"/>
        <v/>
      </c>
      <c r="BZ181" s="289"/>
    </row>
    <row r="182" spans="1:78" ht="15" customHeight="1">
      <c r="A182" s="276">
        <f>IF('Statement of Marks'!A185="","",'Statement of Marks'!A185)</f>
        <v>179</v>
      </c>
      <c r="B182" s="277" t="str">
        <f>IF('Statement of Marks'!B185="","",'Statement of Marks'!B185)</f>
        <v/>
      </c>
      <c r="C182" s="278" t="str">
        <f>IF('Statement of Marks'!D185="","",'Statement of Marks'!D185)</f>
        <v/>
      </c>
      <c r="D182" s="314" t="str">
        <f>IF('Statement of Marks'!E185="","",'Statement of Marks'!E185)</f>
        <v/>
      </c>
      <c r="E182" s="279" t="str">
        <f>IF('Statement of Marks'!F185="","",'Statement of Marks'!F185)</f>
        <v/>
      </c>
      <c r="F182" s="279" t="str">
        <f>IF('Statement of Marks'!G185="","",'Statement of Marks'!G185)</f>
        <v/>
      </c>
      <c r="G182" s="279" t="str">
        <f>IF('Statement of Marks'!H185="","",'Statement of Marks'!H185)</f>
        <v/>
      </c>
      <c r="H182" s="280" t="str">
        <f>IF('Statement of Marks'!I185="","",'Statement of Marks'!I185)</f>
        <v/>
      </c>
      <c r="I182" s="280" t="str">
        <f>IF('Statement of Marks'!J185="","",'Statement of Marks'!J185)</f>
        <v/>
      </c>
      <c r="J182" s="827" t="str">
        <f>IF('Statement of Marks'!HS185="","",'Statement of Marks'!HS185)</f>
        <v/>
      </c>
      <c r="K182" s="281" t="str">
        <f>IF('Statement of Marks'!HT185="","",'Statement of Marks'!HT185)</f>
        <v/>
      </c>
      <c r="L182" s="828" t="str">
        <f>IF('Statement of Marks'!HW185="","",'Statement of Marks'!HW185)</f>
        <v/>
      </c>
      <c r="M182" s="281" t="str">
        <f>IF('Statement of Marks'!HV185="","",'Statement of Marks'!HV185)</f>
        <v/>
      </c>
      <c r="N182" s="829" t="str">
        <f>IF('Statement of Marks'!HX185="","",'Statement of Marks'!HX185)</f>
        <v/>
      </c>
      <c r="O182" s="282" t="str">
        <f>IF(J182="FAIL","",IF('Statement of Marks'!HO185="","",'Statement of Marks'!HO185))</f>
        <v xml:space="preserve">      </v>
      </c>
      <c r="P182" s="283" t="str">
        <f>IF('Supp. Result Entry'!AQ183="","",'Supp. Result Entry'!AQ183)</f>
        <v/>
      </c>
      <c r="Q182" s="284" t="str">
        <f>IF('Supp. Result Entry'!AR183="","",'Supp. Result Entry'!AR183)</f>
        <v/>
      </c>
      <c r="R182" s="285" t="str">
        <f>IF('Statement of Marks'!IA185="","",'Statement of Marks'!IA185)</f>
        <v/>
      </c>
      <c r="S182" s="286" t="str">
        <f>IF('Statement of Marks'!GL185="","",'Statement of Marks'!GL185)</f>
        <v/>
      </c>
      <c r="BM182" s="287" t="str">
        <f>'Statement of Marks'!F185</f>
        <v/>
      </c>
      <c r="BN182" s="288" t="str">
        <f t="shared" si="24"/>
        <v/>
      </c>
      <c r="BO182" s="288" t="str">
        <f t="shared" si="25"/>
        <v/>
      </c>
      <c r="BP182" s="288" t="str">
        <f t="shared" si="26"/>
        <v/>
      </c>
      <c r="BQ182" s="288" t="str">
        <f t="shared" si="27"/>
        <v/>
      </c>
      <c r="BR182" s="288" t="str">
        <f t="shared" si="28"/>
        <v/>
      </c>
      <c r="BS182" s="288" t="str">
        <f t="shared" si="29"/>
        <v/>
      </c>
      <c r="BT182" s="288" t="str">
        <f t="shared" si="30"/>
        <v/>
      </c>
      <c r="BU182" s="288" t="str">
        <f t="shared" si="31"/>
        <v/>
      </c>
      <c r="BV182" s="288" t="str">
        <f t="shared" si="32"/>
        <v/>
      </c>
      <c r="BW182" s="288" t="str">
        <f t="shared" si="33"/>
        <v/>
      </c>
      <c r="BX182" s="288" t="str">
        <f t="shared" si="34"/>
        <v/>
      </c>
      <c r="BY182" s="288" t="str">
        <f t="shared" si="35"/>
        <v/>
      </c>
      <c r="BZ182" s="289"/>
    </row>
    <row r="183" spans="1:78" ht="15" customHeight="1">
      <c r="A183" s="276">
        <f>IF('Statement of Marks'!A186="","",'Statement of Marks'!A186)</f>
        <v>180</v>
      </c>
      <c r="B183" s="277" t="str">
        <f>IF('Statement of Marks'!B186="","",'Statement of Marks'!B186)</f>
        <v/>
      </c>
      <c r="C183" s="278" t="str">
        <f>IF('Statement of Marks'!D186="","",'Statement of Marks'!D186)</f>
        <v/>
      </c>
      <c r="D183" s="314" t="str">
        <f>IF('Statement of Marks'!E186="","",'Statement of Marks'!E186)</f>
        <v/>
      </c>
      <c r="E183" s="279" t="str">
        <f>IF('Statement of Marks'!F186="","",'Statement of Marks'!F186)</f>
        <v/>
      </c>
      <c r="F183" s="279" t="str">
        <f>IF('Statement of Marks'!G186="","",'Statement of Marks'!G186)</f>
        <v/>
      </c>
      <c r="G183" s="279" t="str">
        <f>IF('Statement of Marks'!H186="","",'Statement of Marks'!H186)</f>
        <v/>
      </c>
      <c r="H183" s="280" t="str">
        <f>IF('Statement of Marks'!I186="","",'Statement of Marks'!I186)</f>
        <v/>
      </c>
      <c r="I183" s="280" t="str">
        <f>IF('Statement of Marks'!J186="","",'Statement of Marks'!J186)</f>
        <v/>
      </c>
      <c r="J183" s="827" t="str">
        <f>IF('Statement of Marks'!HS186="","",'Statement of Marks'!HS186)</f>
        <v/>
      </c>
      <c r="K183" s="281" t="str">
        <f>IF('Statement of Marks'!HT186="","",'Statement of Marks'!HT186)</f>
        <v/>
      </c>
      <c r="L183" s="828" t="str">
        <f>IF('Statement of Marks'!HW186="","",'Statement of Marks'!HW186)</f>
        <v/>
      </c>
      <c r="M183" s="281" t="str">
        <f>IF('Statement of Marks'!HV186="","",'Statement of Marks'!HV186)</f>
        <v/>
      </c>
      <c r="N183" s="829" t="str">
        <f>IF('Statement of Marks'!HX186="","",'Statement of Marks'!HX186)</f>
        <v/>
      </c>
      <c r="O183" s="282" t="str">
        <f>IF(J183="FAIL","",IF('Statement of Marks'!HO186="","",'Statement of Marks'!HO186))</f>
        <v xml:space="preserve">      </v>
      </c>
      <c r="P183" s="283" t="str">
        <f>IF('Supp. Result Entry'!AQ184="","",'Supp. Result Entry'!AQ184)</f>
        <v/>
      </c>
      <c r="Q183" s="284" t="str">
        <f>IF('Supp. Result Entry'!AR184="","",'Supp. Result Entry'!AR184)</f>
        <v/>
      </c>
      <c r="R183" s="285" t="str">
        <f>IF('Statement of Marks'!IA186="","",'Statement of Marks'!IA186)</f>
        <v/>
      </c>
      <c r="S183" s="286" t="str">
        <f>IF('Statement of Marks'!GL186="","",'Statement of Marks'!GL186)</f>
        <v/>
      </c>
      <c r="BM183" s="287" t="str">
        <f>'Statement of Marks'!F186</f>
        <v/>
      </c>
      <c r="BN183" s="288" t="str">
        <f t="shared" si="24"/>
        <v/>
      </c>
      <c r="BO183" s="288" t="str">
        <f t="shared" si="25"/>
        <v/>
      </c>
      <c r="BP183" s="288" t="str">
        <f t="shared" si="26"/>
        <v/>
      </c>
      <c r="BQ183" s="288" t="str">
        <f t="shared" si="27"/>
        <v/>
      </c>
      <c r="BR183" s="288" t="str">
        <f t="shared" si="28"/>
        <v/>
      </c>
      <c r="BS183" s="288" t="str">
        <f t="shared" si="29"/>
        <v/>
      </c>
      <c r="BT183" s="288" t="str">
        <f t="shared" si="30"/>
        <v/>
      </c>
      <c r="BU183" s="288" t="str">
        <f t="shared" si="31"/>
        <v/>
      </c>
      <c r="BV183" s="288" t="str">
        <f t="shared" si="32"/>
        <v/>
      </c>
      <c r="BW183" s="288" t="str">
        <f t="shared" si="33"/>
        <v/>
      </c>
      <c r="BX183" s="288" t="str">
        <f t="shared" si="34"/>
        <v/>
      </c>
      <c r="BY183" s="288" t="str">
        <f t="shared" si="35"/>
        <v/>
      </c>
      <c r="BZ183" s="289"/>
    </row>
    <row r="184" spans="1:78" ht="15" customHeight="1">
      <c r="A184" s="276">
        <f>IF('Statement of Marks'!A187="","",'Statement of Marks'!A187)</f>
        <v>181</v>
      </c>
      <c r="B184" s="277" t="str">
        <f>IF('Statement of Marks'!B187="","",'Statement of Marks'!B187)</f>
        <v/>
      </c>
      <c r="C184" s="278" t="str">
        <f>IF('Statement of Marks'!D187="","",'Statement of Marks'!D187)</f>
        <v/>
      </c>
      <c r="D184" s="314" t="str">
        <f>IF('Statement of Marks'!E187="","",'Statement of Marks'!E187)</f>
        <v/>
      </c>
      <c r="E184" s="279" t="str">
        <f>IF('Statement of Marks'!F187="","",'Statement of Marks'!F187)</f>
        <v/>
      </c>
      <c r="F184" s="279" t="str">
        <f>IF('Statement of Marks'!G187="","",'Statement of Marks'!G187)</f>
        <v/>
      </c>
      <c r="G184" s="279" t="str">
        <f>IF('Statement of Marks'!H187="","",'Statement of Marks'!H187)</f>
        <v/>
      </c>
      <c r="H184" s="280" t="str">
        <f>IF('Statement of Marks'!I187="","",'Statement of Marks'!I187)</f>
        <v/>
      </c>
      <c r="I184" s="280" t="str">
        <f>IF('Statement of Marks'!J187="","",'Statement of Marks'!J187)</f>
        <v/>
      </c>
      <c r="J184" s="826" t="str">
        <f>IF('Statement of Marks'!HS187="","",'Statement of Marks'!HS187)</f>
        <v/>
      </c>
      <c r="K184" s="281" t="str">
        <f>IF('Statement of Marks'!HT187="","",'Statement of Marks'!HT187)</f>
        <v/>
      </c>
      <c r="L184" s="828" t="str">
        <f>IF('Statement of Marks'!HW187="","",'Statement of Marks'!HW187)</f>
        <v/>
      </c>
      <c r="M184" s="281" t="str">
        <f>IF('Statement of Marks'!HV187="","",'Statement of Marks'!HV187)</f>
        <v/>
      </c>
      <c r="N184" s="829" t="str">
        <f>IF('Statement of Marks'!HX187="","",'Statement of Marks'!HX187)</f>
        <v/>
      </c>
      <c r="O184" s="282" t="str">
        <f>IF(J184="FAIL","",IF('Statement of Marks'!HO187="","",'Statement of Marks'!HO187))</f>
        <v xml:space="preserve">      </v>
      </c>
      <c r="P184" s="283" t="str">
        <f>IF('Supp. Result Entry'!AQ185="","",'Supp. Result Entry'!AQ185)</f>
        <v/>
      </c>
      <c r="Q184" s="284" t="str">
        <f>IF('Supp. Result Entry'!AR185="","",'Supp. Result Entry'!AR185)</f>
        <v/>
      </c>
      <c r="R184" s="285" t="str">
        <f>IF('Statement of Marks'!IA187="","",'Statement of Marks'!IA187)</f>
        <v/>
      </c>
      <c r="S184" s="286" t="str">
        <f>IF('Statement of Marks'!GL187="","",'Statement of Marks'!GL187)</f>
        <v/>
      </c>
      <c r="BM184" s="287" t="str">
        <f>'Statement of Marks'!F187</f>
        <v/>
      </c>
      <c r="BN184" s="288" t="str">
        <f t="shared" si="24"/>
        <v/>
      </c>
      <c r="BO184" s="288" t="str">
        <f t="shared" si="25"/>
        <v/>
      </c>
      <c r="BP184" s="288" t="str">
        <f t="shared" si="26"/>
        <v/>
      </c>
      <c r="BQ184" s="288" t="str">
        <f t="shared" si="27"/>
        <v/>
      </c>
      <c r="BR184" s="288" t="str">
        <f t="shared" si="28"/>
        <v/>
      </c>
      <c r="BS184" s="288" t="str">
        <f t="shared" si="29"/>
        <v/>
      </c>
      <c r="BT184" s="288" t="str">
        <f t="shared" si="30"/>
        <v/>
      </c>
      <c r="BU184" s="288" t="str">
        <f t="shared" si="31"/>
        <v/>
      </c>
      <c r="BV184" s="288" t="str">
        <f t="shared" si="32"/>
        <v/>
      </c>
      <c r="BW184" s="288" t="str">
        <f t="shared" si="33"/>
        <v/>
      </c>
      <c r="BX184" s="288" t="str">
        <f t="shared" si="34"/>
        <v/>
      </c>
      <c r="BY184" s="288" t="str">
        <f t="shared" si="35"/>
        <v/>
      </c>
      <c r="BZ184" s="289"/>
    </row>
    <row r="185" spans="1:78" ht="15" customHeight="1">
      <c r="A185" s="276">
        <f>IF('Statement of Marks'!A188="","",'Statement of Marks'!A188)</f>
        <v>182</v>
      </c>
      <c r="B185" s="277" t="str">
        <f>IF('Statement of Marks'!B188="","",'Statement of Marks'!B188)</f>
        <v/>
      </c>
      <c r="C185" s="278" t="str">
        <f>IF('Statement of Marks'!D188="","",'Statement of Marks'!D188)</f>
        <v/>
      </c>
      <c r="D185" s="314" t="str">
        <f>IF('Statement of Marks'!E188="","",'Statement of Marks'!E188)</f>
        <v/>
      </c>
      <c r="E185" s="279" t="str">
        <f>IF('Statement of Marks'!F188="","",'Statement of Marks'!F188)</f>
        <v/>
      </c>
      <c r="F185" s="279" t="str">
        <f>IF('Statement of Marks'!G188="","",'Statement of Marks'!G188)</f>
        <v/>
      </c>
      <c r="G185" s="279" t="str">
        <f>IF('Statement of Marks'!H188="","",'Statement of Marks'!H188)</f>
        <v/>
      </c>
      <c r="H185" s="280" t="str">
        <f>IF('Statement of Marks'!I188="","",'Statement of Marks'!I188)</f>
        <v/>
      </c>
      <c r="I185" s="280" t="str">
        <f>IF('Statement of Marks'!J188="","",'Statement of Marks'!J188)</f>
        <v/>
      </c>
      <c r="J185" s="827" t="str">
        <f>IF('Statement of Marks'!HS188="","",'Statement of Marks'!HS188)</f>
        <v/>
      </c>
      <c r="K185" s="281" t="str">
        <f>IF('Statement of Marks'!HT188="","",'Statement of Marks'!HT188)</f>
        <v/>
      </c>
      <c r="L185" s="828" t="str">
        <f>IF('Statement of Marks'!HW188="","",'Statement of Marks'!HW188)</f>
        <v/>
      </c>
      <c r="M185" s="281" t="str">
        <f>IF('Statement of Marks'!HV188="","",'Statement of Marks'!HV188)</f>
        <v/>
      </c>
      <c r="N185" s="829" t="str">
        <f>IF('Statement of Marks'!HX188="","",'Statement of Marks'!HX188)</f>
        <v/>
      </c>
      <c r="O185" s="282" t="str">
        <f>IF(J185="FAIL","",IF('Statement of Marks'!HO188="","",'Statement of Marks'!HO188))</f>
        <v xml:space="preserve">      </v>
      </c>
      <c r="P185" s="283" t="str">
        <f>IF('Supp. Result Entry'!AQ186="","",'Supp. Result Entry'!AQ186)</f>
        <v/>
      </c>
      <c r="Q185" s="284" t="str">
        <f>IF('Supp. Result Entry'!AR186="","",'Supp. Result Entry'!AR186)</f>
        <v/>
      </c>
      <c r="R185" s="285" t="str">
        <f>IF('Statement of Marks'!IA188="","",'Statement of Marks'!IA188)</f>
        <v/>
      </c>
      <c r="S185" s="286" t="str">
        <f>IF('Statement of Marks'!GL188="","",'Statement of Marks'!GL188)</f>
        <v/>
      </c>
      <c r="BM185" s="287" t="str">
        <f>'Statement of Marks'!F188</f>
        <v/>
      </c>
      <c r="BN185" s="288" t="str">
        <f t="shared" si="24"/>
        <v/>
      </c>
      <c r="BO185" s="288" t="str">
        <f t="shared" si="25"/>
        <v/>
      </c>
      <c r="BP185" s="288" t="str">
        <f t="shared" si="26"/>
        <v/>
      </c>
      <c r="BQ185" s="288" t="str">
        <f t="shared" si="27"/>
        <v/>
      </c>
      <c r="BR185" s="288" t="str">
        <f t="shared" si="28"/>
        <v/>
      </c>
      <c r="BS185" s="288" t="str">
        <f t="shared" si="29"/>
        <v/>
      </c>
      <c r="BT185" s="288" t="str">
        <f t="shared" si="30"/>
        <v/>
      </c>
      <c r="BU185" s="288" t="str">
        <f t="shared" si="31"/>
        <v/>
      </c>
      <c r="BV185" s="288" t="str">
        <f t="shared" si="32"/>
        <v/>
      </c>
      <c r="BW185" s="288" t="str">
        <f t="shared" si="33"/>
        <v/>
      </c>
      <c r="BX185" s="288" t="str">
        <f t="shared" si="34"/>
        <v/>
      </c>
      <c r="BY185" s="288" t="str">
        <f t="shared" si="35"/>
        <v/>
      </c>
      <c r="BZ185" s="289"/>
    </row>
    <row r="186" spans="1:78" ht="15" customHeight="1">
      <c r="A186" s="276">
        <f>IF('Statement of Marks'!A189="","",'Statement of Marks'!A189)</f>
        <v>183</v>
      </c>
      <c r="B186" s="277" t="str">
        <f>IF('Statement of Marks'!B189="","",'Statement of Marks'!B189)</f>
        <v/>
      </c>
      <c r="C186" s="278" t="str">
        <f>IF('Statement of Marks'!D189="","",'Statement of Marks'!D189)</f>
        <v/>
      </c>
      <c r="D186" s="314" t="str">
        <f>IF('Statement of Marks'!E189="","",'Statement of Marks'!E189)</f>
        <v/>
      </c>
      <c r="E186" s="279" t="str">
        <f>IF('Statement of Marks'!F189="","",'Statement of Marks'!F189)</f>
        <v/>
      </c>
      <c r="F186" s="279" t="str">
        <f>IF('Statement of Marks'!G189="","",'Statement of Marks'!G189)</f>
        <v/>
      </c>
      <c r="G186" s="279" t="str">
        <f>IF('Statement of Marks'!H189="","",'Statement of Marks'!H189)</f>
        <v/>
      </c>
      <c r="H186" s="280" t="str">
        <f>IF('Statement of Marks'!I189="","",'Statement of Marks'!I189)</f>
        <v/>
      </c>
      <c r="I186" s="280" t="str">
        <f>IF('Statement of Marks'!J189="","",'Statement of Marks'!J189)</f>
        <v/>
      </c>
      <c r="J186" s="827" t="str">
        <f>IF('Statement of Marks'!HS189="","",'Statement of Marks'!HS189)</f>
        <v/>
      </c>
      <c r="K186" s="281" t="str">
        <f>IF('Statement of Marks'!HT189="","",'Statement of Marks'!HT189)</f>
        <v/>
      </c>
      <c r="L186" s="828" t="str">
        <f>IF('Statement of Marks'!HW189="","",'Statement of Marks'!HW189)</f>
        <v/>
      </c>
      <c r="M186" s="281" t="str">
        <f>IF('Statement of Marks'!HV189="","",'Statement of Marks'!HV189)</f>
        <v/>
      </c>
      <c r="N186" s="829" t="str">
        <f>IF('Statement of Marks'!HX189="","",'Statement of Marks'!HX189)</f>
        <v/>
      </c>
      <c r="O186" s="282" t="str">
        <f>IF(J186="FAIL","",IF('Statement of Marks'!HO189="","",'Statement of Marks'!HO189))</f>
        <v xml:space="preserve">      </v>
      </c>
      <c r="P186" s="283" t="str">
        <f>IF('Supp. Result Entry'!AQ187="","",'Supp. Result Entry'!AQ187)</f>
        <v/>
      </c>
      <c r="Q186" s="284" t="str">
        <f>IF('Supp. Result Entry'!AR187="","",'Supp. Result Entry'!AR187)</f>
        <v/>
      </c>
      <c r="R186" s="285" t="str">
        <f>IF('Statement of Marks'!IA189="","",'Statement of Marks'!IA189)</f>
        <v/>
      </c>
      <c r="S186" s="286" t="str">
        <f>IF('Statement of Marks'!GL189="","",'Statement of Marks'!GL189)</f>
        <v/>
      </c>
      <c r="BM186" s="287" t="str">
        <f>'Statement of Marks'!F189</f>
        <v/>
      </c>
      <c r="BN186" s="288" t="str">
        <f t="shared" si="24"/>
        <v/>
      </c>
      <c r="BO186" s="288" t="str">
        <f t="shared" si="25"/>
        <v/>
      </c>
      <c r="BP186" s="288" t="str">
        <f t="shared" si="26"/>
        <v/>
      </c>
      <c r="BQ186" s="288" t="str">
        <f t="shared" si="27"/>
        <v/>
      </c>
      <c r="BR186" s="288" t="str">
        <f t="shared" si="28"/>
        <v/>
      </c>
      <c r="BS186" s="288" t="str">
        <f t="shared" si="29"/>
        <v/>
      </c>
      <c r="BT186" s="288" t="str">
        <f t="shared" si="30"/>
        <v/>
      </c>
      <c r="BU186" s="288" t="str">
        <f t="shared" si="31"/>
        <v/>
      </c>
      <c r="BV186" s="288" t="str">
        <f t="shared" si="32"/>
        <v/>
      </c>
      <c r="BW186" s="288" t="str">
        <f t="shared" si="33"/>
        <v/>
      </c>
      <c r="BX186" s="288" t="str">
        <f t="shared" si="34"/>
        <v/>
      </c>
      <c r="BY186" s="288" t="str">
        <f t="shared" si="35"/>
        <v/>
      </c>
      <c r="BZ186" s="289"/>
    </row>
    <row r="187" spans="1:78" ht="15" customHeight="1">
      <c r="A187" s="276">
        <f>IF('Statement of Marks'!A190="","",'Statement of Marks'!A190)</f>
        <v>184</v>
      </c>
      <c r="B187" s="277" t="str">
        <f>IF('Statement of Marks'!B190="","",'Statement of Marks'!B190)</f>
        <v/>
      </c>
      <c r="C187" s="278" t="str">
        <f>IF('Statement of Marks'!D190="","",'Statement of Marks'!D190)</f>
        <v/>
      </c>
      <c r="D187" s="314" t="str">
        <f>IF('Statement of Marks'!E190="","",'Statement of Marks'!E190)</f>
        <v/>
      </c>
      <c r="E187" s="279" t="str">
        <f>IF('Statement of Marks'!F190="","",'Statement of Marks'!F190)</f>
        <v/>
      </c>
      <c r="F187" s="279" t="str">
        <f>IF('Statement of Marks'!G190="","",'Statement of Marks'!G190)</f>
        <v/>
      </c>
      <c r="G187" s="279" t="str">
        <f>IF('Statement of Marks'!H190="","",'Statement of Marks'!H190)</f>
        <v/>
      </c>
      <c r="H187" s="280" t="str">
        <f>IF('Statement of Marks'!I190="","",'Statement of Marks'!I190)</f>
        <v/>
      </c>
      <c r="I187" s="280" t="str">
        <f>IF('Statement of Marks'!J190="","",'Statement of Marks'!J190)</f>
        <v/>
      </c>
      <c r="J187" s="827" t="str">
        <f>IF('Statement of Marks'!HS190="","",'Statement of Marks'!HS190)</f>
        <v/>
      </c>
      <c r="K187" s="281" t="str">
        <f>IF('Statement of Marks'!HT190="","",'Statement of Marks'!HT190)</f>
        <v/>
      </c>
      <c r="L187" s="828" t="str">
        <f>IF('Statement of Marks'!HW190="","",'Statement of Marks'!HW190)</f>
        <v/>
      </c>
      <c r="M187" s="281" t="str">
        <f>IF('Statement of Marks'!HV190="","",'Statement of Marks'!HV190)</f>
        <v/>
      </c>
      <c r="N187" s="829" t="str">
        <f>IF('Statement of Marks'!HX190="","",'Statement of Marks'!HX190)</f>
        <v/>
      </c>
      <c r="O187" s="282" t="str">
        <f>IF(J187="FAIL","",IF('Statement of Marks'!HO190="","",'Statement of Marks'!HO190))</f>
        <v xml:space="preserve">      </v>
      </c>
      <c r="P187" s="283" t="str">
        <f>IF('Supp. Result Entry'!AQ188="","",'Supp. Result Entry'!AQ188)</f>
        <v/>
      </c>
      <c r="Q187" s="284" t="str">
        <f>IF('Supp. Result Entry'!AR188="","",'Supp. Result Entry'!AR188)</f>
        <v/>
      </c>
      <c r="R187" s="285" t="str">
        <f>IF('Statement of Marks'!IA190="","",'Statement of Marks'!IA190)</f>
        <v/>
      </c>
      <c r="S187" s="286" t="str">
        <f>IF('Statement of Marks'!GL190="","",'Statement of Marks'!GL190)</f>
        <v/>
      </c>
      <c r="BM187" s="287" t="str">
        <f>'Statement of Marks'!F190</f>
        <v/>
      </c>
      <c r="BN187" s="288" t="str">
        <f t="shared" si="24"/>
        <v/>
      </c>
      <c r="BO187" s="288" t="str">
        <f t="shared" si="25"/>
        <v/>
      </c>
      <c r="BP187" s="288" t="str">
        <f t="shared" si="26"/>
        <v/>
      </c>
      <c r="BQ187" s="288" t="str">
        <f t="shared" si="27"/>
        <v/>
      </c>
      <c r="BR187" s="288" t="str">
        <f t="shared" si="28"/>
        <v/>
      </c>
      <c r="BS187" s="288" t="str">
        <f t="shared" si="29"/>
        <v/>
      </c>
      <c r="BT187" s="288" t="str">
        <f t="shared" si="30"/>
        <v/>
      </c>
      <c r="BU187" s="288" t="str">
        <f t="shared" si="31"/>
        <v/>
      </c>
      <c r="BV187" s="288" t="str">
        <f t="shared" si="32"/>
        <v/>
      </c>
      <c r="BW187" s="288" t="str">
        <f t="shared" si="33"/>
        <v/>
      </c>
      <c r="BX187" s="288" t="str">
        <f t="shared" si="34"/>
        <v/>
      </c>
      <c r="BY187" s="288" t="str">
        <f t="shared" si="35"/>
        <v/>
      </c>
      <c r="BZ187" s="289"/>
    </row>
    <row r="188" spans="1:78" ht="15" customHeight="1">
      <c r="A188" s="276">
        <f>IF('Statement of Marks'!A191="","",'Statement of Marks'!A191)</f>
        <v>185</v>
      </c>
      <c r="B188" s="277" t="str">
        <f>IF('Statement of Marks'!B191="","",'Statement of Marks'!B191)</f>
        <v/>
      </c>
      <c r="C188" s="278" t="str">
        <f>IF('Statement of Marks'!D191="","",'Statement of Marks'!D191)</f>
        <v/>
      </c>
      <c r="D188" s="314" t="str">
        <f>IF('Statement of Marks'!E191="","",'Statement of Marks'!E191)</f>
        <v/>
      </c>
      <c r="E188" s="279" t="str">
        <f>IF('Statement of Marks'!F191="","",'Statement of Marks'!F191)</f>
        <v/>
      </c>
      <c r="F188" s="279" t="str">
        <f>IF('Statement of Marks'!G191="","",'Statement of Marks'!G191)</f>
        <v/>
      </c>
      <c r="G188" s="279" t="str">
        <f>IF('Statement of Marks'!H191="","",'Statement of Marks'!H191)</f>
        <v/>
      </c>
      <c r="H188" s="280" t="str">
        <f>IF('Statement of Marks'!I191="","",'Statement of Marks'!I191)</f>
        <v/>
      </c>
      <c r="I188" s="280" t="str">
        <f>IF('Statement of Marks'!J191="","",'Statement of Marks'!J191)</f>
        <v/>
      </c>
      <c r="J188" s="827" t="str">
        <f>IF('Statement of Marks'!HS191="","",'Statement of Marks'!HS191)</f>
        <v/>
      </c>
      <c r="K188" s="281" t="str">
        <f>IF('Statement of Marks'!HT191="","",'Statement of Marks'!HT191)</f>
        <v/>
      </c>
      <c r="L188" s="828" t="str">
        <f>IF('Statement of Marks'!HW191="","",'Statement of Marks'!HW191)</f>
        <v/>
      </c>
      <c r="M188" s="281" t="str">
        <f>IF('Statement of Marks'!HV191="","",'Statement of Marks'!HV191)</f>
        <v/>
      </c>
      <c r="N188" s="829" t="str">
        <f>IF('Statement of Marks'!HX191="","",'Statement of Marks'!HX191)</f>
        <v/>
      </c>
      <c r="O188" s="282" t="str">
        <f>IF(J188="FAIL","",IF('Statement of Marks'!HO191="","",'Statement of Marks'!HO191))</f>
        <v xml:space="preserve">      </v>
      </c>
      <c r="P188" s="283" t="str">
        <f>IF('Supp. Result Entry'!AQ189="","",'Supp. Result Entry'!AQ189)</f>
        <v/>
      </c>
      <c r="Q188" s="284" t="str">
        <f>IF('Supp. Result Entry'!AR189="","",'Supp. Result Entry'!AR189)</f>
        <v/>
      </c>
      <c r="R188" s="285" t="str">
        <f>IF('Statement of Marks'!IA191="","",'Statement of Marks'!IA191)</f>
        <v/>
      </c>
      <c r="S188" s="286" t="str">
        <f>IF('Statement of Marks'!GL191="","",'Statement of Marks'!GL191)</f>
        <v/>
      </c>
      <c r="BM188" s="287" t="str">
        <f>'Statement of Marks'!F191</f>
        <v/>
      </c>
      <c r="BN188" s="288" t="str">
        <f t="shared" si="24"/>
        <v/>
      </c>
      <c r="BO188" s="288" t="str">
        <f t="shared" si="25"/>
        <v/>
      </c>
      <c r="BP188" s="288" t="str">
        <f t="shared" si="26"/>
        <v/>
      </c>
      <c r="BQ188" s="288" t="str">
        <f t="shared" si="27"/>
        <v/>
      </c>
      <c r="BR188" s="288" t="str">
        <f t="shared" si="28"/>
        <v/>
      </c>
      <c r="BS188" s="288" t="str">
        <f t="shared" si="29"/>
        <v/>
      </c>
      <c r="BT188" s="288" t="str">
        <f t="shared" si="30"/>
        <v/>
      </c>
      <c r="BU188" s="288" t="str">
        <f t="shared" si="31"/>
        <v/>
      </c>
      <c r="BV188" s="288" t="str">
        <f t="shared" si="32"/>
        <v/>
      </c>
      <c r="BW188" s="288" t="str">
        <f t="shared" si="33"/>
        <v/>
      </c>
      <c r="BX188" s="288" t="str">
        <f t="shared" si="34"/>
        <v/>
      </c>
      <c r="BY188" s="288" t="str">
        <f t="shared" si="35"/>
        <v/>
      </c>
      <c r="BZ188" s="289"/>
    </row>
    <row r="189" spans="1:78" ht="15" customHeight="1">
      <c r="A189" s="276">
        <f>IF('Statement of Marks'!A192="","",'Statement of Marks'!A192)</f>
        <v>186</v>
      </c>
      <c r="B189" s="277" t="str">
        <f>IF('Statement of Marks'!B192="","",'Statement of Marks'!B192)</f>
        <v/>
      </c>
      <c r="C189" s="278" t="str">
        <f>IF('Statement of Marks'!D192="","",'Statement of Marks'!D192)</f>
        <v/>
      </c>
      <c r="D189" s="314" t="str">
        <f>IF('Statement of Marks'!E192="","",'Statement of Marks'!E192)</f>
        <v/>
      </c>
      <c r="E189" s="279" t="str">
        <f>IF('Statement of Marks'!F192="","",'Statement of Marks'!F192)</f>
        <v/>
      </c>
      <c r="F189" s="279" t="str">
        <f>IF('Statement of Marks'!G192="","",'Statement of Marks'!G192)</f>
        <v/>
      </c>
      <c r="G189" s="279" t="str">
        <f>IF('Statement of Marks'!H192="","",'Statement of Marks'!H192)</f>
        <v/>
      </c>
      <c r="H189" s="280" t="str">
        <f>IF('Statement of Marks'!I192="","",'Statement of Marks'!I192)</f>
        <v/>
      </c>
      <c r="I189" s="280" t="str">
        <f>IF('Statement of Marks'!J192="","",'Statement of Marks'!J192)</f>
        <v/>
      </c>
      <c r="J189" s="827" t="str">
        <f>IF('Statement of Marks'!HS192="","",'Statement of Marks'!HS192)</f>
        <v/>
      </c>
      <c r="K189" s="281" t="str">
        <f>IF('Statement of Marks'!HT192="","",'Statement of Marks'!HT192)</f>
        <v/>
      </c>
      <c r="L189" s="828" t="str">
        <f>IF('Statement of Marks'!HW192="","",'Statement of Marks'!HW192)</f>
        <v/>
      </c>
      <c r="M189" s="281" t="str">
        <f>IF('Statement of Marks'!HV192="","",'Statement of Marks'!HV192)</f>
        <v/>
      </c>
      <c r="N189" s="829" t="str">
        <f>IF('Statement of Marks'!HX192="","",'Statement of Marks'!HX192)</f>
        <v/>
      </c>
      <c r="O189" s="282" t="str">
        <f>IF(J189="FAIL","",IF('Statement of Marks'!HO192="","",'Statement of Marks'!HO192))</f>
        <v xml:space="preserve">      </v>
      </c>
      <c r="P189" s="283" t="str">
        <f>IF('Supp. Result Entry'!AQ190="","",'Supp. Result Entry'!AQ190)</f>
        <v/>
      </c>
      <c r="Q189" s="284" t="str">
        <f>IF('Supp. Result Entry'!AR190="","",'Supp. Result Entry'!AR190)</f>
        <v/>
      </c>
      <c r="R189" s="285" t="str">
        <f>IF('Statement of Marks'!IA192="","",'Statement of Marks'!IA192)</f>
        <v/>
      </c>
      <c r="S189" s="286" t="str">
        <f>IF('Statement of Marks'!GL192="","",'Statement of Marks'!GL192)</f>
        <v/>
      </c>
      <c r="BM189" s="287" t="str">
        <f>'Statement of Marks'!F192</f>
        <v/>
      </c>
      <c r="BN189" s="288" t="str">
        <f t="shared" si="24"/>
        <v/>
      </c>
      <c r="BO189" s="288" t="str">
        <f t="shared" si="25"/>
        <v/>
      </c>
      <c r="BP189" s="288" t="str">
        <f t="shared" si="26"/>
        <v/>
      </c>
      <c r="BQ189" s="288" t="str">
        <f t="shared" si="27"/>
        <v/>
      </c>
      <c r="BR189" s="288" t="str">
        <f t="shared" si="28"/>
        <v/>
      </c>
      <c r="BS189" s="288" t="str">
        <f t="shared" si="29"/>
        <v/>
      </c>
      <c r="BT189" s="288" t="str">
        <f t="shared" si="30"/>
        <v/>
      </c>
      <c r="BU189" s="288" t="str">
        <f t="shared" si="31"/>
        <v/>
      </c>
      <c r="BV189" s="288" t="str">
        <f t="shared" si="32"/>
        <v/>
      </c>
      <c r="BW189" s="288" t="str">
        <f t="shared" si="33"/>
        <v/>
      </c>
      <c r="BX189" s="288" t="str">
        <f t="shared" si="34"/>
        <v/>
      </c>
      <c r="BY189" s="288" t="str">
        <f t="shared" si="35"/>
        <v/>
      </c>
      <c r="BZ189" s="289"/>
    </row>
    <row r="190" spans="1:78" ht="15" customHeight="1">
      <c r="A190" s="276">
        <f>IF('Statement of Marks'!A193="","",'Statement of Marks'!A193)</f>
        <v>187</v>
      </c>
      <c r="B190" s="277" t="str">
        <f>IF('Statement of Marks'!B193="","",'Statement of Marks'!B193)</f>
        <v/>
      </c>
      <c r="C190" s="278" t="str">
        <f>IF('Statement of Marks'!D193="","",'Statement of Marks'!D193)</f>
        <v/>
      </c>
      <c r="D190" s="314" t="str">
        <f>IF('Statement of Marks'!E193="","",'Statement of Marks'!E193)</f>
        <v/>
      </c>
      <c r="E190" s="279" t="str">
        <f>IF('Statement of Marks'!F193="","",'Statement of Marks'!F193)</f>
        <v/>
      </c>
      <c r="F190" s="279" t="str">
        <f>IF('Statement of Marks'!G193="","",'Statement of Marks'!G193)</f>
        <v/>
      </c>
      <c r="G190" s="279" t="str">
        <f>IF('Statement of Marks'!H193="","",'Statement of Marks'!H193)</f>
        <v/>
      </c>
      <c r="H190" s="280" t="str">
        <f>IF('Statement of Marks'!I193="","",'Statement of Marks'!I193)</f>
        <v/>
      </c>
      <c r="I190" s="280" t="str">
        <f>IF('Statement of Marks'!J193="","",'Statement of Marks'!J193)</f>
        <v/>
      </c>
      <c r="J190" s="827" t="str">
        <f>IF('Statement of Marks'!HS193="","",'Statement of Marks'!HS193)</f>
        <v/>
      </c>
      <c r="K190" s="281" t="str">
        <f>IF('Statement of Marks'!HT193="","",'Statement of Marks'!HT193)</f>
        <v/>
      </c>
      <c r="L190" s="828" t="str">
        <f>IF('Statement of Marks'!HW193="","",'Statement of Marks'!HW193)</f>
        <v/>
      </c>
      <c r="M190" s="281" t="str">
        <f>IF('Statement of Marks'!HV193="","",'Statement of Marks'!HV193)</f>
        <v/>
      </c>
      <c r="N190" s="829" t="str">
        <f>IF('Statement of Marks'!HX193="","",'Statement of Marks'!HX193)</f>
        <v/>
      </c>
      <c r="O190" s="282" t="str">
        <f>IF(J190="FAIL","",IF('Statement of Marks'!HO193="","",'Statement of Marks'!HO193))</f>
        <v xml:space="preserve">      </v>
      </c>
      <c r="P190" s="283" t="str">
        <f>IF('Supp. Result Entry'!AQ191="","",'Supp. Result Entry'!AQ191)</f>
        <v/>
      </c>
      <c r="Q190" s="284" t="str">
        <f>IF('Supp. Result Entry'!AR191="","",'Supp. Result Entry'!AR191)</f>
        <v/>
      </c>
      <c r="R190" s="285" t="str">
        <f>IF('Statement of Marks'!IA193="","",'Statement of Marks'!IA193)</f>
        <v/>
      </c>
      <c r="S190" s="286" t="str">
        <f>IF('Statement of Marks'!GL193="","",'Statement of Marks'!GL193)</f>
        <v/>
      </c>
      <c r="BM190" s="287" t="str">
        <f>'Statement of Marks'!F193</f>
        <v/>
      </c>
      <c r="BN190" s="288" t="str">
        <f t="shared" si="24"/>
        <v/>
      </c>
      <c r="BO190" s="288" t="str">
        <f t="shared" si="25"/>
        <v/>
      </c>
      <c r="BP190" s="288" t="str">
        <f t="shared" si="26"/>
        <v/>
      </c>
      <c r="BQ190" s="288" t="str">
        <f t="shared" si="27"/>
        <v/>
      </c>
      <c r="BR190" s="288" t="str">
        <f t="shared" si="28"/>
        <v/>
      </c>
      <c r="BS190" s="288" t="str">
        <f t="shared" si="29"/>
        <v/>
      </c>
      <c r="BT190" s="288" t="str">
        <f t="shared" si="30"/>
        <v/>
      </c>
      <c r="BU190" s="288" t="str">
        <f t="shared" si="31"/>
        <v/>
      </c>
      <c r="BV190" s="288" t="str">
        <f t="shared" si="32"/>
        <v/>
      </c>
      <c r="BW190" s="288" t="str">
        <f t="shared" si="33"/>
        <v/>
      </c>
      <c r="BX190" s="288" t="str">
        <f t="shared" si="34"/>
        <v/>
      </c>
      <c r="BY190" s="288" t="str">
        <f t="shared" si="35"/>
        <v/>
      </c>
      <c r="BZ190" s="289"/>
    </row>
    <row r="191" spans="1:78" ht="15" customHeight="1">
      <c r="A191" s="276">
        <f>IF('Statement of Marks'!A194="","",'Statement of Marks'!A194)</f>
        <v>188</v>
      </c>
      <c r="B191" s="277" t="str">
        <f>IF('Statement of Marks'!B194="","",'Statement of Marks'!B194)</f>
        <v/>
      </c>
      <c r="C191" s="278" t="str">
        <f>IF('Statement of Marks'!D194="","",'Statement of Marks'!D194)</f>
        <v/>
      </c>
      <c r="D191" s="314" t="str">
        <f>IF('Statement of Marks'!E194="","",'Statement of Marks'!E194)</f>
        <v/>
      </c>
      <c r="E191" s="279" t="str">
        <f>IF('Statement of Marks'!F194="","",'Statement of Marks'!F194)</f>
        <v/>
      </c>
      <c r="F191" s="279" t="str">
        <f>IF('Statement of Marks'!G194="","",'Statement of Marks'!G194)</f>
        <v/>
      </c>
      <c r="G191" s="279" t="str">
        <f>IF('Statement of Marks'!H194="","",'Statement of Marks'!H194)</f>
        <v/>
      </c>
      <c r="H191" s="280" t="str">
        <f>IF('Statement of Marks'!I194="","",'Statement of Marks'!I194)</f>
        <v/>
      </c>
      <c r="I191" s="280" t="str">
        <f>IF('Statement of Marks'!J194="","",'Statement of Marks'!J194)</f>
        <v/>
      </c>
      <c r="J191" s="827" t="str">
        <f>IF('Statement of Marks'!HS194="","",'Statement of Marks'!HS194)</f>
        <v/>
      </c>
      <c r="K191" s="281" t="str">
        <f>IF('Statement of Marks'!HT194="","",'Statement of Marks'!HT194)</f>
        <v/>
      </c>
      <c r="L191" s="828" t="str">
        <f>IF('Statement of Marks'!HW194="","",'Statement of Marks'!HW194)</f>
        <v/>
      </c>
      <c r="M191" s="281" t="str">
        <f>IF('Statement of Marks'!HV194="","",'Statement of Marks'!HV194)</f>
        <v/>
      </c>
      <c r="N191" s="829" t="str">
        <f>IF('Statement of Marks'!HX194="","",'Statement of Marks'!HX194)</f>
        <v/>
      </c>
      <c r="O191" s="282" t="str">
        <f>IF(J191="FAIL","",IF('Statement of Marks'!HO194="","",'Statement of Marks'!HO194))</f>
        <v xml:space="preserve">      </v>
      </c>
      <c r="P191" s="283" t="str">
        <f>IF('Supp. Result Entry'!AQ192="","",'Supp. Result Entry'!AQ192)</f>
        <v/>
      </c>
      <c r="Q191" s="284" t="str">
        <f>IF('Supp. Result Entry'!AR192="","",'Supp. Result Entry'!AR192)</f>
        <v/>
      </c>
      <c r="R191" s="285" t="str">
        <f>IF('Statement of Marks'!IA194="","",'Statement of Marks'!IA194)</f>
        <v/>
      </c>
      <c r="S191" s="286" t="str">
        <f>IF('Statement of Marks'!GL194="","",'Statement of Marks'!GL194)</f>
        <v/>
      </c>
      <c r="BM191" s="287" t="str">
        <f>'Statement of Marks'!F194</f>
        <v/>
      </c>
      <c r="BN191" s="288" t="str">
        <f t="shared" si="24"/>
        <v/>
      </c>
      <c r="BO191" s="288" t="str">
        <f t="shared" si="25"/>
        <v/>
      </c>
      <c r="BP191" s="288" t="str">
        <f t="shared" si="26"/>
        <v/>
      </c>
      <c r="BQ191" s="288" t="str">
        <f t="shared" si="27"/>
        <v/>
      </c>
      <c r="BR191" s="288" t="str">
        <f t="shared" si="28"/>
        <v/>
      </c>
      <c r="BS191" s="288" t="str">
        <f t="shared" si="29"/>
        <v/>
      </c>
      <c r="BT191" s="288" t="str">
        <f t="shared" si="30"/>
        <v/>
      </c>
      <c r="BU191" s="288" t="str">
        <f t="shared" si="31"/>
        <v/>
      </c>
      <c r="BV191" s="288" t="str">
        <f t="shared" si="32"/>
        <v/>
      </c>
      <c r="BW191" s="288" t="str">
        <f t="shared" si="33"/>
        <v/>
      </c>
      <c r="BX191" s="288" t="str">
        <f t="shared" si="34"/>
        <v/>
      </c>
      <c r="BY191" s="288" t="str">
        <f t="shared" si="35"/>
        <v/>
      </c>
      <c r="BZ191" s="289"/>
    </row>
    <row r="192" spans="1:78" ht="15" customHeight="1">
      <c r="A192" s="276">
        <f>IF('Statement of Marks'!A195="","",'Statement of Marks'!A195)</f>
        <v>189</v>
      </c>
      <c r="B192" s="277" t="str">
        <f>IF('Statement of Marks'!B195="","",'Statement of Marks'!B195)</f>
        <v/>
      </c>
      <c r="C192" s="278" t="str">
        <f>IF('Statement of Marks'!D195="","",'Statement of Marks'!D195)</f>
        <v/>
      </c>
      <c r="D192" s="314" t="str">
        <f>IF('Statement of Marks'!E195="","",'Statement of Marks'!E195)</f>
        <v/>
      </c>
      <c r="E192" s="279" t="str">
        <f>IF('Statement of Marks'!F195="","",'Statement of Marks'!F195)</f>
        <v/>
      </c>
      <c r="F192" s="279" t="str">
        <f>IF('Statement of Marks'!G195="","",'Statement of Marks'!G195)</f>
        <v/>
      </c>
      <c r="G192" s="279" t="str">
        <f>IF('Statement of Marks'!H195="","",'Statement of Marks'!H195)</f>
        <v/>
      </c>
      <c r="H192" s="280" t="str">
        <f>IF('Statement of Marks'!I195="","",'Statement of Marks'!I195)</f>
        <v/>
      </c>
      <c r="I192" s="280" t="str">
        <f>IF('Statement of Marks'!J195="","",'Statement of Marks'!J195)</f>
        <v/>
      </c>
      <c r="J192" s="827" t="str">
        <f>IF('Statement of Marks'!HS195="","",'Statement of Marks'!HS195)</f>
        <v/>
      </c>
      <c r="K192" s="281" t="str">
        <f>IF('Statement of Marks'!HT195="","",'Statement of Marks'!HT195)</f>
        <v/>
      </c>
      <c r="L192" s="828" t="str">
        <f>IF('Statement of Marks'!HW195="","",'Statement of Marks'!HW195)</f>
        <v/>
      </c>
      <c r="M192" s="281" t="str">
        <f>IF('Statement of Marks'!HV195="","",'Statement of Marks'!HV195)</f>
        <v/>
      </c>
      <c r="N192" s="829" t="str">
        <f>IF('Statement of Marks'!HX195="","",'Statement of Marks'!HX195)</f>
        <v/>
      </c>
      <c r="O192" s="282" t="str">
        <f>IF(J192="FAIL","",IF('Statement of Marks'!HO195="","",'Statement of Marks'!HO195))</f>
        <v xml:space="preserve">      </v>
      </c>
      <c r="P192" s="283" t="str">
        <f>IF('Supp. Result Entry'!AQ193="","",'Supp. Result Entry'!AQ193)</f>
        <v/>
      </c>
      <c r="Q192" s="284" t="str">
        <f>IF('Supp. Result Entry'!AR193="","",'Supp. Result Entry'!AR193)</f>
        <v/>
      </c>
      <c r="R192" s="285" t="str">
        <f>IF('Statement of Marks'!IA195="","",'Statement of Marks'!IA195)</f>
        <v/>
      </c>
      <c r="S192" s="286" t="str">
        <f>IF('Statement of Marks'!GL195="","",'Statement of Marks'!GL195)</f>
        <v/>
      </c>
      <c r="BM192" s="287" t="str">
        <f>'Statement of Marks'!F195</f>
        <v/>
      </c>
      <c r="BN192" s="288" t="str">
        <f t="shared" si="24"/>
        <v/>
      </c>
      <c r="BO192" s="288" t="str">
        <f t="shared" si="25"/>
        <v/>
      </c>
      <c r="BP192" s="288" t="str">
        <f t="shared" si="26"/>
        <v/>
      </c>
      <c r="BQ192" s="288" t="str">
        <f t="shared" si="27"/>
        <v/>
      </c>
      <c r="BR192" s="288" t="str">
        <f t="shared" si="28"/>
        <v/>
      </c>
      <c r="BS192" s="288" t="str">
        <f t="shared" si="29"/>
        <v/>
      </c>
      <c r="BT192" s="288" t="str">
        <f t="shared" si="30"/>
        <v/>
      </c>
      <c r="BU192" s="288" t="str">
        <f t="shared" si="31"/>
        <v/>
      </c>
      <c r="BV192" s="288" t="str">
        <f t="shared" si="32"/>
        <v/>
      </c>
      <c r="BW192" s="288" t="str">
        <f t="shared" si="33"/>
        <v/>
      </c>
      <c r="BX192" s="288" t="str">
        <f t="shared" si="34"/>
        <v/>
      </c>
      <c r="BY192" s="288" t="str">
        <f t="shared" si="35"/>
        <v/>
      </c>
      <c r="BZ192" s="289"/>
    </row>
    <row r="193" spans="1:78" ht="15" customHeight="1">
      <c r="A193" s="276">
        <f>IF('Statement of Marks'!A196="","",'Statement of Marks'!A196)</f>
        <v>190</v>
      </c>
      <c r="B193" s="277" t="str">
        <f>IF('Statement of Marks'!B196="","",'Statement of Marks'!B196)</f>
        <v/>
      </c>
      <c r="C193" s="278" t="str">
        <f>IF('Statement of Marks'!D196="","",'Statement of Marks'!D196)</f>
        <v/>
      </c>
      <c r="D193" s="314" t="str">
        <f>IF('Statement of Marks'!E196="","",'Statement of Marks'!E196)</f>
        <v/>
      </c>
      <c r="E193" s="279" t="str">
        <f>IF('Statement of Marks'!F196="","",'Statement of Marks'!F196)</f>
        <v/>
      </c>
      <c r="F193" s="279" t="str">
        <f>IF('Statement of Marks'!G196="","",'Statement of Marks'!G196)</f>
        <v/>
      </c>
      <c r="G193" s="279" t="str">
        <f>IF('Statement of Marks'!H196="","",'Statement of Marks'!H196)</f>
        <v/>
      </c>
      <c r="H193" s="280" t="str">
        <f>IF('Statement of Marks'!I196="","",'Statement of Marks'!I196)</f>
        <v/>
      </c>
      <c r="I193" s="280" t="str">
        <f>IF('Statement of Marks'!J196="","",'Statement of Marks'!J196)</f>
        <v/>
      </c>
      <c r="J193" s="827" t="str">
        <f>IF('Statement of Marks'!HS196="","",'Statement of Marks'!HS196)</f>
        <v/>
      </c>
      <c r="K193" s="281" t="str">
        <f>IF('Statement of Marks'!HT196="","",'Statement of Marks'!HT196)</f>
        <v/>
      </c>
      <c r="L193" s="828" t="str">
        <f>IF('Statement of Marks'!HW196="","",'Statement of Marks'!HW196)</f>
        <v/>
      </c>
      <c r="M193" s="281" t="str">
        <f>IF('Statement of Marks'!HV196="","",'Statement of Marks'!HV196)</f>
        <v/>
      </c>
      <c r="N193" s="829" t="str">
        <f>IF('Statement of Marks'!HX196="","",'Statement of Marks'!HX196)</f>
        <v/>
      </c>
      <c r="O193" s="282" t="str">
        <f>IF(J193="FAIL","",IF('Statement of Marks'!HO196="","",'Statement of Marks'!HO196))</f>
        <v xml:space="preserve">      </v>
      </c>
      <c r="P193" s="283" t="str">
        <f>IF('Supp. Result Entry'!AQ194="","",'Supp. Result Entry'!AQ194)</f>
        <v/>
      </c>
      <c r="Q193" s="284" t="str">
        <f>IF('Supp. Result Entry'!AR194="","",'Supp. Result Entry'!AR194)</f>
        <v/>
      </c>
      <c r="R193" s="285" t="str">
        <f>IF('Statement of Marks'!IA196="","",'Statement of Marks'!IA196)</f>
        <v/>
      </c>
      <c r="S193" s="286" t="str">
        <f>IF('Statement of Marks'!GL196="","",'Statement of Marks'!GL196)</f>
        <v/>
      </c>
      <c r="BM193" s="287" t="str">
        <f>'Statement of Marks'!F196</f>
        <v/>
      </c>
      <c r="BN193" s="288" t="str">
        <f t="shared" si="24"/>
        <v/>
      </c>
      <c r="BO193" s="288" t="str">
        <f t="shared" si="25"/>
        <v/>
      </c>
      <c r="BP193" s="288" t="str">
        <f t="shared" si="26"/>
        <v/>
      </c>
      <c r="BQ193" s="288" t="str">
        <f t="shared" si="27"/>
        <v/>
      </c>
      <c r="BR193" s="288" t="str">
        <f t="shared" si="28"/>
        <v/>
      </c>
      <c r="BS193" s="288" t="str">
        <f t="shared" si="29"/>
        <v/>
      </c>
      <c r="BT193" s="288" t="str">
        <f t="shared" si="30"/>
        <v/>
      </c>
      <c r="BU193" s="288" t="str">
        <f t="shared" si="31"/>
        <v/>
      </c>
      <c r="BV193" s="288" t="str">
        <f t="shared" si="32"/>
        <v/>
      </c>
      <c r="BW193" s="288" t="str">
        <f t="shared" si="33"/>
        <v/>
      </c>
      <c r="BX193" s="288" t="str">
        <f t="shared" si="34"/>
        <v/>
      </c>
      <c r="BY193" s="288" t="str">
        <f t="shared" si="35"/>
        <v/>
      </c>
      <c r="BZ193" s="289"/>
    </row>
    <row r="194" spans="1:78" ht="15" customHeight="1">
      <c r="A194" s="276">
        <f>IF('Statement of Marks'!A197="","",'Statement of Marks'!A197)</f>
        <v>191</v>
      </c>
      <c r="B194" s="277" t="str">
        <f>IF('Statement of Marks'!B197="","",'Statement of Marks'!B197)</f>
        <v/>
      </c>
      <c r="C194" s="278" t="str">
        <f>IF('Statement of Marks'!D197="","",'Statement of Marks'!D197)</f>
        <v/>
      </c>
      <c r="D194" s="314" t="str">
        <f>IF('Statement of Marks'!E197="","",'Statement of Marks'!E197)</f>
        <v/>
      </c>
      <c r="E194" s="279" t="str">
        <f>IF('Statement of Marks'!F197="","",'Statement of Marks'!F197)</f>
        <v/>
      </c>
      <c r="F194" s="279" t="str">
        <f>IF('Statement of Marks'!G197="","",'Statement of Marks'!G197)</f>
        <v/>
      </c>
      <c r="G194" s="279" t="str">
        <f>IF('Statement of Marks'!H197="","",'Statement of Marks'!H197)</f>
        <v/>
      </c>
      <c r="H194" s="280" t="str">
        <f>IF('Statement of Marks'!I197="","",'Statement of Marks'!I197)</f>
        <v/>
      </c>
      <c r="I194" s="280" t="str">
        <f>IF('Statement of Marks'!J197="","",'Statement of Marks'!J197)</f>
        <v/>
      </c>
      <c r="J194" s="827" t="str">
        <f>IF('Statement of Marks'!HS197="","",'Statement of Marks'!HS197)</f>
        <v/>
      </c>
      <c r="K194" s="281" t="str">
        <f>IF('Statement of Marks'!HT197="","",'Statement of Marks'!HT197)</f>
        <v/>
      </c>
      <c r="L194" s="828" t="str">
        <f>IF('Statement of Marks'!HW197="","",'Statement of Marks'!HW197)</f>
        <v/>
      </c>
      <c r="M194" s="281" t="str">
        <f>IF('Statement of Marks'!HV197="","",'Statement of Marks'!HV197)</f>
        <v/>
      </c>
      <c r="N194" s="829" t="str">
        <f>IF('Statement of Marks'!HX197="","",'Statement of Marks'!HX197)</f>
        <v/>
      </c>
      <c r="O194" s="282" t="str">
        <f>IF(J194="FAIL","",IF('Statement of Marks'!HO197="","",'Statement of Marks'!HO197))</f>
        <v xml:space="preserve">      </v>
      </c>
      <c r="P194" s="283" t="str">
        <f>IF('Supp. Result Entry'!AQ195="","",'Supp. Result Entry'!AQ195)</f>
        <v/>
      </c>
      <c r="Q194" s="284" t="str">
        <f>IF('Supp. Result Entry'!AR195="","",'Supp. Result Entry'!AR195)</f>
        <v/>
      </c>
      <c r="R194" s="285" t="str">
        <f>IF('Statement of Marks'!IA197="","",'Statement of Marks'!IA197)</f>
        <v/>
      </c>
      <c r="S194" s="286" t="str">
        <f>IF('Statement of Marks'!GL197="","",'Statement of Marks'!GL197)</f>
        <v/>
      </c>
      <c r="BM194" s="287" t="str">
        <f>'Statement of Marks'!F197</f>
        <v/>
      </c>
      <c r="BN194" s="288" t="str">
        <f t="shared" si="24"/>
        <v/>
      </c>
      <c r="BO194" s="288" t="str">
        <f t="shared" si="25"/>
        <v/>
      </c>
      <c r="BP194" s="288" t="str">
        <f t="shared" si="26"/>
        <v/>
      </c>
      <c r="BQ194" s="288" t="str">
        <f t="shared" si="27"/>
        <v/>
      </c>
      <c r="BR194" s="288" t="str">
        <f t="shared" si="28"/>
        <v/>
      </c>
      <c r="BS194" s="288" t="str">
        <f t="shared" si="29"/>
        <v/>
      </c>
      <c r="BT194" s="288" t="str">
        <f t="shared" si="30"/>
        <v/>
      </c>
      <c r="BU194" s="288" t="str">
        <f t="shared" si="31"/>
        <v/>
      </c>
      <c r="BV194" s="288" t="str">
        <f t="shared" si="32"/>
        <v/>
      </c>
      <c r="BW194" s="288" t="str">
        <f t="shared" si="33"/>
        <v/>
      </c>
      <c r="BX194" s="288" t="str">
        <f t="shared" si="34"/>
        <v/>
      </c>
      <c r="BY194" s="288" t="str">
        <f t="shared" si="35"/>
        <v/>
      </c>
      <c r="BZ194" s="289"/>
    </row>
    <row r="195" spans="1:78" ht="15" customHeight="1">
      <c r="A195" s="276">
        <f>IF('Statement of Marks'!A198="","",'Statement of Marks'!A198)</f>
        <v>192</v>
      </c>
      <c r="B195" s="277" t="str">
        <f>IF('Statement of Marks'!B198="","",'Statement of Marks'!B198)</f>
        <v/>
      </c>
      <c r="C195" s="278" t="str">
        <f>IF('Statement of Marks'!D198="","",'Statement of Marks'!D198)</f>
        <v/>
      </c>
      <c r="D195" s="314" t="str">
        <f>IF('Statement of Marks'!E198="","",'Statement of Marks'!E198)</f>
        <v/>
      </c>
      <c r="E195" s="279" t="str">
        <f>IF('Statement of Marks'!F198="","",'Statement of Marks'!F198)</f>
        <v/>
      </c>
      <c r="F195" s="279" t="str">
        <f>IF('Statement of Marks'!G198="","",'Statement of Marks'!G198)</f>
        <v/>
      </c>
      <c r="G195" s="279" t="str">
        <f>IF('Statement of Marks'!H198="","",'Statement of Marks'!H198)</f>
        <v/>
      </c>
      <c r="H195" s="280" t="str">
        <f>IF('Statement of Marks'!I198="","",'Statement of Marks'!I198)</f>
        <v/>
      </c>
      <c r="I195" s="280" t="str">
        <f>IF('Statement of Marks'!J198="","",'Statement of Marks'!J198)</f>
        <v/>
      </c>
      <c r="J195" s="827" t="str">
        <f>IF('Statement of Marks'!HS198="","",'Statement of Marks'!HS198)</f>
        <v/>
      </c>
      <c r="K195" s="281" t="str">
        <f>IF('Statement of Marks'!HT198="","",'Statement of Marks'!HT198)</f>
        <v/>
      </c>
      <c r="L195" s="828" t="str">
        <f>IF('Statement of Marks'!HW198="","",'Statement of Marks'!HW198)</f>
        <v/>
      </c>
      <c r="M195" s="281" t="str">
        <f>IF('Statement of Marks'!HV198="","",'Statement of Marks'!HV198)</f>
        <v/>
      </c>
      <c r="N195" s="829" t="str">
        <f>IF('Statement of Marks'!HX198="","",'Statement of Marks'!HX198)</f>
        <v/>
      </c>
      <c r="O195" s="282" t="str">
        <f>IF(J195="FAIL","",IF('Statement of Marks'!HO198="","",'Statement of Marks'!HO198))</f>
        <v xml:space="preserve">      </v>
      </c>
      <c r="P195" s="283" t="str">
        <f>IF('Supp. Result Entry'!AQ196="","",'Supp. Result Entry'!AQ196)</f>
        <v/>
      </c>
      <c r="Q195" s="284" t="str">
        <f>IF('Supp. Result Entry'!AR196="","",'Supp. Result Entry'!AR196)</f>
        <v/>
      </c>
      <c r="R195" s="285" t="str">
        <f>IF('Statement of Marks'!IA198="","",'Statement of Marks'!IA198)</f>
        <v/>
      </c>
      <c r="S195" s="286" t="str">
        <f>IF('Statement of Marks'!GL198="","",'Statement of Marks'!GL198)</f>
        <v/>
      </c>
      <c r="BM195" s="287" t="str">
        <f>'Statement of Marks'!F198</f>
        <v/>
      </c>
      <c r="BN195" s="288" t="str">
        <f t="shared" si="24"/>
        <v/>
      </c>
      <c r="BO195" s="288" t="str">
        <f t="shared" si="25"/>
        <v/>
      </c>
      <c r="BP195" s="288" t="str">
        <f t="shared" si="26"/>
        <v/>
      </c>
      <c r="BQ195" s="288" t="str">
        <f t="shared" si="27"/>
        <v/>
      </c>
      <c r="BR195" s="288" t="str">
        <f t="shared" si="28"/>
        <v/>
      </c>
      <c r="BS195" s="288" t="str">
        <f t="shared" si="29"/>
        <v/>
      </c>
      <c r="BT195" s="288" t="str">
        <f t="shared" si="30"/>
        <v/>
      </c>
      <c r="BU195" s="288" t="str">
        <f t="shared" si="31"/>
        <v/>
      </c>
      <c r="BV195" s="288" t="str">
        <f t="shared" si="32"/>
        <v/>
      </c>
      <c r="BW195" s="288" t="str">
        <f t="shared" si="33"/>
        <v/>
      </c>
      <c r="BX195" s="288" t="str">
        <f t="shared" si="34"/>
        <v/>
      </c>
      <c r="BY195" s="288" t="str">
        <f t="shared" si="35"/>
        <v/>
      </c>
      <c r="BZ195" s="289"/>
    </row>
    <row r="196" spans="1:78" ht="15" customHeight="1">
      <c r="A196" s="276">
        <f>IF('Statement of Marks'!A199="","",'Statement of Marks'!A199)</f>
        <v>193</v>
      </c>
      <c r="B196" s="277" t="str">
        <f>IF('Statement of Marks'!B199="","",'Statement of Marks'!B199)</f>
        <v/>
      </c>
      <c r="C196" s="278" t="str">
        <f>IF('Statement of Marks'!D199="","",'Statement of Marks'!D199)</f>
        <v/>
      </c>
      <c r="D196" s="314" t="str">
        <f>IF('Statement of Marks'!E199="","",'Statement of Marks'!E199)</f>
        <v/>
      </c>
      <c r="E196" s="279" t="str">
        <f>IF('Statement of Marks'!F199="","",'Statement of Marks'!F199)</f>
        <v/>
      </c>
      <c r="F196" s="279" t="str">
        <f>IF('Statement of Marks'!G199="","",'Statement of Marks'!G199)</f>
        <v/>
      </c>
      <c r="G196" s="279" t="str">
        <f>IF('Statement of Marks'!H199="","",'Statement of Marks'!H199)</f>
        <v/>
      </c>
      <c r="H196" s="280" t="str">
        <f>IF('Statement of Marks'!I199="","",'Statement of Marks'!I199)</f>
        <v/>
      </c>
      <c r="I196" s="280" t="str">
        <f>IF('Statement of Marks'!J199="","",'Statement of Marks'!J199)</f>
        <v/>
      </c>
      <c r="J196" s="827" t="str">
        <f>IF('Statement of Marks'!HS199="","",'Statement of Marks'!HS199)</f>
        <v/>
      </c>
      <c r="K196" s="281" t="str">
        <f>IF('Statement of Marks'!HT199="","",'Statement of Marks'!HT199)</f>
        <v/>
      </c>
      <c r="L196" s="828" t="str">
        <f>IF('Statement of Marks'!HW199="","",'Statement of Marks'!HW199)</f>
        <v/>
      </c>
      <c r="M196" s="281" t="str">
        <f>IF('Statement of Marks'!HV199="","",'Statement of Marks'!HV199)</f>
        <v/>
      </c>
      <c r="N196" s="829" t="str">
        <f>IF('Statement of Marks'!HX199="","",'Statement of Marks'!HX199)</f>
        <v/>
      </c>
      <c r="O196" s="282" t="str">
        <f>IF(J196="FAIL","",IF('Statement of Marks'!HO199="","",'Statement of Marks'!HO199))</f>
        <v xml:space="preserve">      </v>
      </c>
      <c r="P196" s="283" t="str">
        <f>IF('Supp. Result Entry'!AQ197="","",'Supp. Result Entry'!AQ197)</f>
        <v/>
      </c>
      <c r="Q196" s="284" t="str">
        <f>IF('Supp. Result Entry'!AR197="","",'Supp. Result Entry'!AR197)</f>
        <v/>
      </c>
      <c r="R196" s="285" t="str">
        <f>IF('Statement of Marks'!IA199="","",'Statement of Marks'!IA199)</f>
        <v/>
      </c>
      <c r="S196" s="286" t="str">
        <f>IF('Statement of Marks'!GL199="","",'Statement of Marks'!GL199)</f>
        <v/>
      </c>
      <c r="BM196" s="287" t="str">
        <f>'Statement of Marks'!F199</f>
        <v/>
      </c>
      <c r="BN196" s="288" t="str">
        <f t="shared" si="24"/>
        <v/>
      </c>
      <c r="BO196" s="288" t="str">
        <f t="shared" si="25"/>
        <v/>
      </c>
      <c r="BP196" s="288" t="str">
        <f t="shared" si="26"/>
        <v/>
      </c>
      <c r="BQ196" s="288" t="str">
        <f t="shared" si="27"/>
        <v/>
      </c>
      <c r="BR196" s="288" t="str">
        <f t="shared" si="28"/>
        <v/>
      </c>
      <c r="BS196" s="288" t="str">
        <f t="shared" si="29"/>
        <v/>
      </c>
      <c r="BT196" s="288" t="str">
        <f t="shared" si="30"/>
        <v/>
      </c>
      <c r="BU196" s="288" t="str">
        <f t="shared" si="31"/>
        <v/>
      </c>
      <c r="BV196" s="288" t="str">
        <f t="shared" si="32"/>
        <v/>
      </c>
      <c r="BW196" s="288" t="str">
        <f t="shared" si="33"/>
        <v/>
      </c>
      <c r="BX196" s="288" t="str">
        <f t="shared" si="34"/>
        <v/>
      </c>
      <c r="BY196" s="288" t="str">
        <f t="shared" si="35"/>
        <v/>
      </c>
      <c r="BZ196" s="289"/>
    </row>
    <row r="197" spans="1:78" ht="15" customHeight="1">
      <c r="A197" s="276">
        <f>IF('Statement of Marks'!A200="","",'Statement of Marks'!A200)</f>
        <v>194</v>
      </c>
      <c r="B197" s="277" t="str">
        <f>IF('Statement of Marks'!B200="","",'Statement of Marks'!B200)</f>
        <v/>
      </c>
      <c r="C197" s="278" t="str">
        <f>IF('Statement of Marks'!D200="","",'Statement of Marks'!D200)</f>
        <v/>
      </c>
      <c r="D197" s="314" t="str">
        <f>IF('Statement of Marks'!E200="","",'Statement of Marks'!E200)</f>
        <v/>
      </c>
      <c r="E197" s="279" t="str">
        <f>IF('Statement of Marks'!F200="","",'Statement of Marks'!F200)</f>
        <v/>
      </c>
      <c r="F197" s="279" t="str">
        <f>IF('Statement of Marks'!G200="","",'Statement of Marks'!G200)</f>
        <v/>
      </c>
      <c r="G197" s="279" t="str">
        <f>IF('Statement of Marks'!H200="","",'Statement of Marks'!H200)</f>
        <v/>
      </c>
      <c r="H197" s="280" t="str">
        <f>IF('Statement of Marks'!I200="","",'Statement of Marks'!I200)</f>
        <v/>
      </c>
      <c r="I197" s="280" t="str">
        <f>IF('Statement of Marks'!J200="","",'Statement of Marks'!J200)</f>
        <v/>
      </c>
      <c r="J197" s="827" t="str">
        <f>IF('Statement of Marks'!HS200="","",'Statement of Marks'!HS200)</f>
        <v/>
      </c>
      <c r="K197" s="281" t="str">
        <f>IF('Statement of Marks'!HT200="","",'Statement of Marks'!HT200)</f>
        <v/>
      </c>
      <c r="L197" s="828" t="str">
        <f>IF('Statement of Marks'!HW200="","",'Statement of Marks'!HW200)</f>
        <v/>
      </c>
      <c r="M197" s="281" t="str">
        <f>IF('Statement of Marks'!HV200="","",'Statement of Marks'!HV200)</f>
        <v/>
      </c>
      <c r="N197" s="829" t="str">
        <f>IF('Statement of Marks'!HX200="","",'Statement of Marks'!HX200)</f>
        <v/>
      </c>
      <c r="O197" s="282" t="str">
        <f>IF(J197="FAIL","",IF('Statement of Marks'!HO200="","",'Statement of Marks'!HO200))</f>
        <v xml:space="preserve">      </v>
      </c>
      <c r="P197" s="283" t="str">
        <f>IF('Supp. Result Entry'!AQ198="","",'Supp. Result Entry'!AQ198)</f>
        <v/>
      </c>
      <c r="Q197" s="284" t="str">
        <f>IF('Supp. Result Entry'!AR198="","",'Supp. Result Entry'!AR198)</f>
        <v/>
      </c>
      <c r="R197" s="285" t="str">
        <f>IF('Statement of Marks'!IA200="","",'Statement of Marks'!IA200)</f>
        <v/>
      </c>
      <c r="S197" s="286" t="str">
        <f>IF('Statement of Marks'!GL200="","",'Statement of Marks'!GL200)</f>
        <v/>
      </c>
      <c r="BM197" s="287" t="str">
        <f>'Statement of Marks'!F200</f>
        <v/>
      </c>
      <c r="BN197" s="288" t="str">
        <f t="shared" ref="BN197:BN203" si="36">IFERROR(IF(AND(M197="",R197="",H197="SC",I197="M"),J197,IF(AND(M197="",H197="SC",I197="M"),R197,IF(AND(R197="",H197="SC",I197="M"),M197,""))),"")</f>
        <v/>
      </c>
      <c r="BO197" s="288" t="str">
        <f t="shared" ref="BO197:BO203" si="37">IFERROR(IF(AND(M197="",R197="",H197="SC",I197="F"),J197,IF(AND(M197="",H197="SC",I197="F"),R197,IF(AND(R197="",H197="SC",I197="F"),M197,""))),"")</f>
        <v/>
      </c>
      <c r="BP197" s="288" t="str">
        <f t="shared" ref="BP197:BP203" si="38">IFERROR(IF(AND(M197="",R197="",H197="ST",I197="M"),J197,IF(AND(M197="",H197="ST",I197="M"),R197,IF(AND(R197="",H197="ST",I197="M"),M197,""))),"")</f>
        <v/>
      </c>
      <c r="BQ197" s="288" t="str">
        <f t="shared" ref="BQ197:BQ203" si="39">IFERROR(IF(AND(M197="",R197="",H197="ST",I197="F"),J197,IF(AND(M197="",H197="ST",I197="F"),R197,IF(AND(R197="",H197="ST",I197="F"),M197,""))),"")</f>
        <v/>
      </c>
      <c r="BR197" s="288" t="str">
        <f t="shared" ref="BR197:BR203" si="40">IFERROR(IF(AND(M197="",R197="",H197="OBC",I197="M"),J197,IF(AND(M197="",H197="OBC",I197="M"),R197,IF(AND(R197="",H197="OBC",I197="M"),M197,""))),"")</f>
        <v/>
      </c>
      <c r="BS197" s="288" t="str">
        <f t="shared" ref="BS197:BS203" si="41">IFERROR(IF(AND(M197="",R197="",H197="OBC",I197="F"),J197,IF(AND(M197="",H197="OBC",I197="F"),R197,IF(AND(R197="",H197="OBC",I197="F"),M197,""))),"")</f>
        <v/>
      </c>
      <c r="BT197" s="288" t="str">
        <f t="shared" ref="BT197:BT203" si="42">IFERROR(IF(AND(M197="",R197="",H197="GEN",I197="M"),J197,IF(AND(M197="",H197="GEN",I197="M"),R197,IF(AND(R197="",H197="GEN",I197="M"),M197,""))),"")</f>
        <v/>
      </c>
      <c r="BU197" s="288" t="str">
        <f t="shared" ref="BU197:BU203" si="43">IFERROR(IF(AND(M197="",R197="",H197="GEN",I197="F"),J197,IF(AND(M197="",H197="GEN",I197="F"),R197,IF(AND(R197="",H197="GEN",I197="F"),M197,""))),"")</f>
        <v/>
      </c>
      <c r="BV197" s="288" t="str">
        <f t="shared" ref="BV197:BV203" si="44">IFERROR(IF(AND(M197="",R197="",H197="MIN",I197="M"),J197,IF(AND(M197="",H197="MIN",I197="M"),R197,IF(AND(R197="",H197="MIN",I197="M"),M197,""))),"")</f>
        <v/>
      </c>
      <c r="BW197" s="288" t="str">
        <f t="shared" ref="BW197:BW203" si="45">IFERROR(IF(AND(M197="",R197="",H197="MIN",I197="F"),J197,IF(AND(M197="",H197="MIN",I197="F"),R197,IF(AND(R197="",H197="MIN",I197="F"),M197,""))),"")</f>
        <v/>
      </c>
      <c r="BX197" s="288" t="str">
        <f t="shared" ref="BX197:BX203" si="46">IFERROR(IF(AND(M197="",R197="",H197="SBC",I197="M"),J197,IF(AND(M197="",H197="SBC",I197="M"),R197,IF(AND(R197="",H197="SBC",I197="M"),M197,""))),"")</f>
        <v/>
      </c>
      <c r="BY197" s="288" t="str">
        <f t="shared" ref="BY197:BY203" si="47">IFERROR(IF(AND(M197="",R197="",H197="SBC",I197="F"),J197,IF(AND(M197="",H197="SBC",I197="F"),R197,IF(AND(R197="",H197="SBC",I197="F"),M197,""))),"")</f>
        <v/>
      </c>
      <c r="BZ197" s="289"/>
    </row>
    <row r="198" spans="1:78" ht="15" customHeight="1">
      <c r="A198" s="276">
        <f>IF('Statement of Marks'!A201="","",'Statement of Marks'!A201)</f>
        <v>195</v>
      </c>
      <c r="B198" s="277" t="str">
        <f>IF('Statement of Marks'!B201="","",'Statement of Marks'!B201)</f>
        <v/>
      </c>
      <c r="C198" s="278" t="str">
        <f>IF('Statement of Marks'!D201="","",'Statement of Marks'!D201)</f>
        <v/>
      </c>
      <c r="D198" s="314" t="str">
        <f>IF('Statement of Marks'!E201="","",'Statement of Marks'!E201)</f>
        <v/>
      </c>
      <c r="E198" s="279" t="str">
        <f>IF('Statement of Marks'!F201="","",'Statement of Marks'!F201)</f>
        <v/>
      </c>
      <c r="F198" s="279" t="str">
        <f>IF('Statement of Marks'!G201="","",'Statement of Marks'!G201)</f>
        <v/>
      </c>
      <c r="G198" s="279" t="str">
        <f>IF('Statement of Marks'!H201="","",'Statement of Marks'!H201)</f>
        <v/>
      </c>
      <c r="H198" s="280" t="str">
        <f>IF('Statement of Marks'!I201="","",'Statement of Marks'!I201)</f>
        <v/>
      </c>
      <c r="I198" s="280" t="str">
        <f>IF('Statement of Marks'!J201="","",'Statement of Marks'!J201)</f>
        <v/>
      </c>
      <c r="J198" s="827" t="str">
        <f>IF('Statement of Marks'!HS201="","",'Statement of Marks'!HS201)</f>
        <v/>
      </c>
      <c r="K198" s="281" t="str">
        <f>IF('Statement of Marks'!HT201="","",'Statement of Marks'!HT201)</f>
        <v/>
      </c>
      <c r="L198" s="828" t="str">
        <f>IF('Statement of Marks'!HW201="","",'Statement of Marks'!HW201)</f>
        <v/>
      </c>
      <c r="M198" s="281" t="str">
        <f>IF('Statement of Marks'!HV201="","",'Statement of Marks'!HV201)</f>
        <v/>
      </c>
      <c r="N198" s="829" t="str">
        <f>IF('Statement of Marks'!HX201="","",'Statement of Marks'!HX201)</f>
        <v/>
      </c>
      <c r="O198" s="282" t="str">
        <f>IF(J198="FAIL","",IF('Statement of Marks'!HO201="","",'Statement of Marks'!HO201))</f>
        <v xml:space="preserve">      </v>
      </c>
      <c r="P198" s="283" t="str">
        <f>IF('Supp. Result Entry'!AQ199="","",'Supp. Result Entry'!AQ199)</f>
        <v/>
      </c>
      <c r="Q198" s="284" t="str">
        <f>IF('Supp. Result Entry'!AR199="","",'Supp. Result Entry'!AR199)</f>
        <v/>
      </c>
      <c r="R198" s="285" t="str">
        <f>IF('Statement of Marks'!IA201="","",'Statement of Marks'!IA201)</f>
        <v/>
      </c>
      <c r="S198" s="286" t="str">
        <f>IF('Statement of Marks'!GL201="","",'Statement of Marks'!GL201)</f>
        <v/>
      </c>
      <c r="BM198" s="287" t="str">
        <f>'Statement of Marks'!F201</f>
        <v/>
      </c>
      <c r="BN198" s="288" t="str">
        <f t="shared" si="36"/>
        <v/>
      </c>
      <c r="BO198" s="288" t="str">
        <f t="shared" si="37"/>
        <v/>
      </c>
      <c r="BP198" s="288" t="str">
        <f t="shared" si="38"/>
        <v/>
      </c>
      <c r="BQ198" s="288" t="str">
        <f t="shared" si="39"/>
        <v/>
      </c>
      <c r="BR198" s="288" t="str">
        <f t="shared" si="40"/>
        <v/>
      </c>
      <c r="BS198" s="288" t="str">
        <f t="shared" si="41"/>
        <v/>
      </c>
      <c r="BT198" s="288" t="str">
        <f t="shared" si="42"/>
        <v/>
      </c>
      <c r="BU198" s="288" t="str">
        <f t="shared" si="43"/>
        <v/>
      </c>
      <c r="BV198" s="288" t="str">
        <f t="shared" si="44"/>
        <v/>
      </c>
      <c r="BW198" s="288" t="str">
        <f t="shared" si="45"/>
        <v/>
      </c>
      <c r="BX198" s="288" t="str">
        <f t="shared" si="46"/>
        <v/>
      </c>
      <c r="BY198" s="288" t="str">
        <f t="shared" si="47"/>
        <v/>
      </c>
      <c r="BZ198" s="289"/>
    </row>
    <row r="199" spans="1:78" ht="15" customHeight="1">
      <c r="A199" s="276">
        <f>IF('Statement of Marks'!A202="","",'Statement of Marks'!A202)</f>
        <v>196</v>
      </c>
      <c r="B199" s="277" t="str">
        <f>IF('Statement of Marks'!B202="","",'Statement of Marks'!B202)</f>
        <v/>
      </c>
      <c r="C199" s="278" t="str">
        <f>IF('Statement of Marks'!D202="","",'Statement of Marks'!D202)</f>
        <v/>
      </c>
      <c r="D199" s="314" t="str">
        <f>IF('Statement of Marks'!E202="","",'Statement of Marks'!E202)</f>
        <v/>
      </c>
      <c r="E199" s="279" t="str">
        <f>IF('Statement of Marks'!F202="","",'Statement of Marks'!F202)</f>
        <v/>
      </c>
      <c r="F199" s="279" t="str">
        <f>IF('Statement of Marks'!G202="","",'Statement of Marks'!G202)</f>
        <v/>
      </c>
      <c r="G199" s="279" t="str">
        <f>IF('Statement of Marks'!H202="","",'Statement of Marks'!H202)</f>
        <v/>
      </c>
      <c r="H199" s="280" t="str">
        <f>IF('Statement of Marks'!I202="","",'Statement of Marks'!I202)</f>
        <v/>
      </c>
      <c r="I199" s="280" t="str">
        <f>IF('Statement of Marks'!J202="","",'Statement of Marks'!J202)</f>
        <v/>
      </c>
      <c r="J199" s="827" t="str">
        <f>IF('Statement of Marks'!HS202="","",'Statement of Marks'!HS202)</f>
        <v/>
      </c>
      <c r="K199" s="281" t="str">
        <f>IF('Statement of Marks'!HT202="","",'Statement of Marks'!HT202)</f>
        <v/>
      </c>
      <c r="L199" s="828" t="str">
        <f>IF('Statement of Marks'!HW202="","",'Statement of Marks'!HW202)</f>
        <v/>
      </c>
      <c r="M199" s="281" t="str">
        <f>IF('Statement of Marks'!HV202="","",'Statement of Marks'!HV202)</f>
        <v/>
      </c>
      <c r="N199" s="829" t="str">
        <f>IF('Statement of Marks'!HX202="","",'Statement of Marks'!HX202)</f>
        <v/>
      </c>
      <c r="O199" s="282" t="str">
        <f>IF(J199="FAIL","",IF('Statement of Marks'!HO202="","",'Statement of Marks'!HO202))</f>
        <v xml:space="preserve">      </v>
      </c>
      <c r="P199" s="283" t="str">
        <f>IF('Supp. Result Entry'!AQ200="","",'Supp. Result Entry'!AQ200)</f>
        <v/>
      </c>
      <c r="Q199" s="284" t="str">
        <f>IF('Supp. Result Entry'!AR200="","",'Supp. Result Entry'!AR200)</f>
        <v/>
      </c>
      <c r="R199" s="285" t="str">
        <f>IF('Statement of Marks'!IA202="","",'Statement of Marks'!IA202)</f>
        <v/>
      </c>
      <c r="S199" s="286" t="str">
        <f>IF('Statement of Marks'!GL202="","",'Statement of Marks'!GL202)</f>
        <v/>
      </c>
      <c r="BM199" s="287" t="str">
        <f>'Statement of Marks'!F202</f>
        <v/>
      </c>
      <c r="BN199" s="288" t="str">
        <f t="shared" si="36"/>
        <v/>
      </c>
      <c r="BO199" s="288" t="str">
        <f t="shared" si="37"/>
        <v/>
      </c>
      <c r="BP199" s="288" t="str">
        <f t="shared" si="38"/>
        <v/>
      </c>
      <c r="BQ199" s="288" t="str">
        <f t="shared" si="39"/>
        <v/>
      </c>
      <c r="BR199" s="288" t="str">
        <f t="shared" si="40"/>
        <v/>
      </c>
      <c r="BS199" s="288" t="str">
        <f t="shared" si="41"/>
        <v/>
      </c>
      <c r="BT199" s="288" t="str">
        <f t="shared" si="42"/>
        <v/>
      </c>
      <c r="BU199" s="288" t="str">
        <f t="shared" si="43"/>
        <v/>
      </c>
      <c r="BV199" s="288" t="str">
        <f t="shared" si="44"/>
        <v/>
      </c>
      <c r="BW199" s="288" t="str">
        <f t="shared" si="45"/>
        <v/>
      </c>
      <c r="BX199" s="288" t="str">
        <f t="shared" si="46"/>
        <v/>
      </c>
      <c r="BY199" s="288" t="str">
        <f t="shared" si="47"/>
        <v/>
      </c>
      <c r="BZ199" s="289"/>
    </row>
    <row r="200" spans="1:78" ht="15" customHeight="1">
      <c r="A200" s="276">
        <f>IF('Statement of Marks'!A203="","",'Statement of Marks'!A203)</f>
        <v>197</v>
      </c>
      <c r="B200" s="277" t="str">
        <f>IF('Statement of Marks'!B203="","",'Statement of Marks'!B203)</f>
        <v/>
      </c>
      <c r="C200" s="278" t="str">
        <f>IF('Statement of Marks'!D203="","",'Statement of Marks'!D203)</f>
        <v/>
      </c>
      <c r="D200" s="314" t="str">
        <f>IF('Statement of Marks'!E203="","",'Statement of Marks'!E203)</f>
        <v/>
      </c>
      <c r="E200" s="279" t="str">
        <f>IF('Statement of Marks'!F203="","",'Statement of Marks'!F203)</f>
        <v/>
      </c>
      <c r="F200" s="279" t="str">
        <f>IF('Statement of Marks'!G203="","",'Statement of Marks'!G203)</f>
        <v/>
      </c>
      <c r="G200" s="279" t="str">
        <f>IF('Statement of Marks'!H203="","",'Statement of Marks'!H203)</f>
        <v/>
      </c>
      <c r="H200" s="280" t="str">
        <f>IF('Statement of Marks'!I203="","",'Statement of Marks'!I203)</f>
        <v/>
      </c>
      <c r="I200" s="280" t="str">
        <f>IF('Statement of Marks'!J203="","",'Statement of Marks'!J203)</f>
        <v/>
      </c>
      <c r="J200" s="827" t="str">
        <f>IF('Statement of Marks'!HS203="","",'Statement of Marks'!HS203)</f>
        <v/>
      </c>
      <c r="K200" s="281" t="str">
        <f>IF('Statement of Marks'!HT203="","",'Statement of Marks'!HT203)</f>
        <v/>
      </c>
      <c r="L200" s="828" t="str">
        <f>IF('Statement of Marks'!HW203="","",'Statement of Marks'!HW203)</f>
        <v/>
      </c>
      <c r="M200" s="281" t="str">
        <f>IF('Statement of Marks'!HV203="","",'Statement of Marks'!HV203)</f>
        <v/>
      </c>
      <c r="N200" s="829" t="str">
        <f>IF('Statement of Marks'!HX203="","",'Statement of Marks'!HX203)</f>
        <v/>
      </c>
      <c r="O200" s="282" t="str">
        <f>IF(J200="FAIL","",IF('Statement of Marks'!HO203="","",'Statement of Marks'!HO203))</f>
        <v xml:space="preserve">      </v>
      </c>
      <c r="P200" s="283" t="str">
        <f>IF('Supp. Result Entry'!AQ201="","",'Supp. Result Entry'!AQ201)</f>
        <v/>
      </c>
      <c r="Q200" s="284" t="str">
        <f>IF('Supp. Result Entry'!AR201="","",'Supp. Result Entry'!AR201)</f>
        <v/>
      </c>
      <c r="R200" s="285" t="str">
        <f>IF('Statement of Marks'!IA203="","",'Statement of Marks'!IA203)</f>
        <v/>
      </c>
      <c r="S200" s="286" t="str">
        <f>IF('Statement of Marks'!GL203="","",'Statement of Marks'!GL203)</f>
        <v/>
      </c>
      <c r="BM200" s="287" t="str">
        <f>'Statement of Marks'!F203</f>
        <v/>
      </c>
      <c r="BN200" s="288" t="str">
        <f t="shared" si="36"/>
        <v/>
      </c>
      <c r="BO200" s="288" t="str">
        <f t="shared" si="37"/>
        <v/>
      </c>
      <c r="BP200" s="288" t="str">
        <f t="shared" si="38"/>
        <v/>
      </c>
      <c r="BQ200" s="288" t="str">
        <f t="shared" si="39"/>
        <v/>
      </c>
      <c r="BR200" s="288" t="str">
        <f t="shared" si="40"/>
        <v/>
      </c>
      <c r="BS200" s="288" t="str">
        <f t="shared" si="41"/>
        <v/>
      </c>
      <c r="BT200" s="288" t="str">
        <f t="shared" si="42"/>
        <v/>
      </c>
      <c r="BU200" s="288" t="str">
        <f t="shared" si="43"/>
        <v/>
      </c>
      <c r="BV200" s="288" t="str">
        <f t="shared" si="44"/>
        <v/>
      </c>
      <c r="BW200" s="288" t="str">
        <f t="shared" si="45"/>
        <v/>
      </c>
      <c r="BX200" s="288" t="str">
        <f t="shared" si="46"/>
        <v/>
      </c>
      <c r="BY200" s="288" t="str">
        <f t="shared" si="47"/>
        <v/>
      </c>
      <c r="BZ200" s="289"/>
    </row>
    <row r="201" spans="1:78" ht="15" customHeight="1">
      <c r="A201" s="276">
        <f>IF('Statement of Marks'!A204="","",'Statement of Marks'!A204)</f>
        <v>198</v>
      </c>
      <c r="B201" s="277" t="str">
        <f>IF('Statement of Marks'!B204="","",'Statement of Marks'!B204)</f>
        <v/>
      </c>
      <c r="C201" s="278" t="str">
        <f>IF('Statement of Marks'!D204="","",'Statement of Marks'!D204)</f>
        <v/>
      </c>
      <c r="D201" s="314" t="str">
        <f>IF('Statement of Marks'!E204="","",'Statement of Marks'!E204)</f>
        <v/>
      </c>
      <c r="E201" s="279" t="str">
        <f>IF('Statement of Marks'!F204="","",'Statement of Marks'!F204)</f>
        <v/>
      </c>
      <c r="F201" s="279" t="str">
        <f>IF('Statement of Marks'!G204="","",'Statement of Marks'!G204)</f>
        <v/>
      </c>
      <c r="G201" s="279" t="str">
        <f>IF('Statement of Marks'!H204="","",'Statement of Marks'!H204)</f>
        <v/>
      </c>
      <c r="H201" s="280" t="str">
        <f>IF('Statement of Marks'!I204="","",'Statement of Marks'!I204)</f>
        <v/>
      </c>
      <c r="I201" s="280" t="str">
        <f>IF('Statement of Marks'!J204="","",'Statement of Marks'!J204)</f>
        <v/>
      </c>
      <c r="J201" s="827" t="str">
        <f>IF('Statement of Marks'!HS204="","",'Statement of Marks'!HS204)</f>
        <v/>
      </c>
      <c r="K201" s="281" t="str">
        <f>IF('Statement of Marks'!HT204="","",'Statement of Marks'!HT204)</f>
        <v/>
      </c>
      <c r="L201" s="828" t="str">
        <f>IF('Statement of Marks'!HW204="","",'Statement of Marks'!HW204)</f>
        <v/>
      </c>
      <c r="M201" s="281" t="str">
        <f>IF('Statement of Marks'!HV204="","",'Statement of Marks'!HV204)</f>
        <v/>
      </c>
      <c r="N201" s="829" t="str">
        <f>IF('Statement of Marks'!HX204="","",'Statement of Marks'!HX204)</f>
        <v/>
      </c>
      <c r="O201" s="282" t="str">
        <f>IF(J201="FAIL","",IF('Statement of Marks'!HO204="","",'Statement of Marks'!HO204))</f>
        <v xml:space="preserve">      </v>
      </c>
      <c r="P201" s="283" t="str">
        <f>IF('Supp. Result Entry'!AQ202="","",'Supp. Result Entry'!AQ202)</f>
        <v/>
      </c>
      <c r="Q201" s="284" t="str">
        <f>IF('Supp. Result Entry'!AR202="","",'Supp. Result Entry'!AR202)</f>
        <v/>
      </c>
      <c r="R201" s="285" t="str">
        <f>IF('Statement of Marks'!IA204="","",'Statement of Marks'!IA204)</f>
        <v/>
      </c>
      <c r="S201" s="286" t="str">
        <f>IF('Statement of Marks'!GL204="","",'Statement of Marks'!GL204)</f>
        <v/>
      </c>
      <c r="BM201" s="287" t="str">
        <f>'Statement of Marks'!F204</f>
        <v/>
      </c>
      <c r="BN201" s="288" t="str">
        <f t="shared" si="36"/>
        <v/>
      </c>
      <c r="BO201" s="288" t="str">
        <f t="shared" si="37"/>
        <v/>
      </c>
      <c r="BP201" s="288" t="str">
        <f t="shared" si="38"/>
        <v/>
      </c>
      <c r="BQ201" s="288" t="str">
        <f t="shared" si="39"/>
        <v/>
      </c>
      <c r="BR201" s="288" t="str">
        <f t="shared" si="40"/>
        <v/>
      </c>
      <c r="BS201" s="288" t="str">
        <f t="shared" si="41"/>
        <v/>
      </c>
      <c r="BT201" s="288" t="str">
        <f t="shared" si="42"/>
        <v/>
      </c>
      <c r="BU201" s="288" t="str">
        <f t="shared" si="43"/>
        <v/>
      </c>
      <c r="BV201" s="288" t="str">
        <f t="shared" si="44"/>
        <v/>
      </c>
      <c r="BW201" s="288" t="str">
        <f t="shared" si="45"/>
        <v/>
      </c>
      <c r="BX201" s="288" t="str">
        <f t="shared" si="46"/>
        <v/>
      </c>
      <c r="BY201" s="288" t="str">
        <f t="shared" si="47"/>
        <v/>
      </c>
      <c r="BZ201" s="289"/>
    </row>
    <row r="202" spans="1:78" ht="15" customHeight="1">
      <c r="A202" s="276">
        <f>IF('Statement of Marks'!A205="","",'Statement of Marks'!A205)</f>
        <v>199</v>
      </c>
      <c r="B202" s="277" t="str">
        <f>IF('Statement of Marks'!B205="","",'Statement of Marks'!B205)</f>
        <v/>
      </c>
      <c r="C202" s="278" t="str">
        <f>IF('Statement of Marks'!D205="","",'Statement of Marks'!D205)</f>
        <v/>
      </c>
      <c r="D202" s="314" t="str">
        <f>IF('Statement of Marks'!E205="","",'Statement of Marks'!E205)</f>
        <v/>
      </c>
      <c r="E202" s="279" t="str">
        <f>IF('Statement of Marks'!F205="","",'Statement of Marks'!F205)</f>
        <v/>
      </c>
      <c r="F202" s="279" t="str">
        <f>IF('Statement of Marks'!G205="","",'Statement of Marks'!G205)</f>
        <v/>
      </c>
      <c r="G202" s="279" t="str">
        <f>IF('Statement of Marks'!H205="","",'Statement of Marks'!H205)</f>
        <v/>
      </c>
      <c r="H202" s="280" t="str">
        <f>IF('Statement of Marks'!I205="","",'Statement of Marks'!I205)</f>
        <v/>
      </c>
      <c r="I202" s="280" t="str">
        <f>IF('Statement of Marks'!J205="","",'Statement of Marks'!J205)</f>
        <v/>
      </c>
      <c r="J202" s="826" t="str">
        <f>IF('Statement of Marks'!HS205="","",'Statement of Marks'!HS205)</f>
        <v/>
      </c>
      <c r="K202" s="281" t="str">
        <f>IF('Statement of Marks'!HT205="","",'Statement of Marks'!HT205)</f>
        <v/>
      </c>
      <c r="L202" s="828" t="str">
        <f>IF('Statement of Marks'!HW205="","",'Statement of Marks'!HW205)</f>
        <v/>
      </c>
      <c r="M202" s="281" t="str">
        <f>IF('Statement of Marks'!HV205="","",'Statement of Marks'!HV205)</f>
        <v/>
      </c>
      <c r="N202" s="829" t="str">
        <f>IF('Statement of Marks'!HX205="","",'Statement of Marks'!HX205)</f>
        <v/>
      </c>
      <c r="O202" s="282" t="str">
        <f>IF(J202="FAIL","",IF('Statement of Marks'!HO205="","",'Statement of Marks'!HO205))</f>
        <v xml:space="preserve">      </v>
      </c>
      <c r="P202" s="283" t="str">
        <f>IF('Supp. Result Entry'!AQ203="","",'Supp. Result Entry'!AQ203)</f>
        <v/>
      </c>
      <c r="Q202" s="284" t="str">
        <f>IF('Supp. Result Entry'!AR203="","",'Supp. Result Entry'!AR203)</f>
        <v/>
      </c>
      <c r="R202" s="285" t="str">
        <f>IF('Statement of Marks'!IA205="","",'Statement of Marks'!IA205)</f>
        <v/>
      </c>
      <c r="S202" s="286" t="str">
        <f>IF('Statement of Marks'!GL205="","",'Statement of Marks'!GL205)</f>
        <v/>
      </c>
      <c r="BM202" s="287" t="str">
        <f>'Statement of Marks'!F205</f>
        <v/>
      </c>
      <c r="BN202" s="288" t="str">
        <f t="shared" si="36"/>
        <v/>
      </c>
      <c r="BO202" s="288" t="str">
        <f t="shared" si="37"/>
        <v/>
      </c>
      <c r="BP202" s="288" t="str">
        <f t="shared" si="38"/>
        <v/>
      </c>
      <c r="BQ202" s="288" t="str">
        <f t="shared" si="39"/>
        <v/>
      </c>
      <c r="BR202" s="288" t="str">
        <f t="shared" si="40"/>
        <v/>
      </c>
      <c r="BS202" s="288" t="str">
        <f t="shared" si="41"/>
        <v/>
      </c>
      <c r="BT202" s="288" t="str">
        <f t="shared" si="42"/>
        <v/>
      </c>
      <c r="BU202" s="288" t="str">
        <f t="shared" si="43"/>
        <v/>
      </c>
      <c r="BV202" s="288" t="str">
        <f t="shared" si="44"/>
        <v/>
      </c>
      <c r="BW202" s="288" t="str">
        <f t="shared" si="45"/>
        <v/>
      </c>
      <c r="BX202" s="288" t="str">
        <f t="shared" si="46"/>
        <v/>
      </c>
      <c r="BY202" s="288" t="str">
        <f t="shared" si="47"/>
        <v/>
      </c>
      <c r="BZ202" s="289"/>
    </row>
    <row r="203" spans="1:78" ht="15" customHeight="1">
      <c r="A203" s="276">
        <f>IF('Statement of Marks'!A206="","",'Statement of Marks'!A206)</f>
        <v>200</v>
      </c>
      <c r="B203" s="277" t="str">
        <f>IF('Statement of Marks'!B206="","",'Statement of Marks'!B206)</f>
        <v/>
      </c>
      <c r="C203" s="278" t="str">
        <f>IF('Statement of Marks'!D206="","",'Statement of Marks'!D206)</f>
        <v/>
      </c>
      <c r="D203" s="314" t="str">
        <f>IF('Statement of Marks'!E206="","",'Statement of Marks'!E206)</f>
        <v/>
      </c>
      <c r="E203" s="279" t="str">
        <f>IF('Statement of Marks'!F206="","",'Statement of Marks'!F206)</f>
        <v/>
      </c>
      <c r="F203" s="279" t="str">
        <f>IF('Statement of Marks'!G206="","",'Statement of Marks'!G206)</f>
        <v/>
      </c>
      <c r="G203" s="279" t="str">
        <f>IF('Statement of Marks'!H206="","",'Statement of Marks'!H206)</f>
        <v/>
      </c>
      <c r="H203" s="280" t="str">
        <f>IF('Statement of Marks'!I206="","",'Statement of Marks'!I206)</f>
        <v/>
      </c>
      <c r="I203" s="280" t="str">
        <f>IF('Statement of Marks'!J206="","",'Statement of Marks'!J206)</f>
        <v/>
      </c>
      <c r="J203" s="827" t="str">
        <f>IF('Statement of Marks'!HS206="","",'Statement of Marks'!HS206)</f>
        <v/>
      </c>
      <c r="K203" s="281" t="str">
        <f>IF('Statement of Marks'!HT206="","",'Statement of Marks'!HT206)</f>
        <v/>
      </c>
      <c r="L203" s="828" t="str">
        <f>IF('Statement of Marks'!HW206="","",'Statement of Marks'!HW206)</f>
        <v/>
      </c>
      <c r="M203" s="281" t="str">
        <f>IF('Statement of Marks'!HV206="","",'Statement of Marks'!HV206)</f>
        <v/>
      </c>
      <c r="N203" s="829" t="str">
        <f>IF('Statement of Marks'!HX206="","",'Statement of Marks'!HX206)</f>
        <v/>
      </c>
      <c r="O203" s="282" t="str">
        <f>IF(J203="FAIL","",IF('Statement of Marks'!HO206="","",'Statement of Marks'!HO206))</f>
        <v xml:space="preserve">      </v>
      </c>
      <c r="P203" s="283" t="str">
        <f>IF('Supp. Result Entry'!AQ204="","",'Supp. Result Entry'!AQ204)</f>
        <v/>
      </c>
      <c r="Q203" s="284" t="str">
        <f>IF('Supp. Result Entry'!AR204="","",'Supp. Result Entry'!AR204)</f>
        <v/>
      </c>
      <c r="R203" s="285" t="str">
        <f>IF('Statement of Marks'!IA206="","",'Statement of Marks'!IA206)</f>
        <v/>
      </c>
      <c r="S203" s="286" t="str">
        <f>IF('Statement of Marks'!GL206="","",'Statement of Marks'!GL206)</f>
        <v/>
      </c>
      <c r="BM203" s="287" t="str">
        <f>'Statement of Marks'!F206</f>
        <v/>
      </c>
      <c r="BN203" s="288" t="str">
        <f t="shared" si="36"/>
        <v/>
      </c>
      <c r="BO203" s="288" t="str">
        <f t="shared" si="37"/>
        <v/>
      </c>
      <c r="BP203" s="288" t="str">
        <f t="shared" si="38"/>
        <v/>
      </c>
      <c r="BQ203" s="288" t="str">
        <f t="shared" si="39"/>
        <v/>
      </c>
      <c r="BR203" s="288" t="str">
        <f t="shared" si="40"/>
        <v/>
      </c>
      <c r="BS203" s="288" t="str">
        <f t="shared" si="41"/>
        <v/>
      </c>
      <c r="BT203" s="288" t="str">
        <f t="shared" si="42"/>
        <v/>
      </c>
      <c r="BU203" s="288" t="str">
        <f t="shared" si="43"/>
        <v/>
      </c>
      <c r="BV203" s="288" t="str">
        <f t="shared" si="44"/>
        <v/>
      </c>
      <c r="BW203" s="288" t="str">
        <f t="shared" si="45"/>
        <v/>
      </c>
      <c r="BX203" s="288" t="str">
        <f t="shared" si="46"/>
        <v/>
      </c>
      <c r="BY203" s="288" t="str">
        <f t="shared" si="47"/>
        <v/>
      </c>
      <c r="BZ203" s="289"/>
    </row>
    <row r="204" spans="1:78" ht="8.25" customHeight="1" thickBot="1">
      <c r="A204" s="1416"/>
      <c r="B204" s="1417"/>
      <c r="C204" s="1417"/>
      <c r="D204" s="1417"/>
      <c r="E204" s="1417"/>
      <c r="F204" s="1417"/>
      <c r="G204" s="1417"/>
      <c r="H204" s="1417"/>
      <c r="I204" s="1417"/>
      <c r="J204" s="1417"/>
      <c r="K204" s="1417"/>
      <c r="L204" s="1417"/>
      <c r="M204" s="1417"/>
      <c r="N204" s="1417"/>
      <c r="O204" s="1417"/>
      <c r="P204" s="1417"/>
      <c r="Q204" s="1417"/>
      <c r="R204" s="1417"/>
      <c r="S204" s="1418"/>
      <c r="BM204" s="1442"/>
      <c r="BN204" s="1443"/>
      <c r="BO204" s="1443"/>
      <c r="BP204" s="1443"/>
      <c r="BQ204" s="1443"/>
      <c r="BR204" s="1443"/>
      <c r="BS204" s="1443"/>
      <c r="BT204" s="1443"/>
      <c r="BU204" s="1443"/>
      <c r="BV204" s="1443"/>
      <c r="BW204" s="1443"/>
      <c r="BX204" s="1443"/>
      <c r="BY204" s="1443"/>
      <c r="BZ204" s="1444"/>
    </row>
    <row r="205" spans="1:78" ht="15" customHeight="1" thickTop="1">
      <c r="A205" s="291"/>
      <c r="B205" s="292" t="s">
        <v>56</v>
      </c>
      <c r="C205" s="292"/>
      <c r="D205" s="1445" t="s">
        <v>137</v>
      </c>
      <c r="E205" s="1445"/>
      <c r="F205" s="724" t="s">
        <v>139</v>
      </c>
      <c r="G205" s="724" t="s">
        <v>140</v>
      </c>
      <c r="H205" s="1446" t="s">
        <v>14</v>
      </c>
      <c r="I205" s="1447"/>
      <c r="J205" s="1412" t="str">
        <f>IF('School Profile'!D12="Hindi","परिणाम तैयारकर्ता","Signature of the maker")</f>
        <v>परिणाम तैयारकर्ता</v>
      </c>
      <c r="K205" s="1412"/>
      <c r="L205" s="1412"/>
      <c r="M205" s="1419" t="str">
        <f>CONCATENATE("( ",UPPER('School Profile'!D17)," )")</f>
        <v>( SURESH KUMAR )</v>
      </c>
      <c r="N205" s="1419"/>
      <c r="O205" s="1420"/>
      <c r="P205" s="1425" t="str">
        <f>CONCATENATE("( ",UPPER('School Profile'!D14)," )")</f>
        <v>( USHA PALIYA )</v>
      </c>
      <c r="Q205" s="1426"/>
      <c r="R205" s="1426"/>
      <c r="S205" s="1427"/>
      <c r="BM205" s="293"/>
      <c r="BN205" s="1448" t="str">
        <f>BM1</f>
        <v>tkfrokj ifj.kke</v>
      </c>
      <c r="BO205" s="1448"/>
      <c r="BP205" s="1448"/>
      <c r="BQ205" s="1448"/>
      <c r="BR205" s="1448"/>
      <c r="BS205" s="1448"/>
      <c r="BT205" s="1448"/>
      <c r="BU205" s="1448"/>
      <c r="BV205" s="1448"/>
      <c r="BW205" s="1448"/>
      <c r="BX205" s="1448"/>
      <c r="BY205" s="1448"/>
      <c r="BZ205" s="1449"/>
    </row>
    <row r="206" spans="1:78" ht="15" customHeight="1">
      <c r="A206" s="291"/>
      <c r="B206" s="292" t="s">
        <v>56</v>
      </c>
      <c r="C206" s="292"/>
      <c r="D206" s="1413" t="str">
        <f>IF('School Profile'!$D$12="Hindi","कुल प्रविष्ट","Total appeared")</f>
        <v>कुल प्रविष्ट</v>
      </c>
      <c r="E206" s="1413"/>
      <c r="F206" s="725">
        <f>COUNTA(B4:B203)-COUNTIF(B4:B203,"nso")-COUNTBLANK(B4:B203)</f>
        <v>31</v>
      </c>
      <c r="G206" s="294">
        <f>COUNTIF(J4:J203,"SUPPLEMENTARY")</f>
        <v>1</v>
      </c>
      <c r="H206" s="1414">
        <f>F206</f>
        <v>31</v>
      </c>
      <c r="I206" s="1415"/>
      <c r="J206" s="1412"/>
      <c r="K206" s="1412"/>
      <c r="L206" s="1412"/>
      <c r="M206" s="1419"/>
      <c r="N206" s="1419"/>
      <c r="O206" s="1420"/>
      <c r="P206" s="1428"/>
      <c r="Q206" s="1429"/>
      <c r="R206" s="1429"/>
      <c r="S206" s="1430"/>
      <c r="BM206" s="295"/>
      <c r="BN206" s="296" t="str">
        <f t="shared" ref="BN206:BY206" si="48">BN3</f>
        <v>SC BOYS</v>
      </c>
      <c r="BO206" s="296" t="str">
        <f t="shared" si="48"/>
        <v>SC GIRLS</v>
      </c>
      <c r="BP206" s="296" t="str">
        <f t="shared" si="48"/>
        <v>ST BOYS</v>
      </c>
      <c r="BQ206" s="296" t="str">
        <f t="shared" si="48"/>
        <v>ST GIRLS</v>
      </c>
      <c r="BR206" s="296" t="str">
        <f t="shared" si="48"/>
        <v>OBC BOYS</v>
      </c>
      <c r="BS206" s="296" t="str">
        <f t="shared" si="48"/>
        <v>OBC GIRLS</v>
      </c>
      <c r="BT206" s="296" t="str">
        <f t="shared" si="48"/>
        <v>GEN BOYS</v>
      </c>
      <c r="BU206" s="296" t="str">
        <f t="shared" si="48"/>
        <v>GEN GIRLS</v>
      </c>
      <c r="BV206" s="296" t="str">
        <f t="shared" si="48"/>
        <v>MIN BOYS</v>
      </c>
      <c r="BW206" s="296" t="str">
        <f t="shared" si="48"/>
        <v>MIN GIRLS</v>
      </c>
      <c r="BX206" s="296" t="str">
        <f t="shared" si="48"/>
        <v>SBC BOYS</v>
      </c>
      <c r="BY206" s="296" t="str">
        <f t="shared" si="48"/>
        <v>SBC GIRLS</v>
      </c>
      <c r="BZ206" s="297" t="s">
        <v>55</v>
      </c>
    </row>
    <row r="207" spans="1:78" ht="15" customHeight="1">
      <c r="A207" s="291"/>
      <c r="B207" s="292" t="s">
        <v>56</v>
      </c>
      <c r="C207" s="292"/>
      <c r="D207" s="1434" t="str">
        <f>IF('School Profile'!$D$12="Hindi","प्रथम श्रेणी","1st Div.")</f>
        <v>प्रथम श्रेणी</v>
      </c>
      <c r="E207" s="1434"/>
      <c r="F207" s="298">
        <f>COUNTIF(M4:M203,"1st")</f>
        <v>23</v>
      </c>
      <c r="G207" s="298">
        <f>COUNTIF(R4:R203,"I")</f>
        <v>1</v>
      </c>
      <c r="H207" s="1435">
        <f>F207+G207</f>
        <v>24</v>
      </c>
      <c r="I207" s="1415"/>
      <c r="J207" s="1412" t="str">
        <f>IF('School Profile'!D12="Hindi","हस्ताक्षर कक्षाध्यापक","Signature of the class teacher")</f>
        <v>हस्ताक्षर कक्षाध्यापक</v>
      </c>
      <c r="K207" s="1412"/>
      <c r="L207" s="1412"/>
      <c r="M207" s="1419" t="str">
        <f>CONCATENATE("( ",UPPER('School Profile'!D18)," )")</f>
        <v>( YOGESH )</v>
      </c>
      <c r="N207" s="1419"/>
      <c r="O207" s="1420"/>
      <c r="P207" s="1428"/>
      <c r="Q207" s="1429"/>
      <c r="R207" s="1429"/>
      <c r="S207" s="1430"/>
      <c r="BM207" s="627" t="str">
        <f>IF('School Profile'!$D$12="Hindi","प्रथम श्रेणी","1st Div.")</f>
        <v>प्रथम श्रेणी</v>
      </c>
      <c r="BN207" s="299">
        <f>COUNTIF(BN4:BN203,"I")+COUNTIF(BN4:BN203,"1st")</f>
        <v>1</v>
      </c>
      <c r="BO207" s="299">
        <f t="shared" ref="BO207:BY207" si="49">COUNTIF(BO4:BO203,"I")+COUNTIF(BO4:BO203,"1st")</f>
        <v>0</v>
      </c>
      <c r="BP207" s="299">
        <f t="shared" si="49"/>
        <v>0</v>
      </c>
      <c r="BQ207" s="299">
        <f t="shared" si="49"/>
        <v>0</v>
      </c>
      <c r="BR207" s="299">
        <f t="shared" si="49"/>
        <v>2</v>
      </c>
      <c r="BS207" s="299">
        <f t="shared" si="49"/>
        <v>1</v>
      </c>
      <c r="BT207" s="299">
        <f t="shared" si="49"/>
        <v>0</v>
      </c>
      <c r="BU207" s="299">
        <f t="shared" si="49"/>
        <v>1</v>
      </c>
      <c r="BV207" s="299">
        <f t="shared" si="49"/>
        <v>0</v>
      </c>
      <c r="BW207" s="299">
        <f t="shared" si="49"/>
        <v>1</v>
      </c>
      <c r="BX207" s="299">
        <f t="shared" si="49"/>
        <v>0</v>
      </c>
      <c r="BY207" s="299">
        <f t="shared" si="49"/>
        <v>1</v>
      </c>
      <c r="BZ207" s="300">
        <f>SUM(BN207:BY207)</f>
        <v>7</v>
      </c>
    </row>
    <row r="208" spans="1:78" ht="15" customHeight="1">
      <c r="A208" s="291"/>
      <c r="B208" s="292" t="s">
        <v>56</v>
      </c>
      <c r="C208" s="292"/>
      <c r="D208" s="1434" t="str">
        <f>IF('School Profile'!$D$12="Hindi","द्वितीय श्रेणी","2nd Div.")</f>
        <v>द्वितीय श्रेणी</v>
      </c>
      <c r="E208" s="1434"/>
      <c r="F208" s="301">
        <f>COUNTIF(M4:M203,"2nd")</f>
        <v>5</v>
      </c>
      <c r="G208" s="301">
        <f>COUNTIF(R4:R203,"II")</f>
        <v>0</v>
      </c>
      <c r="H208" s="1435">
        <f>F208+G208</f>
        <v>5</v>
      </c>
      <c r="I208" s="1415"/>
      <c r="J208" s="1412"/>
      <c r="K208" s="1412"/>
      <c r="L208" s="1412"/>
      <c r="M208" s="1419"/>
      <c r="N208" s="1419"/>
      <c r="O208" s="1420"/>
      <c r="P208" s="1428"/>
      <c r="Q208" s="1429"/>
      <c r="R208" s="1429"/>
      <c r="S208" s="1430"/>
      <c r="BM208" s="627" t="str">
        <f>IF('School Profile'!$D$12="Hindi","द्वितीय श्रेणी","2nd Div.")</f>
        <v>द्वितीय श्रेणी</v>
      </c>
      <c r="BN208" s="299">
        <f>COUNTIF(BN4:BN203,"II")+COUNTIF(BN4:BN203,"2nd")</f>
        <v>0</v>
      </c>
      <c r="BO208" s="299">
        <f t="shared" ref="BO208:BY208" si="50">COUNTIF(BO4:BO203,"II")+COUNTIF(BO4:BO203,"2nd")</f>
        <v>0</v>
      </c>
      <c r="BP208" s="299">
        <f t="shared" si="50"/>
        <v>0</v>
      </c>
      <c r="BQ208" s="299">
        <f t="shared" si="50"/>
        <v>1</v>
      </c>
      <c r="BR208" s="299">
        <f t="shared" si="50"/>
        <v>0</v>
      </c>
      <c r="BS208" s="299">
        <f t="shared" si="50"/>
        <v>0</v>
      </c>
      <c r="BT208" s="299">
        <f t="shared" si="50"/>
        <v>0</v>
      </c>
      <c r="BU208" s="299">
        <f t="shared" si="50"/>
        <v>0</v>
      </c>
      <c r="BV208" s="299">
        <f t="shared" si="50"/>
        <v>0</v>
      </c>
      <c r="BW208" s="299">
        <f t="shared" si="50"/>
        <v>0</v>
      </c>
      <c r="BX208" s="299">
        <f t="shared" si="50"/>
        <v>1</v>
      </c>
      <c r="BY208" s="299">
        <f t="shared" si="50"/>
        <v>0</v>
      </c>
      <c r="BZ208" s="300">
        <f t="shared" ref="BZ208:BZ214" si="51">SUM(BN208:BY208)</f>
        <v>2</v>
      </c>
    </row>
    <row r="209" spans="1:78" ht="15" customHeight="1">
      <c r="A209" s="291"/>
      <c r="B209" s="292" t="s">
        <v>56</v>
      </c>
      <c r="C209" s="292"/>
      <c r="D209" s="1434" t="str">
        <f>IF('School Profile'!$D$12="Hindi","तृतीय श्रेणी","3rd Div.")</f>
        <v>तृतीय श्रेणी</v>
      </c>
      <c r="E209" s="1434"/>
      <c r="F209" s="294">
        <f>COUNTIF(M4:M203,"3rd")</f>
        <v>0</v>
      </c>
      <c r="G209" s="298">
        <f>COUNTIF(R4:R203,"III")</f>
        <v>0</v>
      </c>
      <c r="H209" s="1438">
        <f>F209+G209</f>
        <v>0</v>
      </c>
      <c r="I209" s="1439"/>
      <c r="J209" s="1412" t="str">
        <f>IF('School Profile'!D12="Hindi","हस्ताक्षर जांचकर्ता","Signature of the checker")</f>
        <v>हस्ताक्षर जांचकर्ता</v>
      </c>
      <c r="K209" s="1412"/>
      <c r="L209" s="1412"/>
      <c r="M209" s="1419" t="str">
        <f>CONCATENATE("( ",UPPER('School Profile'!D16)," )")</f>
        <v>( RAKESH KUMAR )</v>
      </c>
      <c r="N209" s="1419"/>
      <c r="O209" s="1420"/>
      <c r="P209" s="1428"/>
      <c r="Q209" s="1429"/>
      <c r="R209" s="1429"/>
      <c r="S209" s="1430"/>
      <c r="BM209" s="627" t="str">
        <f>IF('School Profile'!$D$12="Hindi","तृतीय श्रेणी","3rd Div.")</f>
        <v>तृतीय श्रेणी</v>
      </c>
      <c r="BN209" s="299">
        <f>COUNTIF(BN4:BN203,"III")+COUNTIF(BN4:BN203,"3rd")</f>
        <v>0</v>
      </c>
      <c r="BO209" s="299">
        <f t="shared" ref="BO209:BY209" si="52">COUNTIF(BO4:BO203,"III")+COUNTIF(BO4:BO203,"3rd")</f>
        <v>0</v>
      </c>
      <c r="BP209" s="299">
        <f t="shared" si="52"/>
        <v>0</v>
      </c>
      <c r="BQ209" s="299">
        <f t="shared" si="52"/>
        <v>0</v>
      </c>
      <c r="BR209" s="299">
        <f t="shared" si="52"/>
        <v>0</v>
      </c>
      <c r="BS209" s="299">
        <f t="shared" si="52"/>
        <v>0</v>
      </c>
      <c r="BT209" s="299">
        <f t="shared" si="52"/>
        <v>0</v>
      </c>
      <c r="BU209" s="299">
        <f t="shared" si="52"/>
        <v>0</v>
      </c>
      <c r="BV209" s="299">
        <f t="shared" si="52"/>
        <v>0</v>
      </c>
      <c r="BW209" s="299">
        <f t="shared" si="52"/>
        <v>0</v>
      </c>
      <c r="BX209" s="299">
        <f t="shared" si="52"/>
        <v>0</v>
      </c>
      <c r="BY209" s="299">
        <f t="shared" si="52"/>
        <v>0</v>
      </c>
      <c r="BZ209" s="300">
        <f t="shared" si="51"/>
        <v>0</v>
      </c>
    </row>
    <row r="210" spans="1:78" ht="15" customHeight="1">
      <c r="A210" s="291"/>
      <c r="B210" s="292" t="s">
        <v>56</v>
      </c>
      <c r="C210" s="292"/>
      <c r="D210" s="1413" t="str">
        <f>IF('School Profile'!D12="Hindi","कुल उत्तीर्ण","Total Pass")</f>
        <v>कुल उत्तीर्ण</v>
      </c>
      <c r="E210" s="1413"/>
      <c r="F210" s="725">
        <f>COUNTIF(J4:J203,"PASS")+COUNTIF(J4:J203,"BY GRACE PASS")</f>
        <v>28</v>
      </c>
      <c r="G210" s="302">
        <f>COUNTIF(P4:P203,"PASS")</f>
        <v>1</v>
      </c>
      <c r="H210" s="1414">
        <f>F210+G210</f>
        <v>29</v>
      </c>
      <c r="I210" s="1415"/>
      <c r="J210" s="1412"/>
      <c r="K210" s="1412"/>
      <c r="L210" s="1412"/>
      <c r="M210" s="1419"/>
      <c r="N210" s="1419"/>
      <c r="O210" s="1420"/>
      <c r="P210" s="1431"/>
      <c r="Q210" s="1432"/>
      <c r="R210" s="1432"/>
      <c r="S210" s="1433"/>
      <c r="BM210" s="627" t="str">
        <f>IF('School Profile'!$D$12="Hindi","कुल उत्तीर्ण","Total Pass")</f>
        <v>कुल उत्तीर्ण</v>
      </c>
      <c r="BN210" s="299">
        <f>SUM(BN207,BN208,BN209)</f>
        <v>1</v>
      </c>
      <c r="BO210" s="299">
        <f>SUM(BO207,BO208,BO209)</f>
        <v>0</v>
      </c>
      <c r="BP210" s="299">
        <f t="shared" ref="BP210:BY210" si="53">SUM(BP207,BP208,BP209)</f>
        <v>0</v>
      </c>
      <c r="BQ210" s="299">
        <f t="shared" si="53"/>
        <v>1</v>
      </c>
      <c r="BR210" s="299">
        <f t="shared" si="53"/>
        <v>2</v>
      </c>
      <c r="BS210" s="299">
        <f t="shared" si="53"/>
        <v>1</v>
      </c>
      <c r="BT210" s="299">
        <f t="shared" si="53"/>
        <v>0</v>
      </c>
      <c r="BU210" s="299">
        <f t="shared" si="53"/>
        <v>1</v>
      </c>
      <c r="BV210" s="299">
        <f t="shared" si="53"/>
        <v>0</v>
      </c>
      <c r="BW210" s="299">
        <f t="shared" si="53"/>
        <v>1</v>
      </c>
      <c r="BX210" s="299">
        <f t="shared" si="53"/>
        <v>1</v>
      </c>
      <c r="BY210" s="299">
        <f t="shared" si="53"/>
        <v>1</v>
      </c>
      <c r="BZ210" s="300">
        <f t="shared" si="51"/>
        <v>9</v>
      </c>
    </row>
    <row r="211" spans="1:78" ht="15" customHeight="1">
      <c r="A211" s="303"/>
      <c r="B211" s="304" t="s">
        <v>56</v>
      </c>
      <c r="C211" s="304"/>
      <c r="D211" s="1413" t="str">
        <f>IF('School Profile'!$D$12="Hindi","उतीर्ण प्रतिशत","Pass %")</f>
        <v>उतीर्ण प्रतिशत</v>
      </c>
      <c r="E211" s="1413"/>
      <c r="F211" s="726">
        <f>IF(F206=0,"",F210/F206*100)</f>
        <v>90.322580645161281</v>
      </c>
      <c r="G211" s="305">
        <f>IF(G206=0,"",G210/G206*100)</f>
        <v>100</v>
      </c>
      <c r="H211" s="1436">
        <f>IF(H206=0,"",H210/H206*100)</f>
        <v>93.548387096774192</v>
      </c>
      <c r="I211" s="1437"/>
      <c r="J211" s="1412" t="str">
        <f>IF('School Profile'!D12="Hindi","हस्ताक्षर परीक्षा प्रभारी","Signature of the exam. Incharge")</f>
        <v>हस्ताक्षर परीक्षा प्रभारी</v>
      </c>
      <c r="K211" s="1412"/>
      <c r="L211" s="1412"/>
      <c r="M211" s="1419" t="str">
        <f>CONCATENATE("( ",UPPER('School Profile'!D15)," )")</f>
        <v>( HEERALAL JAT )</v>
      </c>
      <c r="N211" s="1419"/>
      <c r="O211" s="1420"/>
      <c r="P211" s="1421" t="str">
        <f>IF('School Profile'!D12="Hindi","हस्ताक्षर मय सील मोहर संस्था प्रधान","Signature &amp; Seal of the Head of the Institution")</f>
        <v>हस्ताक्षर मय सील मोहर संस्था प्रधान</v>
      </c>
      <c r="Q211" s="1421"/>
      <c r="R211" s="1421"/>
      <c r="S211" s="1422"/>
      <c r="BM211" s="627" t="str">
        <f>IF('School Profile'!$D$12="Hindi","पूरक","Supp.")</f>
        <v>पूरक</v>
      </c>
      <c r="BN211" s="299">
        <f>COUNTIF(BN4:BN203,"SUPPLEMENTARY")</f>
        <v>0</v>
      </c>
      <c r="BO211" s="299">
        <f t="shared" ref="BO211:BY211" si="54">COUNTIF(BO4:BO203,"SUPPLEMENTARY")</f>
        <v>0</v>
      </c>
      <c r="BP211" s="299">
        <f t="shared" si="54"/>
        <v>0</v>
      </c>
      <c r="BQ211" s="299">
        <f t="shared" si="54"/>
        <v>0</v>
      </c>
      <c r="BR211" s="299">
        <f t="shared" si="54"/>
        <v>0</v>
      </c>
      <c r="BS211" s="299">
        <f t="shared" si="54"/>
        <v>0</v>
      </c>
      <c r="BT211" s="299">
        <f t="shared" si="54"/>
        <v>0</v>
      </c>
      <c r="BU211" s="299">
        <f t="shared" si="54"/>
        <v>0</v>
      </c>
      <c r="BV211" s="299">
        <f t="shared" si="54"/>
        <v>0</v>
      </c>
      <c r="BW211" s="299">
        <f t="shared" si="54"/>
        <v>0</v>
      </c>
      <c r="BX211" s="299">
        <f t="shared" si="54"/>
        <v>0</v>
      </c>
      <c r="BY211" s="299">
        <f t="shared" si="54"/>
        <v>0</v>
      </c>
      <c r="BZ211" s="300">
        <f>SUM(BN211:BY211)</f>
        <v>0</v>
      </c>
    </row>
    <row r="212" spans="1:78" ht="15" customHeight="1" thickBot="1">
      <c r="A212" s="291"/>
      <c r="B212" s="292" t="s">
        <v>56</v>
      </c>
      <c r="C212" s="292"/>
      <c r="D212" s="1413" t="str">
        <f>IF('School Profile'!$D$12="Hindi","अनुतीर्ण","Failed")</f>
        <v>अनुतीर्ण</v>
      </c>
      <c r="E212" s="1413"/>
      <c r="F212" s="294">
        <f>COUNTIF(J4:J203,"FAIL")</f>
        <v>2</v>
      </c>
      <c r="G212" s="294">
        <f>COUNTIF(P4:P203,"FAIL")</f>
        <v>0</v>
      </c>
      <c r="H212" s="1414">
        <f>SUM(F212,G212)</f>
        <v>2</v>
      </c>
      <c r="I212" s="1415"/>
      <c r="J212" s="1412"/>
      <c r="K212" s="1412"/>
      <c r="L212" s="1412"/>
      <c r="M212" s="1419"/>
      <c r="N212" s="1419"/>
      <c r="O212" s="1420"/>
      <c r="P212" s="1423"/>
      <c r="Q212" s="1423"/>
      <c r="R212" s="1423"/>
      <c r="S212" s="1424"/>
      <c r="BM212" s="627" t="str">
        <f>IF('School Profile'!$D$12="Hindi","पुनः परीक्षा","Re-Exam")</f>
        <v>पुनः परीक्षा</v>
      </c>
      <c r="BN212" s="306">
        <f>COUNTIF(BN4:BN203,"RE-EXAM")</f>
        <v>0</v>
      </c>
      <c r="BO212" s="306">
        <f t="shared" ref="BO212:BY212" si="55">COUNTIF(BO4:BO203,"RE-EXAM")</f>
        <v>0</v>
      </c>
      <c r="BP212" s="306">
        <f t="shared" si="55"/>
        <v>0</v>
      </c>
      <c r="BQ212" s="306">
        <f t="shared" si="55"/>
        <v>0</v>
      </c>
      <c r="BR212" s="306">
        <f t="shared" si="55"/>
        <v>0</v>
      </c>
      <c r="BS212" s="306">
        <f t="shared" si="55"/>
        <v>0</v>
      </c>
      <c r="BT212" s="306">
        <f t="shared" si="55"/>
        <v>0</v>
      </c>
      <c r="BU212" s="306">
        <f t="shared" si="55"/>
        <v>0</v>
      </c>
      <c r="BV212" s="306">
        <f t="shared" si="55"/>
        <v>0</v>
      </c>
      <c r="BW212" s="306">
        <f t="shared" si="55"/>
        <v>0</v>
      </c>
      <c r="BX212" s="306">
        <f t="shared" si="55"/>
        <v>0</v>
      </c>
      <c r="BY212" s="306">
        <f t="shared" si="55"/>
        <v>0</v>
      </c>
      <c r="BZ212" s="300">
        <f t="shared" si="51"/>
        <v>0</v>
      </c>
    </row>
    <row r="213" spans="1:78" ht="17.100000000000001" customHeight="1" thickTop="1">
      <c r="BM213" s="627" t="str">
        <f>IF('School Profile'!$D$12="Hindi","अनुतीर्ण","Failed")</f>
        <v>अनुतीर्ण</v>
      </c>
      <c r="BN213" s="299">
        <f>COUNTIF(BN4:BN203,"FAIL")</f>
        <v>1</v>
      </c>
      <c r="BO213" s="299">
        <f t="shared" ref="BO213:BY213" si="56">COUNTIF(BO4:BO203,"FAIL")</f>
        <v>0</v>
      </c>
      <c r="BP213" s="299">
        <f t="shared" si="56"/>
        <v>0</v>
      </c>
      <c r="BQ213" s="299">
        <f t="shared" si="56"/>
        <v>0</v>
      </c>
      <c r="BR213" s="299">
        <f t="shared" si="56"/>
        <v>0</v>
      </c>
      <c r="BS213" s="299">
        <f t="shared" si="56"/>
        <v>0</v>
      </c>
      <c r="BT213" s="299">
        <f t="shared" si="56"/>
        <v>1</v>
      </c>
      <c r="BU213" s="299">
        <f t="shared" si="56"/>
        <v>0</v>
      </c>
      <c r="BV213" s="299">
        <f t="shared" si="56"/>
        <v>0</v>
      </c>
      <c r="BW213" s="299">
        <f t="shared" si="56"/>
        <v>0</v>
      </c>
      <c r="BX213" s="299">
        <f t="shared" si="56"/>
        <v>0</v>
      </c>
      <c r="BY213" s="299">
        <f t="shared" si="56"/>
        <v>0</v>
      </c>
      <c r="BZ213" s="300">
        <f>SUM(BN213:BY213)</f>
        <v>2</v>
      </c>
    </row>
    <row r="214" spans="1:78" ht="15">
      <c r="BM214" s="627" t="str">
        <f>IF('School Profile'!$D$12="Hindi","प्रविष्ठ कुल विद्यार्थी","No. of students appeared")</f>
        <v>प्रविष्ठ कुल विद्यार्थी</v>
      </c>
      <c r="BN214" s="299">
        <f>SUM(BN210:BN213)</f>
        <v>2</v>
      </c>
      <c r="BO214" s="299">
        <f>SUM(BO210:BO213)</f>
        <v>0</v>
      </c>
      <c r="BP214" s="299">
        <f t="shared" ref="BP214:BY214" si="57">SUM(BP210:BP213)</f>
        <v>0</v>
      </c>
      <c r="BQ214" s="299">
        <f t="shared" si="57"/>
        <v>1</v>
      </c>
      <c r="BR214" s="299">
        <f t="shared" si="57"/>
        <v>2</v>
      </c>
      <c r="BS214" s="299">
        <f t="shared" si="57"/>
        <v>1</v>
      </c>
      <c r="BT214" s="299">
        <f t="shared" si="57"/>
        <v>1</v>
      </c>
      <c r="BU214" s="299">
        <f t="shared" si="57"/>
        <v>1</v>
      </c>
      <c r="BV214" s="299">
        <f t="shared" si="57"/>
        <v>0</v>
      </c>
      <c r="BW214" s="299">
        <f t="shared" si="57"/>
        <v>1</v>
      </c>
      <c r="BX214" s="299">
        <f t="shared" si="57"/>
        <v>1</v>
      </c>
      <c r="BY214" s="299">
        <f t="shared" si="57"/>
        <v>1</v>
      </c>
      <c r="BZ214" s="300">
        <f t="shared" si="51"/>
        <v>11</v>
      </c>
    </row>
    <row r="215" spans="1:78" ht="15">
      <c r="BM215" s="627" t="str">
        <f>IF('School Profile'!$D$12="Hindi","उत्तीर्ण प्रतिशत","Pass percentage")</f>
        <v>उत्तीर्ण प्रतिशत</v>
      </c>
      <c r="BN215" s="310">
        <f>IF(BN214=0,"",BN210/BN214*100)</f>
        <v>50</v>
      </c>
      <c r="BO215" s="310" t="str">
        <f>IF(BO214=0,"",BO210/BO214*100)</f>
        <v/>
      </c>
      <c r="BP215" s="310" t="str">
        <f t="shared" ref="BP215:BY215" si="58">IF(BP214=0,"",BP210/BP214*100)</f>
        <v/>
      </c>
      <c r="BQ215" s="310">
        <f t="shared" si="58"/>
        <v>100</v>
      </c>
      <c r="BR215" s="310">
        <f t="shared" si="58"/>
        <v>100</v>
      </c>
      <c r="BS215" s="310">
        <f t="shared" si="58"/>
        <v>100</v>
      </c>
      <c r="BT215" s="310">
        <f>IF(BT214=0,"",BT210/BT214*100)</f>
        <v>0</v>
      </c>
      <c r="BU215" s="310">
        <f t="shared" si="58"/>
        <v>100</v>
      </c>
      <c r="BV215" s="310" t="str">
        <f t="shared" si="58"/>
        <v/>
      </c>
      <c r="BW215" s="310">
        <f t="shared" si="58"/>
        <v>100</v>
      </c>
      <c r="BX215" s="310">
        <f t="shared" si="58"/>
        <v>100</v>
      </c>
      <c r="BY215" s="310">
        <f t="shared" si="58"/>
        <v>100</v>
      </c>
      <c r="BZ215" s="311">
        <f>IF(BZ214=0,"",BZ210/BZ214*100)</f>
        <v>81.818181818181827</v>
      </c>
    </row>
    <row r="216" spans="1:78" ht="16.5" customHeight="1" thickBot="1">
      <c r="BM216" s="628" t="str">
        <f>IF('School Profile'!$D$12="Hindi","नाम पृथक","NSO")</f>
        <v>नाम पृथक</v>
      </c>
      <c r="BN216" s="312">
        <f>COUNTIF(BN4:BN203,"NSO")</f>
        <v>0</v>
      </c>
      <c r="BO216" s="312">
        <f t="shared" ref="BO216:BY216" si="59">COUNTIF(BO4:BO203,"NSO")</f>
        <v>0</v>
      </c>
      <c r="BP216" s="312">
        <f t="shared" si="59"/>
        <v>0</v>
      </c>
      <c r="BQ216" s="312">
        <f t="shared" si="59"/>
        <v>0</v>
      </c>
      <c r="BR216" s="312">
        <f t="shared" si="59"/>
        <v>0</v>
      </c>
      <c r="BS216" s="312">
        <f t="shared" si="59"/>
        <v>0</v>
      </c>
      <c r="BT216" s="312">
        <f t="shared" si="59"/>
        <v>0</v>
      </c>
      <c r="BU216" s="312">
        <f t="shared" si="59"/>
        <v>0</v>
      </c>
      <c r="BV216" s="312">
        <f t="shared" si="59"/>
        <v>0</v>
      </c>
      <c r="BW216" s="312">
        <f t="shared" si="59"/>
        <v>0</v>
      </c>
      <c r="BX216" s="312">
        <f t="shared" si="59"/>
        <v>0</v>
      </c>
      <c r="BY216" s="312">
        <f t="shared" si="59"/>
        <v>0</v>
      </c>
      <c r="BZ216" s="313">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7">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 ref="BM204:BZ204"/>
    <mergeCell ref="D205:E205"/>
    <mergeCell ref="H205:I205"/>
    <mergeCell ref="J205:L206"/>
    <mergeCell ref="BN205:BZ205"/>
    <mergeCell ref="D206:E206"/>
    <mergeCell ref="H206:I206"/>
    <mergeCell ref="M205:O206"/>
    <mergeCell ref="D2:D3"/>
    <mergeCell ref="N2:N3"/>
    <mergeCell ref="P211:S212"/>
    <mergeCell ref="M211:O212"/>
    <mergeCell ref="P205:S210"/>
    <mergeCell ref="D208:E208"/>
    <mergeCell ref="H208:I208"/>
    <mergeCell ref="M207:O208"/>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 ref="M209:O210"/>
  </mergeCells>
  <conditionalFormatting sqref="H206:J206 H205:I205 F205 J208:J211 BN205:BZ206 BZ216 BZ207:BZ214 BM1:BM216 I3 BN1:BZ3 B2 J2 A203:B203 H207:I208 H210:I212 D2:H2 A2:A204 C4:I203 S4:S203 O4:O203 B3:C203">
    <cfRule type="cellIs" dxfId="150" priority="163" stopIfTrue="1" operator="equal">
      <formula>0</formula>
    </cfRule>
  </conditionalFormatting>
  <conditionalFormatting sqref="J213:J217 H205:I205 F205 J206:J211 J2">
    <cfRule type="containsText" dxfId="149" priority="162" stopIfTrue="1" operator="containsText" text="iwjd">
      <formula>NOT(ISERROR(SEARCH("iwjd",F2)))</formula>
    </cfRule>
  </conditionalFormatting>
  <conditionalFormatting sqref="J4:J203">
    <cfRule type="containsText" dxfId="148" priority="161" stopIfTrue="1" operator="containsText" text="iwjd">
      <formula>NOT(ISERROR(SEARCH("iwjd",J4)))</formula>
    </cfRule>
  </conditionalFormatting>
  <conditionalFormatting sqref="H2:H3 I3">
    <cfRule type="containsText" dxfId="147" priority="159" stopIfTrue="1" operator="containsText" text="ST">
      <formula>NOT(ISERROR(SEARCH("ST",H2)))</formula>
    </cfRule>
    <cfRule type="containsText" dxfId="146" priority="160" stopIfTrue="1" operator="containsText" text="SC">
      <formula>NOT(ISERROR(SEARCH("SC",H2)))</formula>
    </cfRule>
  </conditionalFormatting>
  <conditionalFormatting sqref="H4:I203">
    <cfRule type="containsText" dxfId="145" priority="156" stopIfTrue="1" operator="containsText" text="OBC">
      <formula>NOT(ISERROR(SEARCH("OBC",H4)))</formula>
    </cfRule>
    <cfRule type="containsText" dxfId="144" priority="157" stopIfTrue="1" operator="containsText" text="ST">
      <formula>NOT(ISERROR(SEARCH("ST",H4)))</formula>
    </cfRule>
    <cfRule type="containsText" dxfId="143" priority="158" stopIfTrue="1" operator="containsText" text="SC">
      <formula>NOT(ISERROR(SEARCH("SC",H4)))</formula>
    </cfRule>
  </conditionalFormatting>
  <conditionalFormatting sqref="BN4:BZ203 P4:R203">
    <cfRule type="containsText" dxfId="142" priority="154" stopIfTrue="1" operator="containsText" text="mRrh.kZ">
      <formula>NOT(ISERROR(SEARCH("mRrh.kZ",P4)))</formula>
    </cfRule>
    <cfRule type="containsText" dxfId="141" priority="155" stopIfTrue="1" operator="containsText" text="vuqRrh.kZ">
      <formula>NOT(ISERROR(SEARCH("vuqRrh.kZ",P4)))</formula>
    </cfRule>
  </conditionalFormatting>
  <conditionalFormatting sqref="BN207:BZ216">
    <cfRule type="cellIs" dxfId="140" priority="149" operator="equal">
      <formula>0</formula>
    </cfRule>
  </conditionalFormatting>
  <conditionalFormatting sqref="BN4:BZ203 R4:R203">
    <cfRule type="containsText" dxfId="139" priority="145" operator="containsText" text="iwjd">
      <formula>NOT(ISERROR(SEARCH("iwjd",R4)))</formula>
    </cfRule>
    <cfRule type="containsText" dxfId="138" priority="146" operator="containsText" text="uke i`Fkd">
      <formula>NOT(ISERROR(SEARCH("uke i`Fkd",R4)))</formula>
    </cfRule>
    <cfRule type="containsText" dxfId="137" priority="147" operator="containsText" text="iqu% ijh{k">
      <formula>NOT(ISERROR(SEARCH("iqu% ijh{k",R4)))</formula>
    </cfRule>
    <cfRule type="containsText" dxfId="136" priority="148" operator="containsText" text="vuqRrh.kZ">
      <formula>NOT(ISERROR(SEARCH("vuqRrh.kZ",R4)))</formula>
    </cfRule>
  </conditionalFormatting>
  <conditionalFormatting sqref="I3 J2 A2:B3 C3 D2:H2">
    <cfRule type="cellIs" dxfId="135" priority="66" stopIfTrue="1" operator="equal">
      <formula>0</formula>
    </cfRule>
  </conditionalFormatting>
  <conditionalFormatting sqref="J2">
    <cfRule type="containsText" dxfId="134" priority="65" stopIfTrue="1" operator="containsText" text="iwjd">
      <formula>NOT(ISERROR(SEARCH("iwjd",J2)))</formula>
    </cfRule>
  </conditionalFormatting>
  <conditionalFormatting sqref="H2:H3 I3">
    <cfRule type="containsText" dxfId="133" priority="63" stopIfTrue="1" operator="containsText" text="ST">
      <formula>NOT(ISERROR(SEARCH("ST",H2)))</formula>
    </cfRule>
    <cfRule type="containsText" dxfId="132" priority="64" stopIfTrue="1" operator="containsText" text="SC">
      <formula>NOT(ISERROR(SEARCH("SC",H2)))</formula>
    </cfRule>
  </conditionalFormatting>
  <conditionalFormatting sqref="H2:H3 I3">
    <cfRule type="containsText" dxfId="131" priority="61" stopIfTrue="1" operator="containsText" text="ST">
      <formula>NOT(ISERROR(SEARCH("ST",H2)))</formula>
    </cfRule>
    <cfRule type="containsText" dxfId="130" priority="62" stopIfTrue="1" operator="containsText" text="SC">
      <formula>NOT(ISERROR(SEARCH("SC",H2)))</formula>
    </cfRule>
  </conditionalFormatting>
  <conditionalFormatting sqref="O1">
    <cfRule type="cellIs" dxfId="129" priority="60" stopIfTrue="1" operator="equal">
      <formula>0</formula>
    </cfRule>
  </conditionalFormatting>
  <conditionalFormatting sqref="F205">
    <cfRule type="cellIs" dxfId="128" priority="59" stopIfTrue="1" operator="equal">
      <formula>0</formula>
    </cfRule>
  </conditionalFormatting>
  <conditionalFormatting sqref="F205">
    <cfRule type="containsText" dxfId="127" priority="58" stopIfTrue="1" operator="containsText" text="iwjd">
      <formula>NOT(ISERROR(SEARCH("iwjd",F205)))</formula>
    </cfRule>
  </conditionalFormatting>
  <conditionalFormatting sqref="G205">
    <cfRule type="cellIs" dxfId="126" priority="57" stopIfTrue="1" operator="equal">
      <formula>0</formula>
    </cfRule>
  </conditionalFormatting>
  <conditionalFormatting sqref="G205">
    <cfRule type="containsText" dxfId="125" priority="56" stopIfTrue="1" operator="containsText" text="iwjd">
      <formula>NOT(ISERROR(SEARCH("iwjd",G205)))</formula>
    </cfRule>
  </conditionalFormatting>
  <conditionalFormatting sqref="G205">
    <cfRule type="cellIs" dxfId="124" priority="55" stopIfTrue="1" operator="equal">
      <formula>0</formula>
    </cfRule>
  </conditionalFormatting>
  <conditionalFormatting sqref="G205">
    <cfRule type="containsText" dxfId="123" priority="54" stopIfTrue="1" operator="containsText" text="iwjd">
      <formula>NOT(ISERROR(SEARCH("iwjd",G205)))</formula>
    </cfRule>
  </conditionalFormatting>
  <conditionalFormatting sqref="H205:I205">
    <cfRule type="cellIs" dxfId="122" priority="53" stopIfTrue="1" operator="equal">
      <formula>0</formula>
    </cfRule>
  </conditionalFormatting>
  <conditionalFormatting sqref="H205:I205">
    <cfRule type="containsText" dxfId="121" priority="52" stopIfTrue="1" operator="containsText" text="iwjd">
      <formula>NOT(ISERROR(SEARCH("iwjd",H205)))</formula>
    </cfRule>
  </conditionalFormatting>
  <conditionalFormatting sqref="H205:I205">
    <cfRule type="cellIs" dxfId="120" priority="51" stopIfTrue="1" operator="equal">
      <formula>0</formula>
    </cfRule>
  </conditionalFormatting>
  <conditionalFormatting sqref="H205:I205">
    <cfRule type="containsText" dxfId="119" priority="50" stopIfTrue="1" operator="containsText" text="iwjd">
      <formula>NOT(ISERROR(SEARCH("iwjd",H205)))</formula>
    </cfRule>
  </conditionalFormatting>
  <conditionalFormatting sqref="J206 J208:J211">
    <cfRule type="cellIs" dxfId="118" priority="49" stopIfTrue="1" operator="equal">
      <formula>0</formula>
    </cfRule>
  </conditionalFormatting>
  <conditionalFormatting sqref="J206:J211">
    <cfRule type="containsText" dxfId="117" priority="48" stopIfTrue="1" operator="containsText" text="iwjd">
      <formula>NOT(ISERROR(SEARCH("iwjd",J206)))</formula>
    </cfRule>
  </conditionalFormatting>
  <conditionalFormatting sqref="J206 J208:J211">
    <cfRule type="cellIs" dxfId="116" priority="47" stopIfTrue="1" operator="equal">
      <formula>0</formula>
    </cfRule>
  </conditionalFormatting>
  <conditionalFormatting sqref="J206:J211">
    <cfRule type="containsText" dxfId="115" priority="46" stopIfTrue="1" operator="containsText" text="iwjd">
      <formula>NOT(ISERROR(SEARCH("iwjd",J206)))</formula>
    </cfRule>
  </conditionalFormatting>
  <conditionalFormatting sqref="J206 J208:J211">
    <cfRule type="cellIs" dxfId="114" priority="45" stopIfTrue="1" operator="equal">
      <formula>0</formula>
    </cfRule>
  </conditionalFormatting>
  <conditionalFormatting sqref="J206:J211">
    <cfRule type="containsText" dxfId="113" priority="44" stopIfTrue="1" operator="containsText" text="iwjd">
      <formula>NOT(ISERROR(SEARCH("iwjd",J206)))</formula>
    </cfRule>
  </conditionalFormatting>
  <conditionalFormatting sqref="P211">
    <cfRule type="cellIs" dxfId="112" priority="43" stopIfTrue="1" operator="equal">
      <formula>0</formula>
    </cfRule>
  </conditionalFormatting>
  <conditionalFormatting sqref="P211">
    <cfRule type="containsText" dxfId="111" priority="42" stopIfTrue="1" operator="containsText" text="iwjd">
      <formula>NOT(ISERROR(SEARCH("iwjd",P211)))</formula>
    </cfRule>
  </conditionalFormatting>
  <conditionalFormatting sqref="I4:I203">
    <cfRule type="expression" dxfId="110" priority="40">
      <formula>I4="F"</formula>
    </cfRule>
    <cfRule type="expression" dxfId="109" priority="41">
      <formula>I4="M"</formula>
    </cfRule>
  </conditionalFormatting>
  <conditionalFormatting sqref="L4:L203">
    <cfRule type="expression" dxfId="108" priority="36">
      <formula>L4=""</formula>
    </cfRule>
    <cfRule type="top10" dxfId="107" priority="38" rank="3"/>
    <cfRule type="top10" dxfId="106" priority="39" percent="1" rank="3"/>
  </conditionalFormatting>
  <conditionalFormatting sqref="J206 J208:J211">
    <cfRule type="cellIs" dxfId="105" priority="35" stopIfTrue="1" operator="equal">
      <formula>0</formula>
    </cfRule>
  </conditionalFormatting>
  <conditionalFormatting sqref="J206:J211">
    <cfRule type="containsText" dxfId="104" priority="34" stopIfTrue="1" operator="containsText" text="iwjd">
      <formula>NOT(ISERROR(SEARCH("iwjd",J206)))</formula>
    </cfRule>
  </conditionalFormatting>
  <conditionalFormatting sqref="J4:J203">
    <cfRule type="containsText" dxfId="103" priority="33" stopIfTrue="1" operator="containsText" text="iwjd">
      <formula>NOT(ISERROR(SEARCH("iwjd",J4)))</formula>
    </cfRule>
  </conditionalFormatting>
  <conditionalFormatting sqref="J4:J203">
    <cfRule type="containsText" dxfId="102" priority="28" stopIfTrue="1" operator="containsText" text="G1">
      <formula>NOT(ISERROR(SEARCH("G1",J4)))</formula>
    </cfRule>
    <cfRule type="containsText" dxfId="101" priority="29" stopIfTrue="1" operator="containsText" text="G2">
      <formula>NOT(ISERROR(SEARCH("G2",J4)))</formula>
    </cfRule>
    <cfRule type="containsText" dxfId="100" priority="30" stopIfTrue="1" operator="containsText" text="G1">
      <formula>NOT(ISERROR(SEARCH("G1",J4)))</formula>
    </cfRule>
    <cfRule type="containsText" dxfId="99" priority="31" stopIfTrue="1" operator="containsText" text="S">
      <formula>NOT(ISERROR(SEARCH("S",J4)))</formula>
    </cfRule>
    <cfRule type="containsText" dxfId="98" priority="32" stopIfTrue="1" operator="containsText" text="F">
      <formula>NOT(ISERROR(SEARCH("F",J4)))</formula>
    </cfRule>
  </conditionalFormatting>
  <conditionalFormatting sqref="J4:J203">
    <cfRule type="containsText" dxfId="97" priority="25" stopIfTrue="1" operator="containsText" text="RA">
      <formula>NOT(ISERROR(SEARCH("RA",J4)))</formula>
    </cfRule>
    <cfRule type="containsText" dxfId="96" priority="26" stopIfTrue="1" operator="containsText" text="ML">
      <formula>NOT(ISERROR(SEARCH("ML",J4)))</formula>
    </cfRule>
    <cfRule type="containsText" dxfId="95" priority="27" stopIfTrue="1" operator="containsText" text="ML">
      <formula>NOT(ISERROR(SEARCH("ML",J4)))</formula>
    </cfRule>
  </conditionalFormatting>
  <conditionalFormatting sqref="J4:J203">
    <cfRule type="containsText" dxfId="94" priority="24" stopIfTrue="1" operator="containsText" text="S">
      <formula>NOT(ISERROR(SEARCH("S",J4)))</formula>
    </cfRule>
  </conditionalFormatting>
  <conditionalFormatting sqref="J4:J203">
    <cfRule type="containsText" dxfId="93" priority="23" stopIfTrue="1" operator="containsText" text="G1">
      <formula>NOT(ISERROR(SEARCH("G1",J4)))</formula>
    </cfRule>
  </conditionalFormatting>
  <conditionalFormatting sqref="J4:J203">
    <cfRule type="containsText" dxfId="92" priority="22" stopIfTrue="1" operator="containsText" text="NA">
      <formula>NOT(ISERROR(SEARCH("NA",J4)))</formula>
    </cfRule>
  </conditionalFormatting>
  <conditionalFormatting sqref="J4:J203">
    <cfRule type="containsText" dxfId="91" priority="21" operator="containsText" text="D">
      <formula>NOT(ISERROR(SEARCH("D",J4)))</formula>
    </cfRule>
  </conditionalFormatting>
  <conditionalFormatting sqref="J4:J203">
    <cfRule type="cellIs" dxfId="90" priority="19" stopIfTrue="1" operator="equal">
      <formula>0</formula>
    </cfRule>
    <cfRule type="cellIs" dxfId="89" priority="20" stopIfTrue="1" operator="equal">
      <formula>0</formula>
    </cfRule>
  </conditionalFormatting>
  <conditionalFormatting sqref="J4:J203">
    <cfRule type="containsText" dxfId="88" priority="15" stopIfTrue="1" operator="containsText" text="G2">
      <formula>NOT(ISERROR(SEARCH("G2",J4)))</formula>
    </cfRule>
    <cfRule type="containsText" dxfId="87" priority="16" stopIfTrue="1" operator="containsText" text="G1">
      <formula>NOT(ISERROR(SEARCH("G1",J4)))</formula>
    </cfRule>
    <cfRule type="containsText" dxfId="86" priority="17" stopIfTrue="1" operator="containsText" text="S">
      <formula>NOT(ISERROR(SEARCH("S",J4)))</formula>
    </cfRule>
    <cfRule type="containsText" dxfId="85" priority="18" stopIfTrue="1" operator="containsText" text="F">
      <formula>NOT(ISERROR(SEARCH("F",J4)))</formula>
    </cfRule>
  </conditionalFormatting>
  <conditionalFormatting sqref="J4:J203">
    <cfRule type="containsText" dxfId="84" priority="14" stopIfTrue="1" operator="containsText" text="NA">
      <formula>NOT(ISERROR(SEARCH("NA",J4)))</formula>
    </cfRule>
  </conditionalFormatting>
  <conditionalFormatting sqref="J4:J203">
    <cfRule type="containsText" dxfId="83" priority="12" stopIfTrue="1" operator="containsText" text="NA">
      <formula>NOT(ISERROR(SEARCH("NA",J4)))</formula>
    </cfRule>
    <cfRule type="containsText" dxfId="82" priority="13" stopIfTrue="1" operator="containsText" text="ML">
      <formula>NOT(ISERROR(SEARCH("ML",J4)))</formula>
    </cfRule>
  </conditionalFormatting>
  <conditionalFormatting sqref="J4:J203">
    <cfRule type="containsText" dxfId="81" priority="10" stopIfTrue="1" operator="containsText" text="vuqRrh.kZ">
      <formula>NOT(ISERROR(SEARCH("vuqRrh.kZ",J4)))</formula>
    </cfRule>
    <cfRule type="containsText" dxfId="80" priority="11" stopIfTrue="1" operator="containsText" text="lk- mRrh.kZ">
      <formula>NOT(ISERROR(SEARCH("lk- mRrh.kZ",J4)))</formula>
    </cfRule>
  </conditionalFormatting>
  <conditionalFormatting sqref="J4:J203">
    <cfRule type="containsText" dxfId="79" priority="9" stopIfTrue="1" operator="containsText" text="iwjd">
      <formula>NOT(ISERROR(SEARCH("iwjd",J4)))</formula>
    </cfRule>
  </conditionalFormatting>
  <conditionalFormatting sqref="J4:J203">
    <cfRule type="expression" dxfId="78" priority="4" stopIfTrue="1">
      <formula>$J4="SUPPLEMENTARY"</formula>
    </cfRule>
    <cfRule type="expression" dxfId="77" priority="5" stopIfTrue="1">
      <formula>J4="NSO"</formula>
    </cfRule>
    <cfRule type="containsText" dxfId="76" priority="6" stopIfTrue="1" operator="containsText" text="iwjd">
      <formula>NOT(ISERROR(SEARCH("iwjd",J4)))</formula>
    </cfRule>
    <cfRule type="containsText" dxfId="75" priority="7" stopIfTrue="1" operator="containsText" text="vuRrh.kZ">
      <formula>NOT(ISERROR(SEARCH("vuRrh.kZ",J4)))</formula>
    </cfRule>
    <cfRule type="containsText" dxfId="74" priority="8" stopIfTrue="1" operator="containsText" text="mRrh.kZ">
      <formula>NOT(ISERROR(SEARCH("mRrh.kZ",J4)))</formula>
    </cfRule>
  </conditionalFormatting>
  <conditionalFormatting sqref="J4:J203">
    <cfRule type="containsText" dxfId="73" priority="3" stopIfTrue="1" operator="containsText" text="iu% ijh{kk">
      <formula>NOT(ISERROR(SEARCH("iu% ijh{kk",J4)))</formula>
    </cfRule>
  </conditionalFormatting>
  <conditionalFormatting sqref="J4:J203">
    <cfRule type="containsText" dxfId="72" priority="2" stopIfTrue="1" operator="containsText" text="iqu% ijh{kk">
      <formula>NOT(ISERROR(SEARCH("iqu% ijh{kk",J4)))</formula>
    </cfRule>
  </conditionalFormatting>
  <conditionalFormatting sqref="N4:N203">
    <cfRule type="top10" dxfId="71" priority="1" stopIfTrue="1" bottom="1" rank="3"/>
  </conditionalFormatting>
  <pageMargins left="0.45" right="0.2" top="0.5" bottom="0.25" header="0.3" footer="0.3"/>
  <pageSetup paperSize="9" scale="92"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 With Photo</vt:lpstr>
      <vt:lpstr>Simple Marksheet</vt:lpstr>
      <vt:lpstr>Marksheet After Supp. Result</vt:lpstr>
      <vt:lpstr>'Green Sheet'!Print_Area</vt:lpstr>
      <vt:lpstr>'Marksheet After Supp. Result'!Print_Area</vt:lpstr>
      <vt:lpstr>'Marksheet With Photo'!Print_Area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2024-04-01T02:03:04Z</cp:lastPrinted>
  <dcterms:created xsi:type="dcterms:W3CDTF">2017-08-30T13:27:31Z</dcterms:created>
  <dcterms:modified xsi:type="dcterms:W3CDTF">2025-04-22T12:22:38Z</dcterms:modified>
</cp:coreProperties>
</file>